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2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Y:\GEINF\_RODOVIAS\BR-393RJ_BR-163MT_BR-070MT\TR_\Orçamento\"/>
    </mc:Choice>
  </mc:AlternateContent>
  <xr:revisionPtr revIDLastSave="0" documentId="13_ncr:1_{86CF1A3E-685A-4E3F-B59A-09E81C6AAA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ronograma" sheetId="29" r:id="rId1"/>
    <sheet name="Produtos" sheetId="26" r:id="rId2"/>
    <sheet name="Resumo" sheetId="13" r:id="rId3"/>
    <sheet name="Referência" sheetId="18" r:id="rId4"/>
    <sheet name="Comunicação" sheetId="12" r:id="rId5"/>
    <sheet name="EVTEA" sheetId="9" r:id="rId6"/>
    <sheet name="Parte A" sheetId="5" r:id="rId7"/>
    <sheet name="Parte B" sheetId="6" r:id="rId8"/>
    <sheet name="TPU" sheetId="23" r:id="rId9"/>
    <sheet name="BDI" sheetId="24" r:id="rId10"/>
    <sheet name="IPCA" sheetId="25" r:id="rId11"/>
    <sheet name="Passagens" sheetId="16" r:id="rId12"/>
    <sheet name="Estadia" sheetId="17" r:id="rId13"/>
    <sheet name="Dynatest" sheetId="20" r:id="rId14"/>
    <sheet name="COMAP" sheetId="21" r:id="rId15"/>
    <sheet name="Sonddenge" sheetId="22" r:id="rId16"/>
    <sheet name="Inspeção OAE" sheetId="27" r:id="rId17"/>
    <sheet name="Sondagens" sheetId="28" r:id="rId18"/>
  </sheets>
  <definedNames>
    <definedName name="_xlnm._FilterDatabase" localSheetId="0" hidden="1">Cronograma!$A$15:$Q$182</definedName>
    <definedName name="_xlnm._FilterDatabase" localSheetId="5">EVTEA!$A$13:$B$25</definedName>
    <definedName name="_xlnm._FilterDatabase" localSheetId="6">'Parte A'!$A$4:$T$48</definedName>
    <definedName name="_xlnm._FilterDatabase" localSheetId="7">'Parte B'!$A$1:$I$224</definedName>
    <definedName name="_xlnm._FilterDatabase" localSheetId="3" hidden="1">Referência!$Z$1:$AR$131</definedName>
    <definedName name="_xlnm.Print_Area" localSheetId="0">Cronograma!$A$1:$AW$182</definedName>
    <definedName name="_xlnm.Print_Titles" localSheetId="0">Cronograma!$13:$15</definedName>
  </definedNames>
  <calcPr calcId="191029"/>
  <pivotCaches>
    <pivotCache cacheId="0" r:id="rId19"/>
    <pivotCache cacheId="1" r:id="rId20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166" i="29" l="1"/>
  <c r="AA166" i="29"/>
  <c r="Z166" i="29"/>
  <c r="Y166" i="29"/>
  <c r="X166" i="29"/>
  <c r="W166" i="29"/>
  <c r="V166" i="29"/>
  <c r="U166" i="29"/>
  <c r="T166" i="29"/>
  <c r="S166" i="29"/>
  <c r="R166" i="29"/>
  <c r="AB165" i="29"/>
  <c r="AA165" i="29"/>
  <c r="Z165" i="29"/>
  <c r="Y165" i="29"/>
  <c r="X165" i="29"/>
  <c r="W165" i="29"/>
  <c r="V165" i="29"/>
  <c r="U165" i="29"/>
  <c r="T165" i="29"/>
  <c r="S165" i="29"/>
  <c r="R165" i="29"/>
  <c r="AB164" i="29"/>
  <c r="AA164" i="29"/>
  <c r="Z164" i="29"/>
  <c r="Y164" i="29"/>
  <c r="X164" i="29"/>
  <c r="W164" i="29"/>
  <c r="V164" i="29"/>
  <c r="U164" i="29"/>
  <c r="T164" i="29"/>
  <c r="S164" i="29"/>
  <c r="R164" i="29"/>
  <c r="AB163" i="29"/>
  <c r="AA163" i="29"/>
  <c r="Z163" i="29"/>
  <c r="Y163" i="29"/>
  <c r="X163" i="29"/>
  <c r="W163" i="29"/>
  <c r="V163" i="29"/>
  <c r="U163" i="29"/>
  <c r="T163" i="29"/>
  <c r="S163" i="29"/>
  <c r="R163" i="29"/>
  <c r="AB162" i="29"/>
  <c r="AA162" i="29"/>
  <c r="Z162" i="29"/>
  <c r="Y162" i="29"/>
  <c r="X162" i="29"/>
  <c r="W162" i="29"/>
  <c r="V162" i="29"/>
  <c r="U162" i="29"/>
  <c r="T162" i="29"/>
  <c r="S162" i="29"/>
  <c r="R162" i="29"/>
  <c r="AB161" i="29"/>
  <c r="AA161" i="29"/>
  <c r="Z161" i="29"/>
  <c r="Y161" i="29"/>
  <c r="X161" i="29"/>
  <c r="W161" i="29"/>
  <c r="V161" i="29"/>
  <c r="U161" i="29"/>
  <c r="T161" i="29"/>
  <c r="S161" i="29"/>
  <c r="R161" i="29"/>
  <c r="AB160" i="29"/>
  <c r="AA160" i="29"/>
  <c r="Z160" i="29"/>
  <c r="Y160" i="29"/>
  <c r="X160" i="29"/>
  <c r="W160" i="29"/>
  <c r="V160" i="29"/>
  <c r="U160" i="29"/>
  <c r="T160" i="29"/>
  <c r="S160" i="29"/>
  <c r="R160" i="29"/>
  <c r="AC158" i="29"/>
  <c r="AB158" i="29"/>
  <c r="AA158" i="29"/>
  <c r="Z158" i="29"/>
  <c r="Y158" i="29"/>
  <c r="W158" i="29"/>
  <c r="V158" i="29"/>
  <c r="U158" i="29"/>
  <c r="T158" i="29"/>
  <c r="S158" i="29"/>
  <c r="R158" i="29"/>
  <c r="AB155" i="29"/>
  <c r="AA155" i="29"/>
  <c r="Z155" i="29"/>
  <c r="Y155" i="29"/>
  <c r="X155" i="29"/>
  <c r="W155" i="29"/>
  <c r="V155" i="29"/>
  <c r="U155" i="29"/>
  <c r="T155" i="29"/>
  <c r="S155" i="29"/>
  <c r="R155" i="29"/>
  <c r="AB153" i="29"/>
  <c r="AA153" i="29"/>
  <c r="Z153" i="29"/>
  <c r="Y153" i="29"/>
  <c r="X153" i="29"/>
  <c r="W153" i="29"/>
  <c r="V153" i="29"/>
  <c r="U153" i="29"/>
  <c r="T153" i="29"/>
  <c r="S153" i="29"/>
  <c r="R153" i="29"/>
  <c r="AB151" i="29"/>
  <c r="AA151" i="29"/>
  <c r="Z151" i="29"/>
  <c r="Y151" i="29"/>
  <c r="X151" i="29"/>
  <c r="W151" i="29"/>
  <c r="V151" i="29"/>
  <c r="U151" i="29"/>
  <c r="T151" i="29"/>
  <c r="S151" i="29"/>
  <c r="R151" i="29"/>
  <c r="AB150" i="29"/>
  <c r="AA150" i="29"/>
  <c r="Z150" i="29"/>
  <c r="Y150" i="29"/>
  <c r="X150" i="29"/>
  <c r="W150" i="29"/>
  <c r="V150" i="29"/>
  <c r="U150" i="29"/>
  <c r="T150" i="29"/>
  <c r="S150" i="29"/>
  <c r="R150" i="29"/>
  <c r="AB149" i="29"/>
  <c r="AA149" i="29"/>
  <c r="Z149" i="29"/>
  <c r="Y149" i="29"/>
  <c r="X149" i="29"/>
  <c r="W149" i="29"/>
  <c r="V149" i="29"/>
  <c r="U149" i="29"/>
  <c r="T149" i="29"/>
  <c r="S149" i="29"/>
  <c r="R149" i="29"/>
  <c r="AC147" i="29"/>
  <c r="AB147" i="29"/>
  <c r="AA147" i="29"/>
  <c r="Z147" i="29"/>
  <c r="Y147" i="29"/>
  <c r="W147" i="29"/>
  <c r="V147" i="29"/>
  <c r="U147" i="29"/>
  <c r="T147" i="29"/>
  <c r="S147" i="29"/>
  <c r="R147" i="29"/>
  <c r="AC146" i="29"/>
  <c r="AB146" i="29"/>
  <c r="AA146" i="29"/>
  <c r="Z146" i="29"/>
  <c r="Y146" i="29"/>
  <c r="X146" i="29"/>
  <c r="W146" i="29"/>
  <c r="U146" i="29"/>
  <c r="T146" i="29"/>
  <c r="S146" i="29"/>
  <c r="R146" i="29"/>
  <c r="AC143" i="29"/>
  <c r="AB143" i="29"/>
  <c r="Z143" i="29"/>
  <c r="Y143" i="29"/>
  <c r="X143" i="29"/>
  <c r="W143" i="29"/>
  <c r="V143" i="29"/>
  <c r="U143" i="29"/>
  <c r="T143" i="29"/>
  <c r="S143" i="29"/>
  <c r="R143" i="29"/>
  <c r="AC141" i="29"/>
  <c r="AB141" i="29"/>
  <c r="Z141" i="29"/>
  <c r="Y141" i="29"/>
  <c r="X141" i="29"/>
  <c r="W141" i="29"/>
  <c r="V141" i="29"/>
  <c r="U141" i="29"/>
  <c r="T141" i="29"/>
  <c r="S141" i="29"/>
  <c r="R141" i="29"/>
  <c r="AC139" i="29"/>
  <c r="AB139" i="29"/>
  <c r="AA139" i="29"/>
  <c r="Z139" i="29"/>
  <c r="Y139" i="29"/>
  <c r="X139" i="29"/>
  <c r="W139" i="29"/>
  <c r="U139" i="29"/>
  <c r="T139" i="29"/>
  <c r="S139" i="29"/>
  <c r="R139" i="29"/>
  <c r="AC136" i="29"/>
  <c r="AB136" i="29"/>
  <c r="Z136" i="29"/>
  <c r="Y136" i="29"/>
  <c r="X136" i="29"/>
  <c r="W136" i="29"/>
  <c r="V136" i="29"/>
  <c r="U136" i="29"/>
  <c r="T136" i="29"/>
  <c r="S136" i="29"/>
  <c r="R136" i="29"/>
  <c r="AC134" i="29"/>
  <c r="AB134" i="29"/>
  <c r="Z134" i="29"/>
  <c r="Y134" i="29"/>
  <c r="X134" i="29"/>
  <c r="W134" i="29"/>
  <c r="V134" i="29"/>
  <c r="U134" i="29"/>
  <c r="T134" i="29"/>
  <c r="S134" i="29"/>
  <c r="R134" i="29"/>
  <c r="AC132" i="29"/>
  <c r="AB132" i="29"/>
  <c r="Z132" i="29"/>
  <c r="Y132" i="29"/>
  <c r="X132" i="29"/>
  <c r="W132" i="29"/>
  <c r="V132" i="29"/>
  <c r="U132" i="29"/>
  <c r="T132" i="29"/>
  <c r="S132" i="29"/>
  <c r="R132" i="29"/>
  <c r="AC131" i="29"/>
  <c r="AB131" i="29"/>
  <c r="Z131" i="29"/>
  <c r="Y131" i="29"/>
  <c r="X131" i="29"/>
  <c r="W131" i="29"/>
  <c r="V131" i="29"/>
  <c r="U131" i="29"/>
  <c r="T131" i="29"/>
  <c r="S131" i="29"/>
  <c r="R131" i="29"/>
  <c r="AC130" i="29"/>
  <c r="AB130" i="29"/>
  <c r="Z130" i="29"/>
  <c r="Y130" i="29"/>
  <c r="X130" i="29"/>
  <c r="W130" i="29"/>
  <c r="V130" i="29"/>
  <c r="U130" i="29"/>
  <c r="T130" i="29"/>
  <c r="S130" i="29"/>
  <c r="R130" i="29"/>
  <c r="AC128" i="29"/>
  <c r="AB128" i="29"/>
  <c r="Z128" i="29"/>
  <c r="Y128" i="29"/>
  <c r="X128" i="29"/>
  <c r="W128" i="29"/>
  <c r="V128" i="29"/>
  <c r="U128" i="29"/>
  <c r="T128" i="29"/>
  <c r="S128" i="29"/>
  <c r="R128" i="29"/>
  <c r="AC127" i="29"/>
  <c r="AB127" i="29"/>
  <c r="Z127" i="29"/>
  <c r="Y127" i="29"/>
  <c r="X127" i="29"/>
  <c r="W127" i="29"/>
  <c r="V127" i="29"/>
  <c r="U127" i="29"/>
  <c r="T127" i="29"/>
  <c r="S127" i="29"/>
  <c r="R127" i="29"/>
  <c r="AC126" i="29"/>
  <c r="AB126" i="29"/>
  <c r="Z126" i="29"/>
  <c r="Y126" i="29"/>
  <c r="X126" i="29"/>
  <c r="W126" i="29"/>
  <c r="V126" i="29"/>
  <c r="U126" i="29"/>
  <c r="T126" i="29"/>
  <c r="S126" i="29"/>
  <c r="R126" i="29"/>
  <c r="AC124" i="29"/>
  <c r="AB124" i="29"/>
  <c r="Z124" i="29"/>
  <c r="Y124" i="29"/>
  <c r="X124" i="29"/>
  <c r="W124" i="29"/>
  <c r="V124" i="29"/>
  <c r="U124" i="29"/>
  <c r="T124" i="29"/>
  <c r="S124" i="29"/>
  <c r="R124" i="29"/>
  <c r="AC123" i="29"/>
  <c r="AB123" i="29"/>
  <c r="Z123" i="29"/>
  <c r="Y123" i="29"/>
  <c r="X123" i="29"/>
  <c r="W123" i="29"/>
  <c r="V123" i="29"/>
  <c r="U123" i="29"/>
  <c r="T123" i="29"/>
  <c r="S123" i="29"/>
  <c r="R123" i="29"/>
  <c r="AC121" i="29"/>
  <c r="AB121" i="29"/>
  <c r="AA121" i="29"/>
  <c r="Z121" i="29"/>
  <c r="Y121" i="29"/>
  <c r="X121" i="29"/>
  <c r="W121" i="29"/>
  <c r="U121" i="29"/>
  <c r="T121" i="29"/>
  <c r="S121" i="29"/>
  <c r="R121" i="29"/>
  <c r="AC120" i="29"/>
  <c r="AB120" i="29"/>
  <c r="AA120" i="29"/>
  <c r="Z120" i="29"/>
  <c r="Y120" i="29"/>
  <c r="X120" i="29"/>
  <c r="W120" i="29"/>
  <c r="U120" i="29"/>
  <c r="T120" i="29"/>
  <c r="S120" i="29"/>
  <c r="R120" i="29"/>
  <c r="AC119" i="29"/>
  <c r="AB119" i="29"/>
  <c r="AA119" i="29"/>
  <c r="Z119" i="29"/>
  <c r="Y119" i="29"/>
  <c r="X119" i="29"/>
  <c r="W119" i="29"/>
  <c r="U119" i="29"/>
  <c r="T119" i="29"/>
  <c r="S119" i="29"/>
  <c r="R119" i="29"/>
  <c r="AC118" i="29"/>
  <c r="AB118" i="29"/>
  <c r="AA118" i="29"/>
  <c r="Z118" i="29"/>
  <c r="Y118" i="29"/>
  <c r="X118" i="29"/>
  <c r="W118" i="29"/>
  <c r="U118" i="29"/>
  <c r="T118" i="29"/>
  <c r="S118" i="29"/>
  <c r="R118" i="29"/>
  <c r="AC117" i="29"/>
  <c r="AB117" i="29"/>
  <c r="AA117" i="29"/>
  <c r="Z117" i="29"/>
  <c r="Y117" i="29"/>
  <c r="X117" i="29"/>
  <c r="W117" i="29"/>
  <c r="U117" i="29"/>
  <c r="T117" i="29"/>
  <c r="S117" i="29"/>
  <c r="R117" i="29"/>
  <c r="AC116" i="29"/>
  <c r="AB116" i="29"/>
  <c r="AA116" i="29"/>
  <c r="Z116" i="29"/>
  <c r="Y116" i="29"/>
  <c r="X116" i="29"/>
  <c r="W116" i="29"/>
  <c r="U116" i="29"/>
  <c r="T116" i="29"/>
  <c r="S116" i="29"/>
  <c r="R116" i="29"/>
  <c r="AC115" i="29"/>
  <c r="AB115" i="29"/>
  <c r="AA115" i="29"/>
  <c r="Z115" i="29"/>
  <c r="Y115" i="29"/>
  <c r="X115" i="29"/>
  <c r="W115" i="29"/>
  <c r="U115" i="29"/>
  <c r="T115" i="29"/>
  <c r="S115" i="29"/>
  <c r="R115" i="29"/>
  <c r="AC114" i="29"/>
  <c r="AB114" i="29"/>
  <c r="AA114" i="29"/>
  <c r="Z114" i="29"/>
  <c r="Y114" i="29"/>
  <c r="X114" i="29"/>
  <c r="W114" i="29"/>
  <c r="U114" i="29"/>
  <c r="T114" i="29"/>
  <c r="S114" i="29"/>
  <c r="R114" i="29"/>
  <c r="AC111" i="29"/>
  <c r="AB111" i="29"/>
  <c r="AA111" i="29"/>
  <c r="Z111" i="29"/>
  <c r="Y111" i="29"/>
  <c r="W111" i="29"/>
  <c r="V111" i="29"/>
  <c r="U111" i="29"/>
  <c r="T111" i="29"/>
  <c r="S111" i="29"/>
  <c r="R111" i="29"/>
  <c r="AC109" i="29"/>
  <c r="AB109" i="29"/>
  <c r="AA109" i="29"/>
  <c r="Z109" i="29"/>
  <c r="Y109" i="29"/>
  <c r="W109" i="29"/>
  <c r="V109" i="29"/>
  <c r="U109" i="29"/>
  <c r="T109" i="29"/>
  <c r="S109" i="29"/>
  <c r="R109" i="29"/>
  <c r="AC107" i="29"/>
  <c r="AB107" i="29"/>
  <c r="AA107" i="29"/>
  <c r="Z107" i="29"/>
  <c r="Y107" i="29"/>
  <c r="X107" i="29"/>
  <c r="W107" i="29"/>
  <c r="V107" i="29"/>
  <c r="T107" i="29"/>
  <c r="S107" i="29"/>
  <c r="R107" i="29"/>
  <c r="AC104" i="29"/>
  <c r="AB104" i="29"/>
  <c r="AA104" i="29"/>
  <c r="Z104" i="29"/>
  <c r="Y104" i="29"/>
  <c r="W104" i="29"/>
  <c r="V104" i="29"/>
  <c r="U104" i="29"/>
  <c r="T104" i="29"/>
  <c r="S104" i="29"/>
  <c r="R104" i="29"/>
  <c r="AC102" i="29"/>
  <c r="AB102" i="29"/>
  <c r="AA102" i="29"/>
  <c r="Z102" i="29"/>
  <c r="Y102" i="29"/>
  <c r="W102" i="29"/>
  <c r="V102" i="29"/>
  <c r="U102" i="29"/>
  <c r="T102" i="29"/>
  <c r="S102" i="29"/>
  <c r="R102" i="29"/>
  <c r="AC100" i="29"/>
  <c r="AB100" i="29"/>
  <c r="AA100" i="29"/>
  <c r="Z100" i="29"/>
  <c r="Y100" i="29"/>
  <c r="X100" i="29"/>
  <c r="W100" i="29"/>
  <c r="V100" i="29"/>
  <c r="T100" i="29"/>
  <c r="S100" i="29"/>
  <c r="R100" i="29"/>
  <c r="AC97" i="29"/>
  <c r="AB97" i="29"/>
  <c r="AA97" i="29"/>
  <c r="Z97" i="29"/>
  <c r="Y97" i="29"/>
  <c r="W97" i="29"/>
  <c r="V97" i="29"/>
  <c r="U97" i="29"/>
  <c r="T97" i="29"/>
  <c r="S97" i="29"/>
  <c r="R97" i="29"/>
  <c r="AC95" i="29"/>
  <c r="AB95" i="29"/>
  <c r="AA95" i="29"/>
  <c r="Z95" i="29"/>
  <c r="Y95" i="29"/>
  <c r="W95" i="29"/>
  <c r="V95" i="29"/>
  <c r="U95" i="29"/>
  <c r="T95" i="29"/>
  <c r="S95" i="29"/>
  <c r="R95" i="29"/>
  <c r="AC93" i="29"/>
  <c r="AB93" i="29"/>
  <c r="AA93" i="29"/>
  <c r="Z93" i="29"/>
  <c r="Y93" i="29"/>
  <c r="W93" i="29"/>
  <c r="V93" i="29"/>
  <c r="U93" i="29"/>
  <c r="T93" i="29"/>
  <c r="S93" i="29"/>
  <c r="R93" i="29"/>
  <c r="AC91" i="29"/>
  <c r="AB91" i="29"/>
  <c r="AA91" i="29"/>
  <c r="Z91" i="29"/>
  <c r="Y91" i="29"/>
  <c r="X91" i="29"/>
  <c r="W91" i="29"/>
  <c r="V91" i="29"/>
  <c r="T91" i="29"/>
  <c r="S91" i="29"/>
  <c r="R91" i="29"/>
  <c r="AC88" i="29"/>
  <c r="AB88" i="29"/>
  <c r="AA88" i="29"/>
  <c r="Z88" i="29"/>
  <c r="Y88" i="29"/>
  <c r="W88" i="29"/>
  <c r="V88" i="29"/>
  <c r="U88" i="29"/>
  <c r="T88" i="29"/>
  <c r="S88" i="29"/>
  <c r="R88" i="29"/>
  <c r="AC86" i="29"/>
  <c r="AB86" i="29"/>
  <c r="AA86" i="29"/>
  <c r="Z86" i="29"/>
  <c r="Y86" i="29"/>
  <c r="W86" i="29"/>
  <c r="V86" i="29"/>
  <c r="U86" i="29"/>
  <c r="T86" i="29"/>
  <c r="S86" i="29"/>
  <c r="R86" i="29"/>
  <c r="AC84" i="29"/>
  <c r="AB84" i="29"/>
  <c r="AA84" i="29"/>
  <c r="Z84" i="29"/>
  <c r="Y84" i="29"/>
  <c r="X84" i="29"/>
  <c r="W84" i="29"/>
  <c r="V84" i="29"/>
  <c r="T84" i="29"/>
  <c r="S84" i="29"/>
  <c r="R84" i="29"/>
  <c r="AC83" i="29"/>
  <c r="AB83" i="29"/>
  <c r="AA83" i="29"/>
  <c r="Z83" i="29"/>
  <c r="Y83" i="29"/>
  <c r="X83" i="29"/>
  <c r="W83" i="29"/>
  <c r="V83" i="29"/>
  <c r="T83" i="29"/>
  <c r="S83" i="29"/>
  <c r="R83" i="29"/>
  <c r="AC81" i="29"/>
  <c r="AB81" i="29"/>
  <c r="AA81" i="29"/>
  <c r="Z81" i="29"/>
  <c r="Y81" i="29"/>
  <c r="X81" i="29"/>
  <c r="W81" i="29"/>
  <c r="V81" i="29"/>
  <c r="U81" i="29"/>
  <c r="T81" i="29"/>
  <c r="R81" i="29"/>
  <c r="AC78" i="29"/>
  <c r="AB78" i="29"/>
  <c r="AA78" i="29"/>
  <c r="Z78" i="29"/>
  <c r="Y78" i="29"/>
  <c r="X78" i="29"/>
  <c r="W78" i="29"/>
  <c r="V78" i="29"/>
  <c r="T78" i="29"/>
  <c r="S78" i="29"/>
  <c r="R78" i="29"/>
  <c r="AC77" i="29"/>
  <c r="AB77" i="29"/>
  <c r="AA77" i="29"/>
  <c r="Z77" i="29"/>
  <c r="Y77" i="29"/>
  <c r="X77" i="29"/>
  <c r="W77" i="29"/>
  <c r="V77" i="29"/>
  <c r="T77" i="29"/>
  <c r="S77" i="29"/>
  <c r="R77" i="29"/>
  <c r="AC75" i="29"/>
  <c r="AB75" i="29"/>
  <c r="AA75" i="29"/>
  <c r="Z75" i="29"/>
  <c r="Y75" i="29"/>
  <c r="X75" i="29"/>
  <c r="W75" i="29"/>
  <c r="V75" i="29"/>
  <c r="T75" i="29"/>
  <c r="S75" i="29"/>
  <c r="R75" i="29"/>
  <c r="AC73" i="29"/>
  <c r="AB73" i="29"/>
  <c r="AA73" i="29"/>
  <c r="Z73" i="29"/>
  <c r="Y73" i="29"/>
  <c r="X73" i="29"/>
  <c r="W73" i="29"/>
  <c r="V73" i="29"/>
  <c r="T73" i="29"/>
  <c r="S73" i="29"/>
  <c r="R73" i="29"/>
  <c r="AC71" i="29"/>
  <c r="AB71" i="29"/>
  <c r="AA71" i="29"/>
  <c r="Z71" i="29"/>
  <c r="Y71" i="29"/>
  <c r="X71" i="29"/>
  <c r="W71" i="29"/>
  <c r="V71" i="29"/>
  <c r="T71" i="29"/>
  <c r="S71" i="29"/>
  <c r="R71" i="29"/>
  <c r="AC70" i="29"/>
  <c r="AB70" i="29"/>
  <c r="AA70" i="29"/>
  <c r="Z70" i="29"/>
  <c r="Y70" i="29"/>
  <c r="X70" i="29"/>
  <c r="W70" i="29"/>
  <c r="V70" i="29"/>
  <c r="U70" i="29"/>
  <c r="S70" i="29"/>
  <c r="R70" i="29"/>
  <c r="AC68" i="29"/>
  <c r="AB68" i="29"/>
  <c r="AA68" i="29"/>
  <c r="Z68" i="29"/>
  <c r="Y68" i="29"/>
  <c r="X68" i="29"/>
  <c r="W68" i="29"/>
  <c r="V68" i="29"/>
  <c r="T68" i="29"/>
  <c r="S68" i="29"/>
  <c r="R68" i="29"/>
  <c r="AC67" i="29"/>
  <c r="AB67" i="29"/>
  <c r="AA67" i="29"/>
  <c r="Z67" i="29"/>
  <c r="Y67" i="29"/>
  <c r="X67" i="29"/>
  <c r="W67" i="29"/>
  <c r="V67" i="29"/>
  <c r="U67" i="29"/>
  <c r="S67" i="29"/>
  <c r="R67" i="29"/>
  <c r="AC65" i="29"/>
  <c r="AB65" i="29"/>
  <c r="AA65" i="29"/>
  <c r="Z65" i="29"/>
  <c r="Y65" i="29"/>
  <c r="X65" i="29"/>
  <c r="W65" i="29"/>
  <c r="V65" i="29"/>
  <c r="T65" i="29"/>
  <c r="S65" i="29"/>
  <c r="R65" i="29"/>
  <c r="AC64" i="29"/>
  <c r="AB64" i="29"/>
  <c r="AA64" i="29"/>
  <c r="Z64" i="29"/>
  <c r="Y64" i="29"/>
  <c r="X64" i="29"/>
  <c r="W64" i="29"/>
  <c r="V64" i="29"/>
  <c r="T64" i="29"/>
  <c r="S64" i="29"/>
  <c r="R64" i="29"/>
  <c r="AC63" i="29"/>
  <c r="AB63" i="29"/>
  <c r="AA63" i="29"/>
  <c r="Z63" i="29"/>
  <c r="Y63" i="29"/>
  <c r="X63" i="29"/>
  <c r="W63" i="29"/>
  <c r="V63" i="29"/>
  <c r="T63" i="29"/>
  <c r="S63" i="29"/>
  <c r="R63" i="29"/>
  <c r="AC62" i="29"/>
  <c r="AB62" i="29"/>
  <c r="AA62" i="29"/>
  <c r="Z62" i="29"/>
  <c r="Y62" i="29"/>
  <c r="X62" i="29"/>
  <c r="W62" i="29"/>
  <c r="V62" i="29"/>
  <c r="U62" i="29"/>
  <c r="S62" i="29"/>
  <c r="R62" i="29"/>
  <c r="AC60" i="29"/>
  <c r="AB60" i="29"/>
  <c r="AA60" i="29"/>
  <c r="Z60" i="29"/>
  <c r="Y60" i="29"/>
  <c r="X60" i="29"/>
  <c r="W60" i="29"/>
  <c r="V60" i="29"/>
  <c r="U60" i="29"/>
  <c r="S60" i="29"/>
  <c r="R60" i="29"/>
  <c r="AC58" i="29"/>
  <c r="AB58" i="29"/>
  <c r="AA58" i="29"/>
  <c r="Z58" i="29"/>
  <c r="Y58" i="29"/>
  <c r="X58" i="29"/>
  <c r="W58" i="29"/>
  <c r="V58" i="29"/>
  <c r="T58" i="29"/>
  <c r="S58" i="29"/>
  <c r="R58" i="29"/>
  <c r="AC57" i="29"/>
  <c r="AB57" i="29"/>
  <c r="AA57" i="29"/>
  <c r="Z57" i="29"/>
  <c r="Y57" i="29"/>
  <c r="X57" i="29"/>
  <c r="W57" i="29"/>
  <c r="V57" i="29"/>
  <c r="T57" i="29"/>
  <c r="S57" i="29"/>
  <c r="R57" i="29"/>
  <c r="AC56" i="29"/>
  <c r="AB56" i="29"/>
  <c r="AA56" i="29"/>
  <c r="Z56" i="29"/>
  <c r="Y56" i="29"/>
  <c r="X56" i="29"/>
  <c r="W56" i="29"/>
  <c r="V56" i="29"/>
  <c r="U56" i="29"/>
  <c r="S56" i="29"/>
  <c r="R56" i="29"/>
  <c r="AC54" i="29"/>
  <c r="AB54" i="29"/>
  <c r="AA54" i="29"/>
  <c r="Z54" i="29"/>
  <c r="Y54" i="29"/>
  <c r="X54" i="29"/>
  <c r="W54" i="29"/>
  <c r="V54" i="29"/>
  <c r="T54" i="29"/>
  <c r="S54" i="29"/>
  <c r="R54" i="29"/>
  <c r="AC53" i="29"/>
  <c r="AB53" i="29"/>
  <c r="AA53" i="29"/>
  <c r="Z53" i="29"/>
  <c r="Y53" i="29"/>
  <c r="X53" i="29"/>
  <c r="W53" i="29"/>
  <c r="V53" i="29"/>
  <c r="T53" i="29"/>
  <c r="S53" i="29"/>
  <c r="R53" i="29"/>
  <c r="AC52" i="29"/>
  <c r="AB52" i="29"/>
  <c r="AA52" i="29"/>
  <c r="Z52" i="29"/>
  <c r="Y52" i="29"/>
  <c r="X52" i="29"/>
  <c r="W52" i="29"/>
  <c r="V52" i="29"/>
  <c r="U52" i="29"/>
  <c r="S52" i="29"/>
  <c r="R52" i="29"/>
  <c r="AC50" i="29"/>
  <c r="AB50" i="29"/>
  <c r="AA50" i="29"/>
  <c r="Z50" i="29"/>
  <c r="Y50" i="29"/>
  <c r="X50" i="29"/>
  <c r="W50" i="29"/>
  <c r="V50" i="29"/>
  <c r="U50" i="29"/>
  <c r="S50" i="29"/>
  <c r="R50" i="29"/>
  <c r="AC48" i="29"/>
  <c r="AB48" i="29"/>
  <c r="AA48" i="29"/>
  <c r="Z48" i="29"/>
  <c r="Y48" i="29"/>
  <c r="X48" i="29"/>
  <c r="W48" i="29"/>
  <c r="V48" i="29"/>
  <c r="U48" i="29"/>
  <c r="T48" i="29"/>
  <c r="S48" i="29"/>
  <c r="AC47" i="29"/>
  <c r="AB47" i="29"/>
  <c r="AA47" i="29"/>
  <c r="Z47" i="29"/>
  <c r="Y47" i="29"/>
  <c r="X47" i="29"/>
  <c r="W47" i="29"/>
  <c r="V47" i="29"/>
  <c r="U47" i="29"/>
  <c r="T47" i="29"/>
  <c r="S47" i="29"/>
  <c r="AC46" i="29"/>
  <c r="AB46" i="29"/>
  <c r="AA46" i="29"/>
  <c r="Z46" i="29"/>
  <c r="Y46" i="29"/>
  <c r="X46" i="29"/>
  <c r="W46" i="29"/>
  <c r="V46" i="29"/>
  <c r="U46" i="29"/>
  <c r="T46" i="29"/>
  <c r="S46" i="29"/>
  <c r="AC45" i="29"/>
  <c r="AB45" i="29"/>
  <c r="AA45" i="29"/>
  <c r="Z45" i="29"/>
  <c r="Y45" i="29"/>
  <c r="X45" i="29"/>
  <c r="W45" i="29"/>
  <c r="V45" i="29"/>
  <c r="U45" i="29"/>
  <c r="T45" i="29"/>
  <c r="S45" i="29"/>
  <c r="AC44" i="29"/>
  <c r="AB44" i="29"/>
  <c r="AA44" i="29"/>
  <c r="Z44" i="29"/>
  <c r="Y44" i="29"/>
  <c r="X44" i="29"/>
  <c r="W44" i="29"/>
  <c r="V44" i="29"/>
  <c r="U44" i="29"/>
  <c r="T44" i="29"/>
  <c r="S44" i="29"/>
  <c r="AC43" i="29"/>
  <c r="AB43" i="29"/>
  <c r="AA43" i="29"/>
  <c r="Z43" i="29"/>
  <c r="Y43" i="29"/>
  <c r="X43" i="29"/>
  <c r="W43" i="29"/>
  <c r="V43" i="29"/>
  <c r="U43" i="29"/>
  <c r="T43" i="29"/>
  <c r="S43" i="29"/>
  <c r="AC42" i="29"/>
  <c r="AB42" i="29"/>
  <c r="AA42" i="29"/>
  <c r="Z42" i="29"/>
  <c r="Y42" i="29"/>
  <c r="X42" i="29"/>
  <c r="W42" i="29"/>
  <c r="V42" i="29"/>
  <c r="U42" i="29"/>
  <c r="T42" i="29"/>
  <c r="S42" i="29"/>
  <c r="AC41" i="29"/>
  <c r="AB41" i="29"/>
  <c r="AA41" i="29"/>
  <c r="Z41" i="29"/>
  <c r="Y41" i="29"/>
  <c r="X41" i="29"/>
  <c r="W41" i="29"/>
  <c r="V41" i="29"/>
  <c r="U41" i="29"/>
  <c r="T41" i="29"/>
  <c r="S41" i="29"/>
  <c r="AC38" i="29"/>
  <c r="AB38" i="29"/>
  <c r="AA38" i="29"/>
  <c r="Z38" i="29"/>
  <c r="Y38" i="29"/>
  <c r="X38" i="29"/>
  <c r="W38" i="29"/>
  <c r="U38" i="29"/>
  <c r="T38" i="29"/>
  <c r="S38" i="29"/>
  <c r="R38" i="29"/>
  <c r="AC37" i="29"/>
  <c r="AB37" i="29"/>
  <c r="AA37" i="29"/>
  <c r="Z37" i="29"/>
  <c r="Y37" i="29"/>
  <c r="X37" i="29"/>
  <c r="W37" i="29"/>
  <c r="U37" i="29"/>
  <c r="T37" i="29"/>
  <c r="S37" i="29"/>
  <c r="R37" i="29"/>
  <c r="AC36" i="29"/>
  <c r="AB36" i="29"/>
  <c r="AA36" i="29"/>
  <c r="Z36" i="29"/>
  <c r="Y36" i="29"/>
  <c r="X36" i="29"/>
  <c r="W36" i="29"/>
  <c r="U36" i="29"/>
  <c r="T36" i="29"/>
  <c r="S36" i="29"/>
  <c r="R36" i="29"/>
  <c r="AC35" i="29"/>
  <c r="AB35" i="29"/>
  <c r="AA35" i="29"/>
  <c r="Z35" i="29"/>
  <c r="Y35" i="29"/>
  <c r="X35" i="29"/>
  <c r="W35" i="29"/>
  <c r="U35" i="29"/>
  <c r="T35" i="29"/>
  <c r="S35" i="29"/>
  <c r="R35" i="29"/>
  <c r="AC34" i="29"/>
  <c r="AB34" i="29"/>
  <c r="AA34" i="29"/>
  <c r="Z34" i="29"/>
  <c r="Y34" i="29"/>
  <c r="X34" i="29"/>
  <c r="W34" i="29"/>
  <c r="U34" i="29"/>
  <c r="T34" i="29"/>
  <c r="S34" i="29"/>
  <c r="R34" i="29"/>
  <c r="AC32" i="29"/>
  <c r="AB32" i="29"/>
  <c r="AA32" i="29"/>
  <c r="Z32" i="29"/>
  <c r="Y32" i="29"/>
  <c r="X32" i="29"/>
  <c r="W32" i="29"/>
  <c r="V32" i="29"/>
  <c r="T32" i="29"/>
  <c r="S32" i="29"/>
  <c r="R32" i="29"/>
  <c r="AC31" i="29"/>
  <c r="AB31" i="29"/>
  <c r="AA31" i="29"/>
  <c r="Z31" i="29"/>
  <c r="Y31" i="29"/>
  <c r="X31" i="29"/>
  <c r="W31" i="29"/>
  <c r="V31" i="29"/>
  <c r="T31" i="29"/>
  <c r="S31" i="29"/>
  <c r="R31" i="29"/>
  <c r="AC30" i="29"/>
  <c r="AB30" i="29"/>
  <c r="AA30" i="29"/>
  <c r="Z30" i="29"/>
  <c r="Y30" i="29"/>
  <c r="X30" i="29"/>
  <c r="W30" i="29"/>
  <c r="V30" i="29"/>
  <c r="T30" i="29"/>
  <c r="S30" i="29"/>
  <c r="R30" i="29"/>
  <c r="AC28" i="29"/>
  <c r="AB28" i="29"/>
  <c r="AA28" i="29"/>
  <c r="Z28" i="29"/>
  <c r="Y28" i="29"/>
  <c r="X28" i="29"/>
  <c r="W28" i="29"/>
  <c r="V28" i="29"/>
  <c r="U28" i="29"/>
  <c r="S28" i="29"/>
  <c r="R28" i="29"/>
  <c r="AC27" i="29"/>
  <c r="AB27" i="29"/>
  <c r="AA27" i="29"/>
  <c r="Z27" i="29"/>
  <c r="Y27" i="29"/>
  <c r="X27" i="29"/>
  <c r="W27" i="29"/>
  <c r="V27" i="29"/>
  <c r="U27" i="29"/>
  <c r="S27" i="29"/>
  <c r="R27" i="29"/>
  <c r="AC26" i="29"/>
  <c r="AB26" i="29"/>
  <c r="AA26" i="29"/>
  <c r="Z26" i="29"/>
  <c r="Y26" i="29"/>
  <c r="X26" i="29"/>
  <c r="W26" i="29"/>
  <c r="V26" i="29"/>
  <c r="U26" i="29"/>
  <c r="S26" i="29"/>
  <c r="R26" i="29"/>
  <c r="AC24" i="29"/>
  <c r="AB24" i="29"/>
  <c r="AA24" i="29"/>
  <c r="Z24" i="29"/>
  <c r="Y24" i="29"/>
  <c r="X24" i="29"/>
  <c r="W24" i="29"/>
  <c r="V24" i="29"/>
  <c r="U24" i="29"/>
  <c r="S24" i="29"/>
  <c r="R24" i="29"/>
  <c r="AC23" i="29"/>
  <c r="AB23" i="29"/>
  <c r="AA23" i="29"/>
  <c r="Z23" i="29"/>
  <c r="Y23" i="29"/>
  <c r="X23" i="29"/>
  <c r="W23" i="29"/>
  <c r="V23" i="29"/>
  <c r="U23" i="29"/>
  <c r="S23" i="29"/>
  <c r="R23" i="29"/>
  <c r="AC22" i="29"/>
  <c r="AB22" i="29"/>
  <c r="AA22" i="29"/>
  <c r="Z22" i="29"/>
  <c r="Y22" i="29"/>
  <c r="X22" i="29"/>
  <c r="W22" i="29"/>
  <c r="V22" i="29"/>
  <c r="U22" i="29"/>
  <c r="S22" i="29"/>
  <c r="R22" i="29"/>
  <c r="AC21" i="29"/>
  <c r="AB21" i="29"/>
  <c r="AA21" i="29"/>
  <c r="Z21" i="29"/>
  <c r="Y21" i="29"/>
  <c r="X21" i="29"/>
  <c r="W21" i="29"/>
  <c r="V21" i="29"/>
  <c r="U21" i="29"/>
  <c r="T21" i="29"/>
  <c r="R21" i="29"/>
  <c r="AC20" i="29"/>
  <c r="AB20" i="29"/>
  <c r="AA20" i="29"/>
  <c r="Z20" i="29"/>
  <c r="Y20" i="29"/>
  <c r="X20" i="29"/>
  <c r="W20" i="29"/>
  <c r="V20" i="29"/>
  <c r="U20" i="29"/>
  <c r="T20" i="29"/>
  <c r="S20" i="29"/>
  <c r="AC19" i="29"/>
  <c r="AB19" i="29"/>
  <c r="AA19" i="29"/>
  <c r="Z19" i="29"/>
  <c r="Y19" i="29"/>
  <c r="X19" i="29"/>
  <c r="W19" i="29"/>
  <c r="V19" i="29"/>
  <c r="U19" i="29"/>
  <c r="T19" i="29"/>
  <c r="S19" i="29"/>
  <c r="AC18" i="29"/>
  <c r="AB18" i="29"/>
  <c r="AA18" i="29"/>
  <c r="Z18" i="29"/>
  <c r="Y18" i="29"/>
  <c r="X18" i="29"/>
  <c r="W18" i="29"/>
  <c r="V18" i="29"/>
  <c r="U18" i="29"/>
  <c r="T18" i="29"/>
  <c r="S18" i="29"/>
  <c r="D11" i="29" l="1"/>
  <c r="D9" i="29"/>
  <c r="D8" i="29"/>
  <c r="D5" i="29"/>
  <c r="D7" i="29"/>
  <c r="D4" i="29"/>
  <c r="AF169" i="29"/>
  <c r="AF170" i="29"/>
  <c r="AF172" i="29"/>
  <c r="AF174" i="29"/>
  <c r="AF177" i="29"/>
  <c r="AF179" i="29"/>
  <c r="AF181" i="29"/>
  <c r="AF182" i="29"/>
  <c r="AD158" i="29" l="1"/>
  <c r="AU146" i="29"/>
  <c r="AE147" i="29"/>
  <c r="AU117" i="29"/>
  <c r="AM120" i="29"/>
  <c r="AN117" i="29"/>
  <c r="AL115" i="29"/>
  <c r="AE120" i="29"/>
  <c r="AF117" i="29"/>
  <c r="AD115" i="29"/>
  <c r="AU107" i="29"/>
  <c r="AN147" i="29"/>
  <c r="AD147" i="29"/>
  <c r="AU139" i="29"/>
  <c r="AU116" i="29"/>
  <c r="AL120" i="29"/>
  <c r="AM117" i="29"/>
  <c r="AN114" i="29"/>
  <c r="AD120" i="29"/>
  <c r="AE117" i="29"/>
  <c r="AF114" i="29"/>
  <c r="AN107" i="29"/>
  <c r="AD100" i="29"/>
  <c r="AU158" i="29"/>
  <c r="AM147" i="29"/>
  <c r="AF146" i="29"/>
  <c r="AN139" i="29"/>
  <c r="AU115" i="29"/>
  <c r="AN119" i="29"/>
  <c r="AL117" i="29"/>
  <c r="AM114" i="29"/>
  <c r="AF119" i="29"/>
  <c r="AD117" i="29"/>
  <c r="AE114" i="29"/>
  <c r="AM107" i="29"/>
  <c r="AD91" i="29"/>
  <c r="AU48" i="29"/>
  <c r="AN48" i="29"/>
  <c r="AL46" i="29"/>
  <c r="AM43" i="29"/>
  <c r="AF48" i="29"/>
  <c r="AD46" i="29"/>
  <c r="AE43" i="29"/>
  <c r="AU18" i="29"/>
  <c r="AM22" i="29"/>
  <c r="AN19" i="29"/>
  <c r="AD24" i="29"/>
  <c r="AE21" i="29"/>
  <c r="AF18" i="29"/>
  <c r="AF121" i="29"/>
  <c r="AF107" i="29"/>
  <c r="AN81" i="29"/>
  <c r="AN158" i="29"/>
  <c r="AL147" i="29"/>
  <c r="AE146" i="29"/>
  <c r="AM139" i="29"/>
  <c r="AU114" i="29"/>
  <c r="AM119" i="29"/>
  <c r="AN116" i="29"/>
  <c r="AL114" i="29"/>
  <c r="AE119" i="29"/>
  <c r="AF116" i="29"/>
  <c r="AD114" i="29"/>
  <c r="AL107" i="29"/>
  <c r="AU100" i="29"/>
  <c r="AU81" i="29"/>
  <c r="AU47" i="29"/>
  <c r="AM48" i="29"/>
  <c r="AN45" i="29"/>
  <c r="AL43" i="29"/>
  <c r="AE48" i="29"/>
  <c r="AF45" i="29"/>
  <c r="AD43" i="29"/>
  <c r="AN24" i="29"/>
  <c r="AL22" i="29"/>
  <c r="AM19" i="29"/>
  <c r="AF23" i="29"/>
  <c r="AD21" i="29"/>
  <c r="AE18" i="29"/>
  <c r="AE116" i="29"/>
  <c r="AM158" i="29"/>
  <c r="AN146" i="29"/>
  <c r="AD146" i="29"/>
  <c r="AL139" i="29"/>
  <c r="AU121" i="29"/>
  <c r="AN121" i="29"/>
  <c r="AL119" i="29"/>
  <c r="AM116" i="29"/>
  <c r="AD119" i="29"/>
  <c r="AN100" i="29"/>
  <c r="AU91" i="29"/>
  <c r="AL158" i="29"/>
  <c r="AM146" i="29"/>
  <c r="AF139" i="29"/>
  <c r="AU120" i="29"/>
  <c r="AM121" i="29"/>
  <c r="AN118" i="29"/>
  <c r="AL116" i="29"/>
  <c r="AE121" i="29"/>
  <c r="AF118" i="29"/>
  <c r="AD116" i="29"/>
  <c r="AE107" i="29"/>
  <c r="AM100" i="29"/>
  <c r="AF158" i="29"/>
  <c r="AL146" i="29"/>
  <c r="AE139" i="29"/>
  <c r="AU119" i="29"/>
  <c r="AL121" i="29"/>
  <c r="AM118" i="29"/>
  <c r="AN115" i="29"/>
  <c r="AD121" i="29"/>
  <c r="AE118" i="29"/>
  <c r="AF115" i="29"/>
  <c r="AD107" i="29"/>
  <c r="AL100" i="29"/>
  <c r="AM91" i="29"/>
  <c r="AL81" i="29"/>
  <c r="AU44" i="29"/>
  <c r="AM47" i="29"/>
  <c r="AN44" i="29"/>
  <c r="AL42" i="29"/>
  <c r="AE47" i="29"/>
  <c r="AF44" i="29"/>
  <c r="AD42" i="29"/>
  <c r="AU22" i="29"/>
  <c r="AN23" i="29"/>
  <c r="AL21" i="29"/>
  <c r="AM18" i="29"/>
  <c r="AF22" i="29"/>
  <c r="AD20" i="29"/>
  <c r="AE158" i="29"/>
  <c r="AD47" i="29"/>
  <c r="AF147" i="29"/>
  <c r="AE42" i="29"/>
  <c r="AE19" i="29"/>
  <c r="AE115" i="29"/>
  <c r="AF91" i="29"/>
  <c r="AE81" i="29"/>
  <c r="AU46" i="29"/>
  <c r="AN46" i="29"/>
  <c r="AM42" i="29"/>
  <c r="AE46" i="29"/>
  <c r="AF41" i="29"/>
  <c r="AM24" i="29"/>
  <c r="AM20" i="29"/>
  <c r="AD23" i="29"/>
  <c r="AD19" i="29"/>
  <c r="AL24" i="29"/>
  <c r="AE22" i="29"/>
  <c r="AD18" i="29"/>
  <c r="AU118" i="29"/>
  <c r="AU43" i="29"/>
  <c r="AM41" i="29"/>
  <c r="AD41" i="29"/>
  <c r="AM23" i="29"/>
  <c r="AL19" i="29"/>
  <c r="AU42" i="29"/>
  <c r="AL41" i="29"/>
  <c r="AL23" i="29"/>
  <c r="AF21" i="29"/>
  <c r="AF42" i="29"/>
  <c r="AU20" i="29"/>
  <c r="AE24" i="29"/>
  <c r="AD118" i="29"/>
  <c r="AF81" i="29"/>
  <c r="AE23" i="29"/>
  <c r="AE91" i="29"/>
  <c r="AD81" i="29"/>
  <c r="AU45" i="29"/>
  <c r="AM46" i="29"/>
  <c r="AN41" i="29"/>
  <c r="AE45" i="29"/>
  <c r="AE41" i="29"/>
  <c r="AL20" i="29"/>
  <c r="AD139" i="29"/>
  <c r="AM45" i="29"/>
  <c r="AD45" i="29"/>
  <c r="AD22" i="29"/>
  <c r="AN120" i="29"/>
  <c r="AL45" i="29"/>
  <c r="AE44" i="29"/>
  <c r="AU24" i="29"/>
  <c r="AN18" i="29"/>
  <c r="AN43" i="29"/>
  <c r="AF19" i="29"/>
  <c r="AF46" i="29"/>
  <c r="AL91" i="29"/>
  <c r="AN42" i="29"/>
  <c r="AU19" i="29"/>
  <c r="AL118" i="29"/>
  <c r="AU41" i="29"/>
  <c r="AM44" i="29"/>
  <c r="AD48" i="29"/>
  <c r="AD44" i="29"/>
  <c r="AU23" i="29"/>
  <c r="AN22" i="29"/>
  <c r="AL18" i="29"/>
  <c r="AF20" i="29"/>
  <c r="AM115" i="29"/>
  <c r="AF100" i="29"/>
  <c r="AL48" i="29"/>
  <c r="AL44" i="29"/>
  <c r="AF47" i="29"/>
  <c r="AF43" i="29"/>
  <c r="AU21" i="29"/>
  <c r="AN21" i="29"/>
  <c r="AF24" i="29"/>
  <c r="AE20" i="29"/>
  <c r="AU147" i="29"/>
  <c r="AF120" i="29"/>
  <c r="AE100" i="29"/>
  <c r="AN91" i="29"/>
  <c r="AM81" i="29"/>
  <c r="AN47" i="29"/>
  <c r="AM21" i="29"/>
  <c r="AL47" i="29"/>
  <c r="AN20" i="29"/>
  <c r="AH9" i="29"/>
  <c r="AI9" i="29"/>
  <c r="AJ9" i="29"/>
  <c r="AK9" i="29"/>
  <c r="AP9" i="29"/>
  <c r="AQ9" i="29"/>
  <c r="AR9" i="29"/>
  <c r="AT9" i="29"/>
  <c r="R169" i="29"/>
  <c r="S169" i="29"/>
  <c r="T169" i="29"/>
  <c r="U169" i="29"/>
  <c r="V169" i="29"/>
  <c r="W169" i="29"/>
  <c r="X169" i="29"/>
  <c r="Y169" i="29"/>
  <c r="Z169" i="29"/>
  <c r="AA169" i="29"/>
  <c r="AB169" i="29"/>
  <c r="AC169" i="29"/>
  <c r="AD169" i="29"/>
  <c r="AE169" i="29"/>
  <c r="AL169" i="29"/>
  <c r="R170" i="29"/>
  <c r="S170" i="29"/>
  <c r="T170" i="29"/>
  <c r="U170" i="29"/>
  <c r="V170" i="29"/>
  <c r="W170" i="29"/>
  <c r="X170" i="29"/>
  <c r="Y170" i="29"/>
  <c r="Z170" i="29"/>
  <c r="AA170" i="29"/>
  <c r="AB170" i="29"/>
  <c r="AC170" i="29"/>
  <c r="AD170" i="29"/>
  <c r="AE170" i="29"/>
  <c r="AL170" i="29"/>
  <c r="R172" i="29"/>
  <c r="S172" i="29"/>
  <c r="T172" i="29"/>
  <c r="U172" i="29"/>
  <c r="V172" i="29"/>
  <c r="W172" i="29"/>
  <c r="X172" i="29"/>
  <c r="Y172" i="29"/>
  <c r="Z172" i="29"/>
  <c r="AA172" i="29"/>
  <c r="AB172" i="29"/>
  <c r="AC172" i="29"/>
  <c r="AD172" i="29"/>
  <c r="AE172" i="29"/>
  <c r="AL172" i="29"/>
  <c r="R174" i="29"/>
  <c r="S174" i="29"/>
  <c r="T174" i="29"/>
  <c r="U174" i="29"/>
  <c r="V174" i="29"/>
  <c r="W174" i="29"/>
  <c r="X174" i="29"/>
  <c r="Y174" i="29"/>
  <c r="Z174" i="29"/>
  <c r="AA174" i="29"/>
  <c r="AB174" i="29"/>
  <c r="AC174" i="29"/>
  <c r="AD174" i="29"/>
  <c r="AE174" i="29"/>
  <c r="AL174" i="29"/>
  <c r="R177" i="29"/>
  <c r="S177" i="29"/>
  <c r="T177" i="29"/>
  <c r="U177" i="29"/>
  <c r="V177" i="29"/>
  <c r="W177" i="29"/>
  <c r="X177" i="29"/>
  <c r="Y177" i="29"/>
  <c r="Z177" i="29"/>
  <c r="AA177" i="29"/>
  <c r="AB177" i="29"/>
  <c r="AC177" i="29"/>
  <c r="AE177" i="29"/>
  <c r="AL177" i="29"/>
  <c r="R179" i="29"/>
  <c r="S179" i="29"/>
  <c r="T179" i="29"/>
  <c r="U179" i="29"/>
  <c r="V179" i="29"/>
  <c r="W179" i="29"/>
  <c r="X179" i="29"/>
  <c r="Y179" i="29"/>
  <c r="Z179" i="29"/>
  <c r="AA179" i="29"/>
  <c r="AB179" i="29"/>
  <c r="AC179" i="29"/>
  <c r="AD179" i="29"/>
  <c r="AE179" i="29"/>
  <c r="AL179" i="29"/>
  <c r="R181" i="29"/>
  <c r="S181" i="29"/>
  <c r="T181" i="29"/>
  <c r="U181" i="29"/>
  <c r="V181" i="29"/>
  <c r="W181" i="29"/>
  <c r="X181" i="29"/>
  <c r="Y181" i="29"/>
  <c r="Z181" i="29"/>
  <c r="AA181" i="29"/>
  <c r="AB181" i="29"/>
  <c r="AC181" i="29"/>
  <c r="AD181" i="29"/>
  <c r="AE181" i="29"/>
  <c r="AL181" i="29"/>
  <c r="R182" i="29"/>
  <c r="S182" i="29"/>
  <c r="T182" i="29"/>
  <c r="U182" i="29"/>
  <c r="V182" i="29"/>
  <c r="W182" i="29"/>
  <c r="X182" i="29"/>
  <c r="Y182" i="29"/>
  <c r="Z182" i="29"/>
  <c r="AA182" i="29"/>
  <c r="AB182" i="29"/>
  <c r="AC182" i="29"/>
  <c r="AD182" i="29"/>
  <c r="AE182" i="29"/>
  <c r="AL182" i="29"/>
  <c r="AB9" i="29" l="1"/>
  <c r="Y9" i="29"/>
  <c r="Z9" i="29"/>
  <c r="W9" i="29"/>
  <c r="E8" i="16" a="1"/>
  <c r="E8" i="16" s="1"/>
  <c r="E7" i="16" a="1"/>
  <c r="E7" i="16" s="1"/>
  <c r="E6" i="16" a="1"/>
  <c r="E6" i="16" s="1"/>
  <c r="E5" i="16" a="1"/>
  <c r="E5" i="16" s="1"/>
  <c r="E19" i="16" a="1"/>
  <c r="E19" i="16" s="1"/>
  <c r="E18" i="16" a="1"/>
  <c r="E18" i="16" s="1"/>
  <c r="E17" i="16" a="1"/>
  <c r="E17" i="16" s="1"/>
  <c r="E16" i="16" a="1"/>
  <c r="E16" i="16" s="1"/>
  <c r="E15" i="16" a="1"/>
  <c r="E15" i="16" s="1"/>
  <c r="E27" i="16" a="1"/>
  <c r="E27" i="16" s="1"/>
  <c r="E26" i="16" a="1"/>
  <c r="E26" i="16" s="1"/>
  <c r="E25" i="16" a="1"/>
  <c r="E25" i="16" s="1"/>
  <c r="E24" i="16" a="1"/>
  <c r="E24" i="16" s="1"/>
  <c r="E23" i="16" a="1"/>
  <c r="E23" i="16" s="1"/>
  <c r="E33" i="16" a="1"/>
  <c r="E33" i="16" s="1"/>
  <c r="E34" i="16" a="1"/>
  <c r="E34" i="16" s="1"/>
  <c r="E35" i="16" a="1"/>
  <c r="E35" i="16" s="1"/>
  <c r="E32" i="16" a="1"/>
  <c r="E32" i="16" s="1"/>
  <c r="E28" i="16" l="1"/>
  <c r="E20" i="16"/>
  <c r="E9" i="16"/>
  <c r="B5" i="13"/>
  <c r="N7" i="29" s="1"/>
  <c r="J2" i="23"/>
  <c r="I3" i="23"/>
  <c r="J3" i="23" s="1"/>
  <c r="E36" i="16" l="1"/>
  <c r="A10" i="9"/>
  <c r="A11" i="9"/>
  <c r="A12" i="9"/>
  <c r="A13" i="9"/>
  <c r="A14" i="9"/>
  <c r="A15" i="9"/>
  <c r="A16" i="9"/>
  <c r="A17" i="9"/>
  <c r="A18" i="9"/>
  <c r="A19" i="9"/>
  <c r="A20" i="9"/>
  <c r="A21" i="9"/>
  <c r="A22" i="9"/>
  <c r="A23" i="9"/>
  <c r="A24" i="9"/>
  <c r="A25" i="9"/>
  <c r="A26" i="9"/>
  <c r="A27" i="9"/>
  <c r="F36" i="6"/>
  <c r="F35" i="6"/>
  <c r="F34" i="6"/>
  <c r="F33" i="6"/>
  <c r="F20" i="6"/>
  <c r="F19" i="6"/>
  <c r="D16" i="6"/>
  <c r="C16" i="6"/>
  <c r="D17" i="6"/>
  <c r="C17" i="6"/>
  <c r="F50" i="6" l="1"/>
  <c r="F49" i="6"/>
  <c r="F48" i="6"/>
  <c r="F47" i="6"/>
  <c r="F44" i="6"/>
  <c r="S48" i="28"/>
  <c r="S50" i="28" s="1"/>
  <c r="R48" i="28"/>
  <c r="R50" i="28" s="1"/>
  <c r="E30" i="5" s="1"/>
  <c r="Q48" i="28"/>
  <c r="K45" i="28"/>
  <c r="O45" i="28" s="1"/>
  <c r="O44" i="28"/>
  <c r="H44" i="28"/>
  <c r="T44" i="28" s="1"/>
  <c r="L43" i="28"/>
  <c r="J43" i="28"/>
  <c r="H43" i="28"/>
  <c r="T43" i="28" s="1"/>
  <c r="K42" i="28"/>
  <c r="H42" i="28"/>
  <c r="T42" i="28" s="1"/>
  <c r="T41" i="28"/>
  <c r="L41" i="28"/>
  <c r="K41" i="28"/>
  <c r="J41" i="28"/>
  <c r="H41" i="28"/>
  <c r="J40" i="28"/>
  <c r="O40" i="28" s="1"/>
  <c r="H40" i="28"/>
  <c r="T40" i="28" s="1"/>
  <c r="L39" i="28"/>
  <c r="J39" i="28"/>
  <c r="H39" i="28"/>
  <c r="T39" i="28" s="1"/>
  <c r="W38" i="28"/>
  <c r="O41" i="28" l="1"/>
  <c r="P41" i="28" s="1"/>
  <c r="E26" i="5"/>
  <c r="O43" i="28"/>
  <c r="P43" i="28" s="1"/>
  <c r="O39" i="28"/>
  <c r="P39" i="28" s="1"/>
  <c r="E31" i="5"/>
  <c r="Q50" i="28"/>
  <c r="E28" i="5" s="1"/>
  <c r="T48" i="28"/>
  <c r="E39" i="5" s="1"/>
  <c r="E41" i="5" s="1"/>
  <c r="J42" i="28"/>
  <c r="O42" i="28" s="1"/>
  <c r="H46" i="5"/>
  <c r="H45" i="5"/>
  <c r="E32" i="5" l="1"/>
  <c r="E33" i="5"/>
  <c r="E34" i="5"/>
  <c r="E36" i="5"/>
  <c r="E35" i="5"/>
  <c r="F222" i="6"/>
  <c r="F221" i="6"/>
  <c r="F220" i="6"/>
  <c r="F210" i="6"/>
  <c r="F213" i="6" s="1"/>
  <c r="F206" i="6"/>
  <c r="F205" i="6"/>
  <c r="F204" i="6"/>
  <c r="F193" i="6"/>
  <c r="F195" i="6"/>
  <c r="F194" i="6"/>
  <c r="F185" i="6"/>
  <c r="F184" i="6"/>
  <c r="F183" i="6"/>
  <c r="F175" i="6"/>
  <c r="F174" i="6"/>
  <c r="F173" i="6"/>
  <c r="F166" i="6"/>
  <c r="F168" i="6"/>
  <c r="F167" i="6"/>
  <c r="F159" i="6"/>
  <c r="F158" i="6"/>
  <c r="F157" i="6"/>
  <c r="F138" i="6"/>
  <c r="F125" i="6"/>
  <c r="D147" i="6"/>
  <c r="C147" i="6"/>
  <c r="D146" i="6"/>
  <c r="C146" i="6"/>
  <c r="D145" i="6"/>
  <c r="C145" i="6"/>
  <c r="D144" i="6"/>
  <c r="C144" i="6"/>
  <c r="D143" i="6"/>
  <c r="C143" i="6"/>
  <c r="F137" i="6"/>
  <c r="F136" i="6"/>
  <c r="F135" i="6"/>
  <c r="F134" i="6"/>
  <c r="F117" i="6"/>
  <c r="F127" i="6"/>
  <c r="F126" i="6"/>
  <c r="F120" i="6"/>
  <c r="F119" i="6"/>
  <c r="F118" i="6"/>
  <c r="A116" i="6"/>
  <c r="F114" i="6"/>
  <c r="D124" i="6"/>
  <c r="C124" i="6"/>
  <c r="D123" i="6"/>
  <c r="C123" i="6"/>
  <c r="F109" i="6"/>
  <c r="F108" i="6"/>
  <c r="F107" i="6"/>
  <c r="F101" i="6"/>
  <c r="F100" i="6"/>
  <c r="F99" i="6"/>
  <c r="F94" i="6"/>
  <c r="F93" i="6"/>
  <c r="F92" i="6"/>
  <c r="F91" i="6"/>
  <c r="F77" i="6"/>
  <c r="F70" i="6"/>
  <c r="F71" i="6"/>
  <c r="F69" i="6"/>
  <c r="F68" i="6"/>
  <c r="F56" i="6"/>
  <c r="A90" i="6"/>
  <c r="F88" i="6"/>
  <c r="F58" i="6"/>
  <c r="F57" i="6"/>
  <c r="F212" i="6" l="1"/>
  <c r="F214" i="6"/>
  <c r="F132" i="6"/>
  <c r="F144" i="6" s="1"/>
  <c r="F133" i="6"/>
  <c r="F140" i="6" s="1"/>
  <c r="F131" i="6"/>
  <c r="F143" i="6" s="1"/>
  <c r="D82" i="6"/>
  <c r="F80" i="6"/>
  <c r="F79" i="6"/>
  <c r="F78" i="6"/>
  <c r="A46" i="6"/>
  <c r="A34" i="6"/>
  <c r="A78" i="6"/>
  <c r="F147" i="6" l="1"/>
  <c r="F146" i="6"/>
  <c r="F145" i="6"/>
  <c r="F65" i="6" l="1"/>
  <c r="F64" i="6"/>
  <c r="F139" i="6" l="1"/>
  <c r="A20" i="6" l="1"/>
  <c r="B2313" i="23"/>
  <c r="B2312" i="23"/>
  <c r="A67" i="6"/>
  <c r="O6" i="18" l="1"/>
  <c r="O4" i="18"/>
  <c r="U13" i="18"/>
  <c r="T13" i="18"/>
  <c r="S13" i="18"/>
  <c r="U12" i="18"/>
  <c r="T12" i="18"/>
  <c r="S12" i="18"/>
  <c r="U11" i="18"/>
  <c r="T11" i="18"/>
  <c r="S11" i="18"/>
  <c r="U10" i="18"/>
  <c r="T10" i="18"/>
  <c r="S10" i="18"/>
  <c r="U9" i="18"/>
  <c r="T9" i="18"/>
  <c r="S9" i="18"/>
  <c r="U7" i="18"/>
  <c r="T7" i="18"/>
  <c r="S7" i="18"/>
  <c r="U5" i="18"/>
  <c r="T5" i="18"/>
  <c r="S5" i="18"/>
  <c r="U3" i="18"/>
  <c r="T3" i="18"/>
  <c r="S3" i="18"/>
  <c r="R13" i="18"/>
  <c r="Q13" i="18"/>
  <c r="R12" i="18"/>
  <c r="Q12" i="18"/>
  <c r="R11" i="18"/>
  <c r="Q11" i="18"/>
  <c r="R10" i="18"/>
  <c r="Q10" i="18"/>
  <c r="R9" i="18"/>
  <c r="Q9" i="18"/>
  <c r="R7" i="18"/>
  <c r="Q7" i="18"/>
  <c r="R5" i="18"/>
  <c r="Q5" i="18"/>
  <c r="R3" i="18"/>
  <c r="Q3" i="18"/>
  <c r="M13" i="18"/>
  <c r="M12" i="18"/>
  <c r="M11" i="18"/>
  <c r="M10" i="18"/>
  <c r="M9" i="18"/>
  <c r="M8" i="18"/>
  <c r="M7" i="18"/>
  <c r="M6" i="18"/>
  <c r="M5" i="18"/>
  <c r="M3" i="18"/>
  <c r="L13" i="18"/>
  <c r="L12" i="18"/>
  <c r="L11" i="18"/>
  <c r="L10" i="18"/>
  <c r="L9" i="18"/>
  <c r="L8" i="18"/>
  <c r="L7" i="18"/>
  <c r="L6" i="18"/>
  <c r="L5" i="18"/>
  <c r="L4" i="18"/>
  <c r="L3" i="18"/>
  <c r="L2" i="18"/>
  <c r="K13" i="18"/>
  <c r="P13" i="18" s="1"/>
  <c r="K12" i="18"/>
  <c r="P12" i="18" s="1"/>
  <c r="K11" i="18"/>
  <c r="P11" i="18" s="1"/>
  <c r="K10" i="18"/>
  <c r="P10" i="18" s="1"/>
  <c r="K9" i="18"/>
  <c r="P9" i="18" s="1"/>
  <c r="K8" i="18"/>
  <c r="K6" i="18"/>
  <c r="K4" i="18"/>
  <c r="K2" i="18"/>
  <c r="J13" i="18"/>
  <c r="J12" i="18"/>
  <c r="J11" i="18"/>
  <c r="J10" i="18"/>
  <c r="J9" i="18"/>
  <c r="J7" i="18"/>
  <c r="J5" i="18"/>
  <c r="J3" i="18"/>
  <c r="I13" i="18"/>
  <c r="I12" i="18"/>
  <c r="I11" i="18"/>
  <c r="I10" i="18"/>
  <c r="I9" i="18"/>
  <c r="I7" i="18"/>
  <c r="I5" i="18"/>
  <c r="I3" i="18"/>
  <c r="AF110" i="18"/>
  <c r="AF111" i="18"/>
  <c r="AF112" i="18"/>
  <c r="AF113" i="18"/>
  <c r="AJ95" i="18"/>
  <c r="AI94" i="18"/>
  <c r="AI93" i="18"/>
  <c r="AI92" i="18"/>
  <c r="AJ86" i="18"/>
  <c r="AO86" i="18"/>
  <c r="AI84" i="18"/>
  <c r="AP84" i="18"/>
  <c r="AI83" i="18"/>
  <c r="AI82" i="18"/>
  <c r="AP82" i="18"/>
  <c r="N4" i="18" s="1"/>
  <c r="AJ78" i="18"/>
  <c r="AO78" i="18"/>
  <c r="M4" i="18" s="1"/>
  <c r="AJ77" i="18"/>
  <c r="AF65" i="18"/>
  <c r="AF60" i="18"/>
  <c r="AF59" i="18"/>
  <c r="AF56" i="18"/>
  <c r="AI53" i="18"/>
  <c r="AI51" i="18"/>
  <c r="AF49" i="18"/>
  <c r="AF48" i="18"/>
  <c r="AF50" i="18"/>
  <c r="AF45" i="18"/>
  <c r="AF43" i="18"/>
  <c r="AF41" i="18"/>
  <c r="AF42" i="18"/>
  <c r="AF40" i="18"/>
  <c r="AF38" i="18"/>
  <c r="N9" i="18" l="1"/>
  <c r="N11" i="18"/>
  <c r="O9" i="18"/>
  <c r="O11" i="18"/>
  <c r="O13" i="18"/>
  <c r="O10" i="18"/>
  <c r="O12" i="18"/>
  <c r="N10" i="18"/>
  <c r="N12" i="18"/>
  <c r="N13" i="18"/>
  <c r="H3" i="18"/>
  <c r="F4" i="18"/>
  <c r="G4" i="18"/>
  <c r="P4" i="18" s="1"/>
  <c r="H4" i="18"/>
  <c r="F5" i="18"/>
  <c r="G5" i="18"/>
  <c r="H5" i="18"/>
  <c r="F6" i="18"/>
  <c r="N6" i="18" s="1"/>
  <c r="G6" i="18"/>
  <c r="H6" i="18"/>
  <c r="F7" i="18"/>
  <c r="G7" i="18"/>
  <c r="H7" i="18"/>
  <c r="F8" i="18"/>
  <c r="N8" i="18" s="1"/>
  <c r="G8" i="18"/>
  <c r="H8" i="18"/>
  <c r="F9" i="18"/>
  <c r="G9" i="18"/>
  <c r="H9" i="18"/>
  <c r="F10" i="18"/>
  <c r="G10" i="18"/>
  <c r="H10" i="18"/>
  <c r="F11" i="18"/>
  <c r="G11" i="18"/>
  <c r="H11" i="18"/>
  <c r="F12" i="18"/>
  <c r="G12" i="18"/>
  <c r="H12" i="18"/>
  <c r="F13" i="18"/>
  <c r="G13" i="18"/>
  <c r="H13" i="18"/>
  <c r="H2" i="18"/>
  <c r="AO19" i="18"/>
  <c r="AJ19" i="18"/>
  <c r="AO20" i="18"/>
  <c r="AJ20" i="18"/>
  <c r="AF19" i="18"/>
  <c r="P8" i="18" l="1"/>
  <c r="O8" i="18"/>
  <c r="P6" i="18"/>
  <c r="K5" i="18"/>
  <c r="K7" i="18"/>
  <c r="R4" i="18"/>
  <c r="I4" i="18"/>
  <c r="J4" i="18" s="1"/>
  <c r="Q4" i="18"/>
  <c r="R6" i="18"/>
  <c r="Q6" i="18"/>
  <c r="I6" i="18"/>
  <c r="J6" i="18" s="1"/>
  <c r="R8" i="18"/>
  <c r="Q8" i="18"/>
  <c r="I8" i="18"/>
  <c r="J8" i="18" s="1"/>
  <c r="E18" i="18" s="1"/>
  <c r="P7" i="18" l="1"/>
  <c r="N7" i="18"/>
  <c r="O7" i="18"/>
  <c r="O5" i="18"/>
  <c r="P5" i="18"/>
  <c r="N5" i="18"/>
  <c r="T4" i="18"/>
  <c r="S4" i="18"/>
  <c r="U4" i="18"/>
  <c r="S6" i="18"/>
  <c r="U6" i="18"/>
  <c r="T6" i="18"/>
  <c r="U8" i="18"/>
  <c r="T8" i="18"/>
  <c r="S8" i="18"/>
  <c r="E17" i="18"/>
  <c r="D222" i="6" l="1"/>
  <c r="C222" i="6"/>
  <c r="D221" i="6"/>
  <c r="C221" i="6"/>
  <c r="D220" i="6"/>
  <c r="C220" i="6"/>
  <c r="D219" i="6"/>
  <c r="C219" i="6"/>
  <c r="D218" i="6"/>
  <c r="C218" i="6"/>
  <c r="D217" i="6"/>
  <c r="C217" i="6"/>
  <c r="D214" i="6"/>
  <c r="C214" i="6"/>
  <c r="D213" i="6"/>
  <c r="C213" i="6"/>
  <c r="D212" i="6"/>
  <c r="C212" i="6"/>
  <c r="D211" i="6"/>
  <c r="C211" i="6"/>
  <c r="D210" i="6"/>
  <c r="C210" i="6"/>
  <c r="D206" i="6"/>
  <c r="C206" i="6"/>
  <c r="D205" i="6"/>
  <c r="C205" i="6"/>
  <c r="D204" i="6"/>
  <c r="C204" i="6"/>
  <c r="D202" i="6"/>
  <c r="C202" i="6"/>
  <c r="D201" i="6"/>
  <c r="C201" i="6"/>
  <c r="D200" i="6"/>
  <c r="C200" i="6"/>
  <c r="D199" i="6"/>
  <c r="C199" i="6"/>
  <c r="D195" i="6"/>
  <c r="C195" i="6"/>
  <c r="D194" i="6"/>
  <c r="C194" i="6"/>
  <c r="D193" i="6"/>
  <c r="C193" i="6"/>
  <c r="D192" i="6"/>
  <c r="C192" i="6"/>
  <c r="D191" i="6"/>
  <c r="C191" i="6"/>
  <c r="D190" i="6"/>
  <c r="C190" i="6"/>
  <c r="D189" i="6"/>
  <c r="C189" i="6"/>
  <c r="D185" i="6"/>
  <c r="C185" i="6"/>
  <c r="D184" i="6"/>
  <c r="C184" i="6"/>
  <c r="D183" i="6"/>
  <c r="C183" i="6"/>
  <c r="D182" i="6"/>
  <c r="C182" i="6"/>
  <c r="D181" i="6"/>
  <c r="C181" i="6"/>
  <c r="D180" i="6"/>
  <c r="C180" i="6"/>
  <c r="D179" i="6"/>
  <c r="C179" i="6"/>
  <c r="D175" i="6"/>
  <c r="C175" i="6"/>
  <c r="D174" i="6"/>
  <c r="C174" i="6"/>
  <c r="D173" i="6"/>
  <c r="C173" i="6"/>
  <c r="D172" i="6"/>
  <c r="C172" i="6"/>
  <c r="D168" i="6"/>
  <c r="C168" i="6"/>
  <c r="D167" i="6"/>
  <c r="C167" i="6"/>
  <c r="D166" i="6"/>
  <c r="C166" i="6"/>
  <c r="D165" i="6"/>
  <c r="C165" i="6"/>
  <c r="D164" i="6"/>
  <c r="C164" i="6"/>
  <c r="D163" i="6"/>
  <c r="C163" i="6"/>
  <c r="D159" i="6"/>
  <c r="C159" i="6"/>
  <c r="D158" i="6"/>
  <c r="C158" i="6"/>
  <c r="D157" i="6"/>
  <c r="C157" i="6"/>
  <c r="D156" i="6"/>
  <c r="C156" i="6"/>
  <c r="D155" i="6"/>
  <c r="C155" i="6"/>
  <c r="D154" i="6"/>
  <c r="C154" i="6"/>
  <c r="D153" i="6"/>
  <c r="C153" i="6"/>
  <c r="D152" i="6"/>
  <c r="C152" i="6"/>
  <c r="D151" i="6"/>
  <c r="C151" i="6"/>
  <c r="D138" i="6"/>
  <c r="C138" i="6"/>
  <c r="D137" i="6"/>
  <c r="D136" i="6"/>
  <c r="D133" i="6"/>
  <c r="C133" i="6"/>
  <c r="D132" i="6"/>
  <c r="C132" i="6"/>
  <c r="D131" i="6"/>
  <c r="C131" i="6"/>
  <c r="D127" i="6"/>
  <c r="C127" i="6"/>
  <c r="D126" i="6"/>
  <c r="C126" i="6"/>
  <c r="D125" i="6"/>
  <c r="C125" i="6"/>
  <c r="D120" i="6"/>
  <c r="C120" i="6"/>
  <c r="D119" i="6"/>
  <c r="C119" i="6"/>
  <c r="D118" i="6"/>
  <c r="D117" i="6"/>
  <c r="D114" i="6"/>
  <c r="C114" i="6"/>
  <c r="D113" i="6"/>
  <c r="C113" i="6"/>
  <c r="D109" i="6"/>
  <c r="C109" i="6"/>
  <c r="D108" i="6"/>
  <c r="C108" i="6"/>
  <c r="D107" i="6"/>
  <c r="C107" i="6"/>
  <c r="D106" i="6"/>
  <c r="C106" i="6"/>
  <c r="D105" i="6"/>
  <c r="C105" i="6"/>
  <c r="D101" i="6"/>
  <c r="C101" i="6"/>
  <c r="D100" i="6"/>
  <c r="C100" i="6"/>
  <c r="D99" i="6"/>
  <c r="C99" i="6"/>
  <c r="D98" i="6"/>
  <c r="C98" i="6"/>
  <c r="D97" i="6"/>
  <c r="C97" i="6"/>
  <c r="D94" i="6"/>
  <c r="C94" i="6"/>
  <c r="D93" i="6"/>
  <c r="C93" i="6"/>
  <c r="D92" i="6"/>
  <c r="D91" i="6"/>
  <c r="D88" i="6"/>
  <c r="C88" i="6"/>
  <c r="D87" i="6"/>
  <c r="C87" i="6"/>
  <c r="D83" i="6"/>
  <c r="C83" i="6"/>
  <c r="C82" i="6"/>
  <c r="D81" i="6"/>
  <c r="C81" i="6"/>
  <c r="D80" i="6"/>
  <c r="D79" i="6"/>
  <c r="D76" i="6"/>
  <c r="C76" i="6"/>
  <c r="D75" i="6"/>
  <c r="C75" i="6"/>
  <c r="D74" i="6"/>
  <c r="C74" i="6"/>
  <c r="D71" i="6"/>
  <c r="C71" i="6"/>
  <c r="D70" i="6"/>
  <c r="C70" i="6"/>
  <c r="D69" i="6"/>
  <c r="D68" i="6"/>
  <c r="D65" i="6"/>
  <c r="C65" i="6"/>
  <c r="D64" i="6"/>
  <c r="C64" i="6"/>
  <c r="D63" i="6"/>
  <c r="C63" i="6"/>
  <c r="D62" i="6"/>
  <c r="C62" i="6"/>
  <c r="D58" i="6"/>
  <c r="C58" i="6"/>
  <c r="D57" i="6"/>
  <c r="C57" i="6"/>
  <c r="D56" i="6"/>
  <c r="C56" i="6"/>
  <c r="D55" i="6"/>
  <c r="C55" i="6"/>
  <c r="D54" i="6"/>
  <c r="C54" i="6"/>
  <c r="D53" i="6"/>
  <c r="C53" i="6"/>
  <c r="D52" i="6"/>
  <c r="C52" i="6"/>
  <c r="D50" i="6"/>
  <c r="D49" i="6"/>
  <c r="D48" i="6"/>
  <c r="D47" i="6"/>
  <c r="D44" i="6"/>
  <c r="D43" i="6"/>
  <c r="C50" i="6"/>
  <c r="C49" i="6"/>
  <c r="C44" i="6"/>
  <c r="C43" i="6"/>
  <c r="D39" i="6"/>
  <c r="D38" i="6"/>
  <c r="D37" i="6"/>
  <c r="D36" i="6"/>
  <c r="D35" i="6"/>
  <c r="D32" i="6"/>
  <c r="D31" i="6"/>
  <c r="D30" i="6"/>
  <c r="D29" i="6"/>
  <c r="D28" i="6"/>
  <c r="D27" i="6"/>
  <c r="D26" i="6"/>
  <c r="D24" i="6"/>
  <c r="D23" i="6"/>
  <c r="D22" i="6"/>
  <c r="D21" i="6"/>
  <c r="D18" i="6"/>
  <c r="C39" i="6"/>
  <c r="C38" i="6"/>
  <c r="C37" i="6"/>
  <c r="C32" i="6"/>
  <c r="C31" i="6"/>
  <c r="C30" i="6"/>
  <c r="C29" i="6"/>
  <c r="C28" i="6"/>
  <c r="C27" i="6"/>
  <c r="C26" i="6"/>
  <c r="C24" i="6"/>
  <c r="C23" i="6"/>
  <c r="C18" i="6"/>
  <c r="C28" i="17" l="1"/>
  <c r="D28" i="17" s="1"/>
  <c r="D2281" i="23" s="1"/>
  <c r="C27" i="17"/>
  <c r="D27" i="17" s="1"/>
  <c r="D2280" i="23" s="1"/>
  <c r="C26" i="17"/>
  <c r="D26" i="17" s="1"/>
  <c r="D2279" i="23" s="1"/>
  <c r="C25" i="17"/>
  <c r="D25" i="17" s="1"/>
  <c r="D2278" i="23" s="1"/>
  <c r="C24" i="17"/>
  <c r="D24" i="17" s="1"/>
  <c r="D2277" i="23" s="1"/>
  <c r="C23" i="17"/>
  <c r="D23" i="17" s="1"/>
  <c r="D2276" i="23" s="1"/>
  <c r="C22" i="17"/>
  <c r="D22" i="17" s="1"/>
  <c r="D2275" i="23" s="1"/>
  <c r="C21" i="17"/>
  <c r="D21" i="17" s="1"/>
  <c r="D2274" i="23" s="1"/>
  <c r="C20" i="17"/>
  <c r="D20" i="17" s="1"/>
  <c r="D2273" i="23" s="1"/>
  <c r="C19" i="17"/>
  <c r="D19" i="17" s="1"/>
  <c r="D2272" i="23" s="1"/>
  <c r="C18" i="17"/>
  <c r="D18" i="17" s="1"/>
  <c r="D2271" i="23" s="1"/>
  <c r="C17" i="17"/>
  <c r="D17" i="17" s="1"/>
  <c r="D2270" i="23" s="1"/>
  <c r="C16" i="17"/>
  <c r="D16" i="17" s="1"/>
  <c r="D2269" i="23" s="1"/>
  <c r="C15" i="17"/>
  <c r="D15" i="17" s="1"/>
  <c r="D2268" i="23" s="1"/>
  <c r="C14" i="17"/>
  <c r="D14" i="17" s="1"/>
  <c r="D2267" i="23" s="1"/>
  <c r="C13" i="17"/>
  <c r="D13" i="17" s="1"/>
  <c r="D2266" i="23" s="1"/>
  <c r="C12" i="17"/>
  <c r="D12" i="17" s="1"/>
  <c r="D2265" i="23" s="1"/>
  <c r="C11" i="17"/>
  <c r="D11" i="17" s="1"/>
  <c r="D2264" i="23" s="1"/>
  <c r="C10" i="17"/>
  <c r="D10" i="17" s="1"/>
  <c r="D2263" i="23" s="1"/>
  <c r="C9" i="17"/>
  <c r="D9" i="17" s="1"/>
  <c r="D2262" i="23" s="1"/>
  <c r="C8" i="17"/>
  <c r="D8" i="17" s="1"/>
  <c r="D2261" i="23" s="1"/>
  <c r="C7" i="17"/>
  <c r="D7" i="17" s="1"/>
  <c r="D2260" i="23" s="1"/>
  <c r="C6" i="17"/>
  <c r="D6" i="17" s="1"/>
  <c r="D2259" i="23" s="1"/>
  <c r="C5" i="17"/>
  <c r="D5" i="17" s="1"/>
  <c r="D2258" i="23" s="1"/>
  <c r="C4" i="17"/>
  <c r="D4" i="17" s="1"/>
  <c r="D2257" i="23" s="1"/>
  <c r="C3" i="17"/>
  <c r="D3" i="17" s="1"/>
  <c r="D2256" i="23" s="1"/>
  <c r="C2" i="17"/>
  <c r="D2" i="17" s="1"/>
  <c r="D2255" i="23" s="1"/>
  <c r="C79" i="6" l="1"/>
  <c r="C136" i="6"/>
  <c r="C47" i="6"/>
  <c r="C35" i="6"/>
  <c r="C21" i="6"/>
  <c r="C117" i="6"/>
  <c r="C91" i="6"/>
  <c r="C68" i="6"/>
  <c r="C92" i="6"/>
  <c r="C48" i="6"/>
  <c r="C36" i="6"/>
  <c r="C69" i="6"/>
  <c r="C22" i="6"/>
  <c r="C118" i="6"/>
  <c r="C80" i="6"/>
  <c r="C137" i="6"/>
  <c r="B4" i="16"/>
  <c r="D2287" i="23" s="1"/>
  <c r="B31" i="16"/>
  <c r="D2285" i="23" s="1"/>
  <c r="B13" i="16" l="1"/>
  <c r="D2300" i="23" s="1"/>
  <c r="D15" i="6" l="1"/>
  <c r="C15" i="6"/>
  <c r="D12" i="6"/>
  <c r="C12" i="6"/>
  <c r="D11" i="6"/>
  <c r="C11" i="6"/>
  <c r="D10" i="6"/>
  <c r="C10" i="6"/>
  <c r="D9" i="6"/>
  <c r="C9" i="6"/>
  <c r="D8" i="6"/>
  <c r="C8" i="6"/>
  <c r="D7" i="6"/>
  <c r="C7" i="6"/>
  <c r="I48" i="5"/>
  <c r="C48" i="5"/>
  <c r="B48" i="5"/>
  <c r="C35" i="5"/>
  <c r="B35" i="5"/>
  <c r="C34" i="5"/>
  <c r="B34" i="5"/>
  <c r="C33" i="5"/>
  <c r="B33" i="5"/>
  <c r="C32" i="5"/>
  <c r="B32" i="5"/>
  <c r="C31" i="5"/>
  <c r="B31" i="5"/>
  <c r="C30" i="5"/>
  <c r="B30" i="5"/>
  <c r="I36" i="5"/>
  <c r="I35" i="5"/>
  <c r="I34" i="5"/>
  <c r="I33" i="5"/>
  <c r="I32" i="5"/>
  <c r="I31" i="5"/>
  <c r="I30" i="5"/>
  <c r="I28" i="5"/>
  <c r="I27" i="5"/>
  <c r="I26" i="5"/>
  <c r="I24" i="5"/>
  <c r="I23" i="5"/>
  <c r="I20" i="5"/>
  <c r="I19" i="5"/>
  <c r="I18" i="5"/>
  <c r="I17" i="5"/>
  <c r="C28" i="5"/>
  <c r="B28" i="5"/>
  <c r="C27" i="5"/>
  <c r="B27" i="5"/>
  <c r="C26" i="5"/>
  <c r="B26" i="5"/>
  <c r="C24" i="5"/>
  <c r="B24" i="5"/>
  <c r="C23" i="5"/>
  <c r="B23" i="5"/>
  <c r="C20" i="5"/>
  <c r="B20" i="5"/>
  <c r="C19" i="5"/>
  <c r="B19" i="5"/>
  <c r="C18" i="5"/>
  <c r="B18" i="5"/>
  <c r="C17" i="5"/>
  <c r="B17" i="5"/>
  <c r="H6" i="5" l="1"/>
  <c r="AJ7" i="18"/>
  <c r="AO7" i="18"/>
  <c r="AJ11" i="18"/>
  <c r="AO11" i="18"/>
  <c r="AJ14" i="18"/>
  <c r="AO14" i="18"/>
  <c r="AJ15" i="18"/>
  <c r="AO15" i="18"/>
  <c r="AO17" i="18"/>
  <c r="AJ17" i="18"/>
  <c r="AO18" i="18"/>
  <c r="AJ18" i="18"/>
  <c r="AI18" i="18"/>
  <c r="AI21" i="18"/>
  <c r="AI22" i="18"/>
  <c r="AI23" i="18"/>
  <c r="AO24" i="18"/>
  <c r="AJ24" i="18"/>
  <c r="G3" i="18" s="1"/>
  <c r="F3" i="18" l="1"/>
  <c r="AI3" i="18"/>
  <c r="F2" i="18" s="1"/>
  <c r="N2" i="18" s="1"/>
  <c r="K3" i="18" l="1"/>
  <c r="Q2" i="18"/>
  <c r="Q14" i="18" s="1"/>
  <c r="AJ2" i="18"/>
  <c r="AJ3" i="18"/>
  <c r="AO3" i="18"/>
  <c r="M2" i="18" s="1"/>
  <c r="AF131" i="18"/>
  <c r="AF130" i="18"/>
  <c r="AF129" i="18"/>
  <c r="AF128" i="18"/>
  <c r="AF127" i="18"/>
  <c r="AF126" i="18"/>
  <c r="AF125" i="18"/>
  <c r="AF124" i="18"/>
  <c r="AF123" i="18"/>
  <c r="AF122" i="18"/>
  <c r="AF121" i="18"/>
  <c r="AF120" i="18"/>
  <c r="AF119" i="18"/>
  <c r="AF118" i="18"/>
  <c r="AF117" i="18"/>
  <c r="AF116" i="18"/>
  <c r="AF115" i="18"/>
  <c r="AF114" i="18"/>
  <c r="AF109" i="18"/>
  <c r="AF108" i="18"/>
  <c r="AF107" i="18"/>
  <c r="AF106" i="18"/>
  <c r="AF105" i="18"/>
  <c r="AF104" i="18"/>
  <c r="AF103" i="18"/>
  <c r="AF102" i="18"/>
  <c r="AF101" i="18"/>
  <c r="AF100" i="18"/>
  <c r="AF99" i="18"/>
  <c r="AF98" i="18"/>
  <c r="AF97" i="18"/>
  <c r="AF96" i="18"/>
  <c r="AF95" i="18"/>
  <c r="AF94" i="18"/>
  <c r="AF93" i="18"/>
  <c r="AF92" i="18"/>
  <c r="AF91" i="18"/>
  <c r="AF90" i="18"/>
  <c r="AF89" i="18"/>
  <c r="AF88" i="18"/>
  <c r="AF87" i="18"/>
  <c r="AF86" i="18"/>
  <c r="AF85" i="18"/>
  <c r="AF84" i="18"/>
  <c r="AF83" i="18"/>
  <c r="AF82" i="18"/>
  <c r="AF81" i="18"/>
  <c r="AF80" i="18"/>
  <c r="AF79" i="18"/>
  <c r="AF78" i="18"/>
  <c r="AF77" i="18"/>
  <c r="AF76" i="18"/>
  <c r="AF75" i="18"/>
  <c r="AF74" i="18"/>
  <c r="AF73" i="18"/>
  <c r="AF72" i="18"/>
  <c r="AF71" i="18"/>
  <c r="AF70" i="18"/>
  <c r="AF69" i="18"/>
  <c r="AF68" i="18"/>
  <c r="AF67" i="18"/>
  <c r="AF66" i="18"/>
  <c r="AF64" i="18"/>
  <c r="AF63" i="18"/>
  <c r="AF62" i="18"/>
  <c r="AF61" i="18"/>
  <c r="AF58" i="18"/>
  <c r="AF57" i="18"/>
  <c r="AF55" i="18"/>
  <c r="AF54" i="18"/>
  <c r="AF53" i="18"/>
  <c r="AF52" i="18"/>
  <c r="AF51" i="18"/>
  <c r="AF47" i="18"/>
  <c r="AF46" i="18"/>
  <c r="AF44" i="18"/>
  <c r="AF39" i="18"/>
  <c r="AF37" i="18"/>
  <c r="AF36" i="18"/>
  <c r="AF35" i="18"/>
  <c r="AF34" i="18"/>
  <c r="AF33" i="18"/>
  <c r="AF32" i="18"/>
  <c r="AF31" i="18"/>
  <c r="AF30" i="18"/>
  <c r="AF29" i="18"/>
  <c r="AF28" i="18"/>
  <c r="AF27" i="18"/>
  <c r="AF26" i="18"/>
  <c r="AF25" i="18"/>
  <c r="AF24" i="18"/>
  <c r="AF23" i="18"/>
  <c r="AF22" i="18"/>
  <c r="AF21" i="18"/>
  <c r="AF20" i="18"/>
  <c r="AF18" i="18"/>
  <c r="AF17" i="18"/>
  <c r="AF16" i="18"/>
  <c r="AF15" i="18"/>
  <c r="AF14" i="18"/>
  <c r="AF13" i="18"/>
  <c r="AF12" i="18"/>
  <c r="AF11" i="18"/>
  <c r="AF10" i="18"/>
  <c r="AF9" i="18"/>
  <c r="AF8" i="18"/>
  <c r="AF7" i="18"/>
  <c r="AF6" i="18"/>
  <c r="AF5" i="18"/>
  <c r="AF4" i="18"/>
  <c r="AF3" i="18"/>
  <c r="AF2" i="18"/>
  <c r="K14" i="18" l="1"/>
  <c r="O3" i="18"/>
  <c r="P3" i="18"/>
  <c r="N3" i="18"/>
  <c r="G2" i="18"/>
  <c r="C173" i="26"/>
  <c r="C171" i="26"/>
  <c r="E7" i="12"/>
  <c r="E8" i="12" s="1"/>
  <c r="B6" i="12"/>
  <c r="F171" i="26" s="1"/>
  <c r="D172" i="26" s="1"/>
  <c r="D7" i="12"/>
  <c r="D171" i="26" l="1"/>
  <c r="D179" i="29"/>
  <c r="O2" i="18"/>
  <c r="P2" i="18"/>
  <c r="P14" i="18" s="1"/>
  <c r="R2" i="18"/>
  <c r="R14" i="18" s="1"/>
  <c r="I2" i="18"/>
  <c r="J2" i="18" s="1"/>
  <c r="E16" i="18"/>
  <c r="E9" i="12"/>
  <c r="B9" i="12" s="1"/>
  <c r="F175" i="26" s="1"/>
  <c r="B8" i="12"/>
  <c r="F174" i="26" s="1"/>
  <c r="F8" i="6"/>
  <c r="AG179" i="29" l="1"/>
  <c r="AU179" i="29" s="1"/>
  <c r="D178" i="29"/>
  <c r="F173" i="26"/>
  <c r="D174" i="26" s="1"/>
  <c r="D181" i="29" s="1"/>
  <c r="T2" i="18"/>
  <c r="U2" i="18"/>
  <c r="U14" i="18" s="1"/>
  <c r="E48" i="5" s="1"/>
  <c r="S2" i="18"/>
  <c r="B7" i="12"/>
  <c r="C169" i="26"/>
  <c r="C161" i="26"/>
  <c r="C166" i="26"/>
  <c r="C164" i="26"/>
  <c r="C150" i="26"/>
  <c r="C141" i="26"/>
  <c r="C128" i="26"/>
  <c r="C126" i="26"/>
  <c r="C122" i="26"/>
  <c r="C118" i="26"/>
  <c r="C115" i="26"/>
  <c r="C114" i="26"/>
  <c r="C113" i="26"/>
  <c r="C112" i="26"/>
  <c r="C111" i="26"/>
  <c r="C110" i="26"/>
  <c r="C109" i="26"/>
  <c r="C108" i="26"/>
  <c r="C107" i="26"/>
  <c r="C83" i="26"/>
  <c r="C75" i="26"/>
  <c r="C80" i="26"/>
  <c r="C78" i="26"/>
  <c r="C73" i="26"/>
  <c r="F9" i="6"/>
  <c r="F7" i="6"/>
  <c r="C41" i="26"/>
  <c r="C40" i="26"/>
  <c r="C39" i="26"/>
  <c r="C38" i="26"/>
  <c r="C37" i="26"/>
  <c r="C36" i="26"/>
  <c r="C35" i="26"/>
  <c r="C34" i="26"/>
  <c r="D175" i="26" l="1"/>
  <c r="D173" i="26" s="1"/>
  <c r="AG181" i="29"/>
  <c r="AU181" i="29" s="1"/>
  <c r="AV179" i="29"/>
  <c r="C106" i="26"/>
  <c r="F11" i="6"/>
  <c r="F10" i="6"/>
  <c r="F12" i="6"/>
  <c r="D182" i="29" l="1"/>
  <c r="D180" i="29" s="1"/>
  <c r="AV181" i="29"/>
  <c r="C11" i="26"/>
  <c r="C16" i="26"/>
  <c r="C15" i="26"/>
  <c r="C14" i="26"/>
  <c r="C13" i="26"/>
  <c r="C12" i="26"/>
  <c r="C69" i="26"/>
  <c r="C67" i="26"/>
  <c r="C65" i="26"/>
  <c r="C62" i="26"/>
  <c r="C59" i="26"/>
  <c r="C54" i="26"/>
  <c r="C52" i="26"/>
  <c r="C48" i="26"/>
  <c r="C44" i="26"/>
  <c r="C42" i="26"/>
  <c r="AG182" i="29" l="1"/>
  <c r="AU182" i="29" s="1"/>
  <c r="AV182" i="29" s="1"/>
  <c r="C17" i="26"/>
  <c r="C10" i="26" s="1"/>
  <c r="J7" i="26"/>
  <c r="C26" i="26"/>
  <c r="C22" i="26"/>
  <c r="C18" i="26"/>
  <c r="C3" i="25" l="1"/>
  <c r="C4" i="25" s="1"/>
  <c r="C5" i="25" s="1"/>
  <c r="C6" i="25" s="1"/>
  <c r="C7" i="25" s="1"/>
  <c r="C8" i="25" s="1"/>
  <c r="C9" i="25" s="1"/>
  <c r="C10" i="25" s="1"/>
  <c r="C11" i="25" s="1"/>
  <c r="C12" i="25" s="1"/>
  <c r="C13" i="25" s="1"/>
  <c r="C14" i="25" s="1"/>
  <c r="C15" i="25" s="1"/>
  <c r="C16" i="25" s="1"/>
  <c r="C17" i="25" s="1"/>
  <c r="C18" i="25" s="1"/>
  <c r="C19" i="25" s="1"/>
  <c r="C20" i="25" s="1"/>
  <c r="C21" i="25" s="1"/>
  <c r="C22" i="25" s="1"/>
  <c r="C23" i="25" s="1"/>
  <c r="C24" i="25" s="1"/>
  <c r="C25" i="25" s="1"/>
  <c r="C26" i="25" s="1"/>
  <c r="C27" i="25" s="1"/>
  <c r="C28" i="25" s="1"/>
  <c r="C29" i="25" s="1"/>
  <c r="D2313" i="23"/>
  <c r="D2283" i="23"/>
  <c r="G2252" i="23"/>
  <c r="G2251" i="23"/>
  <c r="G2250" i="23"/>
  <c r="J5" i="23"/>
  <c r="D3" i="23"/>
  <c r="D1159" i="23" s="1"/>
  <c r="D123" i="23" l="1"/>
  <c r="D963" i="23"/>
  <c r="D1786" i="23"/>
  <c r="D76" i="23"/>
  <c r="D17" i="5" s="1"/>
  <c r="D181" i="23"/>
  <c r="D743" i="23"/>
  <c r="D378" i="23"/>
  <c r="D244" i="23"/>
  <c r="D292" i="23"/>
  <c r="D12" i="23"/>
  <c r="D477" i="23"/>
  <c r="D75" i="23"/>
  <c r="D584" i="23"/>
  <c r="D2049" i="23"/>
  <c r="D29" i="23"/>
  <c r="D77" i="23"/>
  <c r="D140" i="23"/>
  <c r="D203" i="23"/>
  <c r="D251" i="23"/>
  <c r="D309" i="23"/>
  <c r="D404" i="23"/>
  <c r="D498" i="23"/>
  <c r="D622" i="23"/>
  <c r="D790" i="23"/>
  <c r="D1038" i="23"/>
  <c r="D187" i="23"/>
  <c r="D379" i="23"/>
  <c r="D964" i="23"/>
  <c r="D35" i="23"/>
  <c r="D93" i="23"/>
  <c r="D141" i="23"/>
  <c r="D204" i="23"/>
  <c r="D267" i="23"/>
  <c r="D315" i="23"/>
  <c r="D405" i="23"/>
  <c r="D504" i="23"/>
  <c r="D623" i="23"/>
  <c r="D791" i="23"/>
  <c r="D1063" i="23"/>
  <c r="D139" i="23"/>
  <c r="D744" i="23"/>
  <c r="D36" i="23"/>
  <c r="D99" i="23"/>
  <c r="D157" i="23"/>
  <c r="D205" i="23"/>
  <c r="D268" i="23"/>
  <c r="D331" i="23"/>
  <c r="D424" i="23"/>
  <c r="D525" i="23"/>
  <c r="D662" i="23"/>
  <c r="D824" i="23"/>
  <c r="D1593" i="23"/>
  <c r="D2127" i="23"/>
  <c r="D2119" i="23"/>
  <c r="D2111" i="23"/>
  <c r="D2103" i="23"/>
  <c r="D2126" i="23"/>
  <c r="D2118" i="23"/>
  <c r="D2110" i="23"/>
  <c r="D2102" i="23"/>
  <c r="D2125" i="23"/>
  <c r="D2117" i="23"/>
  <c r="D2109" i="23"/>
  <c r="D2101" i="23"/>
  <c r="D2124" i="23"/>
  <c r="D2116" i="23"/>
  <c r="D2108" i="23"/>
  <c r="D2100" i="23"/>
  <c r="D2105" i="23"/>
  <c r="D2120" i="23"/>
  <c r="D2104" i="23"/>
  <c r="D2123" i="23"/>
  <c r="D2115" i="23"/>
  <c r="D2107" i="23"/>
  <c r="D2122" i="23"/>
  <c r="D2114" i="23"/>
  <c r="D2106" i="23"/>
  <c r="D2129" i="23"/>
  <c r="D2121" i="23"/>
  <c r="D2113" i="23"/>
  <c r="D2128" i="23"/>
  <c r="D2112" i="23"/>
  <c r="D52" i="23"/>
  <c r="D100" i="23"/>
  <c r="D163" i="23"/>
  <c r="D221" i="23"/>
  <c r="D269" i="23"/>
  <c r="D332" i="23"/>
  <c r="D431" i="23"/>
  <c r="D526" i="23"/>
  <c r="D663" i="23"/>
  <c r="D839" i="23"/>
  <c r="D1175" i="23"/>
  <c r="E71" i="6"/>
  <c r="E120" i="6"/>
  <c r="E50" i="6"/>
  <c r="E138" i="6"/>
  <c r="E94" i="6"/>
  <c r="E24" i="6"/>
  <c r="D13" i="23"/>
  <c r="D26" i="5" s="1"/>
  <c r="D308" i="23"/>
  <c r="D478" i="23"/>
  <c r="D2318" i="23"/>
  <c r="D2204" i="23"/>
  <c r="D53" i="23"/>
  <c r="D116" i="23"/>
  <c r="D164" i="23"/>
  <c r="D227" i="23"/>
  <c r="D285" i="23"/>
  <c r="D351" i="23"/>
  <c r="D451" i="23"/>
  <c r="D557" i="23"/>
  <c r="D696" i="23"/>
  <c r="D891" i="23"/>
  <c r="D1349" i="23"/>
  <c r="D245" i="23"/>
  <c r="D596" i="23"/>
  <c r="D11" i="23"/>
  <c r="D59" i="23"/>
  <c r="D117" i="23"/>
  <c r="D180" i="23"/>
  <c r="D228" i="23"/>
  <c r="D291" i="23"/>
  <c r="D358" i="23"/>
  <c r="D452" i="23"/>
  <c r="D558" i="23"/>
  <c r="D710" i="23"/>
  <c r="D892" i="23"/>
  <c r="D1429" i="23"/>
  <c r="E69" i="6"/>
  <c r="E118" i="6"/>
  <c r="E80" i="6"/>
  <c r="E36" i="6"/>
  <c r="E48" i="6"/>
  <c r="E137" i="6"/>
  <c r="E92" i="6"/>
  <c r="E22" i="6"/>
  <c r="D386" i="23"/>
  <c r="D479" i="23"/>
  <c r="D597" i="23"/>
  <c r="D711" i="23"/>
  <c r="D910" i="23"/>
  <c r="D1221" i="23"/>
  <c r="D60" i="23"/>
  <c r="D124" i="23"/>
  <c r="D165" i="23"/>
  <c r="D188" i="23"/>
  <c r="D211" i="23"/>
  <c r="D229" i="23"/>
  <c r="D252" i="23"/>
  <c r="D275" i="23"/>
  <c r="D293" i="23"/>
  <c r="D316" i="23"/>
  <c r="D340" i="23"/>
  <c r="D360" i="23"/>
  <c r="D387" i="23"/>
  <c r="D413" i="23"/>
  <c r="D434" i="23"/>
  <c r="D460" i="23"/>
  <c r="D486" i="23"/>
  <c r="D507" i="23"/>
  <c r="D535" i="23"/>
  <c r="D568" i="23"/>
  <c r="D598" i="23"/>
  <c r="D636" i="23"/>
  <c r="D678" i="23"/>
  <c r="D712" i="23"/>
  <c r="D759" i="23"/>
  <c r="D806" i="23"/>
  <c r="D846" i="23"/>
  <c r="D917" i="23"/>
  <c r="D990" i="23"/>
  <c r="D1065" i="23"/>
  <c r="D1228" i="23"/>
  <c r="D1493" i="23"/>
  <c r="D2192" i="23"/>
  <c r="D333" i="23"/>
  <c r="D359" i="23"/>
  <c r="D432" i="23"/>
  <c r="D506" i="23"/>
  <c r="D559" i="23"/>
  <c r="D664" i="23"/>
  <c r="D758" i="23"/>
  <c r="D845" i="23"/>
  <c r="D1064" i="23"/>
  <c r="D2186" i="23"/>
  <c r="E190" i="6" s="1"/>
  <c r="D19" i="23"/>
  <c r="D37" i="23"/>
  <c r="D83" i="23"/>
  <c r="D101" i="23"/>
  <c r="D147" i="23"/>
  <c r="D20" i="23"/>
  <c r="D43" i="23"/>
  <c r="D61" i="23"/>
  <c r="D84" i="23"/>
  <c r="D107" i="23"/>
  <c r="D125" i="23"/>
  <c r="D148" i="23"/>
  <c r="D171" i="23"/>
  <c r="D189" i="23"/>
  <c r="D212" i="23"/>
  <c r="D235" i="23"/>
  <c r="D253" i="23"/>
  <c r="D276" i="23"/>
  <c r="D299" i="23"/>
  <c r="D317" i="23"/>
  <c r="D341" i="23"/>
  <c r="D367" i="23"/>
  <c r="D388" i="23"/>
  <c r="D414" i="23"/>
  <c r="D440" i="23"/>
  <c r="D461" i="23"/>
  <c r="D487" i="23"/>
  <c r="D514" i="23"/>
  <c r="D536" i="23"/>
  <c r="D572" i="23"/>
  <c r="D607" i="23"/>
  <c r="D637" i="23"/>
  <c r="D679" i="23"/>
  <c r="D726" i="23"/>
  <c r="D760" i="23"/>
  <c r="D807" i="23"/>
  <c r="D863" i="23"/>
  <c r="D918" i="23"/>
  <c r="D999" i="23"/>
  <c r="D1096" i="23"/>
  <c r="D1229" i="23"/>
  <c r="D1515" i="23"/>
  <c r="D406" i="23"/>
  <c r="D534" i="23"/>
  <c r="D632" i="23"/>
  <c r="D792" i="23"/>
  <c r="D966" i="23"/>
  <c r="D1430" i="23"/>
  <c r="D21" i="23"/>
  <c r="D44" i="23"/>
  <c r="D67" i="23"/>
  <c r="D85" i="23"/>
  <c r="D108" i="23"/>
  <c r="D131" i="23"/>
  <c r="D149" i="23"/>
  <c r="D172" i="23"/>
  <c r="D195" i="23"/>
  <c r="D213" i="23"/>
  <c r="D236" i="23"/>
  <c r="D259" i="23"/>
  <c r="D277" i="23"/>
  <c r="D300" i="23"/>
  <c r="D323" i="23"/>
  <c r="D342" i="23"/>
  <c r="D368" i="23"/>
  <c r="D395" i="23"/>
  <c r="D415" i="23"/>
  <c r="D442" i="23"/>
  <c r="D468" i="23"/>
  <c r="D488" i="23"/>
  <c r="D515" i="23"/>
  <c r="D544" i="23"/>
  <c r="D573" i="23"/>
  <c r="D608" i="23"/>
  <c r="D646" i="23"/>
  <c r="D680" i="23"/>
  <c r="D727" i="23"/>
  <c r="D774" i="23"/>
  <c r="D808" i="23"/>
  <c r="D864" i="23"/>
  <c r="D936" i="23"/>
  <c r="D1000" i="23"/>
  <c r="D1111" i="23"/>
  <c r="D1276" i="23"/>
  <c r="D1580" i="23"/>
  <c r="D459" i="23"/>
  <c r="D45" i="23"/>
  <c r="D109" i="23"/>
  <c r="D173" i="23"/>
  <c r="D237" i="23"/>
  <c r="D283" i="23"/>
  <c r="D301" i="23"/>
  <c r="D324" i="23"/>
  <c r="D349" i="23"/>
  <c r="D396" i="23"/>
  <c r="D422" i="23"/>
  <c r="D443" i="23"/>
  <c r="D469" i="23"/>
  <c r="D495" i="23"/>
  <c r="D516" i="23"/>
  <c r="D547" i="23"/>
  <c r="D582" i="23"/>
  <c r="D612" i="23"/>
  <c r="D647" i="23"/>
  <c r="D694" i="23"/>
  <c r="D728" i="23"/>
  <c r="D775" i="23"/>
  <c r="D822" i="23"/>
  <c r="D871" i="23"/>
  <c r="D937" i="23"/>
  <c r="D1025" i="23"/>
  <c r="D1112" i="23"/>
  <c r="D1294" i="23"/>
  <c r="D2158" i="23"/>
  <c r="D2150" i="23"/>
  <c r="D2142" i="23"/>
  <c r="D2134" i="23"/>
  <c r="D2096" i="23"/>
  <c r="D2088" i="23"/>
  <c r="D2080" i="23"/>
  <c r="D2072" i="23"/>
  <c r="D2064" i="23"/>
  <c r="D2056" i="23"/>
  <c r="D2048" i="23"/>
  <c r="D2040" i="23"/>
  <c r="D2032" i="23"/>
  <c r="D2024" i="23"/>
  <c r="D2016" i="23"/>
  <c r="D2008" i="23"/>
  <c r="D2000" i="23"/>
  <c r="D1992" i="23"/>
  <c r="D1984" i="23"/>
  <c r="D1976" i="23"/>
  <c r="D1968" i="23"/>
  <c r="D1960" i="23"/>
  <c r="D1952" i="23"/>
  <c r="D1944" i="23"/>
  <c r="D1936" i="23"/>
  <c r="D1928" i="23"/>
  <c r="D1920" i="23"/>
  <c r="D1912" i="23"/>
  <c r="D1904" i="23"/>
  <c r="D1896" i="23"/>
  <c r="D1888" i="23"/>
  <c r="D1880" i="23"/>
  <c r="D1872" i="23"/>
  <c r="D1864" i="23"/>
  <c r="D1856" i="23"/>
  <c r="D1848" i="23"/>
  <c r="D1840" i="23"/>
  <c r="D1832" i="23"/>
  <c r="D1824" i="23"/>
  <c r="D1816" i="23"/>
  <c r="D1808" i="23"/>
  <c r="D1800" i="23"/>
  <c r="D1792" i="23"/>
  <c r="D1784" i="23"/>
  <c r="D1776" i="23"/>
  <c r="D1768" i="23"/>
  <c r="D1760" i="23"/>
  <c r="D1752" i="23"/>
  <c r="D1744" i="23"/>
  <c r="D1736" i="23"/>
  <c r="D1728" i="23"/>
  <c r="D1720" i="23"/>
  <c r="D1712" i="23"/>
  <c r="D1704" i="23"/>
  <c r="D1696" i="23"/>
  <c r="D1688" i="23"/>
  <c r="D1680" i="23"/>
  <c r="D1672" i="23"/>
  <c r="D1664" i="23"/>
  <c r="D1656" i="23"/>
  <c r="D2157" i="23"/>
  <c r="D2149" i="23"/>
  <c r="D2141" i="23"/>
  <c r="D2133" i="23"/>
  <c r="D2095" i="23"/>
  <c r="D2087" i="23"/>
  <c r="D2079" i="23"/>
  <c r="D2071" i="23"/>
  <c r="D2063" i="23"/>
  <c r="D2055" i="23"/>
  <c r="D2047" i="23"/>
  <c r="D2039" i="23"/>
  <c r="D2031" i="23"/>
  <c r="D2023" i="23"/>
  <c r="D2015" i="23"/>
  <c r="D2007" i="23"/>
  <c r="D1999" i="23"/>
  <c r="D1991" i="23"/>
  <c r="D1983" i="23"/>
  <c r="D1975" i="23"/>
  <c r="D1967" i="23"/>
  <c r="D1959" i="23"/>
  <c r="D1951" i="23"/>
  <c r="D1943" i="23"/>
  <c r="D1935" i="23"/>
  <c r="D1927" i="23"/>
  <c r="D1919" i="23"/>
  <c r="D1911" i="23"/>
  <c r="D1903" i="23"/>
  <c r="D1895" i="23"/>
  <c r="D1887" i="23"/>
  <c r="D1879" i="23"/>
  <c r="D1871" i="23"/>
  <c r="D1863" i="23"/>
  <c r="D1855" i="23"/>
  <c r="D1847" i="23"/>
  <c r="D1839" i="23"/>
  <c r="D1831" i="23"/>
  <c r="D1823" i="23"/>
  <c r="D1815" i="23"/>
  <c r="D1807" i="23"/>
  <c r="D1799" i="23"/>
  <c r="D1791" i="23"/>
  <c r="D1783" i="23"/>
  <c r="D1775" i="23"/>
  <c r="D1767" i="23"/>
  <c r="D1759" i="23"/>
  <c r="D1751" i="23"/>
  <c r="D1743" i="23"/>
  <c r="D1735" i="23"/>
  <c r="D1727" i="23"/>
  <c r="D1719" i="23"/>
  <c r="D1711" i="23"/>
  <c r="D1703" i="23"/>
  <c r="D1695" i="23"/>
  <c r="D1687" i="23"/>
  <c r="D1679" i="23"/>
  <c r="D1671" i="23"/>
  <c r="D1663" i="23"/>
  <c r="D1655" i="23"/>
  <c r="D1647" i="23"/>
  <c r="D1639" i="23"/>
  <c r="D1631" i="23"/>
  <c r="D1623" i="23"/>
  <c r="D1615" i="23"/>
  <c r="D1607" i="23"/>
  <c r="D1599" i="23"/>
  <c r="D1591" i="23"/>
  <c r="D1583" i="23"/>
  <c r="D2156" i="23"/>
  <c r="D2148" i="23"/>
  <c r="D2140" i="23"/>
  <c r="D2132" i="23"/>
  <c r="D2094" i="23"/>
  <c r="D2086" i="23"/>
  <c r="D2078" i="23"/>
  <c r="D2070" i="23"/>
  <c r="D2062" i="23"/>
  <c r="D2054" i="23"/>
  <c r="D2046" i="23"/>
  <c r="D2038" i="23"/>
  <c r="D2030" i="23"/>
  <c r="D2022" i="23"/>
  <c r="D2014" i="23"/>
  <c r="D2006" i="23"/>
  <c r="D1998" i="23"/>
  <c r="D1990" i="23"/>
  <c r="D1982" i="23"/>
  <c r="D1974" i="23"/>
  <c r="D1966" i="23"/>
  <c r="D1958" i="23"/>
  <c r="D1950" i="23"/>
  <c r="D1942" i="23"/>
  <c r="D1934" i="23"/>
  <c r="D1926" i="23"/>
  <c r="D1918" i="23"/>
  <c r="D1910" i="23"/>
  <c r="D1902" i="23"/>
  <c r="D1894" i="23"/>
  <c r="D1886" i="23"/>
  <c r="D1878" i="23"/>
  <c r="D1870" i="23"/>
  <c r="D1862" i="23"/>
  <c r="D1854" i="23"/>
  <c r="D1846" i="23"/>
  <c r="D1838" i="23"/>
  <c r="D1830" i="23"/>
  <c r="D1822" i="23"/>
  <c r="D1814" i="23"/>
  <c r="D1806" i="23"/>
  <c r="D1798" i="23"/>
  <c r="D1790" i="23"/>
  <c r="D1782" i="23"/>
  <c r="D1774" i="23"/>
  <c r="D1766" i="23"/>
  <c r="D1758" i="23"/>
  <c r="D1750" i="23"/>
  <c r="D1742" i="23"/>
  <c r="D1734" i="23"/>
  <c r="D1726" i="23"/>
  <c r="D1718" i="23"/>
  <c r="D1710" i="23"/>
  <c r="D1702" i="23"/>
  <c r="D1694" i="23"/>
  <c r="D1686" i="23"/>
  <c r="D1678" i="23"/>
  <c r="D1670" i="23"/>
  <c r="D1662" i="23"/>
  <c r="D1654" i="23"/>
  <c r="D1646" i="23"/>
  <c r="D1638" i="23"/>
  <c r="D1630" i="23"/>
  <c r="D1622" i="23"/>
  <c r="D1614" i="23"/>
  <c r="D1606" i="23"/>
  <c r="D1598" i="23"/>
  <c r="D1590" i="23"/>
  <c r="D1582" i="23"/>
  <c r="D2155" i="23"/>
  <c r="D2147" i="23"/>
  <c r="D2139" i="23"/>
  <c r="D2131" i="23"/>
  <c r="D2093" i="23"/>
  <c r="D2085" i="23"/>
  <c r="D2077" i="23"/>
  <c r="D2069" i="23"/>
  <c r="D2061" i="23"/>
  <c r="D2053" i="23"/>
  <c r="D2045" i="23"/>
  <c r="D2037" i="23"/>
  <c r="D2029" i="23"/>
  <c r="D2021" i="23"/>
  <c r="D2013" i="23"/>
  <c r="D2005" i="23"/>
  <c r="D1997" i="23"/>
  <c r="D1989" i="23"/>
  <c r="D1981" i="23"/>
  <c r="D1973" i="23"/>
  <c r="D1965" i="23"/>
  <c r="D1957" i="23"/>
  <c r="D1949" i="23"/>
  <c r="D1941" i="23"/>
  <c r="D1933" i="23"/>
  <c r="D1925" i="23"/>
  <c r="D1917" i="23"/>
  <c r="D1909" i="23"/>
  <c r="D1901" i="23"/>
  <c r="D1893" i="23"/>
  <c r="D1885" i="23"/>
  <c r="D1877" i="23"/>
  <c r="D1869" i="23"/>
  <c r="D1861" i="23"/>
  <c r="D1853" i="23"/>
  <c r="D1845" i="23"/>
  <c r="D1837" i="23"/>
  <c r="D1829" i="23"/>
  <c r="D1821" i="23"/>
  <c r="D1813" i="23"/>
  <c r="D1805" i="23"/>
  <c r="D1797" i="23"/>
  <c r="D1789" i="23"/>
  <c r="D1781" i="23"/>
  <c r="D1773" i="23"/>
  <c r="D1765" i="23"/>
  <c r="D1757" i="23"/>
  <c r="D1749" i="23"/>
  <c r="D1741" i="23"/>
  <c r="D1733" i="23"/>
  <c r="D1725" i="23"/>
  <c r="D1717" i="23"/>
  <c r="D1709" i="23"/>
  <c r="D1701" i="23"/>
  <c r="D1693" i="23"/>
  <c r="D1685" i="23"/>
  <c r="D1677" i="23"/>
  <c r="D1669" i="23"/>
  <c r="D1661" i="23"/>
  <c r="D1653" i="23"/>
  <c r="D2154" i="23"/>
  <c r="D2146" i="23"/>
  <c r="D2138" i="23"/>
  <c r="D2130" i="23"/>
  <c r="D2092" i="23"/>
  <c r="D2084" i="23"/>
  <c r="D2076" i="23"/>
  <c r="D2068" i="23"/>
  <c r="D2060" i="23"/>
  <c r="D2052" i="23"/>
  <c r="D2044" i="23"/>
  <c r="D2036" i="23"/>
  <c r="D2028" i="23"/>
  <c r="D2020" i="23"/>
  <c r="D2012" i="23"/>
  <c r="D2004" i="23"/>
  <c r="D1996" i="23"/>
  <c r="D1988" i="23"/>
  <c r="D1980" i="23"/>
  <c r="D1972" i="23"/>
  <c r="D1964" i="23"/>
  <c r="D1956" i="23"/>
  <c r="D1948" i="23"/>
  <c r="D1940" i="23"/>
  <c r="D1932" i="23"/>
  <c r="D1924" i="23"/>
  <c r="D1916" i="23"/>
  <c r="D1908" i="23"/>
  <c r="D1900" i="23"/>
  <c r="D1892" i="23"/>
  <c r="D1884" i="23"/>
  <c r="D1876" i="23"/>
  <c r="D1868" i="23"/>
  <c r="D1860" i="23"/>
  <c r="D1852" i="23"/>
  <c r="D1844" i="23"/>
  <c r="D1836" i="23"/>
  <c r="D1828" i="23"/>
  <c r="D1820" i="23"/>
  <c r="D1812" i="23"/>
  <c r="D1804" i="23"/>
  <c r="D1796" i="23"/>
  <c r="D1788" i="23"/>
  <c r="D1780" i="23"/>
  <c r="D1772" i="23"/>
  <c r="D1764" i="23"/>
  <c r="D1756" i="23"/>
  <c r="D1748" i="23"/>
  <c r="D1740" i="23"/>
  <c r="D1732" i="23"/>
  <c r="D1724" i="23"/>
  <c r="D1716" i="23"/>
  <c r="D1708" i="23"/>
  <c r="D1700" i="23"/>
  <c r="D1692" i="23"/>
  <c r="D1684" i="23"/>
  <c r="D1676" i="23"/>
  <c r="D1668" i="23"/>
  <c r="D1660" i="23"/>
  <c r="D1652" i="23"/>
  <c r="D2137" i="23"/>
  <c r="D2089" i="23"/>
  <c r="D2066" i="23"/>
  <c r="D2043" i="23"/>
  <c r="D2025" i="23"/>
  <c r="D2002" i="23"/>
  <c r="D1979" i="23"/>
  <c r="D1961" i="23"/>
  <c r="D1938" i="23"/>
  <c r="D1915" i="23"/>
  <c r="D1897" i="23"/>
  <c r="D1874" i="23"/>
  <c r="D1851" i="23"/>
  <c r="D1833" i="23"/>
  <c r="D2159" i="23"/>
  <c r="D2136" i="23"/>
  <c r="D2083" i="23"/>
  <c r="D2065" i="23"/>
  <c r="D2042" i="23"/>
  <c r="D2019" i="23"/>
  <c r="D2001" i="23"/>
  <c r="D1978" i="23"/>
  <c r="D2153" i="23"/>
  <c r="D2135" i="23"/>
  <c r="D2082" i="23"/>
  <c r="D2059" i="23"/>
  <c r="D2041" i="23"/>
  <c r="D2018" i="23"/>
  <c r="D1995" i="23"/>
  <c r="D1977" i="23"/>
  <c r="D1954" i="23"/>
  <c r="D1931" i="23"/>
  <c r="D1913" i="23"/>
  <c r="D1890" i="23"/>
  <c r="D1867" i="23"/>
  <c r="D1849" i="23"/>
  <c r="D1826" i="23"/>
  <c r="D1803" i="23"/>
  <c r="D1785" i="23"/>
  <c r="D1762" i="23"/>
  <c r="D1739" i="23"/>
  <c r="D1721" i="23"/>
  <c r="D1698" i="23"/>
  <c r="D1675" i="23"/>
  <c r="D1657" i="23"/>
  <c r="D1642" i="23"/>
  <c r="D1632" i="23"/>
  <c r="D1620" i="23"/>
  <c r="D1610" i="23"/>
  <c r="D1600" i="23"/>
  <c r="D1588" i="23"/>
  <c r="D1578" i="23"/>
  <c r="D1570" i="23"/>
  <c r="D1562" i="23"/>
  <c r="D1554" i="23"/>
  <c r="D1546" i="23"/>
  <c r="D1538" i="23"/>
  <c r="D1530" i="23"/>
  <c r="D1522" i="23"/>
  <c r="D1514" i="23"/>
  <c r="D1506" i="23"/>
  <c r="D1498" i="23"/>
  <c r="D1490" i="23"/>
  <c r="D1482" i="23"/>
  <c r="D1474" i="23"/>
  <c r="D1466" i="23"/>
  <c r="D1458" i="23"/>
  <c r="D1450" i="23"/>
  <c r="D1442" i="23"/>
  <c r="D1434" i="23"/>
  <c r="D1426" i="23"/>
  <c r="D1418" i="23"/>
  <c r="D1410" i="23"/>
  <c r="D1402" i="23"/>
  <c r="D1394" i="23"/>
  <c r="D1386" i="23"/>
  <c r="D1378" i="23"/>
  <c r="D1370" i="23"/>
  <c r="D2152" i="23"/>
  <c r="D2099" i="23"/>
  <c r="D2081" i="23"/>
  <c r="D2058" i="23"/>
  <c r="D2035" i="23"/>
  <c r="D2017" i="23"/>
  <c r="D1994" i="23"/>
  <c r="D1971" i="23"/>
  <c r="D1953" i="23"/>
  <c r="D1930" i="23"/>
  <c r="D1907" i="23"/>
  <c r="D1889" i="23"/>
  <c r="D1866" i="23"/>
  <c r="D1843" i="23"/>
  <c r="D1825" i="23"/>
  <c r="D1802" i="23"/>
  <c r="D1779" i="23"/>
  <c r="D1761" i="23"/>
  <c r="D1738" i="23"/>
  <c r="D1715" i="23"/>
  <c r="D1697" i="23"/>
  <c r="D1674" i="23"/>
  <c r="D1651" i="23"/>
  <c r="D1641" i="23"/>
  <c r="D1629" i="23"/>
  <c r="D1619" i="23"/>
  <c r="D1609" i="23"/>
  <c r="D1597" i="23"/>
  <c r="D1587" i="23"/>
  <c r="D1577" i="23"/>
  <c r="D1569" i="23"/>
  <c r="D1561" i="23"/>
  <c r="D1553" i="23"/>
  <c r="D1545" i="23"/>
  <c r="D1537" i="23"/>
  <c r="D1529" i="23"/>
  <c r="D1521" i="23"/>
  <c r="D1513" i="23"/>
  <c r="D1505" i="23"/>
  <c r="D1497" i="23"/>
  <c r="D1489" i="23"/>
  <c r="D1481" i="23"/>
  <c r="D1473" i="23"/>
  <c r="D1465" i="23"/>
  <c r="D1457" i="23"/>
  <c r="D1449" i="23"/>
  <c r="D1441" i="23"/>
  <c r="D1433" i="23"/>
  <c r="D1425" i="23"/>
  <c r="D1417" i="23"/>
  <c r="D1409" i="23"/>
  <c r="D1401" i="23"/>
  <c r="D1393" i="23"/>
  <c r="D1385" i="23"/>
  <c r="D1377" i="23"/>
  <c r="D1369" i="23"/>
  <c r="D1361" i="23"/>
  <c r="D1353" i="23"/>
  <c r="D1345" i="23"/>
  <c r="D1337" i="23"/>
  <c r="D1329" i="23"/>
  <c r="D1321" i="23"/>
  <c r="D1313" i="23"/>
  <c r="D1305" i="23"/>
  <c r="D1297" i="23"/>
  <c r="D1289" i="23"/>
  <c r="D1281" i="23"/>
  <c r="D1273" i="23"/>
  <c r="D1265" i="23"/>
  <c r="D1257" i="23"/>
  <c r="D1249" i="23"/>
  <c r="D1241" i="23"/>
  <c r="D1233" i="23"/>
  <c r="D1225" i="23"/>
  <c r="D1217" i="23"/>
  <c r="D1209" i="23"/>
  <c r="D1201" i="23"/>
  <c r="D1193" i="23"/>
  <c r="D1185" i="23"/>
  <c r="D2151" i="23"/>
  <c r="D2098" i="23"/>
  <c r="D2075" i="23"/>
  <c r="D2057" i="23"/>
  <c r="D2034" i="23"/>
  <c r="D2011" i="23"/>
  <c r="D1993" i="23"/>
  <c r="D1970" i="23"/>
  <c r="D1947" i="23"/>
  <c r="D1929" i="23"/>
  <c r="D1906" i="23"/>
  <c r="D1883" i="23"/>
  <c r="D1865" i="23"/>
  <c r="D1842" i="23"/>
  <c r="D1819" i="23"/>
  <c r="D1801" i="23"/>
  <c r="D1778" i="23"/>
  <c r="D1755" i="23"/>
  <c r="D1737" i="23"/>
  <c r="D1714" i="23"/>
  <c r="D1691" i="23"/>
  <c r="D1673" i="23"/>
  <c r="D1650" i="23"/>
  <c r="D1640" i="23"/>
  <c r="D1628" i="23"/>
  <c r="D1618" i="23"/>
  <c r="D1608" i="23"/>
  <c r="D1596" i="23"/>
  <c r="D1586" i="23"/>
  <c r="D1576" i="23"/>
  <c r="D1568" i="23"/>
  <c r="D1560" i="23"/>
  <c r="D1552" i="23"/>
  <c r="D1544" i="23"/>
  <c r="D1536" i="23"/>
  <c r="D1528" i="23"/>
  <c r="D2090" i="23"/>
  <c r="D2027" i="23"/>
  <c r="D1969" i="23"/>
  <c r="D1923" i="23"/>
  <c r="D1882" i="23"/>
  <c r="D1841" i="23"/>
  <c r="D1809" i="23"/>
  <c r="D1770" i="23"/>
  <c r="D1731" i="23"/>
  <c r="D1705" i="23"/>
  <c r="D1666" i="23"/>
  <c r="D1643" i="23"/>
  <c r="D1625" i="23"/>
  <c r="D1605" i="23"/>
  <c r="D1592" i="23"/>
  <c r="D1574" i="23"/>
  <c r="D1563" i="23"/>
  <c r="D1549" i="23"/>
  <c r="D1535" i="23"/>
  <c r="D1524" i="23"/>
  <c r="D1512" i="23"/>
  <c r="D1502" i="23"/>
  <c r="D1492" i="23"/>
  <c r="D1480" i="23"/>
  <c r="D1470" i="23"/>
  <c r="D1460" i="23"/>
  <c r="D1448" i="23"/>
  <c r="D1438" i="23"/>
  <c r="D1428" i="23"/>
  <c r="D1416" i="23"/>
  <c r="D1406" i="23"/>
  <c r="D1396" i="23"/>
  <c r="D1384" i="23"/>
  <c r="D1374" i="23"/>
  <c r="D1364" i="23"/>
  <c r="D1355" i="23"/>
  <c r="D1346" i="23"/>
  <c r="D1336" i="23"/>
  <c r="D1327" i="23"/>
  <c r="D1318" i="23"/>
  <c r="D1309" i="23"/>
  <c r="D1300" i="23"/>
  <c r="D1291" i="23"/>
  <c r="D1282" i="23"/>
  <c r="D1272" i="23"/>
  <c r="D1263" i="23"/>
  <c r="D1254" i="23"/>
  <c r="D1245" i="23"/>
  <c r="D1236" i="23"/>
  <c r="D1227" i="23"/>
  <c r="D1218" i="23"/>
  <c r="D1208" i="23"/>
  <c r="D1199" i="23"/>
  <c r="D1190" i="23"/>
  <c r="D1181" i="23"/>
  <c r="D1173" i="23"/>
  <c r="D1165" i="23"/>
  <c r="D1157" i="23"/>
  <c r="D1149" i="23"/>
  <c r="D1141" i="23"/>
  <c r="D1133" i="23"/>
  <c r="D1125" i="23"/>
  <c r="D1117" i="23"/>
  <c r="D1109" i="23"/>
  <c r="D1101" i="23"/>
  <c r="D1093" i="23"/>
  <c r="D1085" i="23"/>
  <c r="D1077" i="23"/>
  <c r="D1069" i="23"/>
  <c r="D1061" i="23"/>
  <c r="D1053" i="23"/>
  <c r="D1045" i="23"/>
  <c r="D1037" i="23"/>
  <c r="D1029" i="23"/>
  <c r="D1021" i="23"/>
  <c r="D1013" i="23"/>
  <c r="D1005" i="23"/>
  <c r="D997" i="23"/>
  <c r="D989" i="23"/>
  <c r="D981" i="23"/>
  <c r="D973" i="23"/>
  <c r="D965" i="23"/>
  <c r="D2074" i="23"/>
  <c r="D2026" i="23"/>
  <c r="D1963" i="23"/>
  <c r="D1922" i="23"/>
  <c r="D1881" i="23"/>
  <c r="D1835" i="23"/>
  <c r="D1795" i="23"/>
  <c r="D1769" i="23"/>
  <c r="D1730" i="23"/>
  <c r="D1699" i="23"/>
  <c r="D1665" i="23"/>
  <c r="D1637" i="23"/>
  <c r="D1624" i="23"/>
  <c r="D1604" i="23"/>
  <c r="D1589" i="23"/>
  <c r="D1573" i="23"/>
  <c r="D1559" i="23"/>
  <c r="D1548" i="23"/>
  <c r="D1534" i="23"/>
  <c r="D1523" i="23"/>
  <c r="D1511" i="23"/>
  <c r="D1501" i="23"/>
  <c r="D1491" i="23"/>
  <c r="D1479" i="23"/>
  <c r="D1469" i="23"/>
  <c r="D1459" i="23"/>
  <c r="D1447" i="23"/>
  <c r="D1437" i="23"/>
  <c r="D1427" i="23"/>
  <c r="D1415" i="23"/>
  <c r="D1405" i="23"/>
  <c r="D1395" i="23"/>
  <c r="D1383" i="23"/>
  <c r="D1373" i="23"/>
  <c r="D1363" i="23"/>
  <c r="D1354" i="23"/>
  <c r="D1344" i="23"/>
  <c r="D1335" i="23"/>
  <c r="D1326" i="23"/>
  <c r="D1317" i="23"/>
  <c r="D1308" i="23"/>
  <c r="D1299" i="23"/>
  <c r="D1290" i="23"/>
  <c r="D1280" i="23"/>
  <c r="D1271" i="23"/>
  <c r="D1262" i="23"/>
  <c r="D1253" i="23"/>
  <c r="D1244" i="23"/>
  <c r="D1235" i="23"/>
  <c r="D1226" i="23"/>
  <c r="D1216" i="23"/>
  <c r="D1207" i="23"/>
  <c r="D1198" i="23"/>
  <c r="D1189" i="23"/>
  <c r="D1180" i="23"/>
  <c r="D1172" i="23"/>
  <c r="D1164" i="23"/>
  <c r="D1156" i="23"/>
  <c r="D1148" i="23"/>
  <c r="D1140" i="23"/>
  <c r="D1132" i="23"/>
  <c r="D1124" i="23"/>
  <c r="D1116" i="23"/>
  <c r="D1108" i="23"/>
  <c r="D2073" i="23"/>
  <c r="D2010" i="23"/>
  <c r="D1962" i="23"/>
  <c r="D1921" i="23"/>
  <c r="D1875" i="23"/>
  <c r="D1834" i="23"/>
  <c r="D1794" i="23"/>
  <c r="D1763" i="23"/>
  <c r="D1729" i="23"/>
  <c r="D1690" i="23"/>
  <c r="D1659" i="23"/>
  <c r="D1636" i="23"/>
  <c r="D1621" i="23"/>
  <c r="D1603" i="23"/>
  <c r="D1585" i="23"/>
  <c r="D1572" i="23"/>
  <c r="D1558" i="23"/>
  <c r="D1547" i="23"/>
  <c r="D1533" i="23"/>
  <c r="D1520" i="23"/>
  <c r="D1510" i="23"/>
  <c r="D1500" i="23"/>
  <c r="D1488" i="23"/>
  <c r="D1478" i="23"/>
  <c r="D1468" i="23"/>
  <c r="D1456" i="23"/>
  <c r="D1446" i="23"/>
  <c r="D1436" i="23"/>
  <c r="D1424" i="23"/>
  <c r="D1414" i="23"/>
  <c r="D1404" i="23"/>
  <c r="D1392" i="23"/>
  <c r="D1382" i="23"/>
  <c r="D1372" i="23"/>
  <c r="D1362" i="23"/>
  <c r="D1352" i="23"/>
  <c r="D1343" i="23"/>
  <c r="D1334" i="23"/>
  <c r="D1325" i="23"/>
  <c r="D1316" i="23"/>
  <c r="D1307" i="23"/>
  <c r="D1298" i="23"/>
  <c r="D1288" i="23"/>
  <c r="D1279" i="23"/>
  <c r="D1270" i="23"/>
  <c r="D1261" i="23"/>
  <c r="D1252" i="23"/>
  <c r="D1243" i="23"/>
  <c r="D1234" i="23"/>
  <c r="D1224" i="23"/>
  <c r="D1215" i="23"/>
  <c r="D1206" i="23"/>
  <c r="D1197" i="23"/>
  <c r="D1188" i="23"/>
  <c r="D1179" i="23"/>
  <c r="D1171" i="23"/>
  <c r="D1163" i="23"/>
  <c r="D1155" i="23"/>
  <c r="D1147" i="23"/>
  <c r="D1139" i="23"/>
  <c r="D1131" i="23"/>
  <c r="D1123" i="23"/>
  <c r="D1115" i="23"/>
  <c r="D1107" i="23"/>
  <c r="D1099" i="23"/>
  <c r="D1091" i="23"/>
  <c r="D1083" i="23"/>
  <c r="D1075" i="23"/>
  <c r="D1067" i="23"/>
  <c r="D1059" i="23"/>
  <c r="D1051" i="23"/>
  <c r="D1043" i="23"/>
  <c r="D1035" i="23"/>
  <c r="D1027" i="23"/>
  <c r="D1019" i="23"/>
  <c r="D1011" i="23"/>
  <c r="D1003" i="23"/>
  <c r="D995" i="23"/>
  <c r="D987" i="23"/>
  <c r="D979" i="23"/>
  <c r="D2145" i="23"/>
  <c r="D2067" i="23"/>
  <c r="D2009" i="23"/>
  <c r="D1955" i="23"/>
  <c r="D1914" i="23"/>
  <c r="D1873" i="23"/>
  <c r="D1827" i="23"/>
  <c r="D1793" i="23"/>
  <c r="D1754" i="23"/>
  <c r="D1723" i="23"/>
  <c r="D1689" i="23"/>
  <c r="D1658" i="23"/>
  <c r="D1635" i="23"/>
  <c r="D1617" i="23"/>
  <c r="D1602" i="23"/>
  <c r="D1584" i="23"/>
  <c r="D1571" i="23"/>
  <c r="D1557" i="23"/>
  <c r="D1543" i="23"/>
  <c r="D1532" i="23"/>
  <c r="D1519" i="23"/>
  <c r="D1509" i="23"/>
  <c r="D1499" i="23"/>
  <c r="D1487" i="23"/>
  <c r="D1477" i="23"/>
  <c r="D1467" i="23"/>
  <c r="D1455" i="23"/>
  <c r="D1445" i="23"/>
  <c r="D1435" i="23"/>
  <c r="D1423" i="23"/>
  <c r="D1413" i="23"/>
  <c r="D1403" i="23"/>
  <c r="D1391" i="23"/>
  <c r="D1381" i="23"/>
  <c r="D1371" i="23"/>
  <c r="D1360" i="23"/>
  <c r="D1351" i="23"/>
  <c r="D1342" i="23"/>
  <c r="D1333" i="23"/>
  <c r="D1324" i="23"/>
  <c r="D1315" i="23"/>
  <c r="D1306" i="23"/>
  <c r="D1296" i="23"/>
  <c r="D1287" i="23"/>
  <c r="D1278" i="23"/>
  <c r="D1269" i="23"/>
  <c r="D1260" i="23"/>
  <c r="D1251" i="23"/>
  <c r="D1242" i="23"/>
  <c r="D1232" i="23"/>
  <c r="D1223" i="23"/>
  <c r="D1214" i="23"/>
  <c r="D1205" i="23"/>
  <c r="D1196" i="23"/>
  <c r="D1187" i="23"/>
  <c r="D1178" i="23"/>
  <c r="D1170" i="23"/>
  <c r="D1162" i="23"/>
  <c r="D1154" i="23"/>
  <c r="D1146" i="23"/>
  <c r="D1138" i="23"/>
  <c r="D1130" i="23"/>
  <c r="D1122" i="23"/>
  <c r="D1114" i="23"/>
  <c r="D1106" i="23"/>
  <c r="D1098" i="23"/>
  <c r="D1090" i="23"/>
  <c r="D1082" i="23"/>
  <c r="D1074" i="23"/>
  <c r="D1066" i="23"/>
  <c r="D1058" i="23"/>
  <c r="D1050" i="23"/>
  <c r="D1042" i="23"/>
  <c r="D1034" i="23"/>
  <c r="D1026" i="23"/>
  <c r="D1018" i="23"/>
  <c r="D1010" i="23"/>
  <c r="D1002" i="23"/>
  <c r="D994" i="23"/>
  <c r="D986" i="23"/>
  <c r="D978" i="23"/>
  <c r="D970" i="23"/>
  <c r="D962" i="23"/>
  <c r="D954" i="23"/>
  <c r="D946" i="23"/>
  <c r="D938" i="23"/>
  <c r="D930" i="23"/>
  <c r="D922" i="23"/>
  <c r="D914" i="23"/>
  <c r="D906" i="23"/>
  <c r="D898" i="23"/>
  <c r="D890" i="23"/>
  <c r="D882" i="23"/>
  <c r="D874" i="23"/>
  <c r="D866" i="23"/>
  <c r="D858" i="23"/>
  <c r="D2144" i="23"/>
  <c r="D2051" i="23"/>
  <c r="D2003" i="23"/>
  <c r="D1946" i="23"/>
  <c r="D1905" i="23"/>
  <c r="D1859" i="23"/>
  <c r="D1818" i="23"/>
  <c r="D1787" i="23"/>
  <c r="D1753" i="23"/>
  <c r="D1722" i="23"/>
  <c r="D1683" i="23"/>
  <c r="D1649" i="23"/>
  <c r="D1634" i="23"/>
  <c r="D1616" i="23"/>
  <c r="D1601" i="23"/>
  <c r="D1581" i="23"/>
  <c r="D1567" i="23"/>
  <c r="D1556" i="23"/>
  <c r="D1542" i="23"/>
  <c r="D1531" i="23"/>
  <c r="D1518" i="23"/>
  <c r="D1508" i="23"/>
  <c r="D1496" i="23"/>
  <c r="D1486" i="23"/>
  <c r="D1476" i="23"/>
  <c r="D1464" i="23"/>
  <c r="D1454" i="23"/>
  <c r="D1444" i="23"/>
  <c r="D1432" i="23"/>
  <c r="D1422" i="23"/>
  <c r="D1412" i="23"/>
  <c r="D1400" i="23"/>
  <c r="D1390" i="23"/>
  <c r="D1380" i="23"/>
  <c r="D1368" i="23"/>
  <c r="D1359" i="23"/>
  <c r="D1350" i="23"/>
  <c r="D1341" i="23"/>
  <c r="D1332" i="23"/>
  <c r="D1323" i="23"/>
  <c r="D1314" i="23"/>
  <c r="D1304" i="23"/>
  <c r="D1295" i="23"/>
  <c r="D1286" i="23"/>
  <c r="D1277" i="23"/>
  <c r="D1268" i="23"/>
  <c r="D1259" i="23"/>
  <c r="D1250" i="23"/>
  <c r="D1240" i="23"/>
  <c r="D1231" i="23"/>
  <c r="D1222" i="23"/>
  <c r="D1213" i="23"/>
  <c r="D1204" i="23"/>
  <c r="D1195" i="23"/>
  <c r="D1186" i="23"/>
  <c r="D1177" i="23"/>
  <c r="D1169" i="23"/>
  <c r="D1161" i="23"/>
  <c r="D1153" i="23"/>
  <c r="D1145" i="23"/>
  <c r="D1137" i="23"/>
  <c r="D1129" i="23"/>
  <c r="D1121" i="23"/>
  <c r="D1113" i="23"/>
  <c r="D1105" i="23"/>
  <c r="D1097" i="23"/>
  <c r="D1089" i="23"/>
  <c r="D1081" i="23"/>
  <c r="D1073" i="23"/>
  <c r="D1986" i="23"/>
  <c r="D1858" i="23"/>
  <c r="D1771" i="23"/>
  <c r="D1681" i="23"/>
  <c r="D1613" i="23"/>
  <c r="D1575" i="23"/>
  <c r="D1540" i="23"/>
  <c r="D1507" i="23"/>
  <c r="D1483" i="23"/>
  <c r="D1452" i="23"/>
  <c r="D1421" i="23"/>
  <c r="D1397" i="23"/>
  <c r="D1366" i="23"/>
  <c r="D1340" i="23"/>
  <c r="D1319" i="23"/>
  <c r="D1293" i="23"/>
  <c r="D1267" i="23"/>
  <c r="D1246" i="23"/>
  <c r="D1220" i="23"/>
  <c r="D1194" i="23"/>
  <c r="D1174" i="23"/>
  <c r="D1151" i="23"/>
  <c r="D1128" i="23"/>
  <c r="D1110" i="23"/>
  <c r="D1092" i="23"/>
  <c r="D1076" i="23"/>
  <c r="D1062" i="23"/>
  <c r="D1048" i="23"/>
  <c r="D1036" i="23"/>
  <c r="D1023" i="23"/>
  <c r="D1009" i="23"/>
  <c r="D998" i="23"/>
  <c r="D984" i="23"/>
  <c r="D972" i="23"/>
  <c r="D961" i="23"/>
  <c r="D952" i="23"/>
  <c r="D943" i="23"/>
  <c r="D934" i="23"/>
  <c r="D925" i="23"/>
  <c r="D916" i="23"/>
  <c r="D907" i="23"/>
  <c r="D897" i="23"/>
  <c r="D888" i="23"/>
  <c r="D879" i="23"/>
  <c r="D870" i="23"/>
  <c r="D861" i="23"/>
  <c r="D852" i="23"/>
  <c r="D844" i="23"/>
  <c r="D836" i="23"/>
  <c r="D828" i="23"/>
  <c r="D820" i="23"/>
  <c r="D812" i="23"/>
  <c r="D804" i="23"/>
  <c r="D796" i="23"/>
  <c r="D788" i="23"/>
  <c r="D780" i="23"/>
  <c r="D772" i="23"/>
  <c r="D764" i="23"/>
  <c r="D756" i="23"/>
  <c r="D748" i="23"/>
  <c r="D740" i="23"/>
  <c r="D732" i="23"/>
  <c r="D724" i="23"/>
  <c r="D716" i="23"/>
  <c r="D708" i="23"/>
  <c r="D700" i="23"/>
  <c r="D692" i="23"/>
  <c r="D684" i="23"/>
  <c r="D676" i="23"/>
  <c r="D668" i="23"/>
  <c r="D660" i="23"/>
  <c r="D652" i="23"/>
  <c r="D2143" i="23"/>
  <c r="D1985" i="23"/>
  <c r="D1857" i="23"/>
  <c r="D1747" i="23"/>
  <c r="D1667" i="23"/>
  <c r="D1612" i="23"/>
  <c r="D1566" i="23"/>
  <c r="D1539" i="23"/>
  <c r="D1504" i="23"/>
  <c r="D1475" i="23"/>
  <c r="D1451" i="23"/>
  <c r="D1420" i="23"/>
  <c r="D1389" i="23"/>
  <c r="D1365" i="23"/>
  <c r="D1339" i="23"/>
  <c r="D1312" i="23"/>
  <c r="D1292" i="23"/>
  <c r="D1266" i="23"/>
  <c r="D1239" i="23"/>
  <c r="D1219" i="23"/>
  <c r="D1192" i="23"/>
  <c r="D1168" i="23"/>
  <c r="D1150" i="23"/>
  <c r="D1127" i="23"/>
  <c r="D1104" i="23"/>
  <c r="D1088" i="23"/>
  <c r="D1072" i="23"/>
  <c r="D1060" i="23"/>
  <c r="D1047" i="23"/>
  <c r="D1033" i="23"/>
  <c r="D1022" i="23"/>
  <c r="D1008" i="23"/>
  <c r="D996" i="23"/>
  <c r="D983" i="23"/>
  <c r="D971" i="23"/>
  <c r="D960" i="23"/>
  <c r="D951" i="23"/>
  <c r="D942" i="23"/>
  <c r="D933" i="23"/>
  <c r="D924" i="23"/>
  <c r="D915" i="23"/>
  <c r="D905" i="23"/>
  <c r="D896" i="23"/>
  <c r="D887" i="23"/>
  <c r="D878" i="23"/>
  <c r="D869" i="23"/>
  <c r="D860" i="23"/>
  <c r="D851" i="23"/>
  <c r="D843" i="23"/>
  <c r="D835" i="23"/>
  <c r="D827" i="23"/>
  <c r="D819" i="23"/>
  <c r="D811" i="23"/>
  <c r="D803" i="23"/>
  <c r="D795" i="23"/>
  <c r="D787" i="23"/>
  <c r="D779" i="23"/>
  <c r="D771" i="23"/>
  <c r="D763" i="23"/>
  <c r="D755" i="23"/>
  <c r="D747" i="23"/>
  <c r="D739" i="23"/>
  <c r="D731" i="23"/>
  <c r="D723" i="23"/>
  <c r="D715" i="23"/>
  <c r="D707" i="23"/>
  <c r="D699" i="23"/>
  <c r="D691" i="23"/>
  <c r="D683" i="23"/>
  <c r="D675" i="23"/>
  <c r="D667" i="23"/>
  <c r="D659" i="23"/>
  <c r="D651" i="23"/>
  <c r="D643" i="23"/>
  <c r="D635" i="23"/>
  <c r="D627" i="23"/>
  <c r="D619" i="23"/>
  <c r="D611" i="23"/>
  <c r="D603" i="23"/>
  <c r="D595" i="23"/>
  <c r="D587" i="23"/>
  <c r="D579" i="23"/>
  <c r="D571" i="23"/>
  <c r="D563" i="23"/>
  <c r="D555" i="23"/>
  <c r="D2097" i="23"/>
  <c r="D1945" i="23"/>
  <c r="D1850" i="23"/>
  <c r="D1746" i="23"/>
  <c r="D1648" i="23"/>
  <c r="D1611" i="23"/>
  <c r="D1565" i="23"/>
  <c r="D1527" i="23"/>
  <c r="D1503" i="23"/>
  <c r="D1472" i="23"/>
  <c r="D1443" i="23"/>
  <c r="D1419" i="23"/>
  <c r="D1388" i="23"/>
  <c r="D1358" i="23"/>
  <c r="D1338" i="23"/>
  <c r="D1311" i="23"/>
  <c r="D1285" i="23"/>
  <c r="D1264" i="23"/>
  <c r="D1238" i="23"/>
  <c r="D1212" i="23"/>
  <c r="D1191" i="23"/>
  <c r="D1167" i="23"/>
  <c r="D1144" i="23"/>
  <c r="D1126" i="23"/>
  <c r="D1103" i="23"/>
  <c r="D1087" i="23"/>
  <c r="D1071" i="23"/>
  <c r="D1057" i="23"/>
  <c r="D1046" i="23"/>
  <c r="D1032" i="23"/>
  <c r="D1020" i="23"/>
  <c r="D1007" i="23"/>
  <c r="D993" i="23"/>
  <c r="D982" i="23"/>
  <c r="D969" i="23"/>
  <c r="D959" i="23"/>
  <c r="D950" i="23"/>
  <c r="D941" i="23"/>
  <c r="D932" i="23"/>
  <c r="D923" i="23"/>
  <c r="D913" i="23"/>
  <c r="D904" i="23"/>
  <c r="D895" i="23"/>
  <c r="D886" i="23"/>
  <c r="D877" i="23"/>
  <c r="D868" i="23"/>
  <c r="D859" i="23"/>
  <c r="D850" i="23"/>
  <c r="D842" i="23"/>
  <c r="D834" i="23"/>
  <c r="D826" i="23"/>
  <c r="D818" i="23"/>
  <c r="D810" i="23"/>
  <c r="D802" i="23"/>
  <c r="D794" i="23"/>
  <c r="D786" i="23"/>
  <c r="D778" i="23"/>
  <c r="D770" i="23"/>
  <c r="D762" i="23"/>
  <c r="D754" i="23"/>
  <c r="D746" i="23"/>
  <c r="D738" i="23"/>
  <c r="D730" i="23"/>
  <c r="D722" i="23"/>
  <c r="D714" i="23"/>
  <c r="D706" i="23"/>
  <c r="D698" i="23"/>
  <c r="D690" i="23"/>
  <c r="D682" i="23"/>
  <c r="D674" i="23"/>
  <c r="D666" i="23"/>
  <c r="D658" i="23"/>
  <c r="D650" i="23"/>
  <c r="D642" i="23"/>
  <c r="D634" i="23"/>
  <c r="D626" i="23"/>
  <c r="D618" i="23"/>
  <c r="D610" i="23"/>
  <c r="D602" i="23"/>
  <c r="D594" i="23"/>
  <c r="D586" i="23"/>
  <c r="D578" i="23"/>
  <c r="D570" i="23"/>
  <c r="D562" i="23"/>
  <c r="D554" i="23"/>
  <c r="D546" i="23"/>
  <c r="D538" i="23"/>
  <c r="D530" i="23"/>
  <c r="D522" i="23"/>
  <c r="D2091" i="23"/>
  <c r="D1939" i="23"/>
  <c r="D1817" i="23"/>
  <c r="D1745" i="23"/>
  <c r="D1645" i="23"/>
  <c r="D1595" i="23"/>
  <c r="D1564" i="23"/>
  <c r="D1526" i="23"/>
  <c r="D1495" i="23"/>
  <c r="D1471" i="23"/>
  <c r="D1440" i="23"/>
  <c r="D1411" i="23"/>
  <c r="D1387" i="23"/>
  <c r="D1357" i="23"/>
  <c r="D1331" i="23"/>
  <c r="D1310" i="23"/>
  <c r="D1284" i="23"/>
  <c r="D1258" i="23"/>
  <c r="D1237" i="23"/>
  <c r="D1211" i="23"/>
  <c r="D1184" i="23"/>
  <c r="D1166" i="23"/>
  <c r="D1143" i="23"/>
  <c r="D1120" i="23"/>
  <c r="D1102" i="23"/>
  <c r="D1086" i="23"/>
  <c r="D1070" i="23"/>
  <c r="D1056" i="23"/>
  <c r="D1044" i="23"/>
  <c r="D1031" i="23"/>
  <c r="D1017" i="23"/>
  <c r="D1006" i="23"/>
  <c r="D992" i="23"/>
  <c r="D980" i="23"/>
  <c r="D968" i="23"/>
  <c r="D958" i="23"/>
  <c r="D949" i="23"/>
  <c r="D940" i="23"/>
  <c r="D931" i="23"/>
  <c r="D921" i="23"/>
  <c r="D912" i="23"/>
  <c r="D903" i="23"/>
  <c r="D894" i="23"/>
  <c r="D885" i="23"/>
  <c r="D876" i="23"/>
  <c r="D867" i="23"/>
  <c r="D857" i="23"/>
  <c r="D849" i="23"/>
  <c r="D841" i="23"/>
  <c r="D833" i="23"/>
  <c r="D825" i="23"/>
  <c r="D817" i="23"/>
  <c r="D809" i="23"/>
  <c r="D801" i="23"/>
  <c r="D793" i="23"/>
  <c r="D785" i="23"/>
  <c r="D777" i="23"/>
  <c r="D769" i="23"/>
  <c r="D761" i="23"/>
  <c r="D753" i="23"/>
  <c r="D745" i="23"/>
  <c r="D737" i="23"/>
  <c r="D729" i="23"/>
  <c r="D721" i="23"/>
  <c r="D713" i="23"/>
  <c r="D705" i="23"/>
  <c r="D697" i="23"/>
  <c r="D689" i="23"/>
  <c r="D681" i="23"/>
  <c r="D673" i="23"/>
  <c r="D665" i="23"/>
  <c r="D657" i="23"/>
  <c r="D649" i="23"/>
  <c r="D641" i="23"/>
  <c r="D633" i="23"/>
  <c r="D625" i="23"/>
  <c r="D617" i="23"/>
  <c r="D609" i="23"/>
  <c r="D601" i="23"/>
  <c r="D593" i="23"/>
  <c r="D585" i="23"/>
  <c r="D577" i="23"/>
  <c r="D569" i="23"/>
  <c r="D561" i="23"/>
  <c r="D553" i="23"/>
  <c r="D545" i="23"/>
  <c r="D537" i="23"/>
  <c r="D529" i="23"/>
  <c r="D521" i="23"/>
  <c r="D513" i="23"/>
  <c r="D505" i="23"/>
  <c r="D497" i="23"/>
  <c r="D489" i="23"/>
  <c r="D481" i="23"/>
  <c r="D473" i="23"/>
  <c r="D465" i="23"/>
  <c r="D457" i="23"/>
  <c r="D449" i="23"/>
  <c r="D441" i="23"/>
  <c r="D433" i="23"/>
  <c r="D425" i="23"/>
  <c r="D417" i="23"/>
  <c r="D409" i="23"/>
  <c r="D401" i="23"/>
  <c r="D393" i="23"/>
  <c r="D385" i="23"/>
  <c r="D377" i="23"/>
  <c r="D369" i="23"/>
  <c r="D361" i="23"/>
  <c r="D353" i="23"/>
  <c r="D345" i="23"/>
  <c r="D337" i="23"/>
  <c r="D2050" i="23"/>
  <c r="D1937" i="23"/>
  <c r="D1811" i="23"/>
  <c r="D1713" i="23"/>
  <c r="D1644" i="23"/>
  <c r="D1594" i="23"/>
  <c r="D1555" i="23"/>
  <c r="D1525" i="23"/>
  <c r="D1494" i="23"/>
  <c r="D1463" i="23"/>
  <c r="D1439" i="23"/>
  <c r="D1408" i="23"/>
  <c r="D1379" i="23"/>
  <c r="D1356" i="23"/>
  <c r="D1330" i="23"/>
  <c r="D1303" i="23"/>
  <c r="D1283" i="23"/>
  <c r="D1256" i="23"/>
  <c r="D1230" i="23"/>
  <c r="D1210" i="23"/>
  <c r="D1183" i="23"/>
  <c r="D1160" i="23"/>
  <c r="D1142" i="23"/>
  <c r="D1119" i="23"/>
  <c r="D1100" i="23"/>
  <c r="D1084" i="23"/>
  <c r="D1068" i="23"/>
  <c r="D1055" i="23"/>
  <c r="D1041" i="23"/>
  <c r="D1030" i="23"/>
  <c r="D1016" i="23"/>
  <c r="D1004" i="23"/>
  <c r="D991" i="23"/>
  <c r="D977" i="23"/>
  <c r="D967" i="23"/>
  <c r="D957" i="23"/>
  <c r="D948" i="23"/>
  <c r="D939" i="23"/>
  <c r="D929" i="23"/>
  <c r="D920" i="23"/>
  <c r="D911" i="23"/>
  <c r="D902" i="23"/>
  <c r="D893" i="23"/>
  <c r="D884" i="23"/>
  <c r="D875" i="23"/>
  <c r="D865" i="23"/>
  <c r="D856" i="23"/>
  <c r="D848" i="23"/>
  <c r="D840" i="23"/>
  <c r="D832" i="23"/>
  <c r="D2033" i="23"/>
  <c r="D1707" i="23"/>
  <c r="D1579" i="23"/>
  <c r="D1485" i="23"/>
  <c r="D1407" i="23"/>
  <c r="D1347" i="23"/>
  <c r="D1275" i="23"/>
  <c r="D1203" i="23"/>
  <c r="D1152" i="23"/>
  <c r="D1095" i="23"/>
  <c r="D1054" i="23"/>
  <c r="D1024" i="23"/>
  <c r="D988" i="23"/>
  <c r="D956" i="23"/>
  <c r="D935" i="23"/>
  <c r="D909" i="23"/>
  <c r="D883" i="23"/>
  <c r="D862" i="23"/>
  <c r="D838" i="23"/>
  <c r="D821" i="23"/>
  <c r="D805" i="23"/>
  <c r="D789" i="23"/>
  <c r="D773" i="23"/>
  <c r="D757" i="23"/>
  <c r="D741" i="23"/>
  <c r="D725" i="23"/>
  <c r="D709" i="23"/>
  <c r="D693" i="23"/>
  <c r="D677" i="23"/>
  <c r="D661" i="23"/>
  <c r="D645" i="23"/>
  <c r="D631" i="23"/>
  <c r="D620" i="23"/>
  <c r="D606" i="23"/>
  <c r="D592" i="23"/>
  <c r="D581" i="23"/>
  <c r="D567" i="23"/>
  <c r="D556" i="23"/>
  <c r="D543" i="23"/>
  <c r="D533" i="23"/>
  <c r="D523" i="23"/>
  <c r="D512" i="23"/>
  <c r="D503" i="23"/>
  <c r="D494" i="23"/>
  <c r="D485" i="23"/>
  <c r="D476" i="23"/>
  <c r="D467" i="23"/>
  <c r="D458" i="23"/>
  <c r="D448" i="23"/>
  <c r="D439" i="23"/>
  <c r="D430" i="23"/>
  <c r="D421" i="23"/>
  <c r="D412" i="23"/>
  <c r="D403" i="23"/>
  <c r="D394" i="23"/>
  <c r="D384" i="23"/>
  <c r="D375" i="23"/>
  <c r="D366" i="23"/>
  <c r="D357" i="23"/>
  <c r="D348" i="23"/>
  <c r="D339" i="23"/>
  <c r="D330" i="23"/>
  <c r="D322" i="23"/>
  <c r="D314" i="23"/>
  <c r="D306" i="23"/>
  <c r="D298" i="23"/>
  <c r="D290" i="23"/>
  <c r="D282" i="23"/>
  <c r="D274" i="23"/>
  <c r="D266" i="23"/>
  <c r="D258" i="23"/>
  <c r="D250" i="23"/>
  <c r="D242" i="23"/>
  <c r="D234" i="23"/>
  <c r="D226" i="23"/>
  <c r="D218" i="23"/>
  <c r="D210" i="23"/>
  <c r="D202" i="23"/>
  <c r="D194" i="23"/>
  <c r="D186" i="23"/>
  <c r="D178" i="23"/>
  <c r="D170" i="23"/>
  <c r="D162" i="23"/>
  <c r="D154" i="23"/>
  <c r="D146" i="23"/>
  <c r="D138" i="23"/>
  <c r="D130" i="23"/>
  <c r="D122" i="23"/>
  <c r="D114" i="23"/>
  <c r="D106" i="23"/>
  <c r="D98" i="23"/>
  <c r="D90" i="23"/>
  <c r="D82" i="23"/>
  <c r="D74" i="23"/>
  <c r="D18" i="5" s="1"/>
  <c r="D66" i="23"/>
  <c r="D58" i="23"/>
  <c r="D50" i="23"/>
  <c r="D42" i="23"/>
  <c r="D34" i="23"/>
  <c r="D30" i="5" s="1"/>
  <c r="D26" i="23"/>
  <c r="D18" i="23"/>
  <c r="D10" i="23"/>
  <c r="D40" i="23"/>
  <c r="D16" i="23"/>
  <c r="D24" i="5" s="1"/>
  <c r="D1987" i="23"/>
  <c r="D1706" i="23"/>
  <c r="D1551" i="23"/>
  <c r="D1484" i="23"/>
  <c r="D1399" i="23"/>
  <c r="D1328" i="23"/>
  <c r="D1274" i="23"/>
  <c r="D1202" i="23"/>
  <c r="D1136" i="23"/>
  <c r="D1094" i="23"/>
  <c r="D1052" i="23"/>
  <c r="D1015" i="23"/>
  <c r="D985" i="23"/>
  <c r="D955" i="23"/>
  <c r="D928" i="23"/>
  <c r="D908" i="23"/>
  <c r="D881" i="23"/>
  <c r="D855" i="23"/>
  <c r="D837" i="23"/>
  <c r="D816" i="23"/>
  <c r="D800" i="23"/>
  <c r="D784" i="23"/>
  <c r="D768" i="23"/>
  <c r="D752" i="23"/>
  <c r="D736" i="23"/>
  <c r="D720" i="23"/>
  <c r="D704" i="23"/>
  <c r="D688" i="23"/>
  <c r="D672" i="23"/>
  <c r="D656" i="23"/>
  <c r="D644" i="23"/>
  <c r="D630" i="23"/>
  <c r="D616" i="23"/>
  <c r="D605" i="23"/>
  <c r="D591" i="23"/>
  <c r="D580" i="23"/>
  <c r="D566" i="23"/>
  <c r="D552" i="23"/>
  <c r="D542" i="23"/>
  <c r="D532" i="23"/>
  <c r="D520" i="23"/>
  <c r="D511" i="23"/>
  <c r="D502" i="23"/>
  <c r="D493" i="23"/>
  <c r="D484" i="23"/>
  <c r="D475" i="23"/>
  <c r="D466" i="23"/>
  <c r="D456" i="23"/>
  <c r="D447" i="23"/>
  <c r="D438" i="23"/>
  <c r="D429" i="23"/>
  <c r="D420" i="23"/>
  <c r="D411" i="23"/>
  <c r="D402" i="23"/>
  <c r="D392" i="23"/>
  <c r="D383" i="23"/>
  <c r="D374" i="23"/>
  <c r="D365" i="23"/>
  <c r="D356" i="23"/>
  <c r="D347" i="23"/>
  <c r="D338" i="23"/>
  <c r="D329" i="23"/>
  <c r="D321" i="23"/>
  <c r="D313" i="23"/>
  <c r="D305" i="23"/>
  <c r="D297" i="23"/>
  <c r="D289" i="23"/>
  <c r="D281" i="23"/>
  <c r="D273" i="23"/>
  <c r="D265" i="23"/>
  <c r="D257" i="23"/>
  <c r="D249" i="23"/>
  <c r="D241" i="23"/>
  <c r="D233" i="23"/>
  <c r="D225" i="23"/>
  <c r="D217" i="23"/>
  <c r="D209" i="23"/>
  <c r="D201" i="23"/>
  <c r="D193" i="23"/>
  <c r="D185" i="23"/>
  <c r="D177" i="23"/>
  <c r="D169" i="23"/>
  <c r="D161" i="23"/>
  <c r="D153" i="23"/>
  <c r="D145" i="23"/>
  <c r="D137" i="23"/>
  <c r="D129" i="23"/>
  <c r="D121" i="23"/>
  <c r="D113" i="23"/>
  <c r="D105" i="23"/>
  <c r="D97" i="23"/>
  <c r="D89" i="23"/>
  <c r="D81" i="23"/>
  <c r="D73" i="23"/>
  <c r="D20" i="5" s="1"/>
  <c r="D65" i="23"/>
  <c r="D57" i="23"/>
  <c r="D49" i="23"/>
  <c r="D41" i="23"/>
  <c r="D33" i="23"/>
  <c r="D25" i="23"/>
  <c r="D17" i="23"/>
  <c r="D27" i="5" s="1"/>
  <c r="D9" i="23"/>
  <c r="D48" i="23"/>
  <c r="D24" i="23"/>
  <c r="D1899" i="23"/>
  <c r="D1682" i="23"/>
  <c r="D1550" i="23"/>
  <c r="D1462" i="23"/>
  <c r="D1398" i="23"/>
  <c r="D1322" i="23"/>
  <c r="D1255" i="23"/>
  <c r="D1200" i="23"/>
  <c r="D1135" i="23"/>
  <c r="D1080" i="23"/>
  <c r="D1049" i="23"/>
  <c r="D1014" i="23"/>
  <c r="D976" i="23"/>
  <c r="D953" i="23"/>
  <c r="D927" i="23"/>
  <c r="D901" i="23"/>
  <c r="D880" i="23"/>
  <c r="D854" i="23"/>
  <c r="D831" i="23"/>
  <c r="D815" i="23"/>
  <c r="D799" i="23"/>
  <c r="D783" i="23"/>
  <c r="D767" i="23"/>
  <c r="D751" i="23"/>
  <c r="D735" i="23"/>
  <c r="D719" i="23"/>
  <c r="D703" i="23"/>
  <c r="D687" i="23"/>
  <c r="D671" i="23"/>
  <c r="D655" i="23"/>
  <c r="D640" i="23"/>
  <c r="D629" i="23"/>
  <c r="D615" i="23"/>
  <c r="D604" i="23"/>
  <c r="D590" i="23"/>
  <c r="D576" i="23"/>
  <c r="D565" i="23"/>
  <c r="D551" i="23"/>
  <c r="D541" i="23"/>
  <c r="D531" i="23"/>
  <c r="D519" i="23"/>
  <c r="D510" i="23"/>
  <c r="D501" i="23"/>
  <c r="D492" i="23"/>
  <c r="D483" i="23"/>
  <c r="D474" i="23"/>
  <c r="D464" i="23"/>
  <c r="D455" i="23"/>
  <c r="D446" i="23"/>
  <c r="D437" i="23"/>
  <c r="D428" i="23"/>
  <c r="D419" i="23"/>
  <c r="D410" i="23"/>
  <c r="D400" i="23"/>
  <c r="D391" i="23"/>
  <c r="D382" i="23"/>
  <c r="D373" i="23"/>
  <c r="D364" i="23"/>
  <c r="D355" i="23"/>
  <c r="D346" i="23"/>
  <c r="D336" i="23"/>
  <c r="D328" i="23"/>
  <c r="D320" i="23"/>
  <c r="D312" i="23"/>
  <c r="D304" i="23"/>
  <c r="D296" i="23"/>
  <c r="D288" i="23"/>
  <c r="D280" i="23"/>
  <c r="D272" i="23"/>
  <c r="D264" i="23"/>
  <c r="D256" i="23"/>
  <c r="D248" i="23"/>
  <c r="D240" i="23"/>
  <c r="D232" i="23"/>
  <c r="D224" i="23"/>
  <c r="D216" i="23"/>
  <c r="D208" i="23"/>
  <c r="D200" i="23"/>
  <c r="D192" i="23"/>
  <c r="D184" i="23"/>
  <c r="D176" i="23"/>
  <c r="D168" i="23"/>
  <c r="D160" i="23"/>
  <c r="D152" i="23"/>
  <c r="D144" i="23"/>
  <c r="D136" i="23"/>
  <c r="D128" i="23"/>
  <c r="D120" i="23"/>
  <c r="D112" i="23"/>
  <c r="D104" i="23"/>
  <c r="D32" i="5" s="1"/>
  <c r="D96" i="23"/>
  <c r="D88" i="23"/>
  <c r="D80" i="23"/>
  <c r="D72" i="23"/>
  <c r="D64" i="23"/>
  <c r="D56" i="23"/>
  <c r="D32" i="23"/>
  <c r="D8" i="23"/>
  <c r="D1898" i="23"/>
  <c r="D1633" i="23"/>
  <c r="D1541" i="23"/>
  <c r="D1461" i="23"/>
  <c r="D1376" i="23"/>
  <c r="D1320" i="23"/>
  <c r="D1248" i="23"/>
  <c r="D1182" i="23"/>
  <c r="D1134" i="23"/>
  <c r="D1079" i="23"/>
  <c r="D1040" i="23"/>
  <c r="D1012" i="23"/>
  <c r="D975" i="23"/>
  <c r="D947" i="23"/>
  <c r="D926" i="23"/>
  <c r="D900" i="23"/>
  <c r="D873" i="23"/>
  <c r="D853" i="23"/>
  <c r="D830" i="23"/>
  <c r="D814" i="23"/>
  <c r="D798" i="23"/>
  <c r="D782" i="23"/>
  <c r="D766" i="23"/>
  <c r="D750" i="23"/>
  <c r="D734" i="23"/>
  <c r="D718" i="23"/>
  <c r="D702" i="23"/>
  <c r="D686" i="23"/>
  <c r="D670" i="23"/>
  <c r="D654" i="23"/>
  <c r="D639" i="23"/>
  <c r="D628" i="23"/>
  <c r="D614" i="23"/>
  <c r="D600" i="23"/>
  <c r="D589" i="23"/>
  <c r="D575" i="23"/>
  <c r="D564" i="23"/>
  <c r="D550" i="23"/>
  <c r="D540" i="23"/>
  <c r="D528" i="23"/>
  <c r="D518" i="23"/>
  <c r="D509" i="23"/>
  <c r="D500" i="23"/>
  <c r="D491" i="23"/>
  <c r="D482" i="23"/>
  <c r="D472" i="23"/>
  <c r="D463" i="23"/>
  <c r="D454" i="23"/>
  <c r="D445" i="23"/>
  <c r="D436" i="23"/>
  <c r="D427" i="23"/>
  <c r="D418" i="23"/>
  <c r="D408" i="23"/>
  <c r="D399" i="23"/>
  <c r="D390" i="23"/>
  <c r="D381" i="23"/>
  <c r="D372" i="23"/>
  <c r="D363" i="23"/>
  <c r="D354" i="23"/>
  <c r="D344" i="23"/>
  <c r="D335" i="23"/>
  <c r="D327" i="23"/>
  <c r="D319" i="23"/>
  <c r="D311" i="23"/>
  <c r="D303" i="23"/>
  <c r="D295" i="23"/>
  <c r="D287" i="23"/>
  <c r="D279" i="23"/>
  <c r="D271" i="23"/>
  <c r="D263" i="23"/>
  <c r="D255" i="23"/>
  <c r="D247" i="23"/>
  <c r="D239" i="23"/>
  <c r="D231" i="23"/>
  <c r="D223" i="23"/>
  <c r="D215" i="23"/>
  <c r="D207" i="23"/>
  <c r="D199" i="23"/>
  <c r="D191" i="23"/>
  <c r="D183" i="23"/>
  <c r="D175" i="23"/>
  <c r="D167" i="23"/>
  <c r="D159" i="23"/>
  <c r="D151" i="23"/>
  <c r="D143" i="23"/>
  <c r="D135" i="23"/>
  <c r="D127" i="23"/>
  <c r="D119" i="23"/>
  <c r="D111" i="23"/>
  <c r="D103" i="23"/>
  <c r="D95" i="23"/>
  <c r="D87" i="23"/>
  <c r="D79" i="23"/>
  <c r="D71" i="23"/>
  <c r="D63" i="23"/>
  <c r="D55" i="23"/>
  <c r="D47" i="23"/>
  <c r="D39" i="23"/>
  <c r="D31" i="23"/>
  <c r="D23" i="23"/>
  <c r="D15" i="23"/>
  <c r="D23" i="5" s="1"/>
  <c r="D7" i="23"/>
  <c r="D28" i="5" s="1"/>
  <c r="D230" i="23"/>
  <c r="D206" i="23"/>
  <c r="D190" i="23"/>
  <c r="D174" i="23"/>
  <c r="D166" i="23"/>
  <c r="D150" i="23"/>
  <c r="D134" i="23"/>
  <c r="D126" i="23"/>
  <c r="D110" i="23"/>
  <c r="D102" i="23"/>
  <c r="D86" i="23"/>
  <c r="D78" i="23"/>
  <c r="D19" i="5" s="1"/>
  <c r="D70" i="23"/>
  <c r="D54" i="23"/>
  <c r="D46" i="23"/>
  <c r="D38" i="23"/>
  <c r="D22" i="23"/>
  <c r="D14" i="23"/>
  <c r="D1810" i="23"/>
  <c r="D1626" i="23"/>
  <c r="D1431" i="23"/>
  <c r="D1367" i="23"/>
  <c r="D1301" i="23"/>
  <c r="D1891" i="23"/>
  <c r="D1627" i="23"/>
  <c r="D1517" i="23"/>
  <c r="D1453" i="23"/>
  <c r="D1375" i="23"/>
  <c r="D1302" i="23"/>
  <c r="D1247" i="23"/>
  <c r="D1176" i="23"/>
  <c r="D1118" i="23"/>
  <c r="D1078" i="23"/>
  <c r="D1039" i="23"/>
  <c r="D1001" i="23"/>
  <c r="D974" i="23"/>
  <c r="D945" i="23"/>
  <c r="D919" i="23"/>
  <c r="D899" i="23"/>
  <c r="D872" i="23"/>
  <c r="D847" i="23"/>
  <c r="D829" i="23"/>
  <c r="D813" i="23"/>
  <c r="D797" i="23"/>
  <c r="D781" i="23"/>
  <c r="D765" i="23"/>
  <c r="D749" i="23"/>
  <c r="D733" i="23"/>
  <c r="D717" i="23"/>
  <c r="D701" i="23"/>
  <c r="D685" i="23"/>
  <c r="D669" i="23"/>
  <c r="D653" i="23"/>
  <c r="D638" i="23"/>
  <c r="D624" i="23"/>
  <c r="D613" i="23"/>
  <c r="D599" i="23"/>
  <c r="D588" i="23"/>
  <c r="D574" i="23"/>
  <c r="D560" i="23"/>
  <c r="D549" i="23"/>
  <c r="D539" i="23"/>
  <c r="D527" i="23"/>
  <c r="D517" i="23"/>
  <c r="D508" i="23"/>
  <c r="D499" i="23"/>
  <c r="D490" i="23"/>
  <c r="D480" i="23"/>
  <c r="D471" i="23"/>
  <c r="D462" i="23"/>
  <c r="D453" i="23"/>
  <c r="D444" i="23"/>
  <c r="D435" i="23"/>
  <c r="D426" i="23"/>
  <c r="D416" i="23"/>
  <c r="D407" i="23"/>
  <c r="D398" i="23"/>
  <c r="D389" i="23"/>
  <c r="D380" i="23"/>
  <c r="D371" i="23"/>
  <c r="D362" i="23"/>
  <c r="D352" i="23"/>
  <c r="D343" i="23"/>
  <c r="D334" i="23"/>
  <c r="D326" i="23"/>
  <c r="D318" i="23"/>
  <c r="D310" i="23"/>
  <c r="D302" i="23"/>
  <c r="D294" i="23"/>
  <c r="D286" i="23"/>
  <c r="D278" i="23"/>
  <c r="D270" i="23"/>
  <c r="D262" i="23"/>
  <c r="D254" i="23"/>
  <c r="D246" i="23"/>
  <c r="D238" i="23"/>
  <c r="D222" i="23"/>
  <c r="D214" i="23"/>
  <c r="D198" i="23"/>
  <c r="D182" i="23"/>
  <c r="D158" i="23"/>
  <c r="D142" i="23"/>
  <c r="D118" i="23"/>
  <c r="D94" i="23"/>
  <c r="D62" i="23"/>
  <c r="D30" i="23"/>
  <c r="D1516" i="23"/>
  <c r="D27" i="23"/>
  <c r="D68" i="23"/>
  <c r="D91" i="23"/>
  <c r="D132" i="23"/>
  <c r="D155" i="23"/>
  <c r="D196" i="23"/>
  <c r="D219" i="23"/>
  <c r="D260" i="23"/>
  <c r="D370" i="23"/>
  <c r="D28" i="23"/>
  <c r="D51" i="23"/>
  <c r="D69" i="23"/>
  <c r="D92" i="23"/>
  <c r="D115" i="23"/>
  <c r="D133" i="23"/>
  <c r="D156" i="23"/>
  <c r="D179" i="23"/>
  <c r="D197" i="23"/>
  <c r="D220" i="23"/>
  <c r="D243" i="23"/>
  <c r="D261" i="23"/>
  <c r="D284" i="23"/>
  <c r="D307" i="23"/>
  <c r="D325" i="23"/>
  <c r="D350" i="23"/>
  <c r="D376" i="23"/>
  <c r="D397" i="23"/>
  <c r="D423" i="23"/>
  <c r="D450" i="23"/>
  <c r="D470" i="23"/>
  <c r="D496" i="23"/>
  <c r="D524" i="23"/>
  <c r="D548" i="23"/>
  <c r="D583" i="23"/>
  <c r="D621" i="23"/>
  <c r="D648" i="23"/>
  <c r="D695" i="23"/>
  <c r="D742" i="23"/>
  <c r="D776" i="23"/>
  <c r="D823" i="23"/>
  <c r="D889" i="23"/>
  <c r="D944" i="23"/>
  <c r="D1028" i="23"/>
  <c r="D1158" i="23"/>
  <c r="D1348" i="23"/>
  <c r="D1777" i="23"/>
  <c r="D2323" i="23"/>
  <c r="D2247" i="23"/>
  <c r="D2239" i="23"/>
  <c r="D2231" i="23"/>
  <c r="D2223" i="23"/>
  <c r="D2215" i="23"/>
  <c r="D2207" i="23"/>
  <c r="D2199" i="23"/>
  <c r="E210" i="6" s="1"/>
  <c r="D2191" i="23"/>
  <c r="D2183" i="23"/>
  <c r="D2175" i="23"/>
  <c r="D2167" i="23"/>
  <c r="D2322" i="23"/>
  <c r="D2246" i="23"/>
  <c r="D2238" i="23"/>
  <c r="D2230" i="23"/>
  <c r="D2222" i="23"/>
  <c r="D2214" i="23"/>
  <c r="D2206" i="23"/>
  <c r="D2198" i="23"/>
  <c r="D2190" i="23"/>
  <c r="D2182" i="23"/>
  <c r="D2174" i="23"/>
  <c r="D2166" i="23"/>
  <c r="D2321" i="23"/>
  <c r="D2245" i="23"/>
  <c r="D2237" i="23"/>
  <c r="D2229" i="23"/>
  <c r="D2221" i="23"/>
  <c r="D2213" i="23"/>
  <c r="D2205" i="23"/>
  <c r="D2197" i="23"/>
  <c r="D2189" i="23"/>
  <c r="D2181" i="23"/>
  <c r="D2173" i="23"/>
  <c r="D2165" i="23"/>
  <c r="D2320" i="23"/>
  <c r="D2252" i="23"/>
  <c r="D2244" i="23"/>
  <c r="D2236" i="23"/>
  <c r="D2228" i="23"/>
  <c r="D2220" i="23"/>
  <c r="D2212" i="23"/>
  <c r="D2196" i="23"/>
  <c r="D2188" i="23"/>
  <c r="E189" i="6" s="1"/>
  <c r="D2180" i="23"/>
  <c r="D2172" i="23"/>
  <c r="D2164" i="23"/>
  <c r="D2319" i="23"/>
  <c r="D2243" i="23"/>
  <c r="D2235" i="23"/>
  <c r="D2227" i="23"/>
  <c r="D2219" i="23"/>
  <c r="D2211" i="23"/>
  <c r="D2203" i="23"/>
  <c r="D2195" i="23"/>
  <c r="D2187" i="23"/>
  <c r="D2179" i="23"/>
  <c r="D2171" i="23"/>
  <c r="D2163" i="23"/>
  <c r="D2324" i="23"/>
  <c r="D2225" i="23"/>
  <c r="D2202" i="23"/>
  <c r="D2184" i="23"/>
  <c r="D2242" i="23"/>
  <c r="D2224" i="23"/>
  <c r="D2201" i="23"/>
  <c r="D2178" i="23"/>
  <c r="D2317" i="23"/>
  <c r="D2241" i="23"/>
  <c r="D2218" i="23"/>
  <c r="D2200" i="23"/>
  <c r="D2177" i="23"/>
  <c r="D2316" i="23"/>
  <c r="D2240" i="23"/>
  <c r="D2217" i="23"/>
  <c r="D2194" i="23"/>
  <c r="D2176" i="23"/>
  <c r="D2234" i="23"/>
  <c r="D2216" i="23"/>
  <c r="D2193" i="23"/>
  <c r="D2170" i="23"/>
  <c r="E113" i="6" s="1"/>
  <c r="D2232" i="23"/>
  <c r="D2169" i="23"/>
  <c r="D2226" i="23"/>
  <c r="D2168" i="23"/>
  <c r="D2325" i="23"/>
  <c r="D2210" i="23"/>
  <c r="D2162" i="23"/>
  <c r="D2209" i="23"/>
  <c r="E53" i="6" s="1"/>
  <c r="D2208" i="23"/>
  <c r="D2185" i="23"/>
  <c r="D2251" i="23"/>
  <c r="D2233" i="23"/>
  <c r="D2250" i="23"/>
  <c r="D2312" i="23"/>
  <c r="D34" i="5" l="1"/>
  <c r="D33" i="5"/>
  <c r="D48" i="5"/>
  <c r="D35" i="5"/>
  <c r="D31" i="5"/>
  <c r="E202" i="6"/>
  <c r="E201" i="6"/>
  <c r="E23" i="6"/>
  <c r="E70" i="6"/>
  <c r="E93" i="6"/>
  <c r="E49" i="6"/>
  <c r="E119" i="6"/>
  <c r="E145" i="6"/>
  <c r="G145" i="6" s="1"/>
  <c r="E212" i="6"/>
  <c r="E125" i="6"/>
  <c r="E183" i="6"/>
  <c r="E99" i="6"/>
  <c r="E166" i="6"/>
  <c r="E81" i="6"/>
  <c r="E56" i="6"/>
  <c r="E193" i="6"/>
  <c r="E157" i="6"/>
  <c r="E220" i="6"/>
  <c r="E173" i="6"/>
  <c r="E204" i="6"/>
  <c r="E107" i="6"/>
  <c r="E37" i="6"/>
  <c r="E10" i="6"/>
  <c r="G10" i="6" s="1"/>
  <c r="E54" i="6"/>
  <c r="E55" i="6"/>
  <c r="E43" i="6"/>
  <c r="E200" i="6"/>
  <c r="E199" i="6"/>
  <c r="E163" i="6"/>
  <c r="E179" i="6"/>
  <c r="E192" i="6"/>
  <c r="E32" i="6"/>
  <c r="E133" i="6"/>
  <c r="E18" i="6"/>
  <c r="E88" i="6"/>
  <c r="E123" i="6"/>
  <c r="G123" i="6" s="1"/>
  <c r="E75" i="6"/>
  <c r="E217" i="6"/>
  <c r="E143" i="6"/>
  <c r="G143" i="6" s="1"/>
  <c r="E106" i="6"/>
  <c r="E30" i="6"/>
  <c r="E165" i="6"/>
  <c r="E156" i="6"/>
  <c r="E131" i="6"/>
  <c r="E31" i="6"/>
  <c r="E9" i="6"/>
  <c r="G9" i="6" s="1"/>
  <c r="E65" i="6"/>
  <c r="E64" i="6"/>
  <c r="E44" i="6"/>
  <c r="E114" i="6"/>
  <c r="E147" i="6"/>
  <c r="G147" i="6" s="1"/>
  <c r="E222" i="6"/>
  <c r="E175" i="6"/>
  <c r="E101" i="6"/>
  <c r="E206" i="6"/>
  <c r="E109" i="6"/>
  <c r="E83" i="6"/>
  <c r="E159" i="6"/>
  <c r="E214" i="6"/>
  <c r="E127" i="6"/>
  <c r="E185" i="6"/>
  <c r="E168" i="6"/>
  <c r="E58" i="6"/>
  <c r="E39" i="6"/>
  <c r="E195" i="6"/>
  <c r="E12" i="6"/>
  <c r="G12" i="6" s="1"/>
  <c r="E16" i="6"/>
  <c r="G16" i="6" s="1"/>
  <c r="E17" i="6"/>
  <c r="G17" i="6" s="1"/>
  <c r="E144" i="6"/>
  <c r="G144" i="6" s="1"/>
  <c r="E164" i="6"/>
  <c r="E153" i="6"/>
  <c r="E105" i="6"/>
  <c r="E27" i="6"/>
  <c r="E172" i="6"/>
  <c r="E98" i="6"/>
  <c r="E191" i="6"/>
  <c r="E180" i="6"/>
  <c r="E155" i="6"/>
  <c r="E87" i="6"/>
  <c r="E29" i="6"/>
  <c r="E211" i="6"/>
  <c r="E182" i="6"/>
  <c r="E132" i="6"/>
  <c r="E28" i="6"/>
  <c r="E154" i="6"/>
  <c r="E26" i="6"/>
  <c r="E181" i="6"/>
  <c r="E76" i="6"/>
  <c r="E15" i="6"/>
  <c r="E7" i="6"/>
  <c r="G7" i="6" s="1"/>
  <c r="E8" i="6"/>
  <c r="G8" i="6" s="1"/>
  <c r="E62" i="6"/>
  <c r="E63" i="6"/>
  <c r="E74" i="6"/>
  <c r="E146" i="6"/>
  <c r="G146" i="6" s="1"/>
  <c r="E82" i="6"/>
  <c r="E100" i="6"/>
  <c r="E194" i="6"/>
  <c r="E158" i="6"/>
  <c r="E38" i="6"/>
  <c r="E221" i="6"/>
  <c r="E174" i="6"/>
  <c r="E205" i="6"/>
  <c r="E108" i="6"/>
  <c r="E213" i="6"/>
  <c r="E184" i="6"/>
  <c r="E167" i="6"/>
  <c r="E57" i="6"/>
  <c r="E126" i="6"/>
  <c r="E11" i="6"/>
  <c r="G11" i="6" s="1"/>
  <c r="E124" i="6"/>
  <c r="G124" i="6" s="1"/>
  <c r="E152" i="6"/>
  <c r="E219" i="6"/>
  <c r="E52" i="6"/>
  <c r="E218" i="6"/>
  <c r="E97" i="6"/>
  <c r="E151" i="6"/>
  <c r="E47" i="6"/>
  <c r="E21" i="6"/>
  <c r="E91" i="6"/>
  <c r="E117" i="6"/>
  <c r="E79" i="6"/>
  <c r="E68" i="6"/>
  <c r="E35" i="6"/>
  <c r="E136" i="6"/>
  <c r="G142" i="6" l="1"/>
  <c r="G6" i="6"/>
  <c r="G5" i="6" s="1"/>
  <c r="A134" i="6"/>
  <c r="A135" i="6"/>
  <c r="C135" i="6" l="1"/>
  <c r="E135" i="6"/>
  <c r="D135" i="6"/>
  <c r="C134" i="6"/>
  <c r="D134" i="6"/>
  <c r="E134" i="6"/>
  <c r="O14" i="18"/>
  <c r="N14" i="18"/>
  <c r="M14" i="18"/>
  <c r="L14" i="18"/>
  <c r="H50" i="5" l="1"/>
  <c r="H51" i="5" l="1"/>
  <c r="E2" i="6"/>
  <c r="D2" i="6"/>
  <c r="D2" i="5"/>
  <c r="C2" i="5"/>
  <c r="A5" i="9"/>
  <c r="J51" i="5" l="1"/>
  <c r="J39" i="5"/>
  <c r="J30" i="5"/>
  <c r="J18" i="5"/>
  <c r="J9" i="5"/>
  <c r="J27" i="5"/>
  <c r="J15" i="5"/>
  <c r="J14" i="5"/>
  <c r="J24" i="5"/>
  <c r="J13" i="5"/>
  <c r="J33" i="5"/>
  <c r="J12" i="5"/>
  <c r="J7" i="5"/>
  <c r="J19" i="5"/>
  <c r="J50" i="5"/>
  <c r="J38" i="5"/>
  <c r="J28" i="5"/>
  <c r="J17" i="5"/>
  <c r="J6" i="5"/>
  <c r="D6" i="5" s="1"/>
  <c r="F6" i="5" s="1"/>
  <c r="J36" i="5"/>
  <c r="J26" i="5"/>
  <c r="J34" i="5"/>
  <c r="J23" i="5"/>
  <c r="J41" i="5"/>
  <c r="J20" i="5"/>
  <c r="J31" i="5"/>
  <c r="J48" i="5"/>
  <c r="J46" i="5"/>
  <c r="D46" i="5" s="1"/>
  <c r="J35" i="5"/>
  <c r="J32" i="5"/>
  <c r="J40" i="5"/>
  <c r="J45" i="5"/>
  <c r="D45" i="5" s="1"/>
  <c r="F45" i="5" s="1"/>
  <c r="J42" i="5"/>
  <c r="J8" i="5"/>
  <c r="E140" i="6"/>
  <c r="E139" i="6"/>
  <c r="G139" i="6" s="1"/>
  <c r="H42" i="5"/>
  <c r="H41" i="5"/>
  <c r="H39" i="5"/>
  <c r="H40" i="5"/>
  <c r="H38" i="5"/>
  <c r="D38" i="5" l="1"/>
  <c r="H7" i="5"/>
  <c r="H9" i="5"/>
  <c r="H8" i="5"/>
  <c r="H13" i="5" l="1"/>
  <c r="H14" i="5"/>
  <c r="H15" i="5"/>
  <c r="H12" i="5"/>
  <c r="D12" i="5" s="1"/>
  <c r="D34" i="6" l="1"/>
  <c r="A33" i="6"/>
  <c r="F37" i="6" s="1"/>
  <c r="D20" i="6"/>
  <c r="A19" i="6"/>
  <c r="F18" i="6" l="1"/>
  <c r="F21" i="6"/>
  <c r="D19" i="6"/>
  <c r="F24" i="6"/>
  <c r="F22" i="6"/>
  <c r="F23" i="6"/>
  <c r="D33" i="6"/>
  <c r="F38" i="6"/>
  <c r="F39" i="6"/>
  <c r="E19" i="6"/>
  <c r="C19" i="6"/>
  <c r="E20" i="6"/>
  <c r="C20" i="6"/>
  <c r="E33" i="6"/>
  <c r="C33" i="6"/>
  <c r="E34" i="6"/>
  <c r="C34" i="6"/>
  <c r="F30" i="5" l="1"/>
  <c r="F32" i="5"/>
  <c r="F33" i="5"/>
  <c r="F34" i="5"/>
  <c r="F35" i="5"/>
  <c r="F31" i="5" l="1"/>
  <c r="D36" i="5"/>
  <c r="F36" i="5" s="1"/>
  <c r="D51" i="5"/>
  <c r="D50" i="5"/>
  <c r="F50" i="5" s="1"/>
  <c r="F48" i="5"/>
  <c r="D14" i="5"/>
  <c r="D8" i="5"/>
  <c r="D42" i="5"/>
  <c r="D13" i="5"/>
  <c r="D7" i="5"/>
  <c r="D41" i="5"/>
  <c r="D40" i="5"/>
  <c r="D39" i="5"/>
  <c r="D9" i="5"/>
  <c r="D15" i="5"/>
  <c r="A115" i="6"/>
  <c r="A89" i="6"/>
  <c r="A77" i="6"/>
  <c r="A66" i="6"/>
  <c r="A45" i="6"/>
  <c r="F14" i="18"/>
  <c r="G14" i="18"/>
  <c r="H14" i="18"/>
  <c r="F82" i="6" l="1"/>
  <c r="F81" i="6"/>
  <c r="F83" i="6"/>
  <c r="G83" i="6" s="1"/>
  <c r="E78" i="6"/>
  <c r="D78" i="6"/>
  <c r="C78" i="6"/>
  <c r="C89" i="6"/>
  <c r="E89" i="6"/>
  <c r="D89" i="6"/>
  <c r="E90" i="6"/>
  <c r="D90" i="6"/>
  <c r="C90" i="6"/>
  <c r="E45" i="6"/>
  <c r="D45" i="6"/>
  <c r="C45" i="6"/>
  <c r="E115" i="6"/>
  <c r="D115" i="6"/>
  <c r="C115" i="6"/>
  <c r="C46" i="6"/>
  <c r="E46" i="6"/>
  <c r="D46" i="6"/>
  <c r="D116" i="6"/>
  <c r="C116" i="6"/>
  <c r="E116" i="6"/>
  <c r="E66" i="6"/>
  <c r="D66" i="6"/>
  <c r="C66" i="6"/>
  <c r="D67" i="6"/>
  <c r="C67" i="6"/>
  <c r="E67" i="6"/>
  <c r="D77" i="6"/>
  <c r="E77" i="6"/>
  <c r="C77" i="6"/>
  <c r="F29" i="5"/>
  <c r="E13" i="5" a="1"/>
  <c r="E13" i="5" s="1"/>
  <c r="E14" i="5" a="1"/>
  <c r="E14" i="5" s="1"/>
  <c r="E12" i="5" a="1"/>
  <c r="E12" i="5" s="1"/>
  <c r="E15" i="5" a="1"/>
  <c r="E15" i="5" s="1"/>
  <c r="G140" i="6"/>
  <c r="G125" i="6"/>
  <c r="G81" i="6" l="1"/>
  <c r="G127" i="6"/>
  <c r="G194" i="6"/>
  <c r="G213" i="6"/>
  <c r="G167" i="6"/>
  <c r="G100" i="6"/>
  <c r="G221" i="6"/>
  <c r="G184" i="6"/>
  <c r="G174" i="6"/>
  <c r="G108" i="6"/>
  <c r="G57" i="6"/>
  <c r="G158" i="6"/>
  <c r="G38" i="6"/>
  <c r="G205" i="6"/>
  <c r="G126" i="6"/>
  <c r="G122" i="6" s="1"/>
  <c r="G222" i="6"/>
  <c r="G185" i="6"/>
  <c r="G58" i="6"/>
  <c r="G101" i="6"/>
  <c r="G168" i="6"/>
  <c r="G39" i="6"/>
  <c r="G214" i="6"/>
  <c r="G109" i="6"/>
  <c r="G195" i="6"/>
  <c r="G206" i="6"/>
  <c r="G159" i="6"/>
  <c r="G175" i="6"/>
  <c r="G37" i="6"/>
  <c r="G220" i="6"/>
  <c r="G173" i="6"/>
  <c r="G99" i="6"/>
  <c r="G212" i="6"/>
  <c r="G204" i="6"/>
  <c r="G193" i="6"/>
  <c r="G56" i="6"/>
  <c r="G183" i="6"/>
  <c r="G166" i="6"/>
  <c r="G107" i="6"/>
  <c r="G157" i="6"/>
  <c r="I14" i="18"/>
  <c r="E23" i="5" s="1"/>
  <c r="G82" i="6"/>
  <c r="F18" i="18" l="1"/>
  <c r="S14" i="18"/>
  <c r="T14" i="18"/>
  <c r="E46" i="5" s="1"/>
  <c r="J14" i="18"/>
  <c r="E24" i="5"/>
  <c r="E18" i="5"/>
  <c r="E17" i="5"/>
  <c r="E20" i="5"/>
  <c r="E19" i="5"/>
  <c r="G29" i="6"/>
  <c r="G191" i="6"/>
  <c r="E51" i="5" l="1"/>
  <c r="F17" i="18"/>
  <c r="F16" i="18"/>
  <c r="F39" i="5"/>
  <c r="F51" i="5"/>
  <c r="F49" i="5" s="1"/>
  <c r="F46" i="5"/>
  <c r="F44" i="5" s="1"/>
  <c r="E40" i="5"/>
  <c r="F40" i="5" s="1"/>
  <c r="F41" i="5"/>
  <c r="F42" i="5"/>
  <c r="F38" i="5"/>
  <c r="F116" i="6" l="1"/>
  <c r="F90" i="6"/>
  <c r="F67" i="6"/>
  <c r="F66" i="6"/>
  <c r="F115" i="6"/>
  <c r="F89" i="6"/>
  <c r="F62" i="26"/>
  <c r="D64" i="26" s="1"/>
  <c r="D71" i="29" s="1"/>
  <c r="B10" i="9"/>
  <c r="E10" i="9" s="1"/>
  <c r="F47" i="5"/>
  <c r="F43" i="5" s="1"/>
  <c r="G153" i="6"/>
  <c r="G154" i="6"/>
  <c r="G181" i="6"/>
  <c r="G132" i="6"/>
  <c r="G190" i="6"/>
  <c r="G201" i="6"/>
  <c r="G200" i="6"/>
  <c r="G219" i="6"/>
  <c r="G218" i="6"/>
  <c r="G217" i="6"/>
  <c r="G211" i="6"/>
  <c r="G180" i="6"/>
  <c r="B11" i="12"/>
  <c r="U71" i="29" l="1"/>
  <c r="AM71" i="29"/>
  <c r="AU71" i="29"/>
  <c r="AD71" i="29"/>
  <c r="AF71" i="29"/>
  <c r="AE71" i="29"/>
  <c r="AL71" i="29"/>
  <c r="D63" i="26"/>
  <c r="D70" i="29" s="1"/>
  <c r="G216" i="6"/>
  <c r="B27" i="9" s="1"/>
  <c r="E27" i="9" s="1"/>
  <c r="F59" i="26"/>
  <c r="E9" i="13"/>
  <c r="G54" i="6"/>
  <c r="AN71" i="29" l="1"/>
  <c r="T70" i="29"/>
  <c r="AL70" i="29"/>
  <c r="AU70" i="29"/>
  <c r="AF70" i="29"/>
  <c r="AE70" i="29"/>
  <c r="AM70" i="29"/>
  <c r="AD70" i="29"/>
  <c r="AV71" i="29"/>
  <c r="D69" i="29"/>
  <c r="F42" i="26"/>
  <c r="D43" i="26" s="1"/>
  <c r="D50" i="29" s="1"/>
  <c r="B9" i="9"/>
  <c r="E9" i="9" s="1"/>
  <c r="D60" i="26"/>
  <c r="D67" i="29" s="1"/>
  <c r="D61" i="26"/>
  <c r="D68" i="29" s="1"/>
  <c r="G30" i="6"/>
  <c r="G28" i="6"/>
  <c r="G27" i="6"/>
  <c r="G26" i="6"/>
  <c r="AN70" i="29" l="1"/>
  <c r="U68" i="29"/>
  <c r="AD68" i="29"/>
  <c r="AL68" i="29"/>
  <c r="AE68" i="29"/>
  <c r="AF68" i="29"/>
  <c r="AM68" i="29"/>
  <c r="AU68" i="29"/>
  <c r="T67" i="29"/>
  <c r="AD67" i="29"/>
  <c r="AE67" i="29"/>
  <c r="AF67" i="29"/>
  <c r="AL67" i="29"/>
  <c r="AU67" i="29"/>
  <c r="AM67" i="29"/>
  <c r="AN67" i="29" s="1"/>
  <c r="T50" i="29"/>
  <c r="AF50" i="29"/>
  <c r="AU50" i="29"/>
  <c r="AL50" i="29"/>
  <c r="AE50" i="29"/>
  <c r="AD50" i="29"/>
  <c r="AM50" i="29"/>
  <c r="D49" i="29"/>
  <c r="D66" i="29"/>
  <c r="AV70" i="29"/>
  <c r="A9" i="9"/>
  <c r="G138" i="6"/>
  <c r="G131" i="6"/>
  <c r="G120" i="6"/>
  <c r="G94" i="6"/>
  <c r="G71" i="6"/>
  <c r="G50" i="6"/>
  <c r="G24" i="6"/>
  <c r="G179" i="6"/>
  <c r="G182" i="6"/>
  <c r="G152" i="6"/>
  <c r="G113" i="6"/>
  <c r="G87" i="6"/>
  <c r="G43" i="6"/>
  <c r="AN68" i="29" l="1"/>
  <c r="AN50" i="29"/>
  <c r="AV50" i="29" s="1"/>
  <c r="AV68" i="29"/>
  <c r="AV67" i="29"/>
  <c r="G177" i="6"/>
  <c r="F141" i="26" s="1"/>
  <c r="D143" i="26" l="1"/>
  <c r="D150" i="29" s="1"/>
  <c r="D144" i="26"/>
  <c r="D151" i="29" s="1"/>
  <c r="D142" i="26"/>
  <c r="D149" i="29" s="1"/>
  <c r="AC151" i="29" l="1"/>
  <c r="AD151" i="29"/>
  <c r="AN151" i="29"/>
  <c r="AM151" i="29"/>
  <c r="AE151" i="29"/>
  <c r="AF151" i="29"/>
  <c r="AL151" i="29"/>
  <c r="AC149" i="29"/>
  <c r="AL149" i="29"/>
  <c r="AE149" i="29"/>
  <c r="AM149" i="29"/>
  <c r="AD149" i="29"/>
  <c r="AF149" i="29"/>
  <c r="AN149" i="29"/>
  <c r="AC150" i="29"/>
  <c r="AM150" i="29"/>
  <c r="AD150" i="29"/>
  <c r="AF150" i="29"/>
  <c r="AL150" i="29"/>
  <c r="AE150" i="29"/>
  <c r="AN150" i="29"/>
  <c r="D148" i="29"/>
  <c r="A6" i="9"/>
  <c r="AU151" i="29" l="1"/>
  <c r="AU149" i="29"/>
  <c r="AU150" i="29"/>
  <c r="AV151" i="29"/>
  <c r="AV150" i="29"/>
  <c r="AV149" i="29"/>
  <c r="G164" i="6"/>
  <c r="G75" i="6" l="1"/>
  <c r="F9" i="5" l="1"/>
  <c r="F8" i="5"/>
  <c r="F14" i="5" l="1"/>
  <c r="F15" i="5"/>
  <c r="F12" i="5"/>
  <c r="F13" i="5"/>
  <c r="F49" i="26" s="1"/>
  <c r="F37" i="5"/>
  <c r="F11" i="5" l="1"/>
  <c r="F52" i="26"/>
  <c r="D53" i="26" s="1"/>
  <c r="D60" i="29" s="1"/>
  <c r="F51" i="26"/>
  <c r="F50" i="26"/>
  <c r="F7" i="5"/>
  <c r="F5" i="5" s="1"/>
  <c r="T60" i="29" l="1"/>
  <c r="AM60" i="29"/>
  <c r="AL60" i="29"/>
  <c r="AD60" i="29"/>
  <c r="AU60" i="29"/>
  <c r="AE60" i="29"/>
  <c r="AF60" i="29"/>
  <c r="D59" i="29"/>
  <c r="F26" i="5"/>
  <c r="F24" i="5"/>
  <c r="F27" i="5"/>
  <c r="G210" i="6"/>
  <c r="G208" i="6" s="1"/>
  <c r="B26" i="9" s="1"/>
  <c r="E26" i="9" s="1"/>
  <c r="F28" i="5"/>
  <c r="G114" i="6"/>
  <c r="AN60" i="29" l="1"/>
  <c r="AV60" i="29" s="1"/>
  <c r="F166" i="26"/>
  <c r="D167" i="26" s="1"/>
  <c r="D174" i="29" s="1"/>
  <c r="F164" i="26"/>
  <c r="D165" i="26" s="1"/>
  <c r="D172" i="29" s="1"/>
  <c r="F161" i="26"/>
  <c r="G133" i="6"/>
  <c r="G88" i="6"/>
  <c r="G119" i="6"/>
  <c r="G70" i="6"/>
  <c r="G23" i="6"/>
  <c r="G93" i="6"/>
  <c r="G49" i="6"/>
  <c r="F25" i="5"/>
  <c r="B6" i="9"/>
  <c r="E6" i="9" s="1"/>
  <c r="AO172" i="29" l="1"/>
  <c r="AO9" i="29" s="1"/>
  <c r="D171" i="29"/>
  <c r="AU172" i="29"/>
  <c r="AV172" i="29" s="1"/>
  <c r="AS174" i="29"/>
  <c r="AS9" i="29" s="1"/>
  <c r="D173" i="29"/>
  <c r="F160" i="26"/>
  <c r="D162" i="26"/>
  <c r="D169" i="29" s="1"/>
  <c r="D163" i="26"/>
  <c r="D170" i="29" s="1"/>
  <c r="G90" i="6"/>
  <c r="G46" i="6"/>
  <c r="G135" i="6"/>
  <c r="G34" i="6"/>
  <c r="G78" i="6"/>
  <c r="G116" i="6"/>
  <c r="G67" i="6"/>
  <c r="G20" i="6"/>
  <c r="G115" i="6"/>
  <c r="G134" i="6"/>
  <c r="G77" i="6"/>
  <c r="G89" i="6"/>
  <c r="G33" i="6"/>
  <c r="G66" i="6"/>
  <c r="G45" i="6"/>
  <c r="G19" i="6"/>
  <c r="AU174" i="29" l="1"/>
  <c r="AV174" i="29" s="1"/>
  <c r="AG170" i="29"/>
  <c r="AG169" i="29"/>
  <c r="D168" i="29"/>
  <c r="G137" i="6"/>
  <c r="G69" i="6"/>
  <c r="G80" i="6"/>
  <c r="G92" i="6"/>
  <c r="G118" i="6"/>
  <c r="G36" i="6"/>
  <c r="G48" i="6"/>
  <c r="G22" i="6"/>
  <c r="AG9" i="29" l="1"/>
  <c r="D167" i="29"/>
  <c r="AU169" i="29"/>
  <c r="AV169" i="29" s="1"/>
  <c r="AU170" i="29"/>
  <c r="AV170" i="29" s="1"/>
  <c r="G21" i="6"/>
  <c r="G91" i="6"/>
  <c r="G86" i="6" s="1"/>
  <c r="G136" i="6"/>
  <c r="G130" i="6" s="1"/>
  <c r="G129" i="6" s="1"/>
  <c r="G117" i="6"/>
  <c r="G112" i="6" s="1"/>
  <c r="G111" i="6" s="1"/>
  <c r="G79" i="6"/>
  <c r="G35" i="6"/>
  <c r="G68" i="6"/>
  <c r="G47" i="6"/>
  <c r="F67" i="26" l="1"/>
  <c r="D68" i="26" s="1"/>
  <c r="D75" i="29" s="1"/>
  <c r="F65" i="26"/>
  <c r="D66" i="26" s="1"/>
  <c r="D73" i="29" s="1"/>
  <c r="G65" i="6"/>
  <c r="G151" i="6"/>
  <c r="U73" i="29" l="1"/>
  <c r="AD73" i="29"/>
  <c r="AM73" i="29"/>
  <c r="AL73" i="29"/>
  <c r="AF73" i="29"/>
  <c r="AE73" i="29"/>
  <c r="AU73" i="29"/>
  <c r="U75" i="29"/>
  <c r="AD75" i="29"/>
  <c r="AE75" i="29"/>
  <c r="AU75" i="29"/>
  <c r="AL75" i="29"/>
  <c r="AF75" i="29"/>
  <c r="AM75" i="29"/>
  <c r="D72" i="29"/>
  <c r="D74" i="29"/>
  <c r="F69" i="26"/>
  <c r="D70" i="26" s="1"/>
  <c r="D77" i="29" s="1"/>
  <c r="G18" i="6"/>
  <c r="G44" i="6"/>
  <c r="G42" i="6" s="1"/>
  <c r="G64" i="6"/>
  <c r="G32" i="6"/>
  <c r="AN73" i="29" l="1"/>
  <c r="AN75" i="29"/>
  <c r="AV75" i="29" s="1"/>
  <c r="U77" i="29"/>
  <c r="AF77" i="29"/>
  <c r="AE77" i="29"/>
  <c r="AM77" i="29"/>
  <c r="AL77" i="29"/>
  <c r="AU77" i="29"/>
  <c r="AD77" i="29"/>
  <c r="AV73" i="29"/>
  <c r="D71" i="26"/>
  <c r="D78" i="29" s="1"/>
  <c r="AN77" i="29" l="1"/>
  <c r="U78" i="29"/>
  <c r="AE78" i="29"/>
  <c r="AU78" i="29"/>
  <c r="AD78" i="29"/>
  <c r="AF78" i="29"/>
  <c r="AL78" i="29"/>
  <c r="AM78" i="29"/>
  <c r="AV77" i="29"/>
  <c r="D76" i="29"/>
  <c r="A7" i="9"/>
  <c r="A8" i="9"/>
  <c r="F23" i="5"/>
  <c r="F22" i="5" s="1"/>
  <c r="F21" i="5" s="1"/>
  <c r="F54" i="26" s="1"/>
  <c r="F20" i="5"/>
  <c r="F46" i="26" s="1"/>
  <c r="F19" i="5"/>
  <c r="F18" i="5"/>
  <c r="F47" i="26" s="1"/>
  <c r="F17" i="5"/>
  <c r="G203" i="6"/>
  <c r="AN78" i="29" l="1"/>
  <c r="AV78" i="29" s="1"/>
  <c r="F45" i="26"/>
  <c r="D55" i="26"/>
  <c r="D62" i="29" s="1"/>
  <c r="D56" i="26"/>
  <c r="D63" i="29" s="1"/>
  <c r="D58" i="26"/>
  <c r="D65" i="29" s="1"/>
  <c r="D57" i="26"/>
  <c r="D64" i="29" s="1"/>
  <c r="B8" i="9"/>
  <c r="E8" i="9" s="1"/>
  <c r="F16" i="5"/>
  <c r="F10" i="5" s="1"/>
  <c r="G202" i="6"/>
  <c r="G105" i="6"/>
  <c r="G62" i="6"/>
  <c r="G15" i="6"/>
  <c r="G14" i="6" s="1"/>
  <c r="G31" i="6"/>
  <c r="G25" i="6" s="1"/>
  <c r="G98" i="6"/>
  <c r="G55" i="6"/>
  <c r="G155" i="6"/>
  <c r="G165" i="6"/>
  <c r="G106" i="6"/>
  <c r="G53" i="6"/>
  <c r="G76" i="6"/>
  <c r="G189" i="6"/>
  <c r="G74" i="6"/>
  <c r="G163" i="6"/>
  <c r="B5" i="12"/>
  <c r="G52" i="6"/>
  <c r="G63" i="6"/>
  <c r="G156" i="6"/>
  <c r="G192" i="6"/>
  <c r="G172" i="6"/>
  <c r="G170" i="6" s="1"/>
  <c r="G97" i="6"/>
  <c r="G199" i="6"/>
  <c r="G149" i="6" l="1"/>
  <c r="U65" i="29"/>
  <c r="AU65" i="29"/>
  <c r="AM65" i="29"/>
  <c r="AF65" i="29"/>
  <c r="AL65" i="29"/>
  <c r="AD65" i="29"/>
  <c r="AE65" i="29"/>
  <c r="U64" i="29"/>
  <c r="AM64" i="29"/>
  <c r="AF64" i="29"/>
  <c r="AL64" i="29"/>
  <c r="AE64" i="29"/>
  <c r="AU64" i="29"/>
  <c r="AD64" i="29"/>
  <c r="U63" i="29"/>
  <c r="AM63" i="29"/>
  <c r="AE63" i="29"/>
  <c r="AD63" i="29"/>
  <c r="AF63" i="29"/>
  <c r="AL63" i="29"/>
  <c r="AU63" i="29"/>
  <c r="T62" i="29"/>
  <c r="AM62" i="29"/>
  <c r="AL62" i="29"/>
  <c r="AE62" i="29"/>
  <c r="AD62" i="29"/>
  <c r="AU62" i="29"/>
  <c r="AF62" i="29"/>
  <c r="D61" i="29"/>
  <c r="G187" i="6"/>
  <c r="G96" i="6"/>
  <c r="G85" i="6" s="1"/>
  <c r="G73" i="6"/>
  <c r="G61" i="6"/>
  <c r="G51" i="6"/>
  <c r="G41" i="6" s="1"/>
  <c r="G161" i="6"/>
  <c r="F133" i="26" s="1"/>
  <c r="D134" i="26" s="1"/>
  <c r="D141" i="29" s="1"/>
  <c r="G197" i="6"/>
  <c r="F152" i="26" s="1"/>
  <c r="G13" i="6"/>
  <c r="G103" i="6"/>
  <c r="F2" i="5"/>
  <c r="B7" i="9"/>
  <c r="AN64" i="29" l="1"/>
  <c r="AN65" i="29"/>
  <c r="AN62" i="29"/>
  <c r="AA141" i="29"/>
  <c r="AM141" i="29"/>
  <c r="AN141" i="29"/>
  <c r="AD141" i="29"/>
  <c r="AF141" i="29"/>
  <c r="AL141" i="29"/>
  <c r="AE141" i="29"/>
  <c r="AN63" i="29"/>
  <c r="AV62" i="29"/>
  <c r="AV65" i="29"/>
  <c r="AV63" i="29"/>
  <c r="D140" i="29"/>
  <c r="AV64" i="29"/>
  <c r="G60" i="6"/>
  <c r="D154" i="26"/>
  <c r="D161" i="29" s="1"/>
  <c r="D155" i="26"/>
  <c r="D162" i="29" s="1"/>
  <c r="D156" i="26"/>
  <c r="D163" i="29" s="1"/>
  <c r="D158" i="26"/>
  <c r="D165" i="29" s="1"/>
  <c r="D157" i="26"/>
  <c r="D164" i="29" s="1"/>
  <c r="D159" i="26"/>
  <c r="D166" i="29" s="1"/>
  <c r="B15" i="9" a="1"/>
  <c r="B15" i="9" s="1"/>
  <c r="E15" i="9" s="1"/>
  <c r="B17" i="9" a="1"/>
  <c r="B17" i="9" s="1"/>
  <c r="E17" i="9" s="1"/>
  <c r="B12" i="9" a="1"/>
  <c r="B12" i="9" s="1"/>
  <c r="E12" i="9" s="1"/>
  <c r="B25" i="9" a="1"/>
  <c r="B25" i="9" s="1"/>
  <c r="E25" i="9" s="1"/>
  <c r="B19" i="9" a="1"/>
  <c r="B19" i="9" s="1"/>
  <c r="E19" i="9" s="1"/>
  <c r="B24" i="9" a="1"/>
  <c r="B24" i="9" s="1"/>
  <c r="E24" i="9" s="1"/>
  <c r="B20" i="9" a="1"/>
  <c r="B20" i="9" s="1"/>
  <c r="E20" i="9" s="1"/>
  <c r="B14" i="9" a="1"/>
  <c r="B14" i="9" s="1"/>
  <c r="E14" i="9" s="1"/>
  <c r="B16" i="9" a="1"/>
  <c r="B16" i="9" s="1"/>
  <c r="E16" i="9" s="1"/>
  <c r="B21" i="9" a="1"/>
  <c r="B21" i="9" s="1"/>
  <c r="E21" i="9" s="1"/>
  <c r="B22" i="9" a="1"/>
  <c r="B22" i="9" s="1"/>
  <c r="E22" i="9" s="1"/>
  <c r="B13" i="9" a="1"/>
  <c r="B13" i="9" s="1"/>
  <c r="E13" i="9" s="1"/>
  <c r="B18" i="9" a="1"/>
  <c r="B18" i="9" s="1"/>
  <c r="E18" i="9" s="1"/>
  <c r="B23" i="9" a="1"/>
  <c r="B23" i="9" s="1"/>
  <c r="E23" i="9" s="1"/>
  <c r="B5" i="9"/>
  <c r="E7" i="9"/>
  <c r="F135" i="26"/>
  <c r="D136" i="26" s="1"/>
  <c r="D143" i="29" s="1"/>
  <c r="F26" i="26"/>
  <c r="F18" i="26"/>
  <c r="F22" i="26"/>
  <c r="F78" i="26"/>
  <c r="D79" i="26" s="1"/>
  <c r="D86" i="29" s="1"/>
  <c r="F80" i="26"/>
  <c r="D81" i="26" s="1"/>
  <c r="D88" i="29" s="1"/>
  <c r="F145" i="26"/>
  <c r="F147" i="26"/>
  <c r="D153" i="26"/>
  <c r="D160" i="29" s="1"/>
  <c r="F75" i="26"/>
  <c r="G2" i="6"/>
  <c r="AU141" i="29" l="1"/>
  <c r="AC160" i="29"/>
  <c r="AM160" i="29"/>
  <c r="AF160" i="29"/>
  <c r="AE160" i="29"/>
  <c r="AN160" i="29"/>
  <c r="AD160" i="29"/>
  <c r="AL160" i="29"/>
  <c r="AA143" i="29"/>
  <c r="AF143" i="29"/>
  <c r="AE143" i="29"/>
  <c r="AN143" i="29"/>
  <c r="AD143" i="29"/>
  <c r="AM143" i="29"/>
  <c r="AL143" i="29"/>
  <c r="X88" i="29"/>
  <c r="AM88" i="29"/>
  <c r="AE88" i="29"/>
  <c r="AD88" i="29"/>
  <c r="AN88" i="29"/>
  <c r="AF88" i="29"/>
  <c r="AL88" i="29"/>
  <c r="AC161" i="29"/>
  <c r="AF161" i="29"/>
  <c r="AN161" i="29"/>
  <c r="AM161" i="29"/>
  <c r="AL161" i="29"/>
  <c r="AE161" i="29"/>
  <c r="AD161" i="29"/>
  <c r="AC166" i="29"/>
  <c r="AM166" i="29"/>
  <c r="AD166" i="29"/>
  <c r="AL166" i="29"/>
  <c r="AF166" i="29"/>
  <c r="AE166" i="29"/>
  <c r="AN166" i="29"/>
  <c r="AC164" i="29"/>
  <c r="AL164" i="29"/>
  <c r="AF164" i="29"/>
  <c r="AE164" i="29"/>
  <c r="AN164" i="29"/>
  <c r="AD164" i="29"/>
  <c r="AM164" i="29"/>
  <c r="AC165" i="29"/>
  <c r="AL165" i="29"/>
  <c r="AF165" i="29"/>
  <c r="AN165" i="29"/>
  <c r="AE165" i="29"/>
  <c r="AM165" i="29"/>
  <c r="AD165" i="29"/>
  <c r="AC163" i="29"/>
  <c r="AL163" i="29"/>
  <c r="AN163" i="29"/>
  <c r="AE163" i="29"/>
  <c r="AD163" i="29"/>
  <c r="AM163" i="29"/>
  <c r="AF163" i="29"/>
  <c r="X86" i="29"/>
  <c r="AD86" i="29"/>
  <c r="AM86" i="29"/>
  <c r="AE86" i="29"/>
  <c r="AF86" i="29"/>
  <c r="AL86" i="29"/>
  <c r="AN86" i="29"/>
  <c r="AC162" i="29"/>
  <c r="AM162" i="29"/>
  <c r="AD162" i="29"/>
  <c r="AF162" i="29"/>
  <c r="AL162" i="29"/>
  <c r="AN162" i="29"/>
  <c r="AE162" i="29"/>
  <c r="AV141" i="29"/>
  <c r="D87" i="29"/>
  <c r="D85" i="29"/>
  <c r="D159" i="29"/>
  <c r="D142" i="29"/>
  <c r="B11" i="9"/>
  <c r="E11" i="9" s="1"/>
  <c r="E5" i="9"/>
  <c r="D78" i="26"/>
  <c r="D77" i="26"/>
  <c r="D84" i="29" s="1"/>
  <c r="D76" i="26"/>
  <c r="D83" i="29" s="1"/>
  <c r="D31" i="26"/>
  <c r="D38" i="29" s="1"/>
  <c r="D19" i="26"/>
  <c r="D26" i="29" s="1"/>
  <c r="AU163" i="29" l="1"/>
  <c r="AU160" i="29"/>
  <c r="AU161" i="29"/>
  <c r="AU88" i="29"/>
  <c r="AU143" i="29"/>
  <c r="AU166" i="29"/>
  <c r="AV166" i="29" s="1"/>
  <c r="AU165" i="29"/>
  <c r="AV165" i="29" s="1"/>
  <c r="AU164" i="29"/>
  <c r="AV164" i="29" s="1"/>
  <c r="AU162" i="29"/>
  <c r="U84" i="29"/>
  <c r="AL84" i="29"/>
  <c r="AE84" i="29"/>
  <c r="AM84" i="29"/>
  <c r="AU84" i="29"/>
  <c r="AD84" i="29"/>
  <c r="AF84" i="29"/>
  <c r="T26" i="29"/>
  <c r="AE26" i="29"/>
  <c r="AM26" i="29"/>
  <c r="AL26" i="29"/>
  <c r="AF26" i="29"/>
  <c r="AD26" i="29"/>
  <c r="AN26" i="29"/>
  <c r="AU86" i="29"/>
  <c r="AV86" i="29" s="1"/>
  <c r="V38" i="29"/>
  <c r="AN38" i="29"/>
  <c r="AE38" i="29"/>
  <c r="AF38" i="29"/>
  <c r="AL38" i="29"/>
  <c r="AD38" i="29"/>
  <c r="AM38" i="29"/>
  <c r="U83" i="29"/>
  <c r="AD83" i="29"/>
  <c r="AL83" i="29"/>
  <c r="AU83" i="29"/>
  <c r="AF83" i="29"/>
  <c r="AE83" i="29"/>
  <c r="AM83" i="29"/>
  <c r="AV163" i="29"/>
  <c r="AV162" i="29"/>
  <c r="AV160" i="29"/>
  <c r="AV161" i="29"/>
  <c r="AV88" i="29"/>
  <c r="AV143" i="29"/>
  <c r="D82" i="29"/>
  <c r="B28" i="9"/>
  <c r="E28" i="9" s="1"/>
  <c r="F96" i="26"/>
  <c r="F87" i="26"/>
  <c r="D88" i="26" s="1"/>
  <c r="D95" i="29" s="1"/>
  <c r="F94" i="26"/>
  <c r="F89" i="26"/>
  <c r="D90" i="26" s="1"/>
  <c r="D97" i="29" s="1"/>
  <c r="F103" i="26"/>
  <c r="F85" i="26"/>
  <c r="F101" i="26"/>
  <c r="F128" i="26"/>
  <c r="D129" i="26" s="1"/>
  <c r="D136" i="29" s="1"/>
  <c r="F126" i="26"/>
  <c r="D127" i="26" s="1"/>
  <c r="D134" i="29" s="1"/>
  <c r="F122" i="26"/>
  <c r="F115" i="26"/>
  <c r="F118" i="26"/>
  <c r="AU38" i="29" l="1"/>
  <c r="AV38" i="29" s="1"/>
  <c r="AU26" i="29"/>
  <c r="AN83" i="29"/>
  <c r="X95" i="29"/>
  <c r="AF95" i="29"/>
  <c r="AN95" i="29"/>
  <c r="AM95" i="29"/>
  <c r="AD95" i="29"/>
  <c r="AE95" i="29"/>
  <c r="AL95" i="29"/>
  <c r="AN84" i="29"/>
  <c r="AV84" i="29" s="1"/>
  <c r="AA136" i="29"/>
  <c r="AL136" i="29"/>
  <c r="AE136" i="29"/>
  <c r="AD136" i="29"/>
  <c r="AN136" i="29"/>
  <c r="AF136" i="29"/>
  <c r="AM136" i="29"/>
  <c r="AA134" i="29"/>
  <c r="AE134" i="29"/>
  <c r="AN134" i="29"/>
  <c r="AM134" i="29"/>
  <c r="AL134" i="29"/>
  <c r="AD134" i="29"/>
  <c r="AF134" i="29"/>
  <c r="X97" i="29"/>
  <c r="AM97" i="29"/>
  <c r="AF97" i="29"/>
  <c r="AN97" i="29"/>
  <c r="AL97" i="29"/>
  <c r="AE97" i="29"/>
  <c r="AD97" i="29"/>
  <c r="AV83" i="29"/>
  <c r="D96" i="29"/>
  <c r="D94" i="29"/>
  <c r="D133" i="29"/>
  <c r="AV26" i="29"/>
  <c r="D135" i="29"/>
  <c r="E8" i="13"/>
  <c r="E10" i="13" s="1"/>
  <c r="F7" i="26" s="1"/>
  <c r="D86" i="26"/>
  <c r="D93" i="29" s="1"/>
  <c r="D124" i="26"/>
  <c r="D131" i="29" s="1"/>
  <c r="D125" i="26"/>
  <c r="D132" i="29" s="1"/>
  <c r="D123" i="26"/>
  <c r="D130" i="29" s="1"/>
  <c r="D119" i="26"/>
  <c r="D126" i="29" s="1"/>
  <c r="D121" i="26"/>
  <c r="D128" i="29" s="1"/>
  <c r="D120" i="26"/>
  <c r="D127" i="29" s="1"/>
  <c r="D116" i="26"/>
  <c r="D123" i="29" s="1"/>
  <c r="D117" i="26"/>
  <c r="D124" i="29" s="1"/>
  <c r="AU136" i="29" l="1"/>
  <c r="AU95" i="29"/>
  <c r="AU134" i="29"/>
  <c r="AA126" i="29"/>
  <c r="AM126" i="29"/>
  <c r="AF126" i="29"/>
  <c r="AL126" i="29"/>
  <c r="AN126" i="29"/>
  <c r="AE126" i="29"/>
  <c r="AD126" i="29"/>
  <c r="AA130" i="29"/>
  <c r="AF130" i="29"/>
  <c r="AN130" i="29"/>
  <c r="AD130" i="29"/>
  <c r="AM130" i="29"/>
  <c r="AL130" i="29"/>
  <c r="AE130" i="29"/>
  <c r="AA127" i="29"/>
  <c r="AL127" i="29"/>
  <c r="AN127" i="29"/>
  <c r="AE127" i="29"/>
  <c r="AM127" i="29"/>
  <c r="AF127" i="29"/>
  <c r="AD127" i="29"/>
  <c r="AA132" i="29"/>
  <c r="AM132" i="29"/>
  <c r="AF132" i="29"/>
  <c r="AL132" i="29"/>
  <c r="AD132" i="29"/>
  <c r="AN132" i="29"/>
  <c r="AE132" i="29"/>
  <c r="AA131" i="29"/>
  <c r="AF131" i="29"/>
  <c r="AL131" i="29"/>
  <c r="AE131" i="29"/>
  <c r="AD131" i="29"/>
  <c r="AN131" i="29"/>
  <c r="AM131" i="29"/>
  <c r="AA124" i="29"/>
  <c r="AN124" i="29"/>
  <c r="AE124" i="29"/>
  <c r="AD124" i="29"/>
  <c r="AM124" i="29"/>
  <c r="AF124" i="29"/>
  <c r="AL124" i="29"/>
  <c r="X93" i="29"/>
  <c r="AL93" i="29"/>
  <c r="AD93" i="29"/>
  <c r="AM93" i="29"/>
  <c r="AF93" i="29"/>
  <c r="AE93" i="29"/>
  <c r="AN93" i="29"/>
  <c r="AA128" i="29"/>
  <c r="AL128" i="29"/>
  <c r="AE128" i="29"/>
  <c r="AD128" i="29"/>
  <c r="AF128" i="29"/>
  <c r="AN128" i="29"/>
  <c r="AM128" i="29"/>
  <c r="AA123" i="29"/>
  <c r="AN123" i="29"/>
  <c r="AD123" i="29"/>
  <c r="AM123" i="29"/>
  <c r="AF123" i="29"/>
  <c r="AL123" i="29"/>
  <c r="AE123" i="29"/>
  <c r="AU97" i="29"/>
  <c r="AV97" i="29" s="1"/>
  <c r="AV136" i="29"/>
  <c r="AV95" i="29"/>
  <c r="D92" i="29"/>
  <c r="D122" i="29"/>
  <c r="D125" i="29"/>
  <c r="AV134" i="29"/>
  <c r="D129" i="29"/>
  <c r="G98" i="26"/>
  <c r="G168" i="26"/>
  <c r="G82" i="26"/>
  <c r="G105" i="26"/>
  <c r="G149" i="26"/>
  <c r="G160" i="26"/>
  <c r="G161" i="26" s="1"/>
  <c r="G9" i="26"/>
  <c r="G137" i="26"/>
  <c r="G130" i="26"/>
  <c r="G72" i="26"/>
  <c r="G32" i="26"/>
  <c r="G91" i="26"/>
  <c r="AU131" i="29" l="1"/>
  <c r="AU127" i="29"/>
  <c r="AU132" i="29"/>
  <c r="AU124" i="29"/>
  <c r="AU93" i="29"/>
  <c r="AV93" i="29" s="1"/>
  <c r="AU128" i="29"/>
  <c r="AV128" i="29" s="1"/>
  <c r="AU123" i="29"/>
  <c r="AV123" i="29" s="1"/>
  <c r="AU130" i="29"/>
  <c r="AV130" i="29" s="1"/>
  <c r="AU126" i="29"/>
  <c r="AV126" i="29" s="1"/>
  <c r="AV131" i="29"/>
  <c r="AV132" i="29"/>
  <c r="AA9" i="29"/>
  <c r="AV124" i="29"/>
  <c r="AV127" i="29"/>
  <c r="F99" i="26"/>
  <c r="F98" i="26" s="1"/>
  <c r="F138" i="26"/>
  <c r="F137" i="26" s="1"/>
  <c r="F92" i="26"/>
  <c r="F91" i="26" s="1"/>
  <c r="F169" i="26"/>
  <c r="F168" i="26" s="1"/>
  <c r="F150" i="26"/>
  <c r="F149" i="26" s="1"/>
  <c r="F33" i="26"/>
  <c r="F32" i="26" s="1"/>
  <c r="F106" i="26"/>
  <c r="F105" i="26" s="1"/>
  <c r="F73" i="26"/>
  <c r="F72" i="26" s="1"/>
  <c r="F83" i="26"/>
  <c r="F131" i="26"/>
  <c r="F130" i="26" s="1"/>
  <c r="D27" i="26"/>
  <c r="D34" i="29" s="1"/>
  <c r="D29" i="26"/>
  <c r="D36" i="29" s="1"/>
  <c r="D28" i="26"/>
  <c r="D35" i="29" s="1"/>
  <c r="D30" i="26"/>
  <c r="D37" i="29" s="1"/>
  <c r="D21" i="26"/>
  <c r="D28" i="29" s="1"/>
  <c r="D20" i="26"/>
  <c r="D27" i="29" s="1"/>
  <c r="D25" i="26"/>
  <c r="D32" i="29" s="1"/>
  <c r="D24" i="26"/>
  <c r="D31" i="29" s="1"/>
  <c r="D23" i="26"/>
  <c r="D30" i="29" s="1"/>
  <c r="V37" i="29" l="1"/>
  <c r="AM37" i="29"/>
  <c r="AE37" i="29"/>
  <c r="AN37" i="29"/>
  <c r="AL37" i="29"/>
  <c r="AD37" i="29"/>
  <c r="AF37" i="29"/>
  <c r="V36" i="29"/>
  <c r="AL36" i="29"/>
  <c r="AD36" i="29"/>
  <c r="AF36" i="29"/>
  <c r="AN36" i="29"/>
  <c r="AM36" i="29"/>
  <c r="AE36" i="29"/>
  <c r="V34" i="29"/>
  <c r="AN34" i="29"/>
  <c r="AL34" i="29"/>
  <c r="AD34" i="29"/>
  <c r="AE34" i="29"/>
  <c r="AF34" i="29"/>
  <c r="AM34" i="29"/>
  <c r="V35" i="29"/>
  <c r="AE35" i="29"/>
  <c r="AM35" i="29"/>
  <c r="AF35" i="29"/>
  <c r="AL35" i="29"/>
  <c r="AD35" i="29"/>
  <c r="AN35" i="29"/>
  <c r="U30" i="29"/>
  <c r="AE30" i="29"/>
  <c r="AF30" i="29"/>
  <c r="AM30" i="29"/>
  <c r="AN30" i="29"/>
  <c r="AD30" i="29"/>
  <c r="AL30" i="29"/>
  <c r="U31" i="29"/>
  <c r="AE31" i="29"/>
  <c r="AN31" i="29"/>
  <c r="AL31" i="29"/>
  <c r="AM31" i="29"/>
  <c r="AF31" i="29"/>
  <c r="AD31" i="29"/>
  <c r="U32" i="29"/>
  <c r="AD32" i="29"/>
  <c r="AF32" i="29"/>
  <c r="AN32" i="29"/>
  <c r="AL32" i="29"/>
  <c r="AM32" i="29"/>
  <c r="AE32" i="29"/>
  <c r="T27" i="29"/>
  <c r="AF27" i="29"/>
  <c r="AM27" i="29"/>
  <c r="AD27" i="29"/>
  <c r="AL27" i="29"/>
  <c r="AE27" i="29"/>
  <c r="AN27" i="29"/>
  <c r="T28" i="29"/>
  <c r="AD28" i="29"/>
  <c r="AE28" i="29"/>
  <c r="AM28" i="29"/>
  <c r="AF28" i="29"/>
  <c r="AL28" i="29"/>
  <c r="AN28" i="29"/>
  <c r="D25" i="29"/>
  <c r="D33" i="29"/>
  <c r="D29" i="29"/>
  <c r="D151" i="26"/>
  <c r="D158" i="29" s="1"/>
  <c r="X158" i="29" s="1"/>
  <c r="D107" i="26"/>
  <c r="D114" i="29" s="1"/>
  <c r="V114" i="29" s="1"/>
  <c r="D108" i="26"/>
  <c r="D115" i="29" s="1"/>
  <c r="V115" i="29" s="1"/>
  <c r="D110" i="26"/>
  <c r="D117" i="29" s="1"/>
  <c r="V117" i="29" s="1"/>
  <c r="D111" i="26"/>
  <c r="D118" i="29" s="1"/>
  <c r="V118" i="29" s="1"/>
  <c r="D112" i="26"/>
  <c r="D119" i="29" s="1"/>
  <c r="V119" i="29" s="1"/>
  <c r="D109" i="26"/>
  <c r="D116" i="29" s="1"/>
  <c r="V116" i="29" s="1"/>
  <c r="D170" i="26"/>
  <c r="D177" i="29" s="1"/>
  <c r="D132" i="26"/>
  <c r="D139" i="29" s="1"/>
  <c r="V139" i="29" s="1"/>
  <c r="D113" i="26"/>
  <c r="D120" i="29" s="1"/>
  <c r="V120" i="29" s="1"/>
  <c r="F82" i="26"/>
  <c r="D84" i="26"/>
  <c r="D91" i="29" s="1"/>
  <c r="U91" i="29" s="1"/>
  <c r="D74" i="26"/>
  <c r="D81" i="29" s="1"/>
  <c r="S81" i="29" s="1"/>
  <c r="D114" i="26"/>
  <c r="D121" i="29" s="1"/>
  <c r="V121" i="29" s="1"/>
  <c r="D22" i="26"/>
  <c r="D26" i="26"/>
  <c r="D18" i="26"/>
  <c r="AU37" i="29" l="1"/>
  <c r="AV37" i="29" s="1"/>
  <c r="AU36" i="29"/>
  <c r="AU35" i="29"/>
  <c r="AV35" i="29" s="1"/>
  <c r="AU32" i="29"/>
  <c r="AV32" i="29" s="1"/>
  <c r="AU27" i="29"/>
  <c r="AV27" i="29" s="1"/>
  <c r="AU31" i="29"/>
  <c r="AV31" i="29" s="1"/>
  <c r="AU28" i="29"/>
  <c r="AV28" i="29" s="1"/>
  <c r="AU34" i="29"/>
  <c r="AV34" i="29" s="1"/>
  <c r="AU30" i="29"/>
  <c r="AV30" i="29" s="1"/>
  <c r="AV36" i="29"/>
  <c r="AV116" i="29"/>
  <c r="AV139" i="29"/>
  <c r="D138" i="29"/>
  <c r="AV121" i="29"/>
  <c r="D80" i="29"/>
  <c r="AV91" i="29"/>
  <c r="D90" i="29"/>
  <c r="AV117" i="29"/>
  <c r="AV158" i="29"/>
  <c r="D157" i="29"/>
  <c r="AD177" i="29"/>
  <c r="AU177" i="29" s="1"/>
  <c r="AV177" i="29" s="1"/>
  <c r="D176" i="29"/>
  <c r="AV120" i="29"/>
  <c r="D113" i="29"/>
  <c r="D73" i="26"/>
  <c r="D83" i="26"/>
  <c r="C33" i="26"/>
  <c r="D156" i="29" l="1"/>
  <c r="AV118" i="29"/>
  <c r="AV115" i="29"/>
  <c r="D89" i="29"/>
  <c r="D137" i="29"/>
  <c r="AV119" i="29"/>
  <c r="D112" i="29"/>
  <c r="AV81" i="29"/>
  <c r="AV114" i="29"/>
  <c r="D175" i="29"/>
  <c r="D79" i="29"/>
  <c r="D36" i="26"/>
  <c r="D43" i="29" s="1"/>
  <c r="R43" i="29" s="1"/>
  <c r="F48" i="26" l="1"/>
  <c r="D39" i="26"/>
  <c r="D46" i="29" s="1"/>
  <c r="R46" i="29" s="1"/>
  <c r="D35" i="26"/>
  <c r="D42" i="29" s="1"/>
  <c r="R42" i="29" s="1"/>
  <c r="D37" i="26"/>
  <c r="D44" i="29" s="1"/>
  <c r="R44" i="29" s="1"/>
  <c r="D34" i="26"/>
  <c r="D41" i="29" s="1"/>
  <c r="R41" i="29" s="1"/>
  <c r="D41" i="26"/>
  <c r="D48" i="29" s="1"/>
  <c r="R48" i="29" s="1"/>
  <c r="D38" i="26"/>
  <c r="D45" i="29" s="1"/>
  <c r="R45" i="29" s="1"/>
  <c r="D40" i="26"/>
  <c r="D47" i="29" s="1"/>
  <c r="R47" i="29" s="1"/>
  <c r="F44" i="26"/>
  <c r="AV42" i="29" l="1"/>
  <c r="D40" i="29"/>
  <c r="AV43" i="29"/>
  <c r="AV46" i="29"/>
  <c r="D47" i="26"/>
  <c r="D54" i="29" s="1"/>
  <c r="D46" i="26"/>
  <c r="D53" i="29" s="1"/>
  <c r="D45" i="26"/>
  <c r="D52" i="29" s="1"/>
  <c r="D49" i="26"/>
  <c r="D56" i="29" s="1"/>
  <c r="D51" i="26"/>
  <c r="D58" i="29" s="1"/>
  <c r="D50" i="26"/>
  <c r="D57" i="29" s="1"/>
  <c r="D33" i="26"/>
  <c r="D42" i="26"/>
  <c r="D52" i="26"/>
  <c r="D67" i="26"/>
  <c r="D65" i="26"/>
  <c r="T56" i="29" l="1"/>
  <c r="AL56" i="29"/>
  <c r="AE56" i="29"/>
  <c r="AM56" i="29"/>
  <c r="AD56" i="29"/>
  <c r="AU56" i="29"/>
  <c r="AF56" i="29"/>
  <c r="U53" i="29"/>
  <c r="AF53" i="29"/>
  <c r="AM53" i="29"/>
  <c r="AU53" i="29"/>
  <c r="AL53" i="29"/>
  <c r="AE53" i="29"/>
  <c r="AD53" i="29"/>
  <c r="T52" i="29"/>
  <c r="AE52" i="29"/>
  <c r="AF52" i="29"/>
  <c r="AU52" i="29"/>
  <c r="AD52" i="29"/>
  <c r="AL52" i="29"/>
  <c r="AM52" i="29"/>
  <c r="U54" i="29"/>
  <c r="AE54" i="29"/>
  <c r="AM54" i="29"/>
  <c r="AF54" i="29"/>
  <c r="AL54" i="29"/>
  <c r="AU54" i="29"/>
  <c r="AD54" i="29"/>
  <c r="U57" i="29"/>
  <c r="AU57" i="29"/>
  <c r="AM57" i="29"/>
  <c r="AF57" i="29"/>
  <c r="AL57" i="29"/>
  <c r="AD57" i="29"/>
  <c r="AE57" i="29"/>
  <c r="U58" i="29"/>
  <c r="AM58" i="29"/>
  <c r="AD58" i="29"/>
  <c r="AL58" i="29"/>
  <c r="AU58" i="29"/>
  <c r="AE58" i="29"/>
  <c r="AF58" i="29"/>
  <c r="AV47" i="29"/>
  <c r="AV41" i="29"/>
  <c r="D55" i="29"/>
  <c r="AV48" i="29"/>
  <c r="D51" i="29"/>
  <c r="AV44" i="29"/>
  <c r="AV45" i="29"/>
  <c r="D69" i="26"/>
  <c r="D59" i="26"/>
  <c r="D48" i="26"/>
  <c r="D54" i="26"/>
  <c r="D62" i="26"/>
  <c r="D44" i="26"/>
  <c r="AN53" i="29" l="1"/>
  <c r="AV53" i="29" s="1"/>
  <c r="AN56" i="29"/>
  <c r="AV56" i="29" s="1"/>
  <c r="AN54" i="29"/>
  <c r="AV54" i="29" s="1"/>
  <c r="AN52" i="29"/>
  <c r="AV52" i="29" s="1"/>
  <c r="AN58" i="29"/>
  <c r="AV58" i="29" s="1"/>
  <c r="AN57" i="29"/>
  <c r="AV57" i="29" s="1"/>
  <c r="D39" i="29"/>
  <c r="D32" i="26"/>
  <c r="D75" i="26" l="1"/>
  <c r="D80" i="26"/>
  <c r="C85" i="26"/>
  <c r="D87" i="26"/>
  <c r="C87" i="26"/>
  <c r="C89" i="26"/>
  <c r="D89" i="26"/>
  <c r="D72" i="26" l="1"/>
  <c r="D85" i="26"/>
  <c r="D82" i="26" s="1"/>
  <c r="C92" i="26" l="1"/>
  <c r="D93" i="26"/>
  <c r="D100" i="29" s="1"/>
  <c r="U100" i="29" s="1"/>
  <c r="C94" i="26"/>
  <c r="D95" i="26"/>
  <c r="D102" i="29" s="1"/>
  <c r="C96" i="26"/>
  <c r="D97" i="26"/>
  <c r="D104" i="29" s="1"/>
  <c r="X104" i="29" l="1"/>
  <c r="AF104" i="29"/>
  <c r="AN104" i="29"/>
  <c r="AL104" i="29"/>
  <c r="AM104" i="29"/>
  <c r="AE104" i="29"/>
  <c r="AD104" i="29"/>
  <c r="AU104" i="29" s="1"/>
  <c r="X102" i="29"/>
  <c r="AE102" i="29"/>
  <c r="AN102" i="29"/>
  <c r="AL102" i="29"/>
  <c r="AD102" i="29"/>
  <c r="AM102" i="29"/>
  <c r="AF102" i="29"/>
  <c r="D101" i="29"/>
  <c r="D103" i="29"/>
  <c r="D99" i="29"/>
  <c r="D92" i="26"/>
  <c r="D96" i="26"/>
  <c r="D94" i="26"/>
  <c r="AU102" i="29" l="1"/>
  <c r="AV102" i="29" s="1"/>
  <c r="AV100" i="29"/>
  <c r="D98" i="29"/>
  <c r="AV104" i="29"/>
  <c r="D91" i="26"/>
  <c r="C99" i="26" l="1"/>
  <c r="D100" i="26"/>
  <c r="D107" i="29" s="1"/>
  <c r="U107" i="29" s="1"/>
  <c r="C101" i="26"/>
  <c r="D102" i="26"/>
  <c r="D109" i="29" s="1"/>
  <c r="C103" i="26"/>
  <c r="D104" i="26"/>
  <c r="D111" i="29" s="1"/>
  <c r="D106" i="26"/>
  <c r="D115" i="26"/>
  <c r="D118" i="26"/>
  <c r="D122" i="26"/>
  <c r="D126" i="26"/>
  <c r="D128" i="26"/>
  <c r="C131" i="26"/>
  <c r="D131" i="26"/>
  <c r="D133" i="26"/>
  <c r="C133" i="26"/>
  <c r="C135" i="26"/>
  <c r="D135" i="26"/>
  <c r="D139" i="26"/>
  <c r="D146" i="29" s="1"/>
  <c r="V146" i="29" s="1"/>
  <c r="C138" i="26"/>
  <c r="D140" i="26"/>
  <c r="D147" i="29" s="1"/>
  <c r="X147" i="29" s="1"/>
  <c r="D141" i="26"/>
  <c r="C145" i="26"/>
  <c r="D146" i="26"/>
  <c r="D153" i="29" s="1"/>
  <c r="D148" i="26"/>
  <c r="D155" i="29" s="1"/>
  <c r="C147" i="26"/>
  <c r="D150" i="26"/>
  <c r="X111" i="29" l="1"/>
  <c r="AF111" i="29"/>
  <c r="AN111" i="29"/>
  <c r="AL111" i="29"/>
  <c r="AE111" i="29"/>
  <c r="AD111" i="29"/>
  <c r="AM111" i="29"/>
  <c r="AC153" i="29"/>
  <c r="AF153" i="29"/>
  <c r="AD153" i="29"/>
  <c r="AN153" i="29"/>
  <c r="AM153" i="29"/>
  <c r="AE153" i="29"/>
  <c r="AL153" i="29"/>
  <c r="X109" i="29"/>
  <c r="AE109" i="29"/>
  <c r="AD109" i="29"/>
  <c r="AM109" i="29"/>
  <c r="AL109" i="29"/>
  <c r="AF109" i="29"/>
  <c r="AN109" i="29"/>
  <c r="AC155" i="29"/>
  <c r="AM155" i="29"/>
  <c r="AM9" i="29" s="1"/>
  <c r="AD155" i="29"/>
  <c r="AE155" i="29"/>
  <c r="AF155" i="29"/>
  <c r="AL155" i="29"/>
  <c r="AN155" i="29"/>
  <c r="AF9" i="29"/>
  <c r="AV147" i="29"/>
  <c r="D145" i="29"/>
  <c r="D106" i="29"/>
  <c r="D108" i="29"/>
  <c r="D110" i="29"/>
  <c r="D154" i="29"/>
  <c r="D152" i="29"/>
  <c r="D103" i="26"/>
  <c r="D105" i="26"/>
  <c r="D130" i="26"/>
  <c r="D138" i="26"/>
  <c r="D147" i="26"/>
  <c r="D101" i="26"/>
  <c r="D145" i="26"/>
  <c r="D99" i="26"/>
  <c r="C152" i="26"/>
  <c r="D152" i="26"/>
  <c r="D149" i="26" s="1"/>
  <c r="AU153" i="29" l="1"/>
  <c r="AE9" i="29"/>
  <c r="AU155" i="29"/>
  <c r="AU109" i="29"/>
  <c r="AU111" i="29"/>
  <c r="AN9" i="29"/>
  <c r="AV109" i="29"/>
  <c r="X9" i="29"/>
  <c r="D105" i="29"/>
  <c r="D144" i="29"/>
  <c r="AV146" i="29"/>
  <c r="V9" i="29"/>
  <c r="AV153" i="29"/>
  <c r="AC9" i="29"/>
  <c r="AV155" i="29"/>
  <c r="AV111" i="29"/>
  <c r="AL9" i="29"/>
  <c r="AD9" i="29"/>
  <c r="AV107" i="29"/>
  <c r="U9" i="29"/>
  <c r="D137" i="26"/>
  <c r="D98" i="26"/>
  <c r="D161" i="26" l="1"/>
  <c r="D164" i="26"/>
  <c r="D166" i="26"/>
  <c r="D169" i="26"/>
  <c r="D160" i="26" l="1"/>
  <c r="D168" i="26"/>
  <c r="F10" i="26"/>
  <c r="D16" i="26" l="1"/>
  <c r="D23" i="29" s="1"/>
  <c r="T23" i="29" s="1"/>
  <c r="D12" i="26"/>
  <c r="D19" i="29" s="1"/>
  <c r="R19" i="29" s="1"/>
  <c r="F9" i="26"/>
  <c r="H7" i="26" s="1"/>
  <c r="D14" i="26"/>
  <c r="D21" i="29" s="1"/>
  <c r="S21" i="29" s="1"/>
  <c r="D17" i="26"/>
  <c r="D24" i="29" s="1"/>
  <c r="T24" i="29" s="1"/>
  <c r="D11" i="26"/>
  <c r="D18" i="29" s="1"/>
  <c r="R18" i="29" s="1"/>
  <c r="D15" i="26"/>
  <c r="D22" i="29" s="1"/>
  <c r="T22" i="29" s="1"/>
  <c r="D13" i="26"/>
  <c r="D20" i="29" s="1"/>
  <c r="R20" i="29" s="1"/>
  <c r="D17" i="29" l="1"/>
  <c r="AV20" i="29"/>
  <c r="S9" i="29"/>
  <c r="AV19" i="29"/>
  <c r="AV23" i="29"/>
  <c r="F6" i="26"/>
  <c r="D10" i="26"/>
  <c r="D9" i="26" s="1"/>
  <c r="D3" i="26" s="1"/>
  <c r="D11" i="12"/>
  <c r="T9" i="29" l="1"/>
  <c r="AV21" i="29"/>
  <c r="AV24" i="29"/>
  <c r="D16" i="29"/>
  <c r="AV22" i="29"/>
  <c r="R9" i="29"/>
  <c r="AV18" i="29"/>
  <c r="AU9" i="29" l="1"/>
  <c r="D13" i="29"/>
  <c r="C179" i="29" l="1"/>
  <c r="C181" i="29"/>
  <c r="C178" i="29"/>
  <c r="C180" i="29"/>
  <c r="C182" i="29"/>
  <c r="C71" i="29"/>
  <c r="C70" i="29"/>
  <c r="C67" i="29"/>
  <c r="C68" i="29"/>
  <c r="C69" i="29"/>
  <c r="C50" i="29"/>
  <c r="C66" i="29"/>
  <c r="C49" i="29"/>
  <c r="C151" i="29"/>
  <c r="C150" i="29"/>
  <c r="C149" i="29"/>
  <c r="C148" i="29"/>
  <c r="C60" i="29"/>
  <c r="C59" i="29"/>
  <c r="C172" i="29"/>
  <c r="C174" i="29"/>
  <c r="C173" i="29"/>
  <c r="C171" i="29"/>
  <c r="C170" i="29"/>
  <c r="C169" i="29"/>
  <c r="C168" i="29"/>
  <c r="C167" i="29"/>
  <c r="C73" i="29"/>
  <c r="C75" i="29"/>
  <c r="C74" i="29"/>
  <c r="C77" i="29"/>
  <c r="C72" i="29"/>
  <c r="C78" i="29"/>
  <c r="C76" i="29"/>
  <c r="C65" i="29"/>
  <c r="C63" i="29"/>
  <c r="C62" i="29"/>
  <c r="C64" i="29"/>
  <c r="C61" i="29"/>
  <c r="C141" i="29"/>
  <c r="C160" i="29"/>
  <c r="C162" i="29"/>
  <c r="C143" i="29"/>
  <c r="C86" i="29"/>
  <c r="C166" i="29"/>
  <c r="C161" i="29"/>
  <c r="C164" i="29"/>
  <c r="C140" i="29"/>
  <c r="C165" i="29"/>
  <c r="C88" i="29"/>
  <c r="C163" i="29"/>
  <c r="C142" i="29"/>
  <c r="C85" i="29"/>
  <c r="C26" i="29"/>
  <c r="C84" i="29"/>
  <c r="C38" i="29"/>
  <c r="C159" i="29"/>
  <c r="C87" i="29"/>
  <c r="C83" i="29"/>
  <c r="C95" i="29"/>
  <c r="C134" i="29"/>
  <c r="C136" i="29"/>
  <c r="C97" i="29"/>
  <c r="C82" i="29"/>
  <c r="C94" i="29"/>
  <c r="C131" i="29"/>
  <c r="C130" i="29"/>
  <c r="C93" i="29"/>
  <c r="C126" i="29"/>
  <c r="C133" i="29"/>
  <c r="C123" i="29"/>
  <c r="C96" i="29"/>
  <c r="C128" i="29"/>
  <c r="C124" i="29"/>
  <c r="C135" i="29"/>
  <c r="C127" i="29"/>
  <c r="C132" i="29"/>
  <c r="C125" i="29"/>
  <c r="C92" i="29"/>
  <c r="C129" i="29"/>
  <c r="C122" i="29"/>
  <c r="C37" i="29"/>
  <c r="C27" i="29"/>
  <c r="C34" i="29"/>
  <c r="C28" i="29"/>
  <c r="C35" i="29"/>
  <c r="C32" i="29"/>
  <c r="C30" i="29"/>
  <c r="C31" i="29"/>
  <c r="C36" i="29"/>
  <c r="C116" i="29"/>
  <c r="C91" i="29"/>
  <c r="C115" i="29"/>
  <c r="C119" i="29"/>
  <c r="C120" i="29"/>
  <c r="C118" i="29"/>
  <c r="C114" i="29"/>
  <c r="C25" i="29"/>
  <c r="C177" i="29"/>
  <c r="C81" i="29"/>
  <c r="C29" i="29"/>
  <c r="C158" i="29"/>
  <c r="C117" i="29"/>
  <c r="C139" i="29"/>
  <c r="C121" i="29"/>
  <c r="C33" i="29"/>
  <c r="C113" i="29"/>
  <c r="C80" i="29"/>
  <c r="C90" i="29"/>
  <c r="C157" i="29"/>
  <c r="C176" i="29"/>
  <c r="C138" i="29"/>
  <c r="C156" i="29"/>
  <c r="C137" i="29"/>
  <c r="C89" i="29"/>
  <c r="C79" i="29"/>
  <c r="C175" i="29"/>
  <c r="C112" i="29"/>
  <c r="C43" i="29"/>
  <c r="C47" i="29"/>
  <c r="C48" i="29"/>
  <c r="C41" i="29"/>
  <c r="C45" i="29"/>
  <c r="C42" i="29"/>
  <c r="C46" i="29"/>
  <c r="C44" i="29"/>
  <c r="C52" i="29"/>
  <c r="C58" i="29"/>
  <c r="C56" i="29"/>
  <c r="C40" i="29"/>
  <c r="C53" i="29"/>
  <c r="C54" i="29"/>
  <c r="C57" i="29"/>
  <c r="C55" i="29"/>
  <c r="C51" i="29"/>
  <c r="C39" i="29"/>
  <c r="C100" i="29"/>
  <c r="C102" i="29"/>
  <c r="C104" i="29"/>
  <c r="C101" i="29"/>
  <c r="C99" i="29"/>
  <c r="C103" i="29"/>
  <c r="C98" i="29"/>
  <c r="C111" i="29"/>
  <c r="C109" i="29"/>
  <c r="C153" i="29"/>
  <c r="C146" i="29"/>
  <c r="C155" i="29"/>
  <c r="C147" i="29"/>
  <c r="C107" i="29"/>
  <c r="C110" i="29"/>
  <c r="C152" i="29"/>
  <c r="C106" i="29"/>
  <c r="C145" i="29"/>
  <c r="C154" i="29"/>
  <c r="C108" i="29"/>
  <c r="C144" i="29"/>
  <c r="C105" i="29"/>
  <c r="C18" i="29"/>
  <c r="C19" i="29"/>
  <c r="C22" i="29"/>
  <c r="C24" i="29"/>
  <c r="C20" i="29"/>
  <c r="C21" i="29"/>
  <c r="C23" i="29"/>
  <c r="C17" i="29"/>
  <c r="C16" i="29"/>
  <c r="T10" i="29"/>
  <c r="AE10" i="29"/>
  <c r="Z10" i="29"/>
  <c r="AI10" i="29"/>
  <c r="Y10" i="29"/>
  <c r="AJ10" i="29"/>
  <c r="W10" i="29"/>
  <c r="AK10" i="29"/>
  <c r="AF10" i="29"/>
  <c r="AQ10" i="29"/>
  <c r="AP10" i="29"/>
  <c r="AM10" i="29"/>
  <c r="AR10" i="29"/>
  <c r="AT10" i="29"/>
  <c r="AB10" i="29"/>
  <c r="AN10" i="29"/>
  <c r="AH10" i="29"/>
  <c r="AV9" i="29"/>
  <c r="AS10" i="29"/>
  <c r="AO10" i="29"/>
  <c r="AG10" i="29"/>
  <c r="AA10" i="29"/>
  <c r="X10" i="29"/>
  <c r="AC10" i="29"/>
  <c r="U10" i="29"/>
  <c r="AD10" i="29"/>
  <c r="AL10" i="29"/>
  <c r="V10" i="29"/>
  <c r="S10" i="29"/>
  <c r="AU10" i="29"/>
  <c r="R10" i="29"/>
  <c r="R11" i="29" s="1"/>
  <c r="S11" i="29" l="1"/>
  <c r="T11" i="29" s="1"/>
  <c r="U11" i="29" s="1"/>
  <c r="V11" i="29" s="1"/>
  <c r="W11" i="29" s="1"/>
  <c r="X11" i="29" s="1"/>
  <c r="Y11" i="29" s="1"/>
  <c r="Z11" i="29" s="1"/>
  <c r="AA11" i="29" s="1"/>
  <c r="AB11" i="29" s="1"/>
  <c r="AC11" i="29" s="1"/>
  <c r="AD11" i="29" s="1"/>
  <c r="AE11" i="29" s="1"/>
  <c r="AF11" i="29" s="1"/>
  <c r="AG11" i="29" s="1"/>
  <c r="AH11" i="29" s="1"/>
  <c r="AI11" i="29" s="1"/>
  <c r="AJ11" i="29" s="1"/>
  <c r="AK11" i="29" s="1"/>
  <c r="AL11" i="29" s="1"/>
  <c r="AM11" i="29" s="1"/>
  <c r="AN11" i="29" s="1"/>
  <c r="AO11" i="29" s="1"/>
  <c r="AP11" i="29" s="1"/>
  <c r="AQ11" i="29" s="1"/>
  <c r="AR11" i="29" s="1"/>
  <c r="AS11" i="29" s="1"/>
  <c r="AT11" i="29" s="1"/>
  <c r="AU11" i="29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tc={F2E2213F-5994-4D0D-80D2-ABDAE34E473F}</author>
  </authors>
  <commentList>
    <comment ref="B1" authorId="0" shapeId="0" xr:uid="{00000000-0006-0000-0200-000001000000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Os trechos urbanos contornados não terão levantamento completo (previsto apenas vídeo registro)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tc={58310561-22B5-4A21-8409-D5449AE3646C}</author>
    <author>Rodolfo Schweiser</author>
  </authors>
  <commentList>
    <comment ref="D4" authorId="0" shapeId="0" xr:uid="{00000000-0006-0000-0300-000001000000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Valores referenciais - projetos BID e IFC (contratações anteriores)</t>
      </text>
    </comment>
    <comment ref="E4" authorId="1" shapeId="0" xr:uid="{00000000-0006-0000-0300-000002000000}">
      <text>
        <r>
          <rPr>
            <b/>
            <sz val="9"/>
            <color indexed="81"/>
            <rFont val="Segoe UI"/>
            <family val="2"/>
          </rPr>
          <t>Cotação de fechamento do dólar no dia 01/04/2022, Sexta-feira (Banco Central)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Marcele Dorneles Bravo</author>
  </authors>
  <commentList>
    <comment ref="E17" authorId="0" shapeId="0" xr:uid="{00000000-0006-0000-0500-000001000000}">
      <text>
        <r>
          <rPr>
            <b/>
            <sz val="9"/>
            <color indexed="81"/>
            <rFont val="Segoe UI"/>
            <family val="2"/>
          </rPr>
          <t>Marcele Dorneles Bravo:</t>
        </r>
        <r>
          <rPr>
            <sz val="9"/>
            <color indexed="81"/>
            <rFont val="Segoe UI"/>
            <family val="2"/>
          </rPr>
          <t xml:space="preserve">
LARGURA DA FAIXA: 100m 
</t>
        </r>
      </text>
    </comment>
    <comment ref="E18" authorId="0" shapeId="0" xr:uid="{00000000-0006-0000-0500-000002000000}">
      <text>
        <r>
          <rPr>
            <b/>
            <sz val="9"/>
            <color indexed="81"/>
            <rFont val="Segoe UI"/>
            <family val="2"/>
          </rPr>
          <t>Marcele Dorneles Bravo:</t>
        </r>
        <r>
          <rPr>
            <sz val="9"/>
            <color indexed="81"/>
            <rFont val="Segoe UI"/>
            <family val="2"/>
          </rPr>
          <t xml:space="preserve">
LARGURA DA FAIXA: 100m 
</t>
        </r>
      </text>
    </comment>
    <comment ref="E19" authorId="0" shapeId="0" xr:uid="{00000000-0006-0000-0500-000003000000}">
      <text>
        <r>
          <rPr>
            <b/>
            <sz val="9"/>
            <color indexed="81"/>
            <rFont val="Segoe UI"/>
            <family val="2"/>
          </rPr>
          <t>Marcele Dorneles Bravo:</t>
        </r>
        <r>
          <rPr>
            <sz val="9"/>
            <color indexed="81"/>
            <rFont val="Segoe UI"/>
            <family val="2"/>
          </rPr>
          <t xml:space="preserve">
LARGURA DA FAIXA: 100m 
</t>
        </r>
      </text>
    </comment>
    <comment ref="E20" authorId="0" shapeId="0" xr:uid="{00000000-0006-0000-0500-000004000000}">
      <text>
        <r>
          <rPr>
            <b/>
            <sz val="9"/>
            <color indexed="81"/>
            <rFont val="Segoe UI"/>
            <family val="2"/>
          </rPr>
          <t>Marcele Dorneles Bravo:</t>
        </r>
        <r>
          <rPr>
            <sz val="9"/>
            <color indexed="81"/>
            <rFont val="Segoe UI"/>
            <family val="2"/>
          </rPr>
          <t xml:space="preserve">
ARBITRANDO QUE CADA ORTOFOTO APRESENTA 1,5KM DE EXTENSÃO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Rodolfo Schweiser de Paiva Lopes</author>
  </authors>
  <commentList>
    <comment ref="F210" authorId="0" shapeId="0" xr:uid="{00000000-0006-0000-0600-000001000000}">
      <text>
        <r>
          <rPr>
            <sz val="9"/>
            <color indexed="81"/>
            <rFont val="Segoe UI"/>
            <family val="2"/>
          </rPr>
          <t>Meio período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<sst xmlns="http://schemas.openxmlformats.org/spreadsheetml/2006/main" count="12283" uniqueCount="5408">
  <si>
    <t>Item</t>
  </si>
  <si>
    <t>Descrição</t>
  </si>
  <si>
    <t>Preço total
 (R$)</t>
  </si>
  <si>
    <t>Parte B – Projeto de Modelagem da Concessão</t>
  </si>
  <si>
    <t>Total geral:</t>
  </si>
  <si>
    <t>Unidade</t>
  </si>
  <si>
    <t>Preço unitário
 (R$)</t>
  </si>
  <si>
    <t>Referência</t>
  </si>
  <si>
    <t>ponto de contagem</t>
  </si>
  <si>
    <t>ponto de pesquisa</t>
  </si>
  <si>
    <t>-</t>
  </si>
  <si>
    <t>Quantidade total</t>
  </si>
  <si>
    <t>35.03.30</t>
  </si>
  <si>
    <t>hora</t>
  </si>
  <si>
    <t>35.03.32</t>
  </si>
  <si>
    <t>35.03.31</t>
  </si>
  <si>
    <t>35.03.38</t>
  </si>
  <si>
    <t>35.03.25</t>
  </si>
  <si>
    <t>INSTRUÇÃO CFBio N° 04/2007</t>
  </si>
  <si>
    <t>35.03.09</t>
  </si>
  <si>
    <t>35.03.18</t>
  </si>
  <si>
    <t>35.03.05</t>
  </si>
  <si>
    <t>35.03.29</t>
  </si>
  <si>
    <t>35.03.27</t>
  </si>
  <si>
    <t>35.03.03</t>
  </si>
  <si>
    <t>35.03.01</t>
  </si>
  <si>
    <t>Subitem</t>
  </si>
  <si>
    <t>m</t>
  </si>
  <si>
    <t>un</t>
  </si>
  <si>
    <t>km*equip</t>
  </si>
  <si>
    <t>equip</t>
  </si>
  <si>
    <t>obra</t>
  </si>
  <si>
    <t>sond</t>
  </si>
  <si>
    <t>km</t>
  </si>
  <si>
    <t>LEV. PLANIALTIMETRICO E CADASTRAL, POLIGONAL CLASSE II PAC ESC. 1:500 ATE 1 HA.</t>
  </si>
  <si>
    <t>LEV. PLANIALTIMETRICO E CADASTRAL, POLIGONAL CLASSE II PAC ESC. 1:1000 ATE 1HA.</t>
  </si>
  <si>
    <t>LEV. PLANIALTIMETRICO E CADASTRAL, POLIGONAL CLASSE II PAC ESC. 1:500 ALEM 1HA.</t>
  </si>
  <si>
    <t>ha</t>
  </si>
  <si>
    <t>m2</t>
  </si>
  <si>
    <t>LEV. PLANIALT. SECOES TRANSV. A PARTIR DE LINHA BASE EXISTENTE NIV. GEOMETRICO.</t>
  </si>
  <si>
    <t>LEVANT. PLANIALTIMETRICO CADASTRAL FAIXAS DE 30 A 60 M CLASSE II PAC NBR 13.133</t>
  </si>
  <si>
    <t>IMPL. E CADASTRO PLANIALT. LINHA BASE VIA EXISTENTE ESTAQUEAMENTO DE 20 EM 20 M</t>
  </si>
  <si>
    <t>tramo</t>
  </si>
  <si>
    <t>equipe.dia</t>
  </si>
  <si>
    <t>FORN. EQUIP.TOP., 1 TECN., 2 AUX., 1 NIVEL. C/ NIVEL AUT. ESTACAO TOTAL E VEIC.</t>
  </si>
  <si>
    <t>equipe.mes</t>
  </si>
  <si>
    <t>global</t>
  </si>
  <si>
    <t>km2</t>
  </si>
  <si>
    <t>ORTOFOTOCARTA VOO AEROFOTOGRAMETRICO ESC. ATE 5X SUPERIOR AO DO VOO, ESC.1:5000</t>
  </si>
  <si>
    <t>ORTOFOTOCARTA VOO AEROFOTOGRAMETRICO ESC. ATE 5X SUPERIOR AO DO VOO, ESC.1:1000</t>
  </si>
  <si>
    <t>m3</t>
  </si>
  <si>
    <t>conjunto</t>
  </si>
  <si>
    <t>m3*km</t>
  </si>
  <si>
    <t>SUB BASE OU BASE SOLO BRITA C/CIM.5% COM TRANSP.JAZIDA ATE O LOCAL DE APLICAÇÃO</t>
  </si>
  <si>
    <t>RECICLA.IN SITU A FRIO COM ESPUL.DE ASFAL.E REVEST.ASFALT.A BASE C/ADIÇ DE CIM.</t>
  </si>
  <si>
    <t>kg</t>
  </si>
  <si>
    <t>GEOCOMPOSTO DRENANTE(GEOMANTA+GEOTEXTIL 1 LADO PER./1 LADO IMP.)TIPO 2L FP-11MM</t>
  </si>
  <si>
    <t>SOLO REF. C/ MALHA HEXAG. DUPLA TORCAO-PANO UNICO GREIDE C/ 0 A 6M - EM RACHAO.</t>
  </si>
  <si>
    <t>SOLO REF. C/ MALHA HEXAG. DUPLA TORCAO-PANO UNICO GREIDE C/ 6 A 9M - EM RACHAO.</t>
  </si>
  <si>
    <t>SOLO REF. C/ MALHA HEXAG. DUPLA TORCAO-PANO UNICO GREIDE C/ 9 A 12M - EM RACHAO</t>
  </si>
  <si>
    <t>SOLO REF. MALHA HEXAG. DUPLA TORCAO-PANO UNICO ENCONTRO PORTAN.0 A 6M-EM RACHAO</t>
  </si>
  <si>
    <t>SOLO REF. MALHA HEXAG. DUPLA TORCAO-PANO UNICO ENCONTRO PORTAN.6 A 9M-EM RACHAO</t>
  </si>
  <si>
    <t>SOLO REF.MALHA HEXAG.DUPLA TORCAO-PANO UNICO ENCONTRO PORTAN.12 A 15M-EM RACHAO</t>
  </si>
  <si>
    <t>SOLO REF.MALHA HEXAG.DUPLA TORCAO-PANO UNICO ENCONTRO PORTAN.15 A 18M-EM RACHAO</t>
  </si>
  <si>
    <t>SOLO REF. C/ MALHA HEX. DUPLA TORCAO-PANO UNICO VERDE GREIDE C/ 0A6M - INCL. 70</t>
  </si>
  <si>
    <t>SOLO REF. C/ MALHA HEX. DUPLA TORCAO-PANO UNICO VERDE GREIDE C/ 6A9M - INCL. 70</t>
  </si>
  <si>
    <t>SOLO REF. C/ MALHA HEX. DUPLA TORCAO-PANO UNICO VERDE GREIDE C/9A12M - INCL. 70</t>
  </si>
  <si>
    <t>SOLO REF. C/ MALHA HEX. DUPLA TORCAO-PANO UNICO VERDE GREIDE C/12A15M - INCL.70</t>
  </si>
  <si>
    <t>SOLO REF. C/ MALHA HEX. DUPLA TORCAO-PANO UNICO VERDE GREIDE C/15A18M - INCL.70</t>
  </si>
  <si>
    <t>SOL.REF.C/MALH.HEX.DUPL.TORCAO-PANO UNICO VERDE PE DE TALUDE C/0A6M-0A3M-INC.70</t>
  </si>
  <si>
    <t>SOL.REF.C/MAL.HEX.DUPLA TORCAO-PANO UNICO VERDE PE DE TALUDE C/0A6M-3A6M-INC.70</t>
  </si>
  <si>
    <t>SOLO REF.C/MAL.HEX.DUPLA TORCAO-PANO UNICO VERDE PE DE TALUDE 6A9 E ATERRO 0A3M</t>
  </si>
  <si>
    <t>SOLO REF.C/MAL.HEX.DUPLA TORCAO-PANO UNICO VERDE PE DE TALUDE 6A9 E ATERRO 3A6M</t>
  </si>
  <si>
    <t>SOLO REF.C/MAL.HEX.DUPLA TORCAO-PANO UNICO VERDE PE DE TALUDE 6A9 E ATERRO &gt; 6M</t>
  </si>
  <si>
    <t>SOLO REF.C/MAL.HEX.DUPLA TORCAO-PANO UNICO VERDE PE DE TALUDE 12A15 E ATER.0A3M</t>
  </si>
  <si>
    <t>SOLO REF.C/MAL.HEX.DUPLA TORCAO-PANO UNICO VERDE PE DE TALUDE 12A15 E ATER.3A6M</t>
  </si>
  <si>
    <t>SOLO REF.C/MAL.HEX.DUPLA TORCAO-PANO UNICO VERDE PE DE TALUDE 15A18 E ATER.0A3M</t>
  </si>
  <si>
    <t>SOLO REF.C/MAL.HEX.DUPLA TORCAO-PANO UNICO VERDE PE DE TALUDE 15A18 E ATER.3A6M</t>
  </si>
  <si>
    <t>SOLO REF.C/MAL.HEX.DUPLA TORCAO-PANO UNICO VERDE PE DE TALUDE 15A18 E ATER. &gt;6M</t>
  </si>
  <si>
    <t>dm3</t>
  </si>
  <si>
    <t>dm2</t>
  </si>
  <si>
    <t>t*km</t>
  </si>
  <si>
    <t>PINTURA A BASE DE ESMALTE SINTETICO 3 DEMAOS, SENDO UMA DEMAO FUNDO OXIDO FERRO</t>
  </si>
  <si>
    <t>SINAL.HORIZ.PLAST.FRIO BASE DE RES. METACRIL. REATIVAS, DISP.ESTRUT.APLIC. MEC.</t>
  </si>
  <si>
    <t>m2 x mes</t>
  </si>
  <si>
    <t>FORN./INSTAL. BALIZ.(CATADIOPTRICO) P/DEF. MET. C/PELICULA GT+GT, CONF.OP-06-05</t>
  </si>
  <si>
    <t>FORN./INSTAL. BALIZ. (CATADIOPTRICO) P/BAR. RIGIDA C/PEL. GT+GT, CONF. OP-06-05</t>
  </si>
  <si>
    <t>30.01.40.01</t>
  </si>
  <si>
    <t>PLANTIO FLORESTAL DE ESPÉ.ARBÓREAS NATIVAS H&lt;=0,60 E ESPAÇ.PLANTIO DE 3,MX2,00M</t>
  </si>
  <si>
    <t>30.01.40.02</t>
  </si>
  <si>
    <t>MANUTENCAO DO PLANTIO FLORESTAL DE ESP.ARBÓREAS NATIVAS COM ESP.DE 3,00MX 2,00M</t>
  </si>
  <si>
    <t>ha x mes</t>
  </si>
  <si>
    <t>30.01.40.03</t>
  </si>
  <si>
    <t>30.02.02.01</t>
  </si>
  <si>
    <t>30.02.04</t>
  </si>
  <si>
    <t>34.03.01</t>
  </si>
  <si>
    <t>34.03.02</t>
  </si>
  <si>
    <t>34.03.03</t>
  </si>
  <si>
    <t>34.03.04</t>
  </si>
  <si>
    <t>34.03.05</t>
  </si>
  <si>
    <t>34.03.06</t>
  </si>
  <si>
    <t>34.03.07</t>
  </si>
  <si>
    <t>34.03.08</t>
  </si>
  <si>
    <t>34.03.09</t>
  </si>
  <si>
    <t>34.03.10</t>
  </si>
  <si>
    <t>34.03.11</t>
  </si>
  <si>
    <t>34.03.12</t>
  </si>
  <si>
    <t>34.03.13</t>
  </si>
  <si>
    <t>34.04.02</t>
  </si>
  <si>
    <t>postoxdia</t>
  </si>
  <si>
    <t>34.04.04</t>
  </si>
  <si>
    <t>34.04.06</t>
  </si>
  <si>
    <t>34.05.02</t>
  </si>
  <si>
    <t>34.05.04</t>
  </si>
  <si>
    <t>34.05.06</t>
  </si>
  <si>
    <t>34.05.08</t>
  </si>
  <si>
    <t>34.07.01.01</t>
  </si>
  <si>
    <t>34.07.01.02</t>
  </si>
  <si>
    <t>34.07.01.03</t>
  </si>
  <si>
    <t>34.07.01.04</t>
  </si>
  <si>
    <t>34.07.01.05</t>
  </si>
  <si>
    <t>34.07.01.06</t>
  </si>
  <si>
    <t>34.08.27.01</t>
  </si>
  <si>
    <t>34.08.27.02.01</t>
  </si>
  <si>
    <t>34.08.27.02.02</t>
  </si>
  <si>
    <t>34.08.27.02.03</t>
  </si>
  <si>
    <t>34.08.27.02.04</t>
  </si>
  <si>
    <t>34.08.27.03</t>
  </si>
  <si>
    <t>34.08.27.04</t>
  </si>
  <si>
    <t>34.09.01</t>
  </si>
  <si>
    <t>34.09.02</t>
  </si>
  <si>
    <t>34.09.03</t>
  </si>
  <si>
    <t>INVENTARIO DO PAVIMENTO, INCLUSIVE MEDIDAS DOS AFUNDAMENTOS DAS TRILHAS DE RODA</t>
  </si>
  <si>
    <t>kmxfaixa</t>
  </si>
  <si>
    <t>34.09.04</t>
  </si>
  <si>
    <t>35.03.02</t>
  </si>
  <si>
    <t>35.03.04</t>
  </si>
  <si>
    <t>35.03.06</t>
  </si>
  <si>
    <t>35.03.07</t>
  </si>
  <si>
    <t>35.03.08</t>
  </si>
  <si>
    <t>35.03.10</t>
  </si>
  <si>
    <t>35.03.11</t>
  </si>
  <si>
    <t>35.03.12</t>
  </si>
  <si>
    <t>35.03.13</t>
  </si>
  <si>
    <t>35.03.14</t>
  </si>
  <si>
    <t>35.03.15</t>
  </si>
  <si>
    <t>35.03.16</t>
  </si>
  <si>
    <t>35.03.17</t>
  </si>
  <si>
    <t>35.03.20</t>
  </si>
  <si>
    <t>35.03.21</t>
  </si>
  <si>
    <t>35.03.23</t>
  </si>
  <si>
    <t>35.03.24</t>
  </si>
  <si>
    <t>35.03.26</t>
  </si>
  <si>
    <t>35.03.28</t>
  </si>
  <si>
    <t>35.03.35</t>
  </si>
  <si>
    <t>35.03.36</t>
  </si>
  <si>
    <t>35.03.37</t>
  </si>
  <si>
    <t>35.03.39</t>
  </si>
  <si>
    <t>35.03.40</t>
  </si>
  <si>
    <t>35.03.41</t>
  </si>
  <si>
    <t>35.03.42</t>
  </si>
  <si>
    <t>35.03.43</t>
  </si>
  <si>
    <t>35.03.44</t>
  </si>
  <si>
    <t>35.03.45</t>
  </si>
  <si>
    <t>35.03.46</t>
  </si>
  <si>
    <t>35.03.47</t>
  </si>
  <si>
    <t>35.03.48</t>
  </si>
  <si>
    <t>35.03.50</t>
  </si>
  <si>
    <t>35.03.51</t>
  </si>
  <si>
    <t>35.04.01</t>
  </si>
  <si>
    <t>35.04.02</t>
  </si>
  <si>
    <t>35.04.03</t>
  </si>
  <si>
    <t>35.04.04</t>
  </si>
  <si>
    <t>35.04.05</t>
  </si>
  <si>
    <t>35.04.06</t>
  </si>
  <si>
    <t>35.04.07</t>
  </si>
  <si>
    <t>35.04.08</t>
  </si>
  <si>
    <t>35.04.09</t>
  </si>
  <si>
    <t>35.04.10</t>
  </si>
  <si>
    <t>35.04.11</t>
  </si>
  <si>
    <t>35.04.12</t>
  </si>
  <si>
    <t>35.04.13</t>
  </si>
  <si>
    <t>35.04.14</t>
  </si>
  <si>
    <t>35.04.15</t>
  </si>
  <si>
    <t>35.04.16</t>
  </si>
  <si>
    <t>35.04.17</t>
  </si>
  <si>
    <t>35.04.18</t>
  </si>
  <si>
    <t>35.04.20</t>
  </si>
  <si>
    <t>35.04.23</t>
  </si>
  <si>
    <t>35.04.24</t>
  </si>
  <si>
    <t>35.04.25</t>
  </si>
  <si>
    <t>35.04.26</t>
  </si>
  <si>
    <t>35.04.27</t>
  </si>
  <si>
    <t>35.04.28</t>
  </si>
  <si>
    <t>35.04.29</t>
  </si>
  <si>
    <t>35.04.30</t>
  </si>
  <si>
    <t>35.04.31</t>
  </si>
  <si>
    <t>35.04.32</t>
  </si>
  <si>
    <t>35.04.35</t>
  </si>
  <si>
    <t>35.04.36</t>
  </si>
  <si>
    <t>35.04.37</t>
  </si>
  <si>
    <t>35.04.38</t>
  </si>
  <si>
    <t>35.04.39</t>
  </si>
  <si>
    <t>35.04.40</t>
  </si>
  <si>
    <t>35.04.41</t>
  </si>
  <si>
    <t>35.04.42</t>
  </si>
  <si>
    <t>35.04.43</t>
  </si>
  <si>
    <t>35.04.44</t>
  </si>
  <si>
    <t>35.04.45</t>
  </si>
  <si>
    <t>35.04.46</t>
  </si>
  <si>
    <t>35.04.47</t>
  </si>
  <si>
    <t>35.04.48</t>
  </si>
  <si>
    <t>35.04.50</t>
  </si>
  <si>
    <t>35.04.51</t>
  </si>
  <si>
    <t>equipe.hor</t>
  </si>
  <si>
    <t>equip/dia</t>
  </si>
  <si>
    <t>litro</t>
  </si>
  <si>
    <t>veic.mens</t>
  </si>
  <si>
    <t>21.02.26.01</t>
  </si>
  <si>
    <t>21.02.24.01</t>
  </si>
  <si>
    <t>21.02.07.02</t>
  </si>
  <si>
    <t>21.02.03.01</t>
  </si>
  <si>
    <t>21.02.27.01</t>
  </si>
  <si>
    <t>21.02.31.02</t>
  </si>
  <si>
    <t>21.02.30.01</t>
  </si>
  <si>
    <t>21.02.32.01</t>
  </si>
  <si>
    <t>21.02.29.01</t>
  </si>
  <si>
    <t>21.02.22.01</t>
  </si>
  <si>
    <t>Mobilização e transporte de equipe e equipamentos</t>
  </si>
  <si>
    <t>21.02.19.01</t>
  </si>
  <si>
    <t>21.02.16.01</t>
  </si>
  <si>
    <t>21.02.17.01</t>
  </si>
  <si>
    <t>TRADUTOR</t>
  </si>
  <si>
    <t>Estimativa de mercado</t>
  </si>
  <si>
    <t>TABELA DE PREÇOS UNITÁRIOS NÃO DESONERADOS</t>
  </si>
  <si>
    <t>21.02.01.01</t>
  </si>
  <si>
    <t>21.02.01.02</t>
  </si>
  <si>
    <t>21.02.02.01</t>
  </si>
  <si>
    <t>21.02.04.01</t>
  </si>
  <si>
    <t>21.02.05.01</t>
  </si>
  <si>
    <t>21.02.06.01</t>
  </si>
  <si>
    <t>21.02.06.02</t>
  </si>
  <si>
    <t>21.02.07.01</t>
  </si>
  <si>
    <t>21.02.08.01</t>
  </si>
  <si>
    <t>21.02.09.01</t>
  </si>
  <si>
    <t>21.02.10.01</t>
  </si>
  <si>
    <t>21.02.11.01</t>
  </si>
  <si>
    <t>21.02.12.01</t>
  </si>
  <si>
    <t>21.02.13.01</t>
  </si>
  <si>
    <t>21.02.14.01</t>
  </si>
  <si>
    <t>21.02.15.01</t>
  </si>
  <si>
    <t>21.02.18.01</t>
  </si>
  <si>
    <t>21.02.20.01</t>
  </si>
  <si>
    <t>21.02.20.02</t>
  </si>
  <si>
    <t>21.02.21.01</t>
  </si>
  <si>
    <t>21.02.22.02</t>
  </si>
  <si>
    <t>21.02.23.01</t>
  </si>
  <si>
    <t>21.02.25.01</t>
  </si>
  <si>
    <t>21.02.26.02</t>
  </si>
  <si>
    <t>21.02.26.03</t>
  </si>
  <si>
    <t>21.02.28.01</t>
  </si>
  <si>
    <t>21.02.31.01</t>
  </si>
  <si>
    <t>21.03.11.01</t>
  </si>
  <si>
    <t>23.03.02.01</t>
  </si>
  <si>
    <t>23.03.02.02</t>
  </si>
  <si>
    <t>23.03.02.03</t>
  </si>
  <si>
    <t>23.03.02.04</t>
  </si>
  <si>
    <t>23.03.02.05</t>
  </si>
  <si>
    <t>23.03.02.06</t>
  </si>
  <si>
    <t>23.04.01.01.01</t>
  </si>
  <si>
    <t>23.04.01.02.01</t>
  </si>
  <si>
    <t>23.04.01.03.01</t>
  </si>
  <si>
    <t>23.04.01.04.01</t>
  </si>
  <si>
    <t>23.04.01.05.01</t>
  </si>
  <si>
    <t>23.04.01.06.01</t>
  </si>
  <si>
    <t>23.04.01.07.01</t>
  </si>
  <si>
    <t>23.04.01.08.01</t>
  </si>
  <si>
    <t>23.04.01.09.01</t>
  </si>
  <si>
    <t>23.04.01.10.01</t>
  </si>
  <si>
    <t>23.04.01.11.01</t>
  </si>
  <si>
    <t>23.04.01.12.01</t>
  </si>
  <si>
    <t>23.04.01.13.01</t>
  </si>
  <si>
    <t>23.04.01.14.01</t>
  </si>
  <si>
    <t>23.04.01.15.01</t>
  </si>
  <si>
    <t>23.04.01.16.01</t>
  </si>
  <si>
    <t>23.04.01.17.01</t>
  </si>
  <si>
    <t>23.04.01.18.01</t>
  </si>
  <si>
    <t>23.04.01.19.01</t>
  </si>
  <si>
    <t>23.04.01.20.01</t>
  </si>
  <si>
    <t>23.04.01.26.01</t>
  </si>
  <si>
    <t>23.04.02.01.02</t>
  </si>
  <si>
    <t>23.04.02.02.01</t>
  </si>
  <si>
    <t>23.04.02.03.01</t>
  </si>
  <si>
    <t>23.04.02.04.41</t>
  </si>
  <si>
    <t>23.04.02.05.02</t>
  </si>
  <si>
    <t>23.04.02.05.03</t>
  </si>
  <si>
    <t>23.04.02.07.02</t>
  </si>
  <si>
    <t>23.04.02.09.02</t>
  </si>
  <si>
    <t>23.04.02.11.02</t>
  </si>
  <si>
    <t>23.04.02.13.02</t>
  </si>
  <si>
    <t>23.04.03.01</t>
  </si>
  <si>
    <t>23.04.03.03</t>
  </si>
  <si>
    <t>23.04.03.04</t>
  </si>
  <si>
    <t>23.04.04.01</t>
  </si>
  <si>
    <t>23.04.04.02</t>
  </si>
  <si>
    <t>23.04.04.03</t>
  </si>
  <si>
    <t>23.04.04.04</t>
  </si>
  <si>
    <t>23.04.04.05</t>
  </si>
  <si>
    <t>23.04.05.01</t>
  </si>
  <si>
    <t>23.04.06.01</t>
  </si>
  <si>
    <t>23.04.06.02</t>
  </si>
  <si>
    <t>23.04.06.03</t>
  </si>
  <si>
    <t>23.04.07.01</t>
  </si>
  <si>
    <t>23.04.07.03</t>
  </si>
  <si>
    <t>23.05.01.01</t>
  </si>
  <si>
    <t>23.05.02.01</t>
  </si>
  <si>
    <t>23.06.04.07.01</t>
  </si>
  <si>
    <t>23.07.01.01</t>
  </si>
  <si>
    <t>23.07.01.02</t>
  </si>
  <si>
    <t>23.08.01.01</t>
  </si>
  <si>
    <t>23.08.02.01</t>
  </si>
  <si>
    <t>23.08.02.02</t>
  </si>
  <si>
    <t>23.08.03.01</t>
  </si>
  <si>
    <t>23.08.03.03</t>
  </si>
  <si>
    <t>23.08.04.02</t>
  </si>
  <si>
    <t>23.08.04.03</t>
  </si>
  <si>
    <t>23.08.04.04</t>
  </si>
  <si>
    <t>23.08.05.01.01</t>
  </si>
  <si>
    <t>23.08.06.05</t>
  </si>
  <si>
    <t>23.08.06.06</t>
  </si>
  <si>
    <t>23.11.04.01</t>
  </si>
  <si>
    <t>23.13.07.01</t>
  </si>
  <si>
    <t>23.13.07.02</t>
  </si>
  <si>
    <t>23.13.07.03</t>
  </si>
  <si>
    <t>23.13.07.04</t>
  </si>
  <si>
    <t>23.13.07.05</t>
  </si>
  <si>
    <t>23.13.07.07</t>
  </si>
  <si>
    <t>23.13.07.08</t>
  </si>
  <si>
    <t>23.13.07.09</t>
  </si>
  <si>
    <t>23.13.07.10</t>
  </si>
  <si>
    <t>24.12.01.01</t>
  </si>
  <si>
    <t>24.12.01.02</t>
  </si>
  <si>
    <t>24.12.01.03</t>
  </si>
  <si>
    <t>24.13.01</t>
  </si>
  <si>
    <t>24.13.02</t>
  </si>
  <si>
    <t>24.13.03</t>
  </si>
  <si>
    <t>24.13.04</t>
  </si>
  <si>
    <t>24.13.05</t>
  </si>
  <si>
    <t>24.13.06</t>
  </si>
  <si>
    <t>24.13.07</t>
  </si>
  <si>
    <t>24.14.01.01</t>
  </si>
  <si>
    <t>24.14.01.02</t>
  </si>
  <si>
    <t>24.14.01.03</t>
  </si>
  <si>
    <t>24.14.01.04</t>
  </si>
  <si>
    <t>24.14.01.05</t>
  </si>
  <si>
    <t>24.14.01.06</t>
  </si>
  <si>
    <t>24.14.01.07</t>
  </si>
  <si>
    <t>24.14.01.08</t>
  </si>
  <si>
    <t>24.14.01.09</t>
  </si>
  <si>
    <t>24.14.01.10</t>
  </si>
  <si>
    <t>24.14.01.11</t>
  </si>
  <si>
    <t>24.14.02</t>
  </si>
  <si>
    <t>24.15.01</t>
  </si>
  <si>
    <t>24.15.02</t>
  </si>
  <si>
    <t>24.15.03</t>
  </si>
  <si>
    <t>24.15.04</t>
  </si>
  <si>
    <t>24.15.05</t>
  </si>
  <si>
    <t>24.15.06</t>
  </si>
  <si>
    <t>24.15.07</t>
  </si>
  <si>
    <t>24.15.08</t>
  </si>
  <si>
    <t>24.15.09</t>
  </si>
  <si>
    <t>24.15.09.01</t>
  </si>
  <si>
    <t>24.15.09.02</t>
  </si>
  <si>
    <t>24.15.09.03</t>
  </si>
  <si>
    <t>24.15.09.04</t>
  </si>
  <si>
    <t>24.15.09.05</t>
  </si>
  <si>
    <t>24.15.11</t>
  </si>
  <si>
    <t>24.15.12</t>
  </si>
  <si>
    <t>24.15.13</t>
  </si>
  <si>
    <t>24.15.14</t>
  </si>
  <si>
    <t>24.15.15</t>
  </si>
  <si>
    <t>24.15.16</t>
  </si>
  <si>
    <t>24.15.17</t>
  </si>
  <si>
    <t>24.16.01</t>
  </si>
  <si>
    <t>24.16.02</t>
  </si>
  <si>
    <t>24.16.04</t>
  </si>
  <si>
    <t>24.16.05</t>
  </si>
  <si>
    <t>24.16.06</t>
  </si>
  <si>
    <t>24.16.07</t>
  </si>
  <si>
    <t>24.16.08</t>
  </si>
  <si>
    <t>24.16.09</t>
  </si>
  <si>
    <t>24.16.10</t>
  </si>
  <si>
    <t>24.16.11</t>
  </si>
  <si>
    <t>24.16.12</t>
  </si>
  <si>
    <t>24.16.13</t>
  </si>
  <si>
    <t>24.16.14</t>
  </si>
  <si>
    <t>24.16.15</t>
  </si>
  <si>
    <t>24.16.16</t>
  </si>
  <si>
    <t>24.16.17</t>
  </si>
  <si>
    <t>24.16.18</t>
  </si>
  <si>
    <t>24.16.19</t>
  </si>
  <si>
    <t>24.16.20</t>
  </si>
  <si>
    <t>24.16.21</t>
  </si>
  <si>
    <t>24.16.22</t>
  </si>
  <si>
    <t>24.16.23</t>
  </si>
  <si>
    <t>24.16.24</t>
  </si>
  <si>
    <t>24.16.25</t>
  </si>
  <si>
    <t>24.16.26</t>
  </si>
  <si>
    <t>24.16.27</t>
  </si>
  <si>
    <t>24.16.28</t>
  </si>
  <si>
    <t>24.18.01</t>
  </si>
  <si>
    <t>24.18.02</t>
  </si>
  <si>
    <t>24.18.03</t>
  </si>
  <si>
    <t>24.19.04.01</t>
  </si>
  <si>
    <t>24.19.05.01</t>
  </si>
  <si>
    <t>24.19.06</t>
  </si>
  <si>
    <t>24.19.07.01</t>
  </si>
  <si>
    <t>24.19.08</t>
  </si>
  <si>
    <t>24.20.01</t>
  </si>
  <si>
    <t>24.20.02</t>
  </si>
  <si>
    <t>24.20.03</t>
  </si>
  <si>
    <t>24.20.04</t>
  </si>
  <si>
    <t>24.21.01</t>
  </si>
  <si>
    <t>24.21.02</t>
  </si>
  <si>
    <t>24.21.03</t>
  </si>
  <si>
    <t>24.22.01</t>
  </si>
  <si>
    <t>24.22.02</t>
  </si>
  <si>
    <t>24.23.01</t>
  </si>
  <si>
    <t>24.23.02</t>
  </si>
  <si>
    <t>24.23.03</t>
  </si>
  <si>
    <t>24.23.04</t>
  </si>
  <si>
    <t>24.23.05</t>
  </si>
  <si>
    <t>24.23.07</t>
  </si>
  <si>
    <t>24.23.08</t>
  </si>
  <si>
    <t>24.23.09</t>
  </si>
  <si>
    <t>24.23.44</t>
  </si>
  <si>
    <t>24.23.45</t>
  </si>
  <si>
    <t>24.23.46</t>
  </si>
  <si>
    <t>24.23.47</t>
  </si>
  <si>
    <t>24.23.48</t>
  </si>
  <si>
    <t>24.23.49</t>
  </si>
  <si>
    <t>24.23.50</t>
  </si>
  <si>
    <t>24.23.51</t>
  </si>
  <si>
    <t>24.23.52</t>
  </si>
  <si>
    <t>25.01.03.05</t>
  </si>
  <si>
    <t>25.03.04.01</t>
  </si>
  <si>
    <t>25.03.04.03</t>
  </si>
  <si>
    <t>25.03.04.04</t>
  </si>
  <si>
    <t>25.04.23.01</t>
  </si>
  <si>
    <t>25.08.13.01</t>
  </si>
  <si>
    <t>25.08.13.02</t>
  </si>
  <si>
    <t>25.08.13.03</t>
  </si>
  <si>
    <t>25.08.13.04</t>
  </si>
  <si>
    <t>25.08.15.01</t>
  </si>
  <si>
    <t>25.08.15.02</t>
  </si>
  <si>
    <t>25.08.15.03</t>
  </si>
  <si>
    <t>25.08.15.04</t>
  </si>
  <si>
    <t>25.08.16.01</t>
  </si>
  <si>
    <t>25.08.16.02</t>
  </si>
  <si>
    <t>25.08.16.03</t>
  </si>
  <si>
    <t>25.08.16.04</t>
  </si>
  <si>
    <t>25.13.01</t>
  </si>
  <si>
    <t>25.13.02</t>
  </si>
  <si>
    <t>25.13.04</t>
  </si>
  <si>
    <t>25.13.05</t>
  </si>
  <si>
    <t>25.13.07</t>
  </si>
  <si>
    <t>25.14.02</t>
  </si>
  <si>
    <t>25.15.01</t>
  </si>
  <si>
    <t>25.15.02</t>
  </si>
  <si>
    <t>25.15.03</t>
  </si>
  <si>
    <t>25.15.04</t>
  </si>
  <si>
    <t>25.15.05</t>
  </si>
  <si>
    <t>25.15.06</t>
  </si>
  <si>
    <t>25.15.07</t>
  </si>
  <si>
    <t>25.15.08</t>
  </si>
  <si>
    <t>25.15.09</t>
  </si>
  <si>
    <t>25.15.09.01</t>
  </si>
  <si>
    <t>25.15.10</t>
  </si>
  <si>
    <t>25.15.11</t>
  </si>
  <si>
    <t>25.15.12</t>
  </si>
  <si>
    <t>25.19.01</t>
  </si>
  <si>
    <t>25.20.01</t>
  </si>
  <si>
    <t>25.20.02</t>
  </si>
  <si>
    <t>25.20.03</t>
  </si>
  <si>
    <t>25.20.04</t>
  </si>
  <si>
    <t>25.20.05</t>
  </si>
  <si>
    <t>25.20.06</t>
  </si>
  <si>
    <t>25.20.07</t>
  </si>
  <si>
    <t>25.20.08</t>
  </si>
  <si>
    <t>25.20.09</t>
  </si>
  <si>
    <t>25.20.10</t>
  </si>
  <si>
    <t>25.20.11</t>
  </si>
  <si>
    <t>25.20.12</t>
  </si>
  <si>
    <t>25.20.13</t>
  </si>
  <si>
    <t>25.20.14</t>
  </si>
  <si>
    <t>25.20.15</t>
  </si>
  <si>
    <t>25.20.16</t>
  </si>
  <si>
    <t>25.20.17</t>
  </si>
  <si>
    <t>25.20.18</t>
  </si>
  <si>
    <t>25.20.19</t>
  </si>
  <si>
    <t>25.20.20</t>
  </si>
  <si>
    <t>25.21.01</t>
  </si>
  <si>
    <t>25.21.02</t>
  </si>
  <si>
    <t>25.21.03</t>
  </si>
  <si>
    <t>25.21.04</t>
  </si>
  <si>
    <t>25.21.05</t>
  </si>
  <si>
    <t>25.21.06</t>
  </si>
  <si>
    <t>25.21.07</t>
  </si>
  <si>
    <t>25.21.08</t>
  </si>
  <si>
    <t>25.21.09</t>
  </si>
  <si>
    <t>25.21.10</t>
  </si>
  <si>
    <t>25.21.11</t>
  </si>
  <si>
    <t>25.21.12</t>
  </si>
  <si>
    <t>25.21.13</t>
  </si>
  <si>
    <t>25.21.14</t>
  </si>
  <si>
    <t>25.21.15</t>
  </si>
  <si>
    <t>25.21.16</t>
  </si>
  <si>
    <t>25.21.17</t>
  </si>
  <si>
    <t>25.21.18</t>
  </si>
  <si>
    <t>25.21.19</t>
  </si>
  <si>
    <t>25.21.20</t>
  </si>
  <si>
    <t>25.21.21</t>
  </si>
  <si>
    <t>25.21.22</t>
  </si>
  <si>
    <t>25.21.23</t>
  </si>
  <si>
    <t>25.21.24</t>
  </si>
  <si>
    <t>25.21.25</t>
  </si>
  <si>
    <t>25.21.26</t>
  </si>
  <si>
    <t>25.21.27</t>
  </si>
  <si>
    <t>25.21.28</t>
  </si>
  <si>
    <t>25.21.29</t>
  </si>
  <si>
    <t>25.21.30</t>
  </si>
  <si>
    <t>25.21.31</t>
  </si>
  <si>
    <t>25.21.32</t>
  </si>
  <si>
    <t>25.21.33</t>
  </si>
  <si>
    <t>25.21.34</t>
  </si>
  <si>
    <t>25.21.35</t>
  </si>
  <si>
    <t>25.21.36</t>
  </si>
  <si>
    <t>25.21.37</t>
  </si>
  <si>
    <t>25.21.38</t>
  </si>
  <si>
    <t>25.21.39</t>
  </si>
  <si>
    <t>25.21.40</t>
  </si>
  <si>
    <t>25.21.41</t>
  </si>
  <si>
    <t>25.21.42</t>
  </si>
  <si>
    <t>25.21.43</t>
  </si>
  <si>
    <t>25.21.44</t>
  </si>
  <si>
    <t>25.21.45</t>
  </si>
  <si>
    <t>25.23.01</t>
  </si>
  <si>
    <t>26.02.20.01</t>
  </si>
  <si>
    <t>26.07.13.01</t>
  </si>
  <si>
    <t>26.07.13.02</t>
  </si>
  <si>
    <t>26.07.13.03</t>
  </si>
  <si>
    <t>26.07.13.04</t>
  </si>
  <si>
    <t>26.11.03.01</t>
  </si>
  <si>
    <t>26.11.03.02</t>
  </si>
  <si>
    <t>26.11.03.03</t>
  </si>
  <si>
    <t>26.11.03.04</t>
  </si>
  <si>
    <t>26.11.03.05</t>
  </si>
  <si>
    <t>26.11.03.06</t>
  </si>
  <si>
    <t>26.11.04.01</t>
  </si>
  <si>
    <t>26.11.04.02</t>
  </si>
  <si>
    <t>26.11.08.01</t>
  </si>
  <si>
    <t>26.13.01</t>
  </si>
  <si>
    <t>26.14.01</t>
  </si>
  <si>
    <t>26.14.02</t>
  </si>
  <si>
    <t>26.14.03</t>
  </si>
  <si>
    <t>26.15.01</t>
  </si>
  <si>
    <t>26.15.02</t>
  </si>
  <si>
    <t>26.15.03</t>
  </si>
  <si>
    <t>26.16.01</t>
  </si>
  <si>
    <t>26.16.02</t>
  </si>
  <si>
    <t>26.16.03</t>
  </si>
  <si>
    <t>27.03.03.01</t>
  </si>
  <si>
    <t>27.03.03.02</t>
  </si>
  <si>
    <t>27.07.13.01</t>
  </si>
  <si>
    <t>27.07.13.02</t>
  </si>
  <si>
    <t>27.07.13.03</t>
  </si>
  <si>
    <t>27.07.13.04</t>
  </si>
  <si>
    <t>27.13.02</t>
  </si>
  <si>
    <t>27.13.03</t>
  </si>
  <si>
    <t>27.13.04</t>
  </si>
  <si>
    <t>27.13.05</t>
  </si>
  <si>
    <t>27.14.01.01</t>
  </si>
  <si>
    <t>27.14.02</t>
  </si>
  <si>
    <t>27.14.03</t>
  </si>
  <si>
    <t>27.14.04</t>
  </si>
  <si>
    <t>27.14.05</t>
  </si>
  <si>
    <t>27.16.01</t>
  </si>
  <si>
    <t>27.18.01</t>
  </si>
  <si>
    <t>28.01.04.01</t>
  </si>
  <si>
    <t>28.01.05.01</t>
  </si>
  <si>
    <t>28.01.08.01</t>
  </si>
  <si>
    <t>28.01.24.01</t>
  </si>
  <si>
    <t>28.01.25.01</t>
  </si>
  <si>
    <t>28.01.26.01</t>
  </si>
  <si>
    <t>28.01.27.01</t>
  </si>
  <si>
    <t>28.01.31.01</t>
  </si>
  <si>
    <t>28.01.31.02</t>
  </si>
  <si>
    <t>28.02.01.02</t>
  </si>
  <si>
    <t>28.02.02.02</t>
  </si>
  <si>
    <t>28.02.04.02</t>
  </si>
  <si>
    <t>28.02.05.02</t>
  </si>
  <si>
    <t>28.02.06.02</t>
  </si>
  <si>
    <t>28.02.07.02</t>
  </si>
  <si>
    <t>28.02.08.01</t>
  </si>
  <si>
    <t>28.03.05.03</t>
  </si>
  <si>
    <t>28.03.05.04</t>
  </si>
  <si>
    <t>28.03.09.02</t>
  </si>
  <si>
    <t>28.03.10.01</t>
  </si>
  <si>
    <t>28.03.15.01</t>
  </si>
  <si>
    <t>28.05.09.01</t>
  </si>
  <si>
    <t>28.08.01.01</t>
  </si>
  <si>
    <t>28.08.02.01</t>
  </si>
  <si>
    <t>30.02.05.02</t>
  </si>
  <si>
    <t>35.04.22</t>
  </si>
  <si>
    <t>35.04.49</t>
  </si>
  <si>
    <t>37.01.01</t>
  </si>
  <si>
    <t>37.01.02</t>
  </si>
  <si>
    <t>37.01.03</t>
  </si>
  <si>
    <t>37.01.04</t>
  </si>
  <si>
    <t>37.01.05</t>
  </si>
  <si>
    <t>37.01.06</t>
  </si>
  <si>
    <t>37.01.07</t>
  </si>
  <si>
    <t>37.01.08</t>
  </si>
  <si>
    <t>37.01.09</t>
  </si>
  <si>
    <t>37.01.10</t>
  </si>
  <si>
    <t>37.01.11</t>
  </si>
  <si>
    <t>37.01.12</t>
  </si>
  <si>
    <t>37.01.13</t>
  </si>
  <si>
    <t>37.01.14</t>
  </si>
  <si>
    <t>37.01.15</t>
  </si>
  <si>
    <t>37.01.16</t>
  </si>
  <si>
    <t>37.01.17</t>
  </si>
  <si>
    <t>37.01.18</t>
  </si>
  <si>
    <t>37.01.19</t>
  </si>
  <si>
    <t>37.01.20</t>
  </si>
  <si>
    <t>37.01.21</t>
  </si>
  <si>
    <t>37.01.22</t>
  </si>
  <si>
    <t>37.01.23</t>
  </si>
  <si>
    <t>37.01.24</t>
  </si>
  <si>
    <t>37.02.01</t>
  </si>
  <si>
    <t>37.02.02</t>
  </si>
  <si>
    <t>37.02.03</t>
  </si>
  <si>
    <t>37.02.04</t>
  </si>
  <si>
    <t>37.02.05</t>
  </si>
  <si>
    <t>37.02.06</t>
  </si>
  <si>
    <t>37.02.07</t>
  </si>
  <si>
    <t>37.02.08</t>
  </si>
  <si>
    <t>37.02.10</t>
  </si>
  <si>
    <t>37.02.11</t>
  </si>
  <si>
    <t>37.02.12</t>
  </si>
  <si>
    <t>37.02.13</t>
  </si>
  <si>
    <t>37.02.14.01</t>
  </si>
  <si>
    <t>37.02.18</t>
  </si>
  <si>
    <t>37.02.19</t>
  </si>
  <si>
    <t>37.02.20</t>
  </si>
  <si>
    <t>37.02.21</t>
  </si>
  <si>
    <t>37.02.22</t>
  </si>
  <si>
    <t>37.02.23</t>
  </si>
  <si>
    <t>37.02.24</t>
  </si>
  <si>
    <t>37.02.25</t>
  </si>
  <si>
    <t>37.02.26</t>
  </si>
  <si>
    <t>37.02.27</t>
  </si>
  <si>
    <t>37.03.01</t>
  </si>
  <si>
    <t>37.03.02</t>
  </si>
  <si>
    <t>37.03.03</t>
  </si>
  <si>
    <t>37.03.03.01</t>
  </si>
  <si>
    <t>37.03.04</t>
  </si>
  <si>
    <t>37.03.05.02</t>
  </si>
  <si>
    <t>37.03.06</t>
  </si>
  <si>
    <t>37.03.07</t>
  </si>
  <si>
    <t>37.03.08</t>
  </si>
  <si>
    <t>37.03.09</t>
  </si>
  <si>
    <t>37.03.10</t>
  </si>
  <si>
    <t>37.03.11</t>
  </si>
  <si>
    <t>37.03.12</t>
  </si>
  <si>
    <t>37.03.13</t>
  </si>
  <si>
    <t>37.03.14</t>
  </si>
  <si>
    <t>37.03.15</t>
  </si>
  <si>
    <t>37.03.16</t>
  </si>
  <si>
    <t>37.03.17</t>
  </si>
  <si>
    <t>37.03.18</t>
  </si>
  <si>
    <t>37.03.19</t>
  </si>
  <si>
    <t>37.03.20</t>
  </si>
  <si>
    <t>37.03.21</t>
  </si>
  <si>
    <t>37.03.22</t>
  </si>
  <si>
    <t>37.03.23</t>
  </si>
  <si>
    <t>37.03.24</t>
  </si>
  <si>
    <t>37.03.25</t>
  </si>
  <si>
    <t>37.03.26</t>
  </si>
  <si>
    <t>37.04.01</t>
  </si>
  <si>
    <t>37.04.02.01</t>
  </si>
  <si>
    <t>37.04.03.01</t>
  </si>
  <si>
    <t>37.04.04</t>
  </si>
  <si>
    <t>37.04.05</t>
  </si>
  <si>
    <t>37.04.06</t>
  </si>
  <si>
    <t>37.04.07</t>
  </si>
  <si>
    <t>37.04.08</t>
  </si>
  <si>
    <t>37.04.09</t>
  </si>
  <si>
    <t>37.04.10</t>
  </si>
  <si>
    <t>37.04.11</t>
  </si>
  <si>
    <t>37.04.12</t>
  </si>
  <si>
    <t>37.04.13</t>
  </si>
  <si>
    <t>37.04.14</t>
  </si>
  <si>
    <t>37.04.15</t>
  </si>
  <si>
    <t>37.04.16</t>
  </si>
  <si>
    <t>37.04.17</t>
  </si>
  <si>
    <t>37.04.19</t>
  </si>
  <si>
    <t>37.04.21</t>
  </si>
  <si>
    <t>37.04.22</t>
  </si>
  <si>
    <t>37.04.23</t>
  </si>
  <si>
    <t>37.04.24</t>
  </si>
  <si>
    <t>37.04.25</t>
  </si>
  <si>
    <t>37.04.26</t>
  </si>
  <si>
    <t>37.04.27</t>
  </si>
  <si>
    <t>37.04.28</t>
  </si>
  <si>
    <t>37.04.29</t>
  </si>
  <si>
    <t>37.04.30</t>
  </si>
  <si>
    <t>37.04.31</t>
  </si>
  <si>
    <t>37.04.32</t>
  </si>
  <si>
    <t>37.04.33</t>
  </si>
  <si>
    <t>37.04.34</t>
  </si>
  <si>
    <t>37.04.35</t>
  </si>
  <si>
    <t>37.04.36</t>
  </si>
  <si>
    <t>37.04.37</t>
  </si>
  <si>
    <t>37.04.38</t>
  </si>
  <si>
    <t>37.04.39</t>
  </si>
  <si>
    <t>37.04.40</t>
  </si>
  <si>
    <t>37.04.41</t>
  </si>
  <si>
    <t>37.04.42</t>
  </si>
  <si>
    <t>37.04.43</t>
  </si>
  <si>
    <t>37.04.44</t>
  </si>
  <si>
    <t>37.04.45</t>
  </si>
  <si>
    <t>37.04.46</t>
  </si>
  <si>
    <t>37.04.47</t>
  </si>
  <si>
    <t>37.04.48</t>
  </si>
  <si>
    <t>37.04.49</t>
  </si>
  <si>
    <t>37.04.50</t>
  </si>
  <si>
    <t>37.04.51</t>
  </si>
  <si>
    <t>37.04.52</t>
  </si>
  <si>
    <t>37.04.61</t>
  </si>
  <si>
    <t>37.04.62</t>
  </si>
  <si>
    <t>37.04.63</t>
  </si>
  <si>
    <t>37.04.64</t>
  </si>
  <si>
    <t>37.04.65</t>
  </si>
  <si>
    <t>37.04.66</t>
  </si>
  <si>
    <t>37.04.67</t>
  </si>
  <si>
    <t>37.04.68</t>
  </si>
  <si>
    <t>37.04.68.01</t>
  </si>
  <si>
    <t>37.04.68.02</t>
  </si>
  <si>
    <t>37.04.68.03</t>
  </si>
  <si>
    <t>37.04.68.04</t>
  </si>
  <si>
    <t>37.04.68.05</t>
  </si>
  <si>
    <t>37.04.68.06</t>
  </si>
  <si>
    <t>37.04.68.07</t>
  </si>
  <si>
    <t>37.04.68.08</t>
  </si>
  <si>
    <t>37.04.68.09</t>
  </si>
  <si>
    <t>37.04.68.10</t>
  </si>
  <si>
    <t>37.04.68.11</t>
  </si>
  <si>
    <t>37.04.69</t>
  </si>
  <si>
    <t>37.04.70</t>
  </si>
  <si>
    <t>37.04.71</t>
  </si>
  <si>
    <t>37.04.72</t>
  </si>
  <si>
    <t>37.04.73</t>
  </si>
  <si>
    <t>37.04.74</t>
  </si>
  <si>
    <t>37.04.75</t>
  </si>
  <si>
    <t>37.04.76</t>
  </si>
  <si>
    <t>37.05.04</t>
  </si>
  <si>
    <t>37.05.05</t>
  </si>
  <si>
    <t>37.05.06</t>
  </si>
  <si>
    <t>37.05.07</t>
  </si>
  <si>
    <t>37.05.10.01</t>
  </si>
  <si>
    <t>37.05.11.01</t>
  </si>
  <si>
    <t>37.05.12</t>
  </si>
  <si>
    <t>37.05.14</t>
  </si>
  <si>
    <t>37.05.15</t>
  </si>
  <si>
    <t>37.05.20.01</t>
  </si>
  <si>
    <t>37.05.20.02</t>
  </si>
  <si>
    <t>37.05.20.03</t>
  </si>
  <si>
    <t>37.05.20.04</t>
  </si>
  <si>
    <t>37.05.21</t>
  </si>
  <si>
    <t>37.05.27</t>
  </si>
  <si>
    <t>37.05.28</t>
  </si>
  <si>
    <t>37.05.29</t>
  </si>
  <si>
    <t>37.05.30</t>
  </si>
  <si>
    <t>37.05.31</t>
  </si>
  <si>
    <t>37.05.32.01</t>
  </si>
  <si>
    <t>37.05.36.01</t>
  </si>
  <si>
    <t>37.05.36.02</t>
  </si>
  <si>
    <t>37.05.36.03</t>
  </si>
  <si>
    <t>37.05.36.04</t>
  </si>
  <si>
    <t>37.05.36.05</t>
  </si>
  <si>
    <t>37.05.36.06</t>
  </si>
  <si>
    <t>37.06.01</t>
  </si>
  <si>
    <t>37.06.02</t>
  </si>
  <si>
    <t>37.06.03</t>
  </si>
  <si>
    <t>37.06.04</t>
  </si>
  <si>
    <t>37.06.05</t>
  </si>
  <si>
    <t>37.06.06</t>
  </si>
  <si>
    <t>37.06.07</t>
  </si>
  <si>
    <t>37.06.08</t>
  </si>
  <si>
    <t>37.06.09</t>
  </si>
  <si>
    <t>37.28.08.01.01</t>
  </si>
  <si>
    <t>37.28.08.02.01</t>
  </si>
  <si>
    <t>72.01.01.01</t>
  </si>
  <si>
    <t>72.01.01.02</t>
  </si>
  <si>
    <t>72.01.01.03</t>
  </si>
  <si>
    <t>72.01.01.04</t>
  </si>
  <si>
    <t>72.01.02.01</t>
  </si>
  <si>
    <t>72.01.02.02</t>
  </si>
  <si>
    <t>72.01.02.03</t>
  </si>
  <si>
    <t>72.01.02.04</t>
  </si>
  <si>
    <t>72.02.01.01</t>
  </si>
  <si>
    <t>72.02.01.02</t>
  </si>
  <si>
    <t>72.02.01.03</t>
  </si>
  <si>
    <t>72.02.01.04</t>
  </si>
  <si>
    <t>72.02.01.05</t>
  </si>
  <si>
    <t>72.02.01.06</t>
  </si>
  <si>
    <t>72.02.02.01</t>
  </si>
  <si>
    <t>72.02.02.02</t>
  </si>
  <si>
    <t>72.02.02.03</t>
  </si>
  <si>
    <t>72.02.02.04</t>
  </si>
  <si>
    <t>72.02.02.05</t>
  </si>
  <si>
    <t>72.02.02.06</t>
  </si>
  <si>
    <t>72.02.04.01</t>
  </si>
  <si>
    <t>72.02.04.02</t>
  </si>
  <si>
    <t>72.02.04.03</t>
  </si>
  <si>
    <t>72.02.04.04</t>
  </si>
  <si>
    <t>72.02.04.05</t>
  </si>
  <si>
    <t>72.02.04.06</t>
  </si>
  <si>
    <t>72.02.05.01</t>
  </si>
  <si>
    <t>72.02.05.02</t>
  </si>
  <si>
    <t>72.02.05.03</t>
  </si>
  <si>
    <t>72.02.05.04</t>
  </si>
  <si>
    <t>72.02.08.01</t>
  </si>
  <si>
    <t>72.02.08.02</t>
  </si>
  <si>
    <t>72.02.08.03</t>
  </si>
  <si>
    <t>72.02.08.04</t>
  </si>
  <si>
    <t>72.02.08.05</t>
  </si>
  <si>
    <t>72.02.08.06</t>
  </si>
  <si>
    <t>72.02.09.01</t>
  </si>
  <si>
    <t>72.02.09.02</t>
  </si>
  <si>
    <t>72.02.09.03</t>
  </si>
  <si>
    <t>72.02.09.04</t>
  </si>
  <si>
    <t>72.02.09.05</t>
  </si>
  <si>
    <t>72.02.09.06</t>
  </si>
  <si>
    <t>72.02.10.01</t>
  </si>
  <si>
    <t>72.02.10.02</t>
  </si>
  <si>
    <t>72.02.10.03</t>
  </si>
  <si>
    <t>72.02.10.04</t>
  </si>
  <si>
    <t>72.02.10.05</t>
  </si>
  <si>
    <t>72.02.10.06</t>
  </si>
  <si>
    <t>72.03.01.01</t>
  </si>
  <si>
    <t>72.03.01.02</t>
  </si>
  <si>
    <t>72.03.01.03</t>
  </si>
  <si>
    <t>72.03.01.04</t>
  </si>
  <si>
    <t>72.03.02.01</t>
  </si>
  <si>
    <t>72.03.02.02</t>
  </si>
  <si>
    <t>72.03.02.03</t>
  </si>
  <si>
    <t>72.03.02.04</t>
  </si>
  <si>
    <t>72.04.01.01</t>
  </si>
  <si>
    <t>72.04.01.02</t>
  </si>
  <si>
    <t>72.04.01.03</t>
  </si>
  <si>
    <t>72.04.01.04</t>
  </si>
  <si>
    <t>72.04.02.01</t>
  </si>
  <si>
    <t>72.04.02.02</t>
  </si>
  <si>
    <t>72.04.02.03</t>
  </si>
  <si>
    <t>72.04.02.04</t>
  </si>
  <si>
    <t>72.04.03.01</t>
  </si>
  <si>
    <t>72.04.03.02</t>
  </si>
  <si>
    <t>72.04.03.03</t>
  </si>
  <si>
    <t>72.04.03.04</t>
  </si>
  <si>
    <t>72.04.04.01</t>
  </si>
  <si>
    <t>72.04.04.02</t>
  </si>
  <si>
    <t>72.04.04.03</t>
  </si>
  <si>
    <t>72.04.04.04</t>
  </si>
  <si>
    <t>72.05.01.01</t>
  </si>
  <si>
    <t>72.05.01.02</t>
  </si>
  <si>
    <t>72.05.01.03</t>
  </si>
  <si>
    <t>72.05.01.04</t>
  </si>
  <si>
    <t>72.05.02.01</t>
  </si>
  <si>
    <t>72.05.02.02</t>
  </si>
  <si>
    <t>72.05.02.03</t>
  </si>
  <si>
    <t>72.05.02.04</t>
  </si>
  <si>
    <t>72.05.03.01</t>
  </si>
  <si>
    <t>72.05.03.02</t>
  </si>
  <si>
    <t>72.05.03.03</t>
  </si>
  <si>
    <t>72.05.03.04</t>
  </si>
  <si>
    <t>72.05.04.01</t>
  </si>
  <si>
    <t>72.05.04.02</t>
  </si>
  <si>
    <t>72.05.04.03</t>
  </si>
  <si>
    <t>72.05.04.04</t>
  </si>
  <si>
    <t>72.05.05.01</t>
  </si>
  <si>
    <t>72.05.05.02</t>
  </si>
  <si>
    <t>72.05.05.03</t>
  </si>
  <si>
    <t>72.05.05.04</t>
  </si>
  <si>
    <t>72.06.01.01</t>
  </si>
  <si>
    <t>72.06.01.02</t>
  </si>
  <si>
    <t>72.06.01.03</t>
  </si>
  <si>
    <t>72.06.01.04</t>
  </si>
  <si>
    <t>72.06.02.01</t>
  </si>
  <si>
    <t>72.06.02.02</t>
  </si>
  <si>
    <t>72.06.02.03</t>
  </si>
  <si>
    <t>72.06.02.04</t>
  </si>
  <si>
    <t>72.06.03.01</t>
  </si>
  <si>
    <t>72.06.03.02</t>
  </si>
  <si>
    <t>72.06.03.03</t>
  </si>
  <si>
    <t>72.06.03.04</t>
  </si>
  <si>
    <t>72.06.04.01</t>
  </si>
  <si>
    <t>72.06.04.02</t>
  </si>
  <si>
    <t>72.06.04.03</t>
  </si>
  <si>
    <t>72.06.04.04</t>
  </si>
  <si>
    <t>72.06.05.01</t>
  </si>
  <si>
    <t>72.06.05.02</t>
  </si>
  <si>
    <t>72.06.05.03</t>
  </si>
  <si>
    <t>72.06.05.04</t>
  </si>
  <si>
    <t>72.07.01.01</t>
  </si>
  <si>
    <t>72.07.01.02</t>
  </si>
  <si>
    <t>72.07.01.03</t>
  </si>
  <si>
    <t>72.07.01.04</t>
  </si>
  <si>
    <t>72.07.02.01</t>
  </si>
  <si>
    <t>72.07.02.02</t>
  </si>
  <si>
    <t>72.07.02.03</t>
  </si>
  <si>
    <t>72.07.02.04</t>
  </si>
  <si>
    <t>72.07.03.01</t>
  </si>
  <si>
    <t>72.07.03.02</t>
  </si>
  <si>
    <t>72.07.03.03</t>
  </si>
  <si>
    <t>72.07.03.04</t>
  </si>
  <si>
    <t>72.07.06.01</t>
  </si>
  <si>
    <t>72.07.06.02</t>
  </si>
  <si>
    <t>72.07.06.03</t>
  </si>
  <si>
    <t>72.07.06.04</t>
  </si>
  <si>
    <t>72.07.07.01</t>
  </si>
  <si>
    <t>72.07.07.02</t>
  </si>
  <si>
    <t>72.07.07.03</t>
  </si>
  <si>
    <t>72.07.07.04</t>
  </si>
  <si>
    <t>72.08.01.01</t>
  </si>
  <si>
    <t>72.08.01.02</t>
  </si>
  <si>
    <t>72.08.01.03</t>
  </si>
  <si>
    <t>72.08.01.04</t>
  </si>
  <si>
    <t>72.08.01.05</t>
  </si>
  <si>
    <t>72.08.02.01</t>
  </si>
  <si>
    <t>72.08.02.02</t>
  </si>
  <si>
    <t>72.08.02.03</t>
  </si>
  <si>
    <t>72.08.02.04</t>
  </si>
  <si>
    <t>72.08.02.05</t>
  </si>
  <si>
    <t>72.09.01.01</t>
  </si>
  <si>
    <t>72.09.01.02</t>
  </si>
  <si>
    <t>72.09.01.03</t>
  </si>
  <si>
    <t>72.09.01.04</t>
  </si>
  <si>
    <t>72.09.01.05</t>
  </si>
  <si>
    <t>72.09.02.01</t>
  </si>
  <si>
    <t>72.09.02.02</t>
  </si>
  <si>
    <t>72.09.02.03</t>
  </si>
  <si>
    <t>72.09.02.04</t>
  </si>
  <si>
    <t>72.09.02.05</t>
  </si>
  <si>
    <t>72.09.04.01</t>
  </si>
  <si>
    <t>72.09.04.02</t>
  </si>
  <si>
    <t>72.09.04.03</t>
  </si>
  <si>
    <t>72.09.04.04</t>
  </si>
  <si>
    <t>72.09.04.05</t>
  </si>
  <si>
    <t>72.10.01.01</t>
  </si>
  <si>
    <t>72.10.01.02</t>
  </si>
  <si>
    <t>72.10.01.03</t>
  </si>
  <si>
    <t>72.10.01.04</t>
  </si>
  <si>
    <t>72.10.01.05</t>
  </si>
  <si>
    <t>72.11.01.01</t>
  </si>
  <si>
    <t>72.11.01.02</t>
  </si>
  <si>
    <t>72.11.01.03</t>
  </si>
  <si>
    <t>72.11.01.04</t>
  </si>
  <si>
    <t>72.11.01.05</t>
  </si>
  <si>
    <t>72.11.02.01</t>
  </si>
  <si>
    <t>72.11.02.02</t>
  </si>
  <si>
    <t>72.11.02.03</t>
  </si>
  <si>
    <t>72.11.02.04</t>
  </si>
  <si>
    <t>72.11.02.05</t>
  </si>
  <si>
    <t>72.11.03.01</t>
  </si>
  <si>
    <t>72.11.03.02</t>
  </si>
  <si>
    <t>72.11.03.03</t>
  </si>
  <si>
    <t>72.11.03.04</t>
  </si>
  <si>
    <t>72.11.03.05</t>
  </si>
  <si>
    <t>72.12.01.01</t>
  </si>
  <si>
    <t>72.12.01.02</t>
  </si>
  <si>
    <t>72.12.01.03</t>
  </si>
  <si>
    <t>72.12.01.04</t>
  </si>
  <si>
    <t>72.12.01.05</t>
  </si>
  <si>
    <t>72.12.02.01</t>
  </si>
  <si>
    <t>72.12.02.02</t>
  </si>
  <si>
    <t>72.12.02.03</t>
  </si>
  <si>
    <t>72.12.02.04</t>
  </si>
  <si>
    <t>72.12.02.05</t>
  </si>
  <si>
    <t>72.12.03.01</t>
  </si>
  <si>
    <t>72.12.03.02</t>
  </si>
  <si>
    <t>72.12.03.03</t>
  </si>
  <si>
    <t>72.12.03.04</t>
  </si>
  <si>
    <t>72.12.03.05</t>
  </si>
  <si>
    <t>72.12.04.01</t>
  </si>
  <si>
    <t>72.12.04.02</t>
  </si>
  <si>
    <t>72.12.04.03</t>
  </si>
  <si>
    <t>72.12.04.04</t>
  </si>
  <si>
    <t>72.12.04.05</t>
  </si>
  <si>
    <t>72.12.05.01</t>
  </si>
  <si>
    <t>72.12.05.02</t>
  </si>
  <si>
    <t>72.12.05.03</t>
  </si>
  <si>
    <t>72.12.05.04</t>
  </si>
  <si>
    <t>72.12.05.05</t>
  </si>
  <si>
    <t>72.12.06.01</t>
  </si>
  <si>
    <t>72.12.06.02</t>
  </si>
  <si>
    <t>72.12.06.03</t>
  </si>
  <si>
    <t>72.12.06.04</t>
  </si>
  <si>
    <t>72.12.06.05</t>
  </si>
  <si>
    <t>72.12.07.01</t>
  </si>
  <si>
    <t>72.12.07.02</t>
  </si>
  <si>
    <t>72.12.07.03</t>
  </si>
  <si>
    <t>72.12.07.04</t>
  </si>
  <si>
    <t>72.13.01.01</t>
  </si>
  <si>
    <t>72.13.01.02</t>
  </si>
  <si>
    <t>72.13.01.03</t>
  </si>
  <si>
    <t>72.13.01.04</t>
  </si>
  <si>
    <t>72.13.01.05</t>
  </si>
  <si>
    <t>72.14.01.01</t>
  </si>
  <si>
    <t>72.14.01.02</t>
  </si>
  <si>
    <t>72.14.01.03</t>
  </si>
  <si>
    <t>72.14.01.04</t>
  </si>
  <si>
    <t>72.14.01.05</t>
  </si>
  <si>
    <t>72.15.01.01</t>
  </si>
  <si>
    <t>72.15.01.02</t>
  </si>
  <si>
    <t>72.15.01.03</t>
  </si>
  <si>
    <t>72.15.01.04</t>
  </si>
  <si>
    <t>72.15.01.05</t>
  </si>
  <si>
    <t>72.15.02.01</t>
  </si>
  <si>
    <t>72.15.02.02</t>
  </si>
  <si>
    <t>72.15.02.03</t>
  </si>
  <si>
    <t>72.15.02.04</t>
  </si>
  <si>
    <t>72.15.02.05</t>
  </si>
  <si>
    <t>72.15.03.01</t>
  </si>
  <si>
    <t>72.15.03.02</t>
  </si>
  <si>
    <t>72.15.03.03</t>
  </si>
  <si>
    <t>72.15.03.04</t>
  </si>
  <si>
    <t>72.15.03.05</t>
  </si>
  <si>
    <t>72.16.01.01</t>
  </si>
  <si>
    <t>72.16.01.02</t>
  </si>
  <si>
    <t>72.16.01.03</t>
  </si>
  <si>
    <t>72.16.01.04</t>
  </si>
  <si>
    <t>72.16.01.05</t>
  </si>
  <si>
    <t>72.16.02.01</t>
  </si>
  <si>
    <t>72.16.02.02</t>
  </si>
  <si>
    <t>72.16.02.03</t>
  </si>
  <si>
    <t>72.16.02.04</t>
  </si>
  <si>
    <t>72.17.01.01</t>
  </si>
  <si>
    <t>72.17.01.02</t>
  </si>
  <si>
    <t>72.17.01.03</t>
  </si>
  <si>
    <t>72.17.01.04</t>
  </si>
  <si>
    <t>72.18.01.01</t>
  </si>
  <si>
    <t>72.18.01.02</t>
  </si>
  <si>
    <t>72.18.01.03</t>
  </si>
  <si>
    <t>72.18.01.04</t>
  </si>
  <si>
    <t>72.18.01.05</t>
  </si>
  <si>
    <t>72.18.02.01</t>
  </si>
  <si>
    <t>72.18.02.02</t>
  </si>
  <si>
    <t>72.18.02.03</t>
  </si>
  <si>
    <t>72.18.02.04</t>
  </si>
  <si>
    <t>72.18.02.05</t>
  </si>
  <si>
    <t>72.19.01.01</t>
  </si>
  <si>
    <t>72.19.01.02</t>
  </si>
  <si>
    <t>72.19.01.03</t>
  </si>
  <si>
    <t>72.19.01.04</t>
  </si>
  <si>
    <t>72.20.01.01</t>
  </si>
  <si>
    <t>72.20.01.02</t>
  </si>
  <si>
    <t>72.20.01.03</t>
  </si>
  <si>
    <t>72.20.01.04</t>
  </si>
  <si>
    <t>72.20.02.01</t>
  </si>
  <si>
    <t>72.20.02.02</t>
  </si>
  <si>
    <t>72.20.02.03</t>
  </si>
  <si>
    <t>72.20.02.04</t>
  </si>
  <si>
    <t>72.21.01.01</t>
  </si>
  <si>
    <t>72.21.01.02</t>
  </si>
  <si>
    <t>72.21.01.03</t>
  </si>
  <si>
    <t>72.21.01.04</t>
  </si>
  <si>
    <t>72.21.02.01</t>
  </si>
  <si>
    <t>72.21.02.02</t>
  </si>
  <si>
    <t>72.21.02.03</t>
  </si>
  <si>
    <t>72.21.02.04</t>
  </si>
  <si>
    <t>72.21.03.01</t>
  </si>
  <si>
    <t>72.21.03.02</t>
  </si>
  <si>
    <t>72.21.03.03</t>
  </si>
  <si>
    <t>72.21.03.04</t>
  </si>
  <si>
    <t>72.21.04.01</t>
  </si>
  <si>
    <t>72.21.04.02</t>
  </si>
  <si>
    <t>72.21.04.03</t>
  </si>
  <si>
    <t>72.21.04.04</t>
  </si>
  <si>
    <t>72.22.01.01</t>
  </si>
  <si>
    <t>72.22.01.02</t>
  </si>
  <si>
    <t>72.22.01.03</t>
  </si>
  <si>
    <t>72.22.01.04</t>
  </si>
  <si>
    <t>72.22.03.01</t>
  </si>
  <si>
    <t>72.22.03.02</t>
  </si>
  <si>
    <t>72.22.03.03</t>
  </si>
  <si>
    <t>72.22.03.04</t>
  </si>
  <si>
    <t>72.23.01.01</t>
  </si>
  <si>
    <t>72.23.01.02</t>
  </si>
  <si>
    <t>72.23.01.03</t>
  </si>
  <si>
    <t>72.23.01.04</t>
  </si>
  <si>
    <t>72.23.02.01</t>
  </si>
  <si>
    <t>72.23.02.02</t>
  </si>
  <si>
    <t>72.23.02.03</t>
  </si>
  <si>
    <t>72.23.02.04</t>
  </si>
  <si>
    <t>72.23.03.01</t>
  </si>
  <si>
    <t>72.23.03.02</t>
  </si>
  <si>
    <t>72.23.03.03</t>
  </si>
  <si>
    <t>72.23.03.04</t>
  </si>
  <si>
    <t>72.24.01.01</t>
  </si>
  <si>
    <t>72.24.01.02</t>
  </si>
  <si>
    <t>72.24.01.03</t>
  </si>
  <si>
    <t>72.24.01.04</t>
  </si>
  <si>
    <t>72.25.01.01</t>
  </si>
  <si>
    <t>72.25.01.02</t>
  </si>
  <si>
    <t>72.25.01.03</t>
  </si>
  <si>
    <t>72.25.01.04</t>
  </si>
  <si>
    <t>72.26.01.01</t>
  </si>
  <si>
    <t>72.26.01.02</t>
  </si>
  <si>
    <t>72.26.01.03</t>
  </si>
  <si>
    <t>72.26.01.04</t>
  </si>
  <si>
    <t>72.26.02.01</t>
  </si>
  <si>
    <t>72.26.02.02</t>
  </si>
  <si>
    <t>72.26.02.03</t>
  </si>
  <si>
    <t>72.26.02.04</t>
  </si>
  <si>
    <t>72.26.03.01</t>
  </si>
  <si>
    <t>72.26.03.02</t>
  </si>
  <si>
    <t>72.26.03.03</t>
  </si>
  <si>
    <t>72.26.03.04</t>
  </si>
  <si>
    <t>72.27.01.01</t>
  </si>
  <si>
    <t>72.27.01.02</t>
  </si>
  <si>
    <t>72.27.01.03</t>
  </si>
  <si>
    <t>72.27.01.04</t>
  </si>
  <si>
    <t>72.27.02.01</t>
  </si>
  <si>
    <t>72.27.02.02</t>
  </si>
  <si>
    <t>72.27.02.03</t>
  </si>
  <si>
    <t>72.27.02.04</t>
  </si>
  <si>
    <t>72.27.03.01</t>
  </si>
  <si>
    <t>72.27.03.02</t>
  </si>
  <si>
    <t>72.27.03.03</t>
  </si>
  <si>
    <t>72.27.03.04</t>
  </si>
  <si>
    <t>72.27.04.01</t>
  </si>
  <si>
    <t>72.27.04.02</t>
  </si>
  <si>
    <t>72.27.04.03</t>
  </si>
  <si>
    <t>72.27.04.04</t>
  </si>
  <si>
    <t>72.27.05.01</t>
  </si>
  <si>
    <t>72.27.05.02</t>
  </si>
  <si>
    <t>72.27.05.03</t>
  </si>
  <si>
    <t>72.27.05.04</t>
  </si>
  <si>
    <t>72.28.01.01</t>
  </si>
  <si>
    <t>72.28.01.02</t>
  </si>
  <si>
    <t>72.28.01.03</t>
  </si>
  <si>
    <t>72.28.01.04</t>
  </si>
  <si>
    <t>72.28.02.01</t>
  </si>
  <si>
    <t>72.28.02.02</t>
  </si>
  <si>
    <t>72.28.02.03</t>
  </si>
  <si>
    <t>72.28.02.04</t>
  </si>
  <si>
    <t>72.29.01.01</t>
  </si>
  <si>
    <t>72.29.01.02</t>
  </si>
  <si>
    <t>72.29.01.03</t>
  </si>
  <si>
    <t>72.29.01.04</t>
  </si>
  <si>
    <t>72.29.02.01</t>
  </si>
  <si>
    <t>72.29.02.02</t>
  </si>
  <si>
    <t>72.29.02.03</t>
  </si>
  <si>
    <t>72.29.02.04</t>
  </si>
  <si>
    <t>72.30.01.01</t>
  </si>
  <si>
    <t>72.30.01.02</t>
  </si>
  <si>
    <t>72.30.01.03</t>
  </si>
  <si>
    <t>72.30.01.04</t>
  </si>
  <si>
    <t>72.31.01.01</t>
  </si>
  <si>
    <t>72.31.01.02</t>
  </si>
  <si>
    <t>72.31.01.03</t>
  </si>
  <si>
    <t>72.31.01.04</t>
  </si>
  <si>
    <t>72.31.02.01</t>
  </si>
  <si>
    <t>72.31.02.02</t>
  </si>
  <si>
    <t>72.31.02.03</t>
  </si>
  <si>
    <t>72.31.02.04</t>
  </si>
  <si>
    <t>72.31.03.01</t>
  </si>
  <si>
    <t>72.31.03.02</t>
  </si>
  <si>
    <t>72.31.03.03</t>
  </si>
  <si>
    <t>72.31.03.04</t>
  </si>
  <si>
    <t>72.31.04.01</t>
  </si>
  <si>
    <t>72.31.04.02</t>
  </si>
  <si>
    <t>72.31.04.03</t>
  </si>
  <si>
    <t>72.31.04.04</t>
  </si>
  <si>
    <t>72.31.05.01</t>
  </si>
  <si>
    <t>72.31.05.02</t>
  </si>
  <si>
    <t>72.31.05.03</t>
  </si>
  <si>
    <t>72.31.05.04</t>
  </si>
  <si>
    <t>72.31.06.01</t>
  </si>
  <si>
    <t>72.31.06.02</t>
  </si>
  <si>
    <t>72.31.06.03</t>
  </si>
  <si>
    <t>72.31.06.04</t>
  </si>
  <si>
    <t>72.32.01.01</t>
  </si>
  <si>
    <t>72.32.01.02</t>
  </si>
  <si>
    <t>72.32.01.03</t>
  </si>
  <si>
    <t>72.32.01.04</t>
  </si>
  <si>
    <t>72.32.02.01</t>
  </si>
  <si>
    <t>72.32.02.02</t>
  </si>
  <si>
    <t>72.32.02.03</t>
  </si>
  <si>
    <t>72.32.02.04</t>
  </si>
  <si>
    <t>72.33.01.01</t>
  </si>
  <si>
    <t>72.33.01.02</t>
  </si>
  <si>
    <t>72.33.01.03</t>
  </si>
  <si>
    <t>72.33.01.04</t>
  </si>
  <si>
    <t>72.33.02.01</t>
  </si>
  <si>
    <t>72.33.02.02</t>
  </si>
  <si>
    <t>72.33.02.03</t>
  </si>
  <si>
    <t>72.33.02.04</t>
  </si>
  <si>
    <t>72.34.01.01</t>
  </si>
  <si>
    <t>72.34.01.02</t>
  </si>
  <si>
    <t>72.34.01.03</t>
  </si>
  <si>
    <t>72.34.01.04</t>
  </si>
  <si>
    <t>72.35.01.01</t>
  </si>
  <si>
    <t>72.35.01.02</t>
  </si>
  <si>
    <t>72.35.01.03</t>
  </si>
  <si>
    <t>72.35.01.04</t>
  </si>
  <si>
    <t>72.35.02.01</t>
  </si>
  <si>
    <t>72.35.02.02</t>
  </si>
  <si>
    <t>72.35.02.03</t>
  </si>
  <si>
    <t>72.35.02.04</t>
  </si>
  <si>
    <t>72.35.03.01</t>
  </si>
  <si>
    <t>72.35.03.02</t>
  </si>
  <si>
    <t>72.35.03.03</t>
  </si>
  <si>
    <t>72.35.03.04</t>
  </si>
  <si>
    <t>72.36.01.01</t>
  </si>
  <si>
    <t>72.36.01.02</t>
  </si>
  <si>
    <t>72.36.01.03</t>
  </si>
  <si>
    <t>72.36.01.04</t>
  </si>
  <si>
    <t>72.36.02.01</t>
  </si>
  <si>
    <t>72.36.02.02</t>
  </si>
  <si>
    <t>72.36.02.03</t>
  </si>
  <si>
    <t>72.36.02.04</t>
  </si>
  <si>
    <t>72.37.01.01</t>
  </si>
  <si>
    <t>72.37.01.02</t>
  </si>
  <si>
    <t>72.37.01.03</t>
  </si>
  <si>
    <t>72.37.01.04</t>
  </si>
  <si>
    <t>72.37.02.01</t>
  </si>
  <si>
    <t>72.37.02.02</t>
  </si>
  <si>
    <t>72.37.02.03</t>
  </si>
  <si>
    <t>72.37.02.04</t>
  </si>
  <si>
    <t>72.38.01.01</t>
  </si>
  <si>
    <t>72.38.01.02</t>
  </si>
  <si>
    <t>72.38.01.03</t>
  </si>
  <si>
    <t>72.38.01.04</t>
  </si>
  <si>
    <t>72.38.02.01</t>
  </si>
  <si>
    <t>72.38.02.02</t>
  </si>
  <si>
    <t>72.38.02.03</t>
  </si>
  <si>
    <t>72.38.02.04</t>
  </si>
  <si>
    <t>72.39.01.01</t>
  </si>
  <si>
    <t>72.39.01.02</t>
  </si>
  <si>
    <t>72.39.01.03</t>
  </si>
  <si>
    <t>72.39.01.04</t>
  </si>
  <si>
    <t>72.39.02.01</t>
  </si>
  <si>
    <t>72.39.02.02</t>
  </si>
  <si>
    <t>72.39.02.03</t>
  </si>
  <si>
    <t>72.39.02.04</t>
  </si>
  <si>
    <t>72.39.03.01</t>
  </si>
  <si>
    <t>72.39.03.02</t>
  </si>
  <si>
    <t>72.39.03.03</t>
  </si>
  <si>
    <t>72.39.03.04</t>
  </si>
  <si>
    <t>72.40.01.01</t>
  </si>
  <si>
    <t>72.40.01.02</t>
  </si>
  <si>
    <t>72.40.01.03</t>
  </si>
  <si>
    <t>72.40.01.04</t>
  </si>
  <si>
    <t>72.40.02.01</t>
  </si>
  <si>
    <t>72.40.02.02</t>
  </si>
  <si>
    <t>72.40.02.03</t>
  </si>
  <si>
    <t>72.40.02.04</t>
  </si>
  <si>
    <t>72.40.03.01</t>
  </si>
  <si>
    <t>72.40.03.02</t>
  </si>
  <si>
    <t>72.40.03.03</t>
  </si>
  <si>
    <t>72.40.03.04</t>
  </si>
  <si>
    <t>72.41.01.01</t>
  </si>
  <si>
    <t>72.41.01.02</t>
  </si>
  <si>
    <t>72.41.01.03</t>
  </si>
  <si>
    <t>72.41.01.04</t>
  </si>
  <si>
    <t>72.41.02.01</t>
  </si>
  <si>
    <t>72.41.02.02</t>
  </si>
  <si>
    <t>72.41.02.03</t>
  </si>
  <si>
    <t>72.41.02.04</t>
  </si>
  <si>
    <t>72.41.03.01</t>
  </si>
  <si>
    <t>72.41.03.02</t>
  </si>
  <si>
    <t>72.41.03.03</t>
  </si>
  <si>
    <t>72.41.03.04</t>
  </si>
  <si>
    <t>72.41.04.01</t>
  </si>
  <si>
    <t>72.41.04.02</t>
  </si>
  <si>
    <t>72.41.04.03</t>
  </si>
  <si>
    <t>72.41.04.04</t>
  </si>
  <si>
    <t>72.41.05.01</t>
  </si>
  <si>
    <t>72.41.05.02</t>
  </si>
  <si>
    <t>72.41.05.03</t>
  </si>
  <si>
    <t>72.41.05.04</t>
  </si>
  <si>
    <t>72.42.01.01</t>
  </si>
  <si>
    <t>72.42.01.02</t>
  </si>
  <si>
    <t>72.42.01.03</t>
  </si>
  <si>
    <t>72.42.01.04</t>
  </si>
  <si>
    <t>72.42.02.01</t>
  </si>
  <si>
    <t>72.42.02.02</t>
  </si>
  <si>
    <t>72.42.02.03</t>
  </si>
  <si>
    <t>72.42.02.04</t>
  </si>
  <si>
    <t>72.42.03.01</t>
  </si>
  <si>
    <t>72.42.03.02</t>
  </si>
  <si>
    <t>72.42.03.03</t>
  </si>
  <si>
    <t>72.42.03.04</t>
  </si>
  <si>
    <t>72.42.04.01</t>
  </si>
  <si>
    <t>72.42.04.02</t>
  </si>
  <si>
    <t>72.42.04.03</t>
  </si>
  <si>
    <t>72.42.04.04</t>
  </si>
  <si>
    <t>72.42.05.01</t>
  </si>
  <si>
    <t>72.42.05.02</t>
  </si>
  <si>
    <t>72.42.05.03</t>
  </si>
  <si>
    <t>72.42.05.04</t>
  </si>
  <si>
    <t>72.43.01.01</t>
  </si>
  <si>
    <t>72.43.01.02</t>
  </si>
  <si>
    <t>72.43.01.03</t>
  </si>
  <si>
    <t>72.43.01.04</t>
  </si>
  <si>
    <t>72.44.01.01</t>
  </si>
  <si>
    <t>72.44.01.02</t>
  </si>
  <si>
    <t>72.44.01.03</t>
  </si>
  <si>
    <t>72.44.01.04</t>
  </si>
  <si>
    <t>72.44.02.01</t>
  </si>
  <si>
    <t>72.44.02.02</t>
  </si>
  <si>
    <t>72.44.02.03</t>
  </si>
  <si>
    <t>72.44.02.04</t>
  </si>
  <si>
    <t>72.44.03.01</t>
  </si>
  <si>
    <t>72.44.03.02</t>
  </si>
  <si>
    <t>72.44.03.03</t>
  </si>
  <si>
    <t>72.44.03.04</t>
  </si>
  <si>
    <t>72.45.01.01</t>
  </si>
  <si>
    <t>72.45.01.02</t>
  </si>
  <si>
    <t>72.45.01.03</t>
  </si>
  <si>
    <t>72.45.01.04</t>
  </si>
  <si>
    <t>72.45.02.01</t>
  </si>
  <si>
    <t>72.45.02.02</t>
  </si>
  <si>
    <t>72.45.02.03</t>
  </si>
  <si>
    <t>72.45.02.04</t>
  </si>
  <si>
    <t>72.45.03.01</t>
  </si>
  <si>
    <t>72.45.03.02</t>
  </si>
  <si>
    <t>72.45.03.03</t>
  </si>
  <si>
    <t>72.45.03.04</t>
  </si>
  <si>
    <t>72.45.04.01</t>
  </si>
  <si>
    <t>72.45.04.02</t>
  </si>
  <si>
    <t>72.45.04.03</t>
  </si>
  <si>
    <t>72.45.04.04</t>
  </si>
  <si>
    <t>72.45.05.01</t>
  </si>
  <si>
    <t>72.45.05.02</t>
  </si>
  <si>
    <t>72.45.05.03</t>
  </si>
  <si>
    <t>72.45.05.04</t>
  </si>
  <si>
    <t>72.45.06.01</t>
  </si>
  <si>
    <t>72.45.06.02</t>
  </si>
  <si>
    <t>72.45.06.03</t>
  </si>
  <si>
    <t>72.45.06.04</t>
  </si>
  <si>
    <t>72.46.01.01</t>
  </si>
  <si>
    <t>72.46.01.02</t>
  </si>
  <si>
    <t>72.46.01.03</t>
  </si>
  <si>
    <t>72.46.01.04</t>
  </si>
  <si>
    <t>72.46.02.01</t>
  </si>
  <si>
    <t>72.46.02.02</t>
  </si>
  <si>
    <t>72.46.02.03</t>
  </si>
  <si>
    <t>72.46.02.04</t>
  </si>
  <si>
    <t>72.47.01.01</t>
  </si>
  <si>
    <t>72.47.01.02</t>
  </si>
  <si>
    <t>72.47.01.03</t>
  </si>
  <si>
    <t>72.47.01.04</t>
  </si>
  <si>
    <t>72.47.02.01</t>
  </si>
  <si>
    <t>72.47.02.02</t>
  </si>
  <si>
    <t>72.47.02.03</t>
  </si>
  <si>
    <t>72.47.02.04</t>
  </si>
  <si>
    <t>72.47.03.01</t>
  </si>
  <si>
    <t>72.47.03.02</t>
  </si>
  <si>
    <t>72.47.03.03</t>
  </si>
  <si>
    <t>72.47.03.04</t>
  </si>
  <si>
    <t>72.48.01.01</t>
  </si>
  <si>
    <t>72.48.01.02</t>
  </si>
  <si>
    <t>72.48.01.03</t>
  </si>
  <si>
    <t>72.48.01.04</t>
  </si>
  <si>
    <t>72.48.02.01</t>
  </si>
  <si>
    <t>72.48.02.02</t>
  </si>
  <si>
    <t>72.48.02.03</t>
  </si>
  <si>
    <t>72.48.02.04</t>
  </si>
  <si>
    <t>72.49.01.01</t>
  </si>
  <si>
    <t>72.49.01.02</t>
  </si>
  <si>
    <t>72.49.01.03</t>
  </si>
  <si>
    <t>72.49.01.04</t>
  </si>
  <si>
    <t>72.49.02.01</t>
  </si>
  <si>
    <t>72.49.02.02</t>
  </si>
  <si>
    <t>72.49.02.03</t>
  </si>
  <si>
    <t>72.49.02.04</t>
  </si>
  <si>
    <t>72.49.03.01</t>
  </si>
  <si>
    <t>72.49.03.02</t>
  </si>
  <si>
    <t>72.49.03.03</t>
  </si>
  <si>
    <t>72.49.03.04</t>
  </si>
  <si>
    <t>72.49.04.01</t>
  </si>
  <si>
    <t>72.49.04.02</t>
  </si>
  <si>
    <t>72.49.04.03</t>
  </si>
  <si>
    <t>72.49.04.04</t>
  </si>
  <si>
    <t>72.49.05.01</t>
  </si>
  <si>
    <t>72.49.05.02</t>
  </si>
  <si>
    <t>72.49.05.03</t>
  </si>
  <si>
    <t>72.49.05.04</t>
  </si>
  <si>
    <t>72.50.01.01</t>
  </si>
  <si>
    <t>72.50.01.02</t>
  </si>
  <si>
    <t>72.50.01.03</t>
  </si>
  <si>
    <t>72.50.01.04</t>
  </si>
  <si>
    <t>72.50.02.01</t>
  </si>
  <si>
    <t>72.50.02.02</t>
  </si>
  <si>
    <t>72.50.02.03</t>
  </si>
  <si>
    <t>72.50.02.04</t>
  </si>
  <si>
    <t>72.50.03.01</t>
  </si>
  <si>
    <t>72.50.03.02</t>
  </si>
  <si>
    <t>72.50.03.03</t>
  </si>
  <si>
    <t>72.50.03.04</t>
  </si>
  <si>
    <t>72.50.04.01</t>
  </si>
  <si>
    <t>72.50.04.02</t>
  </si>
  <si>
    <t>72.50.04.03</t>
  </si>
  <si>
    <t>72.50.04.04</t>
  </si>
  <si>
    <t>72.50.05.01</t>
  </si>
  <si>
    <t>72.50.05.02</t>
  </si>
  <si>
    <t>72.50.05.03</t>
  </si>
  <si>
    <t>72.50.05.04</t>
  </si>
  <si>
    <t>72.50.06.01</t>
  </si>
  <si>
    <t>72.50.06.02</t>
  </si>
  <si>
    <t>72.50.06.03</t>
  </si>
  <si>
    <t>72.50.06.04</t>
  </si>
  <si>
    <t>72.52.01.01</t>
  </si>
  <si>
    <t>72.52.01.02</t>
  </si>
  <si>
    <t>72.52.01.03</t>
  </si>
  <si>
    <t>72.52.01.04</t>
  </si>
  <si>
    <t>72.52.02.01</t>
  </si>
  <si>
    <t>72.52.02.02</t>
  </si>
  <si>
    <t>72.52.02.03</t>
  </si>
  <si>
    <t>72.52.02.04</t>
  </si>
  <si>
    <t>72.52.03.01</t>
  </si>
  <si>
    <t>72.52.03.02</t>
  </si>
  <si>
    <t>72.52.03.03</t>
  </si>
  <si>
    <t>72.52.03.04</t>
  </si>
  <si>
    <t>72.52.04.01</t>
  </si>
  <si>
    <t>72.52.04.02</t>
  </si>
  <si>
    <t>72.52.04.03</t>
  </si>
  <si>
    <t>72.52.04.04</t>
  </si>
  <si>
    <t>72.52.05.01</t>
  </si>
  <si>
    <t>72.52.05.02</t>
  </si>
  <si>
    <t>72.52.05.03</t>
  </si>
  <si>
    <t>72.53.01.01</t>
  </si>
  <si>
    <t>72.53.01.02</t>
  </si>
  <si>
    <t>72.53.01.03</t>
  </si>
  <si>
    <t>72.53.01.04</t>
  </si>
  <si>
    <t>72.53.02.01</t>
  </si>
  <si>
    <t>72.53.02.02</t>
  </si>
  <si>
    <t>72.53.02.03</t>
  </si>
  <si>
    <t>72.53.02.04</t>
  </si>
  <si>
    <t>72.54.01.01</t>
  </si>
  <si>
    <t>72.54.01.02</t>
  </si>
  <si>
    <t>72.54.01.03</t>
  </si>
  <si>
    <t>72.54.01.04</t>
  </si>
  <si>
    <t>72.54.02.01</t>
  </si>
  <si>
    <t>72.54.02.02</t>
  </si>
  <si>
    <t>72.54.02.03</t>
  </si>
  <si>
    <t>72.54.02.04</t>
  </si>
  <si>
    <t>72.54.03.01</t>
  </si>
  <si>
    <t>72.54.03.02</t>
  </si>
  <si>
    <t>72.54.03.03</t>
  </si>
  <si>
    <t>72.54.03.04</t>
  </si>
  <si>
    <t>72.54.04.01</t>
  </si>
  <si>
    <t>72.54.04.02</t>
  </si>
  <si>
    <t>72.54.04.03</t>
  </si>
  <si>
    <t>72.54.04.04</t>
  </si>
  <si>
    <t>72.55.01.01</t>
  </si>
  <si>
    <t>72.55.01.02</t>
  </si>
  <si>
    <t>72.55.01.03</t>
  </si>
  <si>
    <t>72.55.01.04</t>
  </si>
  <si>
    <t>72.56.01.01</t>
  </si>
  <si>
    <t>72.56.01.02</t>
  </si>
  <si>
    <t>72.56.01.03</t>
  </si>
  <si>
    <t>72.56.03.03</t>
  </si>
  <si>
    <t>72.56.03.04</t>
  </si>
  <si>
    <t>72.57.01.01</t>
  </si>
  <si>
    <t>72.57.01.02</t>
  </si>
  <si>
    <t>72.57.01.03</t>
  </si>
  <si>
    <t>72.57.01.04</t>
  </si>
  <si>
    <t>72.58.01.01</t>
  </si>
  <si>
    <t>72.58.01.02</t>
  </si>
  <si>
    <t>72.58.01.03</t>
  </si>
  <si>
    <t>72.58.01.04</t>
  </si>
  <si>
    <t>72.58.02.01</t>
  </si>
  <si>
    <t>72.58.02.02</t>
  </si>
  <si>
    <t>72.58.02.03</t>
  </si>
  <si>
    <t>72.58.02.04</t>
  </si>
  <si>
    <t>72.58.03.01</t>
  </si>
  <si>
    <t>72.58.03.02</t>
  </si>
  <si>
    <t>72.58.03.03</t>
  </si>
  <si>
    <t>72.58.03.04</t>
  </si>
  <si>
    <t>72.58.04.01</t>
  </si>
  <si>
    <t>72.58.04.02</t>
  </si>
  <si>
    <t>72.58.04.03</t>
  </si>
  <si>
    <t>72.58.04.04</t>
  </si>
  <si>
    <t>72.58.05.01</t>
  </si>
  <si>
    <t>72.58.05.02</t>
  </si>
  <si>
    <t>72.58.05.03</t>
  </si>
  <si>
    <t>72.58.05.04</t>
  </si>
  <si>
    <t>72.59.01.01</t>
  </si>
  <si>
    <t>72.59.01.02</t>
  </si>
  <si>
    <t>72.59.01.03</t>
  </si>
  <si>
    <t>72.59.01.04</t>
  </si>
  <si>
    <t>72.59.02.01</t>
  </si>
  <si>
    <t>72.59.02.02</t>
  </si>
  <si>
    <t>72.59.02.03</t>
  </si>
  <si>
    <t>72.59.02.04</t>
  </si>
  <si>
    <t>72.61.01.01</t>
  </si>
  <si>
    <t>72.61.01.02</t>
  </si>
  <si>
    <t>72.61.01.03</t>
  </si>
  <si>
    <t>72.61.01.04</t>
  </si>
  <si>
    <t>72.63.01.01</t>
  </si>
  <si>
    <t>72.63.01.02</t>
  </si>
  <si>
    <t>72.63.01.03</t>
  </si>
  <si>
    <t>72.63.01.04</t>
  </si>
  <si>
    <t>B.03) Relatório de estudos sócio-ambientais</t>
  </si>
  <si>
    <t>B.04) Relatório de estudos de pavimentos</t>
  </si>
  <si>
    <t>A.1) Tráfego</t>
  </si>
  <si>
    <t>A.2) Levantamento topográfico</t>
  </si>
  <si>
    <t>A.3) Sondagens</t>
  </si>
  <si>
    <t>Parte A - Trabalhos de Comunicação</t>
  </si>
  <si>
    <t>Subtotal - Fase EVTEA</t>
  </si>
  <si>
    <t>Subtotal - Fase Comunicação</t>
  </si>
  <si>
    <t>Total da Proposta</t>
  </si>
  <si>
    <t>EVTEA</t>
  </si>
  <si>
    <t>Comunicação</t>
  </si>
  <si>
    <t>Fase do Estudo</t>
  </si>
  <si>
    <t>mês</t>
  </si>
  <si>
    <t>P8082</t>
  </si>
  <si>
    <t>Geólogo sênior</t>
  </si>
  <si>
    <t>P8001</t>
  </si>
  <si>
    <t>Advogado júnior</t>
  </si>
  <si>
    <t>P8002</t>
  </si>
  <si>
    <t>Advogado pleno</t>
  </si>
  <si>
    <t>P8003</t>
  </si>
  <si>
    <t>Advogado sênior</t>
  </si>
  <si>
    <t>P8007</t>
  </si>
  <si>
    <t>Analista de desenvolvimento de sistemas júnior</t>
  </si>
  <si>
    <t>P8008</t>
  </si>
  <si>
    <t>Analista de desenvolvimento de sistemas pleno</t>
  </si>
  <si>
    <t>P8009</t>
  </si>
  <si>
    <t>Analista de desenvolvimento de sistemas sênior</t>
  </si>
  <si>
    <t>P8013</t>
  </si>
  <si>
    <t>Arquiteto júnior</t>
  </si>
  <si>
    <t>P8014</t>
  </si>
  <si>
    <t>Arquiteto pleno</t>
  </si>
  <si>
    <t>P8015</t>
  </si>
  <si>
    <t>Arquiteto sênior</t>
  </si>
  <si>
    <t>P8019</t>
  </si>
  <si>
    <t>Assistente social júnior</t>
  </si>
  <si>
    <t>P8020</t>
  </si>
  <si>
    <t>Assistente social pleno</t>
  </si>
  <si>
    <t>P8021</t>
  </si>
  <si>
    <t>Assistente social sênior</t>
  </si>
  <si>
    <t>P8025</t>
  </si>
  <si>
    <t>Auxiliar</t>
  </si>
  <si>
    <t>P8026</t>
  </si>
  <si>
    <t>Auxiliar administrativo</t>
  </si>
  <si>
    <t>P8027</t>
  </si>
  <si>
    <t>Auxiliar de laboratório</t>
  </si>
  <si>
    <t>P8028</t>
  </si>
  <si>
    <t>Auxiliar de topografia</t>
  </si>
  <si>
    <t>P8032</t>
  </si>
  <si>
    <t>Biólogo júnior</t>
  </si>
  <si>
    <t>P8033</t>
  </si>
  <si>
    <t>Biólogo pleno</t>
  </si>
  <si>
    <t>P8034</t>
  </si>
  <si>
    <t>Biólogo sênior</t>
  </si>
  <si>
    <t>P8038</t>
  </si>
  <si>
    <t>Chefe de escritório</t>
  </si>
  <si>
    <t>P8040</t>
  </si>
  <si>
    <t>Contador júnior</t>
  </si>
  <si>
    <t>P8041</t>
  </si>
  <si>
    <t>Contador pleno</t>
  </si>
  <si>
    <t>P8042</t>
  </si>
  <si>
    <t>Contador sênior</t>
  </si>
  <si>
    <t>P8044</t>
  </si>
  <si>
    <t>Coordenador ambiental</t>
  </si>
  <si>
    <t>P8045</t>
  </si>
  <si>
    <t>Economista júnior</t>
  </si>
  <si>
    <t>P8046</t>
  </si>
  <si>
    <t>Economista pleno</t>
  </si>
  <si>
    <t>P8047</t>
  </si>
  <si>
    <t>Economista sênior</t>
  </si>
  <si>
    <t>P8051</t>
  </si>
  <si>
    <t>P8052</t>
  </si>
  <si>
    <t>P8053</t>
  </si>
  <si>
    <t>P8054</t>
  </si>
  <si>
    <t>Engenheiro agrônomo júnior</t>
  </si>
  <si>
    <t>P8055</t>
  </si>
  <si>
    <t>Engenheiro agrônomo pleno</t>
  </si>
  <si>
    <t>P8056</t>
  </si>
  <si>
    <t>Engenheiro agrônomo sênior</t>
  </si>
  <si>
    <t>P8057</t>
  </si>
  <si>
    <t>Engenheiro ambiental júnior</t>
  </si>
  <si>
    <t>P8058</t>
  </si>
  <si>
    <t>Engenheiro ambiental pleno</t>
  </si>
  <si>
    <t>P8059</t>
  </si>
  <si>
    <t>Engenheiro ambiental sênior</t>
  </si>
  <si>
    <t>P8060</t>
  </si>
  <si>
    <t>Engenheiro consultor especial</t>
  </si>
  <si>
    <t>P8061</t>
  </si>
  <si>
    <t>Engenheiro coordenador</t>
  </si>
  <si>
    <t>P8062</t>
  </si>
  <si>
    <t>Engenheiro de pesca júnior</t>
  </si>
  <si>
    <t>P8063</t>
  </si>
  <si>
    <t>Engenheiro de pesca pleno</t>
  </si>
  <si>
    <t>P8064</t>
  </si>
  <si>
    <t>Engenheiro de pesca sênior</t>
  </si>
  <si>
    <t>P8065</t>
  </si>
  <si>
    <t>Engenheiro de projetos júnior</t>
  </si>
  <si>
    <t>P8066</t>
  </si>
  <si>
    <t>Engenheiro de projetos pleno</t>
  </si>
  <si>
    <t>P8067</t>
  </si>
  <si>
    <t>Engenheiro de projetos sênior</t>
  </si>
  <si>
    <t>P8068</t>
  </si>
  <si>
    <t>Engenheiro florestal júnior</t>
  </si>
  <si>
    <t>P8069</t>
  </si>
  <si>
    <t>Engenheiro florestal pleno</t>
  </si>
  <si>
    <t>P8070</t>
  </si>
  <si>
    <t>Engenheiro florestal sênior</t>
  </si>
  <si>
    <t>P8080</t>
  </si>
  <si>
    <t>Geólogo júnior</t>
  </si>
  <si>
    <t>P8081</t>
  </si>
  <si>
    <t>Geólogo pleno</t>
  </si>
  <si>
    <t>P8086</t>
  </si>
  <si>
    <t>P8087</t>
  </si>
  <si>
    <t>P8088</t>
  </si>
  <si>
    <t>P8092</t>
  </si>
  <si>
    <t>Jornalista júnior</t>
  </si>
  <si>
    <t>P8093</t>
  </si>
  <si>
    <t>Jornalista pleno</t>
  </si>
  <si>
    <t>P8094</t>
  </si>
  <si>
    <t>Jornalista sênior</t>
  </si>
  <si>
    <t>P8098</t>
  </si>
  <si>
    <t>Laboratorista</t>
  </si>
  <si>
    <t>P8102</t>
  </si>
  <si>
    <t>Médico veterinário</t>
  </si>
  <si>
    <t>P8106</t>
  </si>
  <si>
    <t>Meteorologista júnior</t>
  </si>
  <si>
    <t>P8107</t>
  </si>
  <si>
    <t>Meteorologista pleno</t>
  </si>
  <si>
    <t>P8108</t>
  </si>
  <si>
    <t>Meteorologista sênior</t>
  </si>
  <si>
    <t>P8112</t>
  </si>
  <si>
    <t>Motorista de caminhão</t>
  </si>
  <si>
    <t>P8113</t>
  </si>
  <si>
    <t>Motorista de veículo leve</t>
  </si>
  <si>
    <t>P8117</t>
  </si>
  <si>
    <t>Oceanógrafo júnior</t>
  </si>
  <si>
    <t>P8118</t>
  </si>
  <si>
    <t>Oceanógrafo pleno</t>
  </si>
  <si>
    <t>P8119</t>
  </si>
  <si>
    <t>Oceanógrafo sênior</t>
  </si>
  <si>
    <t>P8123</t>
  </si>
  <si>
    <t>P8124</t>
  </si>
  <si>
    <t>P8125</t>
  </si>
  <si>
    <t>P8129</t>
  </si>
  <si>
    <t>Pedagogo júnior</t>
  </si>
  <si>
    <t>P8130</t>
  </si>
  <si>
    <t>Pedagogo pleno</t>
  </si>
  <si>
    <t>P8131</t>
  </si>
  <si>
    <t>Pedagogo sênior</t>
  </si>
  <si>
    <t>P8135</t>
  </si>
  <si>
    <t>Secretária</t>
  </si>
  <si>
    <t>P8139</t>
  </si>
  <si>
    <t>Sondador</t>
  </si>
  <si>
    <t>P8143</t>
  </si>
  <si>
    <t>Técnico ambiental</t>
  </si>
  <si>
    <t>P8147</t>
  </si>
  <si>
    <t>Técnico de obras</t>
  </si>
  <si>
    <t>P8151</t>
  </si>
  <si>
    <t>Técnico de segurança do trabalho</t>
  </si>
  <si>
    <t>P8155</t>
  </si>
  <si>
    <t>Técnico em geoprocessamento</t>
  </si>
  <si>
    <t>P8159</t>
  </si>
  <si>
    <t>Técnico em informática - programador</t>
  </si>
  <si>
    <t>P8163</t>
  </si>
  <si>
    <t>Topógrafo</t>
  </si>
  <si>
    <t>E8891</t>
  </si>
  <si>
    <t>E8887</t>
  </si>
  <si>
    <t>Obs.</t>
  </si>
  <si>
    <t>Brasília</t>
  </si>
  <si>
    <t>Goiânia</t>
  </si>
  <si>
    <t>São Paulo</t>
  </si>
  <si>
    <t>Macapá</t>
  </si>
  <si>
    <t>Classificação do Cargo/Emprego/Função</t>
  </si>
  <si>
    <t>Deslocamentos para:</t>
  </si>
  <si>
    <t xml:space="preserve">Deslocamentos para: </t>
  </si>
  <si>
    <t>Deslocamentos para outras capitais de Estados</t>
  </si>
  <si>
    <t>Demais deslocamentos</t>
  </si>
  <si>
    <t>F) FG-1, FG-2, FG-3; GR; FST-1, FST-2, FST-3 do BACEN; FDO-1, FCA-4, FCA- 5 do BACEN; FCT8, FCT9, FCT10, FCT11, FCT12, FCT13, FCT14, FCT15; cargos de nível intermediário e auxiliar</t>
  </si>
  <si>
    <t>Rio Branco</t>
  </si>
  <si>
    <t>Fortaleza</t>
  </si>
  <si>
    <t>Maceió</t>
  </si>
  <si>
    <t>Rio de Janeiro</t>
  </si>
  <si>
    <t>Porto Alegre</t>
  </si>
  <si>
    <t>Recife</t>
  </si>
  <si>
    <t>Vitória</t>
  </si>
  <si>
    <t>Salvador</t>
  </si>
  <si>
    <t>São Luís</t>
  </si>
  <si>
    <t>Cuiabá</t>
  </si>
  <si>
    <t>Campo Grande</t>
  </si>
  <si>
    <t>Belém</t>
  </si>
  <si>
    <t>João Pessoa</t>
  </si>
  <si>
    <t>Curitiba</t>
  </si>
  <si>
    <t>Teresina</t>
  </si>
  <si>
    <t>Natal</t>
  </si>
  <si>
    <t>Porto Velho</t>
  </si>
  <si>
    <t>Boa Vista</t>
  </si>
  <si>
    <t>Florianópolis</t>
  </si>
  <si>
    <t>Aracaju</t>
  </si>
  <si>
    <t>Palmas</t>
  </si>
  <si>
    <t>http://www.planalto.gov.br/ccivil_03/_ato2004-2006/2006/decreto/d5992.htm</t>
  </si>
  <si>
    <t xml:space="preserve">SP </t>
  </si>
  <si>
    <t>PR</t>
  </si>
  <si>
    <t>RJ</t>
  </si>
  <si>
    <t>DF</t>
  </si>
  <si>
    <t>O</t>
  </si>
  <si>
    <t>D</t>
  </si>
  <si>
    <t>V</t>
  </si>
  <si>
    <t xml:space="preserve">PA </t>
  </si>
  <si>
    <t>DIÁRIAS</t>
  </si>
  <si>
    <t xml:space="preserve">dia </t>
  </si>
  <si>
    <t>Manaus</t>
  </si>
  <si>
    <t>Belo Horizonte</t>
  </si>
  <si>
    <t xml:space="preserve">DF </t>
  </si>
  <si>
    <t xml:space="preserve">AM </t>
  </si>
  <si>
    <t xml:space="preserve">RJ </t>
  </si>
  <si>
    <t xml:space="preserve">MG </t>
  </si>
  <si>
    <t xml:space="preserve">CE </t>
  </si>
  <si>
    <t xml:space="preserve">RS </t>
  </si>
  <si>
    <t xml:space="preserve">PE </t>
  </si>
  <si>
    <t xml:space="preserve">BA </t>
  </si>
  <si>
    <t xml:space="preserve">AC </t>
  </si>
  <si>
    <t xml:space="preserve">AL </t>
  </si>
  <si>
    <t xml:space="preserve">AP </t>
  </si>
  <si>
    <t xml:space="preserve">ES </t>
  </si>
  <si>
    <t xml:space="preserve">GO </t>
  </si>
  <si>
    <t xml:space="preserve">MA </t>
  </si>
  <si>
    <t xml:space="preserve">MT </t>
  </si>
  <si>
    <t xml:space="preserve">MS </t>
  </si>
  <si>
    <t xml:space="preserve">PB </t>
  </si>
  <si>
    <t xml:space="preserve">PR </t>
  </si>
  <si>
    <t xml:space="preserve">PI </t>
  </si>
  <si>
    <t xml:space="preserve">RN </t>
  </si>
  <si>
    <t xml:space="preserve">RO </t>
  </si>
  <si>
    <t xml:space="preserve">RR </t>
  </si>
  <si>
    <t xml:space="preserve">SC </t>
  </si>
  <si>
    <t xml:space="preserve">SE </t>
  </si>
  <si>
    <t xml:space="preserve">TO </t>
  </si>
  <si>
    <t xml:space="preserve">EST - DF </t>
  </si>
  <si>
    <t xml:space="preserve">Estadia - DF </t>
  </si>
  <si>
    <t xml:space="preserve">EST - AM </t>
  </si>
  <si>
    <t xml:space="preserve">Estadia - AM </t>
  </si>
  <si>
    <t xml:space="preserve">EST - RJ </t>
  </si>
  <si>
    <t xml:space="preserve">Estadia - RJ </t>
  </si>
  <si>
    <t xml:space="preserve">EST - MG </t>
  </si>
  <si>
    <t xml:space="preserve">Estadia - MG </t>
  </si>
  <si>
    <t xml:space="preserve">EST - CE </t>
  </si>
  <si>
    <t xml:space="preserve">Estadia - CE </t>
  </si>
  <si>
    <t xml:space="preserve">EST - RS </t>
  </si>
  <si>
    <t xml:space="preserve">Estadia - RS </t>
  </si>
  <si>
    <t xml:space="preserve">EST - PE </t>
  </si>
  <si>
    <t xml:space="preserve">Estadia - PE </t>
  </si>
  <si>
    <t xml:space="preserve">EST - BA </t>
  </si>
  <si>
    <t xml:space="preserve">Estadia - BA </t>
  </si>
  <si>
    <t>Estadia - SP</t>
  </si>
  <si>
    <t xml:space="preserve">EST - AC </t>
  </si>
  <si>
    <t xml:space="preserve">Estadia - AC </t>
  </si>
  <si>
    <t xml:space="preserve">EST - AL </t>
  </si>
  <si>
    <t xml:space="preserve">Estadia - AL </t>
  </si>
  <si>
    <t xml:space="preserve">EST - AP </t>
  </si>
  <si>
    <t xml:space="preserve">Estadia - AP </t>
  </si>
  <si>
    <t xml:space="preserve">EST - ES </t>
  </si>
  <si>
    <t xml:space="preserve">Estadia - ES </t>
  </si>
  <si>
    <t xml:space="preserve">EST - GO </t>
  </si>
  <si>
    <t xml:space="preserve">Estadia - GO </t>
  </si>
  <si>
    <t xml:space="preserve">EST - MA </t>
  </si>
  <si>
    <t xml:space="preserve">Estadia - MA </t>
  </si>
  <si>
    <t xml:space="preserve">EST - MT </t>
  </si>
  <si>
    <t xml:space="preserve">Estadia - MT </t>
  </si>
  <si>
    <t xml:space="preserve">EST - MS </t>
  </si>
  <si>
    <t xml:space="preserve">Estadia - MS </t>
  </si>
  <si>
    <t xml:space="preserve">EST - PA </t>
  </si>
  <si>
    <t xml:space="preserve">Estadia - PA </t>
  </si>
  <si>
    <t xml:space="preserve">EST - PB </t>
  </si>
  <si>
    <t xml:space="preserve">Estadia - PB </t>
  </si>
  <si>
    <t xml:space="preserve">EST - PR </t>
  </si>
  <si>
    <t xml:space="preserve">Estadia - PR </t>
  </si>
  <si>
    <t xml:space="preserve">EST - PI </t>
  </si>
  <si>
    <t xml:space="preserve">Estadia - PI </t>
  </si>
  <si>
    <t xml:space="preserve">EST - RN </t>
  </si>
  <si>
    <t xml:space="preserve">Estadia - RN </t>
  </si>
  <si>
    <t xml:space="preserve">EST - RO </t>
  </si>
  <si>
    <t xml:space="preserve">Estadia - RO </t>
  </si>
  <si>
    <t xml:space="preserve">EST - RR </t>
  </si>
  <si>
    <t xml:space="preserve">Estadia - RR </t>
  </si>
  <si>
    <t xml:space="preserve">EST - SC </t>
  </si>
  <si>
    <t xml:space="preserve">Estadia - SC </t>
  </si>
  <si>
    <t xml:space="preserve">EST - SE </t>
  </si>
  <si>
    <t xml:space="preserve">Estadia - SE </t>
  </si>
  <si>
    <t xml:space="preserve">EST - TO </t>
  </si>
  <si>
    <t xml:space="preserve">Estadia - TO </t>
  </si>
  <si>
    <t xml:space="preserve">EST - SP </t>
  </si>
  <si>
    <t>und</t>
  </si>
  <si>
    <t>Passagem aérea - destino Brasília (ida e volta)</t>
  </si>
  <si>
    <t>Passagem aérea - destino Manaus (ida e volta)</t>
  </si>
  <si>
    <t>Passagem aérea - destino Rio de Janeiro (ida e volta)</t>
  </si>
  <si>
    <t>Passagem aérea - destino Belo Horizonte (ida e volta)</t>
  </si>
  <si>
    <t>Passagem aérea - destino Fortaleza (ida e volta)</t>
  </si>
  <si>
    <t>Passagem aérea - destino Porto Alegre (ida e volta)</t>
  </si>
  <si>
    <t>Passagem aérea - destino Recife (ida e volta)</t>
  </si>
  <si>
    <t>Passagem aérea - destino Salvador (ida e volta)</t>
  </si>
  <si>
    <t>Passagem aérea - destino São Paulo (ida e volta)</t>
  </si>
  <si>
    <t>Passagem aérea - destino Rio Branco (ida e volta)</t>
  </si>
  <si>
    <t>Passagem aérea - destino Maceió (ida e volta)</t>
  </si>
  <si>
    <t>Passagem aérea - destino Macapá (ida e volta)</t>
  </si>
  <si>
    <t>Passagem aérea - destino Vitória (ida e volta)</t>
  </si>
  <si>
    <t>Passagem aérea - destino Goiânia (ida e volta)</t>
  </si>
  <si>
    <t>Passagem aérea - destino São Luís (ida e volta)</t>
  </si>
  <si>
    <t>Passagem aérea - destino Cuiabá (ida e volta)</t>
  </si>
  <si>
    <t>Passagem aérea - destino Campo Grande (ida e volta)</t>
  </si>
  <si>
    <t>Passagem aérea - destino Belém (ida e volta)</t>
  </si>
  <si>
    <t>Passagem aérea - destino João Pessoa (ida e volta)</t>
  </si>
  <si>
    <t>Passagem aérea - destino Curitiba (ida e volta)</t>
  </si>
  <si>
    <t>Passagem aérea - destino Teresina (ida e volta)</t>
  </si>
  <si>
    <t>Passagem aérea - destino Natal (ida e volta)</t>
  </si>
  <si>
    <t>Passagem aérea - destino Porto Velho (ida e volta)</t>
  </si>
  <si>
    <t>Passagem aérea - destino Boa Vista (ida e volta)</t>
  </si>
  <si>
    <t>Passagem aérea - destino Florianópolis (ida e volta)</t>
  </si>
  <si>
    <t>Passagem aérea - destino Aracaju (ida e volta)</t>
  </si>
  <si>
    <t>Passagem aérea - destino Palmas (ida e volta)</t>
  </si>
  <si>
    <t>PASS - LOTE 1</t>
  </si>
  <si>
    <t>PASS - LOTE 2</t>
  </si>
  <si>
    <t>B8951</t>
  </si>
  <si>
    <t>B8952</t>
  </si>
  <si>
    <t>B8953</t>
  </si>
  <si>
    <t>B8954</t>
  </si>
  <si>
    <t>B8955</t>
  </si>
  <si>
    <t>Laboratório de asfalto</t>
  </si>
  <si>
    <t>B8956</t>
  </si>
  <si>
    <t>Laboratório de concreto</t>
  </si>
  <si>
    <t>B8957</t>
  </si>
  <si>
    <t>Laboratório de solos</t>
  </si>
  <si>
    <t>B8958</t>
  </si>
  <si>
    <t>Topografia</t>
  </si>
  <si>
    <t>B8959</t>
  </si>
  <si>
    <t>B8960</t>
  </si>
  <si>
    <t>Rodovias</t>
  </si>
  <si>
    <t>A</t>
  </si>
  <si>
    <t>Grupo</t>
  </si>
  <si>
    <t>Lote</t>
  </si>
  <si>
    <t>Laser Scan Móvel (100m para cada lado) - Vias Pincipais: na totalidade das extensões de faixas de rolamento externas em ambos os sentidos de tráfego
e Vias Marginais: na faixa de rolamento externa, no sentido do tráfego</t>
  </si>
  <si>
    <t>Aerofotogrametria (vôo na escala 1:5000 e restituição 1:1000 - faixa de 100m de largura)</t>
  </si>
  <si>
    <t>Sondagem rotativa tipo serra copo p/ inspeção de pavimento</t>
  </si>
  <si>
    <t>Valor de Referência</t>
  </si>
  <si>
    <t>Sondagem à Percussão</t>
  </si>
  <si>
    <t>Conforme cronograma: estudo inicial e revisão pós audiência</t>
  </si>
  <si>
    <t>COTAÇÃO</t>
  </si>
  <si>
    <t>B.01) Relatório de estudos de tráfego</t>
  </si>
  <si>
    <t>Valor total 
(R$)</t>
  </si>
  <si>
    <t>Custo
(R$)</t>
  </si>
  <si>
    <t>Valor total
(R$)</t>
  </si>
  <si>
    <t>B.09) Modelo Operacional</t>
  </si>
  <si>
    <t>B.10) CAPEX / OPEX Sociambiental</t>
  </si>
  <si>
    <t>B.02) Relatório de estudos geológicos e hidrológicos</t>
  </si>
  <si>
    <t>Parte A – Trabalhos Contratados</t>
  </si>
  <si>
    <t>CAMPO</t>
  </si>
  <si>
    <t>Acompanhamento das contagens</t>
  </si>
  <si>
    <t>ESCRITÓRIO</t>
  </si>
  <si>
    <t>Conforme cronograma: estudo inicial, revisão pós audiência e revisão TCU</t>
  </si>
  <si>
    <t>Acompanhamento das sondagens</t>
  </si>
  <si>
    <t>Cadastro de passivos ambientais</t>
  </si>
  <si>
    <t>Cadastro de passivos sociais</t>
  </si>
  <si>
    <t>Acompanhamento dos ensaios</t>
  </si>
  <si>
    <t>Cadista/Calculista</t>
  </si>
  <si>
    <t xml:space="preserve">Conforme cronograma: estudo inicial e revisão pós audiência </t>
  </si>
  <si>
    <t>Levantamento e cadastro de interferências</t>
  </si>
  <si>
    <t>B.05) Programa de manutenção de pavimentos com HDM-4</t>
  </si>
  <si>
    <t>B.06) Relatório de remanejamento de interferências</t>
  </si>
  <si>
    <t>PESSOAL</t>
  </si>
  <si>
    <t>VEÍCULOS</t>
  </si>
  <si>
    <t>PASSAGENS</t>
  </si>
  <si>
    <t xml:space="preserve">DIÁRIAS </t>
  </si>
  <si>
    <t xml:space="preserve">Orçamento - EVTEA </t>
  </si>
  <si>
    <t>Notebook</t>
  </si>
  <si>
    <t>EQUIPAMENTOS</t>
  </si>
  <si>
    <t>B.07) Inventário de obras de arte especiais</t>
  </si>
  <si>
    <t>B.08) Funcionais geométricos em planta e perfil, inclusive modelagem BIM e quantitativos de terraplenagem</t>
  </si>
  <si>
    <t>B.11) Orçamento</t>
  </si>
  <si>
    <t>B.12) Modelo Econômico-Financeiro</t>
  </si>
  <si>
    <t>B.13) Modelagem Jurídica</t>
  </si>
  <si>
    <t>Memória dos quantitativos</t>
  </si>
  <si>
    <t>Pesquisas Origem Destino</t>
  </si>
  <si>
    <t>Pesquisas de Preferência Declarada</t>
  </si>
  <si>
    <t>Cotação COMAP</t>
  </si>
  <si>
    <t>Orçamento - EVTEA</t>
  </si>
  <si>
    <t>Fase de Comunicação</t>
  </si>
  <si>
    <t>UF</t>
  </si>
  <si>
    <t>Considerando 22 dias uteis</t>
  </si>
  <si>
    <t>CVC em seções</t>
  </si>
  <si>
    <t>Dispositivos em que serão realizadas CVCs</t>
  </si>
  <si>
    <t>Escaneamento com laser móvel (MMS) e Nuvem de Pontos</t>
  </si>
  <si>
    <t>Video Registro com Filmagem 360º e processamento de fotos</t>
  </si>
  <si>
    <t>Cadastro (Desenhos e Planilhas)</t>
  </si>
  <si>
    <t>Nivelamento dos marcos de apoio</t>
  </si>
  <si>
    <t>Resumo dos Custos - Elaboração de Estudos Técnicos para a Concessões de Trechos Rodoviários</t>
  </si>
  <si>
    <t>Decreto</t>
  </si>
  <si>
    <t>unid</t>
  </si>
  <si>
    <t>Extração de amostra com uso de perfuratriz tipo Hilt com serra diamantada alcance de 30cm em camada asfáltica</t>
  </si>
  <si>
    <t>Deslocamento entre pontos</t>
  </si>
  <si>
    <t>Recomposição do furo com cimento</t>
  </si>
  <si>
    <t>ponto</t>
  </si>
  <si>
    <t>21.01.01</t>
  </si>
  <si>
    <t>21.01.02</t>
  </si>
  <si>
    <t>21.01.03</t>
  </si>
  <si>
    <t>21.01.04</t>
  </si>
  <si>
    <t>21.01.05</t>
  </si>
  <si>
    <t>21.01.06</t>
  </si>
  <si>
    <t>21.01.07</t>
  </si>
  <si>
    <t>21.01.08</t>
  </si>
  <si>
    <t>21.01.09</t>
  </si>
  <si>
    <t>21.01.10</t>
  </si>
  <si>
    <t>21.01.11</t>
  </si>
  <si>
    <t>21.01.12</t>
  </si>
  <si>
    <t>21.01.14</t>
  </si>
  <si>
    <t>21.01.15</t>
  </si>
  <si>
    <t>21.01.16</t>
  </si>
  <si>
    <t>21.01.17</t>
  </si>
  <si>
    <t>21.01.18</t>
  </si>
  <si>
    <t>21.01.19</t>
  </si>
  <si>
    <t>21.01.20</t>
  </si>
  <si>
    <t>21.01.21</t>
  </si>
  <si>
    <t>21.01.22</t>
  </si>
  <si>
    <t>21.01.23</t>
  </si>
  <si>
    <t>21.01.24</t>
  </si>
  <si>
    <t>21.01.25</t>
  </si>
  <si>
    <t>21.01.26</t>
  </si>
  <si>
    <t>21.01.27</t>
  </si>
  <si>
    <t>21.01.28</t>
  </si>
  <si>
    <t>21.01.29</t>
  </si>
  <si>
    <t>21.01.30</t>
  </si>
  <si>
    <t xml:space="preserve">LEV. PLANIALTIMETRICO E CADASTRAL, POLIGONAL CLASSE II PAC ESC.1:1000 ALEM 1HA </t>
  </si>
  <si>
    <t xml:space="preserve">LEVANT. PLANIALTIMETRICO CADASTRAL FAIXAS ALEM 60M CLASSE II PAC DA NBR 13.133 </t>
  </si>
  <si>
    <t xml:space="preserve">MARC.CONC. TRONCO PIR. DE 10X10CM T/ 30X30CM B/ 40CM H, PINO/CHAPA COLADA TOPO </t>
  </si>
  <si>
    <t xml:space="preserve">RESTITUICAO VOO AEROFOTOGRAMETRICO ESC. ATE 5X SUPERIOR AO DO VOO, ESC.1:5.000 </t>
  </si>
  <si>
    <t>21.03.01</t>
  </si>
  <si>
    <t>21.03.02</t>
  </si>
  <si>
    <t>21.03.03</t>
  </si>
  <si>
    <t>21.03.04</t>
  </si>
  <si>
    <t>21.03.05</t>
  </si>
  <si>
    <t>21.03.06</t>
  </si>
  <si>
    <t>21.03.07</t>
  </si>
  <si>
    <t>21.03.08</t>
  </si>
  <si>
    <t>21.03.09</t>
  </si>
  <si>
    <t>21.03.10</t>
  </si>
  <si>
    <t>21.04.01</t>
  </si>
  <si>
    <t>21.04.02</t>
  </si>
  <si>
    <t>21.04.03</t>
  </si>
  <si>
    <t>21.05.01</t>
  </si>
  <si>
    <t>21.05.02</t>
  </si>
  <si>
    <t>21.05.04</t>
  </si>
  <si>
    <t>21.05.05</t>
  </si>
  <si>
    <t>21.05.06</t>
  </si>
  <si>
    <t>21.05.07</t>
  </si>
  <si>
    <t>21.07.01</t>
  </si>
  <si>
    <t>21.07.02</t>
  </si>
  <si>
    <t>21.07.03</t>
  </si>
  <si>
    <t>21.07.04</t>
  </si>
  <si>
    <t>21.07.05</t>
  </si>
  <si>
    <t>21.07.06</t>
  </si>
  <si>
    <t>21.07.07</t>
  </si>
  <si>
    <t>21.07.12</t>
  </si>
  <si>
    <t>21.07.13</t>
  </si>
  <si>
    <t>21.07.14</t>
  </si>
  <si>
    <t>21.07.15</t>
  </si>
  <si>
    <t>21.08.01</t>
  </si>
  <si>
    <t>21.08.02</t>
  </si>
  <si>
    <t>21.08.03</t>
  </si>
  <si>
    <t>21.08.04</t>
  </si>
  <si>
    <t>21.08.05</t>
  </si>
  <si>
    <t>21.08.06</t>
  </si>
  <si>
    <t>21.08.08</t>
  </si>
  <si>
    <t>21.08.09</t>
  </si>
  <si>
    <t>21.08.11</t>
  </si>
  <si>
    <t>22.01.01</t>
  </si>
  <si>
    <t>22.01.02</t>
  </si>
  <si>
    <t>22.01.03</t>
  </si>
  <si>
    <t>22.01.04</t>
  </si>
  <si>
    <t>22.01.05</t>
  </si>
  <si>
    <t>22.01.06</t>
  </si>
  <si>
    <t>22.02.01</t>
  </si>
  <si>
    <t>22.02.03</t>
  </si>
  <si>
    <t>22.02.04</t>
  </si>
  <si>
    <t>22.02.05</t>
  </si>
  <si>
    <t>22.02.06</t>
  </si>
  <si>
    <t>22.02.07</t>
  </si>
  <si>
    <t>22.02.08</t>
  </si>
  <si>
    <t>22.02.09</t>
  </si>
  <si>
    <t>22.02.11</t>
  </si>
  <si>
    <t>22.03.01</t>
  </si>
  <si>
    <t>22.03.02</t>
  </si>
  <si>
    <t>22.03.03</t>
  </si>
  <si>
    <t>22.03.04</t>
  </si>
  <si>
    <t>22.03.05</t>
  </si>
  <si>
    <t>22.03.06</t>
  </si>
  <si>
    <t>22.03.07</t>
  </si>
  <si>
    <t>22.03.08</t>
  </si>
  <si>
    <t>22.03.09</t>
  </si>
  <si>
    <t>22.03.10</t>
  </si>
  <si>
    <t>22.03.11</t>
  </si>
  <si>
    <t>22.03.12</t>
  </si>
  <si>
    <t>22.04.01</t>
  </si>
  <si>
    <t>22.04.02</t>
  </si>
  <si>
    <t>22.06.01</t>
  </si>
  <si>
    <t>22.06.05</t>
  </si>
  <si>
    <t>22.07.01</t>
  </si>
  <si>
    <t>22.08.01</t>
  </si>
  <si>
    <t>22.08.02</t>
  </si>
  <si>
    <t>22.08.03</t>
  </si>
  <si>
    <t>22.08.04</t>
  </si>
  <si>
    <t>22.08.05</t>
  </si>
  <si>
    <t>22.08.06</t>
  </si>
  <si>
    <t>22.08.07</t>
  </si>
  <si>
    <t>22.08.08</t>
  </si>
  <si>
    <t>22.08.09</t>
  </si>
  <si>
    <t>22.08.10</t>
  </si>
  <si>
    <t>22.08.11</t>
  </si>
  <si>
    <t>22.08.12</t>
  </si>
  <si>
    <t>22.08.13</t>
  </si>
  <si>
    <t>22.08.14</t>
  </si>
  <si>
    <t>22.08.15</t>
  </si>
  <si>
    <t>22.08.16</t>
  </si>
  <si>
    <t>22.08.17</t>
  </si>
  <si>
    <t>22.08.18</t>
  </si>
  <si>
    <t>22.08.19</t>
  </si>
  <si>
    <t>22.08.20</t>
  </si>
  <si>
    <t>22.08.21</t>
  </si>
  <si>
    <t>22.08.22</t>
  </si>
  <si>
    <t>22.08.23</t>
  </si>
  <si>
    <t>22.08.24</t>
  </si>
  <si>
    <t>22.08.25</t>
  </si>
  <si>
    <t>22.08.26</t>
  </si>
  <si>
    <t>22.08.27</t>
  </si>
  <si>
    <t>22.08.28</t>
  </si>
  <si>
    <t>22.08.29</t>
  </si>
  <si>
    <t>22.08.30</t>
  </si>
  <si>
    <t>22.08.31</t>
  </si>
  <si>
    <t>22.08.32</t>
  </si>
  <si>
    <t>22.08.33</t>
  </si>
  <si>
    <t>22.08.34</t>
  </si>
  <si>
    <t>22.08.35</t>
  </si>
  <si>
    <t>22.08.36</t>
  </si>
  <si>
    <t>22.08.37</t>
  </si>
  <si>
    <t>22.08.38</t>
  </si>
  <si>
    <t>22.08.39</t>
  </si>
  <si>
    <t>22.08.40</t>
  </si>
  <si>
    <t>22.08.41</t>
  </si>
  <si>
    <t>22.08.42</t>
  </si>
  <si>
    <t>22.08.43</t>
  </si>
  <si>
    <t>23.02.01</t>
  </si>
  <si>
    <t>23.02.02</t>
  </si>
  <si>
    <t>23.03.01</t>
  </si>
  <si>
    <t>23.03.03</t>
  </si>
  <si>
    <t>23.03.04</t>
  </si>
  <si>
    <t xml:space="preserve">SUB BASE OU BASE SOLO CIM.10%-PULVEMIST.-COM TRANSP.JAZIDA ATE LOCAL APLICACAO </t>
  </si>
  <si>
    <t xml:space="preserve">SUB BASE OU BASE SOLO CIM.11%-PULVEMIST.-COM TRANSP.JAZIDA ATE LOCAL APLICACAO </t>
  </si>
  <si>
    <t xml:space="preserve">SUB BASE OU BASE SOLO CIM.12%-PULVEMIST.-COM TRANSP.JAZIDA ATE LOCAL APLICACAO </t>
  </si>
  <si>
    <t xml:space="preserve">SUB BASE OU BASE SOLO BRITA C/CIM.4% COM TRANSP. JAZIDA ATE LOCAL DE APLICAÇÃO </t>
  </si>
  <si>
    <t xml:space="preserve">SUB BASE OU BASE DE SOLO BRITA 50% BRITA COM TRANSP.JAZIDA ATE LOCAL APLICAÇÃO </t>
  </si>
  <si>
    <t xml:space="preserve">SUB BASE OU BASE DE SOLO LATERITICO-BRITA 50% BRITA C/TRANSP.JAZIDA ATE APLIC. </t>
  </si>
  <si>
    <t xml:space="preserve">SUB BASE OU BASE DE SOLO BRITA 60% BRITA COM TRANSP.JAZIDA ATE LOCAL APLICAÇÃO </t>
  </si>
  <si>
    <t xml:space="preserve">SUB BASE OU BASE DE SOLO BRITA 70% BRITA COM TRANSP.JAZIDA ATE LOCAL APLICAÇÃO </t>
  </si>
  <si>
    <t xml:space="preserve">SUB BASE OU BASE DE SOLO BRITA 80% BRITA COM TRANSP.JAZIDA ATE LOCAL APLICAÇÃO </t>
  </si>
  <si>
    <t xml:space="preserve">SUB BASE OU BASE DE SOLO BRITA 90% BRITA COM TRANSP.JAZIDA ATE LOCAL APLICAÇÃO </t>
  </si>
  <si>
    <t>23.04.03.02</t>
  </si>
  <si>
    <t>23.05.01</t>
  </si>
  <si>
    <t>23.05.02</t>
  </si>
  <si>
    <t>23.05.03</t>
  </si>
  <si>
    <t>23.05.04</t>
  </si>
  <si>
    <t>23.06.01</t>
  </si>
  <si>
    <t>23.06.02</t>
  </si>
  <si>
    <t>23.06.03</t>
  </si>
  <si>
    <t>23.06.05</t>
  </si>
  <si>
    <t>23.06.06</t>
  </si>
  <si>
    <t>23.06.07</t>
  </si>
  <si>
    <t>23.06.08</t>
  </si>
  <si>
    <t>23.06.09</t>
  </si>
  <si>
    <t xml:space="preserve">TRATAMENTO SUPERFICIAL ANTIDERRAPANTE MEDIAN.AGENTE AGLUT.RES.EPOXI E AGREGADO </t>
  </si>
  <si>
    <t>23.07.01</t>
  </si>
  <si>
    <t>23.08.01</t>
  </si>
  <si>
    <t>23.08.02</t>
  </si>
  <si>
    <t>23.08.05</t>
  </si>
  <si>
    <t>23.08.06</t>
  </si>
  <si>
    <t>23.08.06.04</t>
  </si>
  <si>
    <t>23.09.01</t>
  </si>
  <si>
    <t>23.09.02</t>
  </si>
  <si>
    <t>23.10.01</t>
  </si>
  <si>
    <t>23.11.09</t>
  </si>
  <si>
    <t>23.11.10</t>
  </si>
  <si>
    <t>23.11.11</t>
  </si>
  <si>
    <t>23.12.01</t>
  </si>
  <si>
    <t>23.12.02</t>
  </si>
  <si>
    <t>23.12.03</t>
  </si>
  <si>
    <t>24.01.01</t>
  </si>
  <si>
    <t>24.02.01</t>
  </si>
  <si>
    <t>24.02.02</t>
  </si>
  <si>
    <t>24.02.03</t>
  </si>
  <si>
    <t>24.02.04</t>
  </si>
  <si>
    <t>24.02.05</t>
  </si>
  <si>
    <t>24.02.08</t>
  </si>
  <si>
    <t>24.02.09</t>
  </si>
  <si>
    <t>24.02.10</t>
  </si>
  <si>
    <t>24.02.11</t>
  </si>
  <si>
    <t>24.02.12</t>
  </si>
  <si>
    <t>24.02.13</t>
  </si>
  <si>
    <t>24.02.14</t>
  </si>
  <si>
    <t>24.02.15</t>
  </si>
  <si>
    <t>24.03.01</t>
  </si>
  <si>
    <t>24.03.02</t>
  </si>
  <si>
    <t>24.03.03</t>
  </si>
  <si>
    <t>24.03.04</t>
  </si>
  <si>
    <t>24.03.05</t>
  </si>
  <si>
    <t>24.03.06</t>
  </si>
  <si>
    <t>24.03.07</t>
  </si>
  <si>
    <t>24.03.08</t>
  </si>
  <si>
    <t>24.04.01</t>
  </si>
  <si>
    <t>24.04.02</t>
  </si>
  <si>
    <t>24.04.03</t>
  </si>
  <si>
    <t>24.04.04</t>
  </si>
  <si>
    <t>24.05.01</t>
  </si>
  <si>
    <t>24.05.02</t>
  </si>
  <si>
    <t>24.06.01</t>
  </si>
  <si>
    <t>24.06.02</t>
  </si>
  <si>
    <t>24.06.03</t>
  </si>
  <si>
    <t>24.06.04</t>
  </si>
  <si>
    <t>24.07.01</t>
  </si>
  <si>
    <t>24.07.02</t>
  </si>
  <si>
    <t>24.07.03</t>
  </si>
  <si>
    <t>24.07.04</t>
  </si>
  <si>
    <t>24.07.05</t>
  </si>
  <si>
    <t>24.07.07</t>
  </si>
  <si>
    <t>24.07.08</t>
  </si>
  <si>
    <t>24.07.09</t>
  </si>
  <si>
    <t>24.07.12</t>
  </si>
  <si>
    <t>24.07.13</t>
  </si>
  <si>
    <t>24.07.14</t>
  </si>
  <si>
    <t>24.07.15</t>
  </si>
  <si>
    <t>24.08.01</t>
  </si>
  <si>
    <t>24.08.02</t>
  </si>
  <si>
    <t>24.09.01</t>
  </si>
  <si>
    <t>24.09.02</t>
  </si>
  <si>
    <t>24.09.03</t>
  </si>
  <si>
    <t>24.09.13</t>
  </si>
  <si>
    <t>24.10.02</t>
  </si>
  <si>
    <t>24.10.03</t>
  </si>
  <si>
    <t>24.11.01</t>
  </si>
  <si>
    <t>24.11.02</t>
  </si>
  <si>
    <t>24.11.04</t>
  </si>
  <si>
    <t>24.11.05</t>
  </si>
  <si>
    <t>24.11.07</t>
  </si>
  <si>
    <t>24.12.02</t>
  </si>
  <si>
    <t>24.12.03</t>
  </si>
  <si>
    <t>24.12.05</t>
  </si>
  <si>
    <t>24.12.08</t>
  </si>
  <si>
    <t>24.12.09</t>
  </si>
  <si>
    <t>24.14.01.12</t>
  </si>
  <si>
    <t>24.16.03</t>
  </si>
  <si>
    <t>24.19.03.01</t>
  </si>
  <si>
    <t>25.01.01</t>
  </si>
  <si>
    <t>25.01.02</t>
  </si>
  <si>
    <t>25.01.03</t>
  </si>
  <si>
    <t>25.02.01</t>
  </si>
  <si>
    <t>25.02.02</t>
  </si>
  <si>
    <t>25.02.03</t>
  </si>
  <si>
    <t>25.02.04</t>
  </si>
  <si>
    <t>25.02.05</t>
  </si>
  <si>
    <t>25.02.06</t>
  </si>
  <si>
    <t>25.02.07</t>
  </si>
  <si>
    <t>25.02.08</t>
  </si>
  <si>
    <t>25.02.09</t>
  </si>
  <si>
    <t>25.02.10</t>
  </si>
  <si>
    <t>25.02.11</t>
  </si>
  <si>
    <t>25.02.12</t>
  </si>
  <si>
    <t>25.02.13</t>
  </si>
  <si>
    <t>25.03.01</t>
  </si>
  <si>
    <t>25.03.02</t>
  </si>
  <si>
    <t>25.03.03</t>
  </si>
  <si>
    <t>25.03.04</t>
  </si>
  <si>
    <t>25.03.05</t>
  </si>
  <si>
    <t>25.03.06</t>
  </si>
  <si>
    <t>25.03.07</t>
  </si>
  <si>
    <t>25.03.08</t>
  </si>
  <si>
    <t>25.04.01</t>
  </si>
  <si>
    <t>25.04.02</t>
  </si>
  <si>
    <t>25.04.03</t>
  </si>
  <si>
    <t>25.04.04</t>
  </si>
  <si>
    <t>25.04.05</t>
  </si>
  <si>
    <t>25.04.06</t>
  </si>
  <si>
    <t>25.04.07</t>
  </si>
  <si>
    <t>25.04.08</t>
  </si>
  <si>
    <t>25.04.09</t>
  </si>
  <si>
    <t>25.04.10</t>
  </si>
  <si>
    <t>25.04.11</t>
  </si>
  <si>
    <t>25.04.12</t>
  </si>
  <si>
    <t>25.04.13</t>
  </si>
  <si>
    <t>25.04.14</t>
  </si>
  <si>
    <t>25.04.15</t>
  </si>
  <si>
    <t>25.04.16</t>
  </si>
  <si>
    <t>25.04.17</t>
  </si>
  <si>
    <t>25.04.18</t>
  </si>
  <si>
    <t>25.04.19</t>
  </si>
  <si>
    <t>25.04.20</t>
  </si>
  <si>
    <t>25.04.21</t>
  </si>
  <si>
    <t>25.04.28</t>
  </si>
  <si>
    <t>25.05.01</t>
  </si>
  <si>
    <t>25.05.02</t>
  </si>
  <si>
    <t>25.06.01</t>
  </si>
  <si>
    <t>25.06.02</t>
  </si>
  <si>
    <t>25.07.01</t>
  </si>
  <si>
    <t>25.07.02</t>
  </si>
  <si>
    <t>25.07.03</t>
  </si>
  <si>
    <t>25.07.04</t>
  </si>
  <si>
    <t>25.07.05</t>
  </si>
  <si>
    <t>25.07.06</t>
  </si>
  <si>
    <t>25.08.02</t>
  </si>
  <si>
    <t>25.08.03</t>
  </si>
  <si>
    <t>25.08.04</t>
  </si>
  <si>
    <t>25.08.05</t>
  </si>
  <si>
    <t>25.08.06</t>
  </si>
  <si>
    <t>25.08.07</t>
  </si>
  <si>
    <t>25.08.09</t>
  </si>
  <si>
    <t>25.08.10</t>
  </si>
  <si>
    <t>25.08.11</t>
  </si>
  <si>
    <t>25.08.12</t>
  </si>
  <si>
    <t>25.09.01</t>
  </si>
  <si>
    <t>25.09.02</t>
  </si>
  <si>
    <t>25.09.03</t>
  </si>
  <si>
    <t>25.09.04</t>
  </si>
  <si>
    <t>25.09.05</t>
  </si>
  <si>
    <t>25.09.06</t>
  </si>
  <si>
    <t>25.09.07</t>
  </si>
  <si>
    <t>25.09.08</t>
  </si>
  <si>
    <t>25.09.10</t>
  </si>
  <si>
    <t>25.09.11</t>
  </si>
  <si>
    <t>25.09.12</t>
  </si>
  <si>
    <t>25.09.15</t>
  </si>
  <si>
    <t>25.09.16</t>
  </si>
  <si>
    <t>25.09.17</t>
  </si>
  <si>
    <t>25.10.01</t>
  </si>
  <si>
    <t>25.10.02</t>
  </si>
  <si>
    <t>25.10.03</t>
  </si>
  <si>
    <t>25.10.04</t>
  </si>
  <si>
    <t>25.10.05</t>
  </si>
  <si>
    <t>25.10.06</t>
  </si>
  <si>
    <t>25.10.07</t>
  </si>
  <si>
    <t>25.10.08</t>
  </si>
  <si>
    <t>25.10.09</t>
  </si>
  <si>
    <t>25.10.10</t>
  </si>
  <si>
    <t>25.10.11</t>
  </si>
  <si>
    <t>25.10.12</t>
  </si>
  <si>
    <t>25.10.14</t>
  </si>
  <si>
    <t>25.10.15</t>
  </si>
  <si>
    <t>25.11.01</t>
  </si>
  <si>
    <t>25.11.02</t>
  </si>
  <si>
    <t>25.12.02</t>
  </si>
  <si>
    <t>25.12.03</t>
  </si>
  <si>
    <t xml:space="preserve">SOLO REF. C/ MALHA HEXAG. DUPLA TORCAO-PANO UNICO GREIDE C/ 12A15M - EM RACHAO </t>
  </si>
  <si>
    <t xml:space="preserve">SOLO REF. C/ MALHA HEXAG. DUPLA TORCAO-PANO UNICO GREIDE C/ 15A18M - EM RACHAO </t>
  </si>
  <si>
    <t xml:space="preserve">SOLO REF.MALHA HEXAG.DUPLA TORCAO-PANO UNICO ENCONTRO PORTAN.9 A 12M-EM RACHAO </t>
  </si>
  <si>
    <t xml:space="preserve">SOLO REF.C/MALHA HEX.DUPLA TORCAO-PANO UNICO PE DE TALUDE 9A12M E ATERRO &gt; 6M. </t>
  </si>
  <si>
    <t xml:space="preserve">SOLO REF.C/MALHA HEX.DUPLA TORCAO-PANO UNICO PE TALUDE C/15A18M E ATERRO &gt; 6M. </t>
  </si>
  <si>
    <t xml:space="preserve">SOLO REF.C/MAL.HEX.DUPLA TORCAO-PANO UNICO VERDE PE DE TALUDE 0A6 E ATERRO &gt;6M </t>
  </si>
  <si>
    <t xml:space="preserve">SOLO REF.C/MAL.HEX.DUPLA TORCAO-PANO UNICO VERDE PE DE TALUDE 9A12 E ATER.0A3M </t>
  </si>
  <si>
    <t xml:space="preserve">SOLO REF.C/MAL.HEX.DUPLA TORCAO-PANO UNICO VERDE PE DE TALUDE 9A12 E ATER.3A6M </t>
  </si>
  <si>
    <t xml:space="preserve">SOLO REF.C/MAL.HEX.DUPLA TORCAO-PANO UNICO VERDE PE DE TALUDE 9A12 E ATER. &gt;6M </t>
  </si>
  <si>
    <t xml:space="preserve">SOLO REF.C/MAL.HEX.DUPLA TORCAO-PANO UNICO VERDE PE DE TALUDE12A15 E ATER. &gt;6M </t>
  </si>
  <si>
    <t>25.22.02</t>
  </si>
  <si>
    <t>SOLO GRAMP.P/CONTR.DE EROS.COM MALH.HEX.DE DUP.RES.PUNC.125KN E RES.TRA.118KN/M</t>
  </si>
  <si>
    <t xml:space="preserve">BARR.MET.COM MAL.DE RES.A TRAC.MAX.A 290KN/M E MAL.COM RES.A TRAC.50KN/M E C.M </t>
  </si>
  <si>
    <t>26.01.01</t>
  </si>
  <si>
    <t>26.01.02</t>
  </si>
  <si>
    <t>26.01.03</t>
  </si>
  <si>
    <t>26.02.01</t>
  </si>
  <si>
    <t>26.02.02</t>
  </si>
  <si>
    <t>26.02.03</t>
  </si>
  <si>
    <t>26.02.04</t>
  </si>
  <si>
    <t>26.02.05</t>
  </si>
  <si>
    <t>26.02.06</t>
  </si>
  <si>
    <t>26.02.07</t>
  </si>
  <si>
    <t>26.02.13</t>
  </si>
  <si>
    <t>26.02.14</t>
  </si>
  <si>
    <t>26.02.15</t>
  </si>
  <si>
    <t>26.02.16</t>
  </si>
  <si>
    <t>26.02.17</t>
  </si>
  <si>
    <t>26.02.19</t>
  </si>
  <si>
    <t>26.02.20</t>
  </si>
  <si>
    <t>26.02.21</t>
  </si>
  <si>
    <t>26.03.25</t>
  </si>
  <si>
    <t>26.03.26</t>
  </si>
  <si>
    <t>26.03.27</t>
  </si>
  <si>
    <t>26.03.28</t>
  </si>
  <si>
    <t>26.04.01</t>
  </si>
  <si>
    <t>26.04.02</t>
  </si>
  <si>
    <t>26.04.03</t>
  </si>
  <si>
    <t>26.04.04</t>
  </si>
  <si>
    <t>26.04.05</t>
  </si>
  <si>
    <t>26.04.06</t>
  </si>
  <si>
    <t>26.05.01</t>
  </si>
  <si>
    <t>26.05.02</t>
  </si>
  <si>
    <t>26.05.03</t>
  </si>
  <si>
    <t>26.05.04</t>
  </si>
  <si>
    <t>26.05.05</t>
  </si>
  <si>
    <t>26.05.06</t>
  </si>
  <si>
    <t>26.06.01</t>
  </si>
  <si>
    <t>26.06.02</t>
  </si>
  <si>
    <t>26.06.03</t>
  </si>
  <si>
    <t>26.06.04</t>
  </si>
  <si>
    <t>26.06.05</t>
  </si>
  <si>
    <t>26.06.06</t>
  </si>
  <si>
    <t>26.07.02</t>
  </si>
  <si>
    <t>26.07.03</t>
  </si>
  <si>
    <t>26.07.04</t>
  </si>
  <si>
    <t>26.07.05</t>
  </si>
  <si>
    <t>26.07.06</t>
  </si>
  <si>
    <t>26.07.07</t>
  </si>
  <si>
    <t>26.07.09</t>
  </si>
  <si>
    <t>26.07.10</t>
  </si>
  <si>
    <t>26.07.12</t>
  </si>
  <si>
    <t>26.08.01</t>
  </si>
  <si>
    <t>26.08.03</t>
  </si>
  <si>
    <t>26.09.01</t>
  </si>
  <si>
    <t>26.09.02</t>
  </si>
  <si>
    <t>26.09.03</t>
  </si>
  <si>
    <t>26.09.04</t>
  </si>
  <si>
    <t>26.09.05</t>
  </si>
  <si>
    <t>26.09.06</t>
  </si>
  <si>
    <t>26.09.07</t>
  </si>
  <si>
    <t>26.09.09</t>
  </si>
  <si>
    <t>26.09.12</t>
  </si>
  <si>
    <t>26.09.13</t>
  </si>
  <si>
    <t>26.09.14</t>
  </si>
  <si>
    <t>26.09.15</t>
  </si>
  <si>
    <t>26.10.01</t>
  </si>
  <si>
    <t>26.10.02</t>
  </si>
  <si>
    <t>26.10.03</t>
  </si>
  <si>
    <t>26.10.04</t>
  </si>
  <si>
    <t>26.10.05</t>
  </si>
  <si>
    <t>26.10.06</t>
  </si>
  <si>
    <t>26.10.11</t>
  </si>
  <si>
    <t>26.11.06</t>
  </si>
  <si>
    <t>26.12.01</t>
  </si>
  <si>
    <t>26.12.02</t>
  </si>
  <si>
    <t>26.12.03</t>
  </si>
  <si>
    <t>26.12.04</t>
  </si>
  <si>
    <t>26.13.02</t>
  </si>
  <si>
    <t>27.01.01</t>
  </si>
  <si>
    <t>27.01.02</t>
  </si>
  <si>
    <t>27.01.03</t>
  </si>
  <si>
    <t>27.01.04</t>
  </si>
  <si>
    <t>27.01.29</t>
  </si>
  <si>
    <t>27.01.40</t>
  </si>
  <si>
    <t>27.01.45</t>
  </si>
  <si>
    <t>27.02.01</t>
  </si>
  <si>
    <t>27.02.02</t>
  </si>
  <si>
    <t>27.02.03</t>
  </si>
  <si>
    <t>27.02.05</t>
  </si>
  <si>
    <t>27.02.08</t>
  </si>
  <si>
    <t>27.02.09</t>
  </si>
  <si>
    <t>27.03.01</t>
  </si>
  <si>
    <t>27.03.02</t>
  </si>
  <si>
    <t>27.04.03</t>
  </si>
  <si>
    <t>27.04.08</t>
  </si>
  <si>
    <t>27.04.13</t>
  </si>
  <si>
    <t>27.04.14</t>
  </si>
  <si>
    <t>27.04.15</t>
  </si>
  <si>
    <t>27.04.16</t>
  </si>
  <si>
    <t>27.04.17</t>
  </si>
  <si>
    <t>27.04.18</t>
  </si>
  <si>
    <t>27.05.01</t>
  </si>
  <si>
    <t>27.05.02</t>
  </si>
  <si>
    <t>27.05.03</t>
  </si>
  <si>
    <t>27.06.01</t>
  </si>
  <si>
    <t>27.06.02</t>
  </si>
  <si>
    <t>27.06.03</t>
  </si>
  <si>
    <t>27.06.04</t>
  </si>
  <si>
    <t>27.06.05</t>
  </si>
  <si>
    <t>27.06.06</t>
  </si>
  <si>
    <t>27.06.07</t>
  </si>
  <si>
    <t>27.06.08</t>
  </si>
  <si>
    <t>27.06.09</t>
  </si>
  <si>
    <t>27.06.10</t>
  </si>
  <si>
    <t>27.06.11</t>
  </si>
  <si>
    <t>27.06.12</t>
  </si>
  <si>
    <t>27.06.13</t>
  </si>
  <si>
    <t>27.06.14</t>
  </si>
  <si>
    <t>27.06.15</t>
  </si>
  <si>
    <t>27.06.16</t>
  </si>
  <si>
    <t>27.06.17</t>
  </si>
  <si>
    <t>27.06.20</t>
  </si>
  <si>
    <t>27.07.02</t>
  </si>
  <si>
    <t>27.07.03</t>
  </si>
  <si>
    <t>27.07.04</t>
  </si>
  <si>
    <t>27.07.05</t>
  </si>
  <si>
    <t>27.07.06</t>
  </si>
  <si>
    <t>27.07.07</t>
  </si>
  <si>
    <t>27.07.09</t>
  </si>
  <si>
    <t>27.07.10</t>
  </si>
  <si>
    <t>27.07.12</t>
  </si>
  <si>
    <t>27.08.01</t>
  </si>
  <si>
    <t>27.09.01</t>
  </si>
  <si>
    <t>27.09.02</t>
  </si>
  <si>
    <t>27.09.03</t>
  </si>
  <si>
    <t>27.09.04</t>
  </si>
  <si>
    <t>27.09.05</t>
  </si>
  <si>
    <t>27.09.07</t>
  </si>
  <si>
    <t>27.09.08</t>
  </si>
  <si>
    <t>27.09.09</t>
  </si>
  <si>
    <t>27.09.10</t>
  </si>
  <si>
    <t>27.09.11</t>
  </si>
  <si>
    <t>27.09.12</t>
  </si>
  <si>
    <t>27.09.15</t>
  </si>
  <si>
    <t>27.09.16</t>
  </si>
  <si>
    <t>27.09.17</t>
  </si>
  <si>
    <t>27.09.18</t>
  </si>
  <si>
    <t>27.10.01</t>
  </si>
  <si>
    <t>27.10.02</t>
  </si>
  <si>
    <t>27.10.03</t>
  </si>
  <si>
    <t>27.10.04</t>
  </si>
  <si>
    <t>27.10.05</t>
  </si>
  <si>
    <t>27.11.02</t>
  </si>
  <si>
    <t>27.11.03</t>
  </si>
  <si>
    <t>27.11.05</t>
  </si>
  <si>
    <t>27.11.06</t>
  </si>
  <si>
    <t>27.11.09</t>
  </si>
  <si>
    <t>27.11.10</t>
  </si>
  <si>
    <t>27.12.01</t>
  </si>
  <si>
    <t>27.12.02</t>
  </si>
  <si>
    <t>27.12.03</t>
  </si>
  <si>
    <t>27.12.04</t>
  </si>
  <si>
    <t>28.01.28</t>
  </si>
  <si>
    <t xml:space="preserve">FORN.,TRANSP.E FIXACAO DE SEMI-PORTICO TUB. MET.EM BALANCO DUPLO COM VAO 6,00M </t>
  </si>
  <si>
    <t>28.03.02</t>
  </si>
  <si>
    <t>28.03.03</t>
  </si>
  <si>
    <t>28.03.04</t>
  </si>
  <si>
    <t>28.03.05</t>
  </si>
  <si>
    <t>28.03.06</t>
  </si>
  <si>
    <t>28.03.07</t>
  </si>
  <si>
    <t>28.03.08</t>
  </si>
  <si>
    <t>28.03.10</t>
  </si>
  <si>
    <t>28.03.11</t>
  </si>
  <si>
    <t>28.03.12</t>
  </si>
  <si>
    <t>28.03.13</t>
  </si>
  <si>
    <t>28.03.14</t>
  </si>
  <si>
    <t>28.04.18</t>
  </si>
  <si>
    <t xml:space="preserve">FORN.INSTAL.CONJ. TRANSICAO DE DEF.MET. P/ BARREIRA DE CONCRETOC/LAMINA TRIPLA </t>
  </si>
  <si>
    <t>28.06.10</t>
  </si>
  <si>
    <t>28.06.10.01</t>
  </si>
  <si>
    <t>28.06.11</t>
  </si>
  <si>
    <t>28.06.12</t>
  </si>
  <si>
    <t>28.06.17</t>
  </si>
  <si>
    <t>28.06.18</t>
  </si>
  <si>
    <t>28.06.19</t>
  </si>
  <si>
    <t>28.06.20</t>
  </si>
  <si>
    <t>28.06.30</t>
  </si>
  <si>
    <t>28.06.31</t>
  </si>
  <si>
    <t>28.06.32</t>
  </si>
  <si>
    <t>28.06.33</t>
  </si>
  <si>
    <t>28.07.06</t>
  </si>
  <si>
    <t>28.10.01</t>
  </si>
  <si>
    <t>28.10.02</t>
  </si>
  <si>
    <t>30.01.01</t>
  </si>
  <si>
    <t>30.01.02</t>
  </si>
  <si>
    <t>30.01.03</t>
  </si>
  <si>
    <t>30.01.04</t>
  </si>
  <si>
    <t>30.01.05</t>
  </si>
  <si>
    <t>30.01.06</t>
  </si>
  <si>
    <t>30.01.07</t>
  </si>
  <si>
    <t>30.01.08</t>
  </si>
  <si>
    <t>30.01.09</t>
  </si>
  <si>
    <t>30.01.10</t>
  </si>
  <si>
    <t>30.01.11</t>
  </si>
  <si>
    <t>30.01.12</t>
  </si>
  <si>
    <t>30.01.21</t>
  </si>
  <si>
    <t>30.01.22</t>
  </si>
  <si>
    <t>30.01.30</t>
  </si>
  <si>
    <t>30.03.01</t>
  </si>
  <si>
    <t>35.03.68</t>
  </si>
  <si>
    <t>35.03.69</t>
  </si>
  <si>
    <t xml:space="preserve">REPARO EMERGENCIAL DE PAV.-TAPA BURACO COM CBUQ E EQUIP. C/ SILO MOVEL TERMICO </t>
  </si>
  <si>
    <t>37.05.20</t>
  </si>
  <si>
    <t>72.52.05.04</t>
  </si>
  <si>
    <t>Quantidade</t>
  </si>
  <si>
    <t>Total</t>
  </si>
  <si>
    <t>21.02.29</t>
  </si>
  <si>
    <t>21.03.11</t>
  </si>
  <si>
    <t>21.03.11.03</t>
  </si>
  <si>
    <t>22.06.04</t>
  </si>
  <si>
    <t>23.06.04</t>
  </si>
  <si>
    <t>23.06.04.01</t>
  </si>
  <si>
    <t>23.06.04.07</t>
  </si>
  <si>
    <t>23.13.07.06</t>
  </si>
  <si>
    <t>24.09.04.04</t>
  </si>
  <si>
    <t>24.09.04.05</t>
  </si>
  <si>
    <t>GABIAO TIPO CAIXA,ZN90/AL10,NBR 8964,H=0,50 M REVEST.POLI.ABRASAO MENOR QUE 12%</t>
  </si>
  <si>
    <t>24.09.04.06</t>
  </si>
  <si>
    <t>GABIAO TIPO CAIXA,ZN90/AL10,NBR 8964,H=0,50 M REVEST.POLI.ABRASAO MENOR QUE 09%</t>
  </si>
  <si>
    <t>24.09.04.07</t>
  </si>
  <si>
    <t>GABIAO TIPO CAIXA,ZN90/AL10,NBR 8964,H=1,00 M REVEST.POLI.ABRASAO MENOR QUE 12%</t>
  </si>
  <si>
    <t>24.09.04.08</t>
  </si>
  <si>
    <t>GABIAO TIPO CAIXA,ZN90/AL10,NBR 8964,H=1,00 M REVEST.POLI.ABRASAO MENOR QUE 09%</t>
  </si>
  <si>
    <t>24.09.04.09</t>
  </si>
  <si>
    <t>24.09.05.02</t>
  </si>
  <si>
    <t xml:space="preserve">GABIAO TP.COLCHAO,ZN90/AL10,NBR 8964,ESP.17CM,REVEST.POLIM.ABRAS.MENOR QUE 09% </t>
  </si>
  <si>
    <t>24.09.05.03</t>
  </si>
  <si>
    <t xml:space="preserve">GABIAO TP.COLCHAO,ZN90/AL10,NBR 8964,ESP.17CM,REVEST.POLIM.ABRAS.MENOR QUE 12% </t>
  </si>
  <si>
    <t>24.09.06.02</t>
  </si>
  <si>
    <t xml:space="preserve">GABIAO TP.COLCHAO,ZN90/AL10,NBR 8964,ESP.23CM,REVEST.POLIM.ABRAS.MENOR QUE 09% </t>
  </si>
  <si>
    <t>24.09.06.03</t>
  </si>
  <si>
    <t xml:space="preserve">GABIAO TP.COLCHAO,ZN90/AL10,NBR 8964,ESP.23CM,REVEST.POLIM.ABRAS.MENOR QUE 12% </t>
  </si>
  <si>
    <t>24.09.07.02</t>
  </si>
  <si>
    <t xml:space="preserve">GABIAO TP.COLCHAO,ZN90/AL10,NBR 8964,ESP.30CM,REVEST.POLIM.ABRAS.MENOR QUE 09% </t>
  </si>
  <si>
    <t>24.09.07.03</t>
  </si>
  <si>
    <t xml:space="preserve">GABIAO TP.COLCHAO,ZN90/AL10,NBR 8964,ESP.30CM,REVEST.POLIM.ABRAS.MENOR QUE 12% </t>
  </si>
  <si>
    <t>24.09.11.01</t>
  </si>
  <si>
    <t>24.09.11.02</t>
  </si>
  <si>
    <t>25.03.04.05</t>
  </si>
  <si>
    <t>25.04.46</t>
  </si>
  <si>
    <t>25.04.47</t>
  </si>
  <si>
    <t>25.04.48</t>
  </si>
  <si>
    <t>25.04.49</t>
  </si>
  <si>
    <t>25.11.04.01</t>
  </si>
  <si>
    <t>25.11.04.02</t>
  </si>
  <si>
    <t>25.11.04.03</t>
  </si>
  <si>
    <t>25.11.04.04</t>
  </si>
  <si>
    <t>25.11.04.05</t>
  </si>
  <si>
    <t>25.11.04.06</t>
  </si>
  <si>
    <t>25.11.05.02</t>
  </si>
  <si>
    <t>25.11.05.03</t>
  </si>
  <si>
    <t>25.11.06.02</t>
  </si>
  <si>
    <t>25.11.06.03</t>
  </si>
  <si>
    <t>25.11.07.02</t>
  </si>
  <si>
    <t>25.11.07.03</t>
  </si>
  <si>
    <t>25.11.11.01</t>
  </si>
  <si>
    <t>25.11.11.02</t>
  </si>
  <si>
    <t>25.22.03</t>
  </si>
  <si>
    <t xml:space="preserve">SOLO GRAMP.P/CONTR.DE EROS.COM MALH.HEX.DE DUP.RES.PUNC.105KN E RES.TRA.89KN/M </t>
  </si>
  <si>
    <t>25.22.04</t>
  </si>
  <si>
    <t xml:space="preserve">SOLO GRAMP.P/CONTR.DE EROS.COM MALH.HEX.DE DUP.RES.PUNC.74KN E RES.TRAC.72KN/M </t>
  </si>
  <si>
    <t>25.22.05</t>
  </si>
  <si>
    <t>SOLO GRAMP.P/CONT.DE EROS.COM GEOM.TRID.VERD.REF.TEL.HEX.DE DUP.RES.TRAC.50KN/M</t>
  </si>
  <si>
    <t>25.22.06</t>
  </si>
  <si>
    <t>25.22.07</t>
  </si>
  <si>
    <t xml:space="preserve">REVEST.DE TALUD.ROC/SOL.COM MALH.DE RES.DE PUNC.DE 82KN E RES.A TRAÇ.DE 60KN/M </t>
  </si>
  <si>
    <t>25.22.08</t>
  </si>
  <si>
    <t xml:space="preserve">REVEST.DE TALUD.ROC/SOL.COM MALH.DE RES.DE PUNC.DE 87KN E RES.A TRAÇ.DE 80KN/M </t>
  </si>
  <si>
    <t>25.22.09</t>
  </si>
  <si>
    <t xml:space="preserve">REVEST.DE TALUD.ROC/SOL.COM MALH.DE RES.DE PUNC.DE 125KN E RES.TRAC.DE 120KN/M </t>
  </si>
  <si>
    <t>25.22.10</t>
  </si>
  <si>
    <t xml:space="preserve">REVEST.DE TALUD.ROC/SOL.COM MALH.DE RES.DE PUNC.DE 155KN E RES.TRAC.DE 177KN/M </t>
  </si>
  <si>
    <t>25.22.11</t>
  </si>
  <si>
    <t>REVES.DE TALUD.ROC/SOL.COM MALH.DE RES.DE PU.DE 70KN E RES.A TRAC.DE 55KN/M PVC</t>
  </si>
  <si>
    <t>25.22.12</t>
  </si>
  <si>
    <t>REVES.DE TALUD.ROC/SOL.COM MALH.DE RES.DE PU.DE 80KN E RES.A TRAÇ.DE 75KN/M PVC</t>
  </si>
  <si>
    <t>25.22.13</t>
  </si>
  <si>
    <t xml:space="preserve">REVEST.DE TALUD.ROC/SOL.COM MALH.DE RES.DE PU.DE 110KN E RES.TRA.DE 90KN/M PVC </t>
  </si>
  <si>
    <t>25.22.14</t>
  </si>
  <si>
    <t>REVEST.DE TALUD.ROC/SOL.COM MALH.DE RES.DE PU.DE 135KN E RES.TRA.DE 120KN/M PVC</t>
  </si>
  <si>
    <t>25.23.02</t>
  </si>
  <si>
    <t>BARR.DINAM.PAIN.RESIST.AO IMPACT.DE BLOC.COM ENERG.MAX.750 KJ COM ALT.DE 3,0 M.</t>
  </si>
  <si>
    <t>25.23.03</t>
  </si>
  <si>
    <t>BARR.DINAM.PAIN.RESIS.AO IMPACT.DE BLOC.COM ENERG.MAX.1000 KJ COM ALT.DE 4,0 M.</t>
  </si>
  <si>
    <t>25.23.04</t>
  </si>
  <si>
    <t>BARR.DINAN.PAIN.RESIS.AO IMPACT.DE BLOC.COM ENERG.MAX.1500 KJ COM ALT.DE 5,0 M.</t>
  </si>
  <si>
    <t>27.02.04</t>
  </si>
  <si>
    <t>28.03.08.01</t>
  </si>
  <si>
    <t>28.03.08.02</t>
  </si>
  <si>
    <t>28.03.17</t>
  </si>
  <si>
    <t>28.05.08.02</t>
  </si>
  <si>
    <t>FORNECIMENTO TRANSPORTE INST.TERM.ABSORV.ENERGIA NBR 15486, 70/80 KM/H SIMPLES.</t>
  </si>
  <si>
    <t>28.05.08.03</t>
  </si>
  <si>
    <t>28.05.08.04</t>
  </si>
  <si>
    <t>28.05.08.05</t>
  </si>
  <si>
    <t>28.05.08.06</t>
  </si>
  <si>
    <t>28.05.08.07</t>
  </si>
  <si>
    <t>28.05.11.03</t>
  </si>
  <si>
    <t>28.05.11.04</t>
  </si>
  <si>
    <t>28.05.11.05</t>
  </si>
  <si>
    <t>28.05.11.06</t>
  </si>
  <si>
    <t>28.05.11.07</t>
  </si>
  <si>
    <t>28.05.11.08</t>
  </si>
  <si>
    <t>28.05.12.01</t>
  </si>
  <si>
    <t xml:space="preserve">FORN.TRANS.INST.DEF.MET.SIMP.P/PTE,VIAD.FUN.CONC,CONF.EN-1317,NBR-15486 H2BW2. </t>
  </si>
  <si>
    <t>28.05.12.02</t>
  </si>
  <si>
    <t xml:space="preserve">FORN.TRANS.INST.DEF.MET.SIMP.P/PTE,VIAD.FUN.CONC,CONF.EN-1317,NBR-15486 H3BW3. </t>
  </si>
  <si>
    <t>28.05.13</t>
  </si>
  <si>
    <t>FORNEC.TRANSP.E INST.JUNTA DIL.P/A DEF.METAL.P/A PTE.E VIAD.OU FUND.CONC.H2 W2.</t>
  </si>
  <si>
    <t>28.05.14</t>
  </si>
  <si>
    <t>FORNEC.TRANSP.E INST.JUNTA DIL.P/A DEF.METAL.P/A PTE.E VIAD.OU FUND.CONC.H3 W3.</t>
  </si>
  <si>
    <t>28.13.01</t>
  </si>
  <si>
    <t>FORN.TRANS.INST.ATENUADOR DE IMPACT.NBR 15486 70/80 KMH PARALELO L&gt; 40CM &lt;70CM.</t>
  </si>
  <si>
    <t>28.13.02</t>
  </si>
  <si>
    <t>FORN.TRANS.INST.ATENUADOR DE IMPACT.NBR 15486 70/80 KMH PARALELO L&gt;70CM&lt;=100CM.</t>
  </si>
  <si>
    <t>28.13.03</t>
  </si>
  <si>
    <t>FORN.TRANS.INST.ATENUADOR DE IMPACT.NBR 15486 70/80 KMH PARALELO L&gt;100CM&lt;=160CM</t>
  </si>
  <si>
    <t>28.13.04</t>
  </si>
  <si>
    <t>28.13.06</t>
  </si>
  <si>
    <t>28.13.07</t>
  </si>
  <si>
    <t xml:space="preserve">FORN.TRANS.INST.ATENUADOR DE IMPACT.NBR 15486 100 KMH PARALELO L&gt;100CM&lt;=160CM. </t>
  </si>
  <si>
    <t>28.13.09</t>
  </si>
  <si>
    <t>28.13.10</t>
  </si>
  <si>
    <t xml:space="preserve">FORN.TRANS.INST.ATENUADOR DE IMPACT.NBR 15486 110 KMH PARALELO L&gt;100CM&lt;=160CM. </t>
  </si>
  <si>
    <t>28.13.11</t>
  </si>
  <si>
    <t xml:space="preserve">FORN.TRANS.INST.ATENUADOR DE IMPACT.NBR 15486 70/80 KMH ABERTO L&gt;160CM&lt;=260CM. </t>
  </si>
  <si>
    <t>28.13.12</t>
  </si>
  <si>
    <t>28.14.01</t>
  </si>
  <si>
    <t xml:space="preserve">FORN.TRANS.INST.TELA METALICA DE PROTECAO P/A DEFENSA MET.DE PTE E VIAD.H2BW2. </t>
  </si>
  <si>
    <t>30.01.40.06</t>
  </si>
  <si>
    <t>PLANTIO FLORESTAL DE ESPÉ.ARBÓREAS NATIVAS H&lt;0,60 E ESPAÇ.PLANTIO DE 2,5MX2,00M</t>
  </si>
  <si>
    <t>30.01.40.07</t>
  </si>
  <si>
    <t>MANUTENÇÃO DO PLANTIO FLORESTAL DE ESP.ARBÓREAS NATIVAS COM ESP.DE 2,50M X 2,00</t>
  </si>
  <si>
    <t>30.02.05</t>
  </si>
  <si>
    <t>34.08.27.02</t>
  </si>
  <si>
    <t>35.03.71</t>
  </si>
  <si>
    <t>35.03.72</t>
  </si>
  <si>
    <t>35.03.73</t>
  </si>
  <si>
    <t>37.25.11.04.01</t>
  </si>
  <si>
    <t>37.25.11.04.02</t>
  </si>
  <si>
    <t>37.25.11.04.03</t>
  </si>
  <si>
    <t>37.25.11.04.04</t>
  </si>
  <si>
    <t>37.25.11.04.05</t>
  </si>
  <si>
    <t>37.25.11.04.06</t>
  </si>
  <si>
    <t>37.25.11.05.02</t>
  </si>
  <si>
    <t>37.25.11.05.03</t>
  </si>
  <si>
    <t>37.25.11.06.02</t>
  </si>
  <si>
    <t>37.25.11.06.03</t>
  </si>
  <si>
    <t>37.25.11.07.02</t>
  </si>
  <si>
    <t>37.25.11.07.03</t>
  </si>
  <si>
    <t>37.25.11.11.01</t>
  </si>
  <si>
    <t>37.25.11.11.02</t>
  </si>
  <si>
    <t>Atualização tabela de consultoria para mesma data base DER</t>
  </si>
  <si>
    <t>Engenheiro agrimensor/Geógrafo júnior</t>
  </si>
  <si>
    <t>Engenheiro agrimensor/Geógrafo pleno</t>
  </si>
  <si>
    <t>Engenheiro agrimensor/Geógrafo sênior</t>
  </si>
  <si>
    <t>Historiador/Sociólogo júnior</t>
  </si>
  <si>
    <t>Historiador/Sociólogo pleno</t>
  </si>
  <si>
    <t>Historiador/Sociólogo sênior</t>
  </si>
  <si>
    <t>Paleontólogo/Arqueólogo/Antropólogo júnior</t>
  </si>
  <si>
    <t>Paleontólogo/Arqueólogo/Antropólogo pleno</t>
  </si>
  <si>
    <t>Paleontólogo/Arqueólogo/Antropólogo sênior</t>
  </si>
  <si>
    <t>Índice de atualização - CONSULTORIA (Supervisão e Projetos) DNIT</t>
  </si>
  <si>
    <t>TPU DER/SP</t>
  </si>
  <si>
    <t>Índice nacional de preços ao consumidor-amplo (IPCA) - Var. % mensal</t>
  </si>
  <si>
    <t>Data</t>
  </si>
  <si>
    <t>IPCA</t>
  </si>
  <si>
    <t>Fonte</t>
  </si>
  <si>
    <t>IBGE</t>
  </si>
  <si>
    <t>Database:</t>
  </si>
  <si>
    <t>B.14) Gestão de Projeto</t>
  </si>
  <si>
    <t>B.15) Compilação de dados gerais existentes</t>
  </si>
  <si>
    <t>MG</t>
  </si>
  <si>
    <t xml:space="preserve">Consultoria Brasília </t>
  </si>
  <si>
    <t>MOBILIÁRIO</t>
  </si>
  <si>
    <t>Data base da referência</t>
  </si>
  <si>
    <r>
      <rPr>
        <b/>
        <sz val="10"/>
        <color rgb="FFFFFFFF"/>
        <rFont val="Arial"/>
        <family val="2"/>
        <scheme val="minor"/>
      </rPr>
      <t>Item</t>
    </r>
  </si>
  <si>
    <r>
      <rPr>
        <b/>
        <sz val="10"/>
        <color rgb="FFFFFFFF"/>
        <rFont val="Arial"/>
        <family val="2"/>
        <scheme val="minor"/>
      </rPr>
      <t>Serviço</t>
    </r>
  </si>
  <si>
    <r>
      <rPr>
        <b/>
        <sz val="10"/>
        <color rgb="FFFFFFFF"/>
        <rFont val="Arial"/>
        <family val="2"/>
        <scheme val="minor"/>
      </rPr>
      <t>Unidade</t>
    </r>
  </si>
  <si>
    <r>
      <rPr>
        <b/>
        <sz val="10"/>
        <color rgb="FFFFFFFF"/>
        <rFont val="Arial"/>
        <family val="2"/>
        <scheme val="minor"/>
      </rPr>
      <t>Preço Unitário</t>
    </r>
  </si>
  <si>
    <t>Levantamentos e Ensaios de Pavimentos</t>
  </si>
  <si>
    <t>1.1</t>
  </si>
  <si>
    <t>Índice de Gravidade Global (IGG) | DNIT 006/2003 PRO</t>
  </si>
  <si>
    <t>1.1.1</t>
  </si>
  <si>
    <t>Mobilização de equipe e equipamento</t>
  </si>
  <si>
    <t>mob</t>
  </si>
  <si>
    <t>1.1.2</t>
  </si>
  <si>
    <t>Levantamento e Processamento de Dados</t>
  </si>
  <si>
    <t>kmf</t>
  </si>
  <si>
    <t>1.2</t>
  </si>
  <si>
    <t>Levantamento Visual Contínuo (LVC) | (DNIT 008/2003 PRO)</t>
  </si>
  <si>
    <t>1.2.1</t>
  </si>
  <si>
    <t>1.2.2</t>
  </si>
  <si>
    <t>1.3</t>
  </si>
  <si>
    <t>Levantamento da Área Trincada | (DNIT 007/2003 PRO)</t>
  </si>
  <si>
    <t>1.3.1</t>
  </si>
  <si>
    <t>1.3.2</t>
  </si>
  <si>
    <t>1.4</t>
  </si>
  <si>
    <t>Índice de Condição do Pavimento Rígido (ICP) | (DNIT 062/2004 PRO)</t>
  </si>
  <si>
    <t>1.4.1</t>
  </si>
  <si>
    <t>1.4.2</t>
  </si>
  <si>
    <t>m²</t>
  </si>
  <si>
    <t>1.5</t>
  </si>
  <si>
    <t>Levantamento e determinação do IRI (International Roughness Index - DNER PRO- 182/94)</t>
  </si>
  <si>
    <t>1.5.1</t>
  </si>
  <si>
    <t>1.5.2</t>
  </si>
  <si>
    <t>1.6</t>
  </si>
  <si>
    <t>Levantamento de Degrau e Largura de Faixa</t>
  </si>
  <si>
    <t>1.6.1</t>
  </si>
  <si>
    <t>1.6.2</t>
  </si>
  <si>
    <t>1.7</t>
  </si>
  <si>
    <t>Levantamento Deflectométrico (DNER ME-024/94 e DNER ME-061/94)</t>
  </si>
  <si>
    <t>1.7.1</t>
  </si>
  <si>
    <t>1.7.2</t>
  </si>
  <si>
    <t>Levantamento Topográfico</t>
  </si>
  <si>
    <t>2.1</t>
  </si>
  <si>
    <t>2.2</t>
  </si>
  <si>
    <t>2.3</t>
  </si>
  <si>
    <t>2.4</t>
  </si>
  <si>
    <r>
      <rPr>
        <b/>
        <sz val="10"/>
        <color rgb="FFFFFFFF"/>
        <rFont val="Arial"/>
        <family val="2"/>
        <scheme val="minor"/>
      </rPr>
      <t>TOTAL</t>
    </r>
  </si>
  <si>
    <t>A.4) Levantamentos de Pavimento</t>
  </si>
  <si>
    <t>A.5) iRAP</t>
  </si>
  <si>
    <t>Levantamentos Visuais</t>
  </si>
  <si>
    <t>Levantamento Deflectométrico</t>
  </si>
  <si>
    <t>Compilado Partes A e B</t>
  </si>
  <si>
    <r>
      <rPr>
        <b/>
        <sz val="11"/>
        <color rgb="FFFFFFFF"/>
        <rFont val="Arial"/>
        <family val="2"/>
      </rPr>
      <t>Tipo de Pesquisa</t>
    </r>
  </si>
  <si>
    <r>
      <rPr>
        <b/>
        <sz val="11"/>
        <color rgb="FFFFFFFF"/>
        <rFont val="Arial"/>
        <family val="2"/>
      </rPr>
      <t>Valor (R$)</t>
    </r>
  </si>
  <si>
    <r>
      <rPr>
        <sz val="11"/>
        <rFont val="Arial"/>
        <family val="2"/>
      </rPr>
      <t>CVC em seções 7 dias/24h</t>
    </r>
  </si>
  <si>
    <r>
      <rPr>
        <sz val="11"/>
        <rFont val="Arial"/>
        <family val="2"/>
      </rPr>
      <t>CVC em seções 1 dia/24h</t>
    </r>
  </si>
  <si>
    <r>
      <rPr>
        <sz val="11"/>
        <rFont val="Arial"/>
        <family val="2"/>
      </rPr>
      <t>Pesquisas Origem Destino</t>
    </r>
  </si>
  <si>
    <r>
      <rPr>
        <sz val="11"/>
        <rFont val="Arial"/>
        <family val="2"/>
      </rPr>
      <t>Pesquisas de Preferência Declarada</t>
    </r>
  </si>
  <si>
    <t>Relatório Técnico e ART (Anotação de Responsabilidade Técnica)</t>
  </si>
  <si>
    <t>3.1</t>
  </si>
  <si>
    <r>
      <rPr>
        <b/>
        <sz val="10"/>
        <color rgb="FF231F20"/>
        <rFont val="Arial"/>
        <family val="2"/>
        <scheme val="minor"/>
      </rPr>
      <t>Item</t>
    </r>
  </si>
  <si>
    <r>
      <rPr>
        <b/>
        <sz val="10"/>
        <color rgb="FF231F20"/>
        <rFont val="Arial"/>
        <family val="2"/>
        <scheme val="minor"/>
      </rPr>
      <t>Serviço</t>
    </r>
  </si>
  <si>
    <r>
      <rPr>
        <b/>
        <sz val="10"/>
        <color rgb="FF231F20"/>
        <rFont val="Arial"/>
        <family val="2"/>
        <scheme val="minor"/>
      </rPr>
      <t>Unid.</t>
    </r>
  </si>
  <si>
    <r>
      <rPr>
        <sz val="10"/>
        <color rgb="FF231F20"/>
        <rFont val="Arial"/>
        <family val="2"/>
        <scheme val="minor"/>
      </rPr>
      <t>verba</t>
    </r>
  </si>
  <si>
    <r>
      <rPr>
        <sz val="10"/>
        <color rgb="FF231F20"/>
        <rFont val="Arial"/>
        <family val="2"/>
        <scheme val="minor"/>
      </rPr>
      <t>unidade</t>
    </r>
  </si>
  <si>
    <r>
      <rPr>
        <sz val="10"/>
        <color rgb="FF231F20"/>
        <rFont val="Arial"/>
        <family val="2"/>
        <scheme val="minor"/>
      </rPr>
      <t>Deslocamento entre pontos</t>
    </r>
  </si>
  <si>
    <r>
      <rPr>
        <b/>
        <sz val="10"/>
        <color rgb="FF231F20"/>
        <rFont val="Arial"/>
        <family val="2"/>
        <scheme val="minor"/>
      </rPr>
      <t>Outros</t>
    </r>
  </si>
  <si>
    <r>
      <rPr>
        <sz val="10"/>
        <color rgb="FF231F20"/>
        <rFont val="Arial"/>
        <family val="2"/>
        <scheme val="minor"/>
      </rPr>
      <t>Recomposição do furo com cimento</t>
    </r>
  </si>
  <si>
    <t>Mobilização para extração de amostra nos estado de Minas Gerais e Goiás, com todos gastos de hospedagem e refeição</t>
  </si>
  <si>
    <t>Preço unitário (R$)</t>
  </si>
  <si>
    <t>Mobilização para extração de amostra, com todos gastos de hospedagem e refeição</t>
  </si>
  <si>
    <t>Integração, caso necessário, por colaborador</t>
  </si>
  <si>
    <t>Para marcação dos pontos com levantamento topográfico dos dois lotes, caso necessário</t>
  </si>
  <si>
    <t>Ext. Equivalente Total
(km)</t>
  </si>
  <si>
    <t>Marginais PD
(km)</t>
  </si>
  <si>
    <t>Marginais PS
(km)</t>
  </si>
  <si>
    <t>Faixa Adicional PD
(km)</t>
  </si>
  <si>
    <t>Faixa Adicional PS
(km)</t>
  </si>
  <si>
    <t>Pista Dupla
(km)</t>
  </si>
  <si>
    <t>Pista Simples Pavimentada
(km)</t>
  </si>
  <si>
    <t>Pista Simples Planejada
(km)</t>
  </si>
  <si>
    <t>Extensão Total
(km)</t>
  </si>
  <si>
    <t>Ext. Equivalente Total Implantada
(km)</t>
  </si>
  <si>
    <t>Ext. Total Implantada
(km)</t>
  </si>
  <si>
    <t>Pesquisa de mercado (SP)</t>
  </si>
  <si>
    <t>Cotação Dynatest</t>
  </si>
  <si>
    <t>Cotação Sonddenge</t>
  </si>
  <si>
    <t>Cotação Pavesys</t>
  </si>
  <si>
    <t>Estimado preço global</t>
  </si>
  <si>
    <t>Levantamento cadastral com laser scanner e nuvem de pontos das OAEs</t>
  </si>
  <si>
    <t>Drone e operador para aquisição de imagens</t>
  </si>
  <si>
    <t>dia</t>
  </si>
  <si>
    <t>Cotação mai/21</t>
  </si>
  <si>
    <t xml:space="preserve">Estimado: 8 dias úteis/ mês *1 profissional </t>
  </si>
  <si>
    <t>Sondagem à Trado</t>
  </si>
  <si>
    <t>DEMAIS ENSAIOS (LL, LP)</t>
  </si>
  <si>
    <t>estimado com base em serviços similares</t>
  </si>
  <si>
    <t>BDI</t>
  </si>
  <si>
    <t>Preço Unitário</t>
  </si>
  <si>
    <t>Preço Unitário (BDI 35%)</t>
  </si>
  <si>
    <t xml:space="preserve">SONDAGEM A PERCUSSAO ATE 15M                                                   </t>
  </si>
  <si>
    <t xml:space="preserve">SONDAGEM A PERC. ATE 15M LOC. ALAG.&lt;50CM                                       </t>
  </si>
  <si>
    <t xml:space="preserve">SONDAGEM A  PERCUSSAO DE 15 A 30M                                              </t>
  </si>
  <si>
    <t xml:space="preserve">SONDAGEM A PERC.15A30M LOC.ALAG.&lt;50CM                                          </t>
  </si>
  <si>
    <t xml:space="preserve">SONDAGEM PERCUSSAO SUPERIOR A 30M                                              </t>
  </si>
  <si>
    <t xml:space="preserve">SONDAGEM PERC.+30M LOC.ALAG.&lt;50CM                                              </t>
  </si>
  <si>
    <t xml:space="preserve">TAXA FIXA INSTALACAO SONDAGEM PERCUSSAO                                        </t>
  </si>
  <si>
    <t xml:space="preserve">TAXA FIXA INSTALACAO SONDAGEM ROTATIVA                                         </t>
  </si>
  <si>
    <t xml:space="preserve">TRANSPORTE DE EQUIPAMENTO DE SONDAGEM                                          </t>
  </si>
  <si>
    <t xml:space="preserve">DESLOCAMENTO DE EQUIPAMENTO DE SONDAGEM                                        </t>
  </si>
  <si>
    <t xml:space="preserve">PLATAFORMA OU BANQUETA SOND.PERCUSSAO                                          </t>
  </si>
  <si>
    <t xml:space="preserve">PLATAFORMA OU BANQUETA P/ SOND. ROTATIVA                                       </t>
  </si>
  <si>
    <t xml:space="preserve">FLUTUANTE PARA SONDAGEM                                                        </t>
  </si>
  <si>
    <t xml:space="preserve">INSTAL.SONDAGEM PERCUSSAO S/ FLUTUANTE                                         </t>
  </si>
  <si>
    <t xml:space="preserve">INSTALACAO SONDAGEM ROTATIVA S/FLUTUANTE                                       </t>
  </si>
  <si>
    <t xml:space="preserve">SONDAGEM ROTATIVA SOLO 57,10MM (AX)                                            </t>
  </si>
  <si>
    <t xml:space="preserve">SONDAGEM ROTATIVA SOLO 73,00MM (BX)                                            </t>
  </si>
  <si>
    <t xml:space="preserve">SONDAGEM ROTATIVA SOLO 88,90MM (NX)                                            </t>
  </si>
  <si>
    <t xml:space="preserve">SONDAGEM ROTATIVA SOLO 114,30MM (HX)                                           </t>
  </si>
  <si>
    <t xml:space="preserve">SONDAGEM ROTATIVA ROCHA ALT.57,1MM (AX)                                        </t>
  </si>
  <si>
    <t xml:space="preserve">SONDAGEM ROTATIVA ROCHA ALT.73,0MM (BX)                                        </t>
  </si>
  <si>
    <t xml:space="preserve">SONDAGEM ROTATIVA ROCHA ALT.88,9MM (NX)                                        </t>
  </si>
  <si>
    <t xml:space="preserve">SONDAGEM ROTATIVA ROCHA ALT.114,3MM (HX)                                       </t>
  </si>
  <si>
    <t xml:space="preserve">SONDAGEM ROTATIVA ROCHA SA 57,10MM (AX)                                        </t>
  </si>
  <si>
    <t xml:space="preserve">SONDAGEM ROTATIVA ROCHA SA 73,00MM (BX)                                        </t>
  </si>
  <si>
    <t xml:space="preserve">SONDAGEM ROTATIVA ROCHA SA 88,9MM (NX)                                         </t>
  </si>
  <si>
    <t xml:space="preserve">SONDAGEM ROTATIVA ROCHA SA 114,30MM (HX)                                       </t>
  </si>
  <si>
    <t xml:space="preserve">SONDAGEM A TRADO PROFUNDIDADE ATE 5M                                           </t>
  </si>
  <si>
    <t xml:space="preserve">SONDAGEM A TRADO PROFUNDIDADE 5 A 10M                                          </t>
  </si>
  <si>
    <t xml:space="preserve">DETER. COORDENADAS COM GPS2 (CONTROLE BASICO) PRECISAO MINIMA DE 2 ORDEM.      </t>
  </si>
  <si>
    <t xml:space="preserve">DETER. COORDENADAS COM GPS3 (CONTROLE BASICO) PRECISAO MINIMA DE 2 ORDEM.      </t>
  </si>
  <si>
    <t xml:space="preserve">TRANSPORTE COORDENADAS ATRAVES DE POLIGONAIS CLASSE II P DA NBR 13.133         </t>
  </si>
  <si>
    <t xml:space="preserve">IMPLANTACAO DE POLIGONAIS CLASSE III P DA NBR 13.133.                          </t>
  </si>
  <si>
    <t xml:space="preserve">TRANSPORTE DE REFERENCIA DE NIVEL ATRAVES NIVELAMENTO GEOMETRICO 4 MM K.       </t>
  </si>
  <si>
    <t xml:space="preserve">TRANSPORTE DE REFERENCIA DE NIVEL ATRAVES NIVELAMENTO GEOMETRICO CLASSE IN.    </t>
  </si>
  <si>
    <t xml:space="preserve">LEV. PLANIALTIMETRICO DE FAVELAS COM AREA ATE 2000 M2 C/POLIG. AUXILIAR        </t>
  </si>
  <si>
    <t xml:space="preserve">LEV. PLANIALTIMETRICO DE FAVELAS COM AREA ALEM 2000 M2 C/POLIG.AUXILIAR        </t>
  </si>
  <si>
    <t xml:space="preserve">LEVANT. PLANIALTIMETRICO CADASTRAL FAIXAS ATE 30M CLASSE II PAC DA NBR 13.133  </t>
  </si>
  <si>
    <t xml:space="preserve">MATERIALIZACAO DE LINHA BASE PROJETADA C/ ESTAQUEAMENTO DE 20 EM 20 M.         </t>
  </si>
  <si>
    <t xml:space="preserve">CADASTRO DE PVA, PVE, BL E TL                                                  </t>
  </si>
  <si>
    <t xml:space="preserve">CADASTRO DE OBRA DE ARTE CORRENTE (GALERIA E BUEIRO) E INTERFERENCIAS          </t>
  </si>
  <si>
    <t xml:space="preserve">LEV.CAD.ESTRUT. EM CONCRETO, PONTES E VIADUTOS, DETALHADO PECAS ESTRUTURAIS    </t>
  </si>
  <si>
    <t xml:space="preserve">CADASTRO DE PROPRIEDADE PARA DESAPROPRIACAO URBANA.                            </t>
  </si>
  <si>
    <t xml:space="preserve">CADASTRO DE PROPRIEDADE PARA DESAPROPRIACAO RURAL ATE 5000 M2.                 </t>
  </si>
  <si>
    <t xml:space="preserve">CADASTRO DE PROPRIEDADE PARA DESAPROPRIACAO RURAL ALEM 5000 M2.                </t>
  </si>
  <si>
    <t xml:space="preserve">ABERTURA DE PICADA COM LARGURA SUFICIENTE PARA LEVANTAMENTO TOPOGRAFICO.       </t>
  </si>
  <si>
    <t xml:space="preserve">LEVANTAMENTO DE SECOES TOPOBATIMETRICOS.                                       </t>
  </si>
  <si>
    <t xml:space="preserve">LEVANTAMENTO TOPOBATIMETRICO, MODO CONTINUO COM ECOBATIMETRO, POSIC.COM GPS    </t>
  </si>
  <si>
    <t xml:space="preserve">LEVANTAMENTO DE BATIMETRIA ESPECIAL                                            </t>
  </si>
  <si>
    <t xml:space="preserve">MOBILIZACAO / DESMOBILIZACAO - DE EQUIPE E EQUIP. DE TOPOGRAFIA A 50 E 150KM   </t>
  </si>
  <si>
    <t xml:space="preserve">MOBILIZACAO / DESMOBILIZACAO - EQUIPE E EQUIP. DE TOPOGRAFIA ENTRE 151E300KM   </t>
  </si>
  <si>
    <t xml:space="preserve">MOBILIZACAO / DESMOBILIZACAO - EQUIPE E EQUIP. TOPOGRAFIA ENTRE 301E600KM      </t>
  </si>
  <si>
    <t xml:space="preserve">MOBILIZACAO DE AERONAVE DENTRO DO ESTADO.                                      </t>
  </si>
  <si>
    <t xml:space="preserve">COBERTURA FOTOGRAFICA POR AREA FOTOGRAFADA, VOO NA ESCALA 1:20.000             </t>
  </si>
  <si>
    <t>21.02.28.02</t>
  </si>
  <si>
    <t xml:space="preserve">COBERTURA FOTOGRAFICA POR AREA FOTOGRAFADA, VOO NA ESCALA 1:5.000              </t>
  </si>
  <si>
    <t xml:space="preserve">LOCACAO PROJETO REG.ONDULADA VEGET.DENSA                                       </t>
  </si>
  <si>
    <t xml:space="preserve">REVELACAO DE FOTOS AEREAS INCLUSIVE ARQUIVO DIGITAL E FOTOINDICE.              </t>
  </si>
  <si>
    <t>21.02.30.02</t>
  </si>
  <si>
    <t>RESTITUICAO VOO AEROFOTOGRAMETRICO ESC. ATE 5X SUPERIOR AO DO VOO, ESC. 1:1.000</t>
  </si>
  <si>
    <t xml:space="preserve">APOIO CAMPO AEROF. DETERM. NUM. DE PONTOS P/ RESIST. EM ESC. ATE 5X MAIOR.     </t>
  </si>
  <si>
    <t xml:space="preserve">REMOCAO CERCA ARAME,INCL.TRANSPORTE                                            </t>
  </si>
  <si>
    <t xml:space="preserve">REMOCAO DE DEFENSA METALICA SIMPLES                                            </t>
  </si>
  <si>
    <t xml:space="preserve">REMOCAO DE DEFENSA METALICA DUPLA                                              </t>
  </si>
  <si>
    <t xml:space="preserve">REMOCAO DEFENSA MET.SIMPLES P/ REINST.                                         </t>
  </si>
  <si>
    <t xml:space="preserve">REMOCAO DEFENSA METALICA DUPLA P/ REINST                                       </t>
  </si>
  <si>
    <t xml:space="preserve">REMOCAO CANALIZACAO D&gt;=0,60M                                                   </t>
  </si>
  <si>
    <t xml:space="preserve">REMOCAO CANALIZACAO D&lt;0,60M                                                    </t>
  </si>
  <si>
    <t xml:space="preserve">REMOCAO E TRANSPORTE DE GUIA PRE-MOLDADA                                       </t>
  </si>
  <si>
    <t xml:space="preserve">REMOCAO DE ESTACA DE EUCALIPTO                                                 </t>
  </si>
  <si>
    <t xml:space="preserve">REMOCAO DE TACHA REFLETIVA                                                     </t>
  </si>
  <si>
    <t xml:space="preserve">REMOCAO DE PINTURA TERMOPLÁSTICA DE VIA                                        </t>
  </si>
  <si>
    <t xml:space="preserve">REMOCAO DE PINTURA ACRIL.  DEMARC.DE VIA POR PROCESSO MANUAL                   </t>
  </si>
  <si>
    <t xml:space="preserve">REMOCAO DE SINALIZACAO HORIZONTAL POR FRESAGEM                                 </t>
  </si>
  <si>
    <t>21.03.13</t>
  </si>
  <si>
    <t xml:space="preserve">REMOCAO DE GABIAO TIPO CAIXA                                                   </t>
  </si>
  <si>
    <t xml:space="preserve">CERCA DE ARAME FARPADO C/ 4 FIOS                                               </t>
  </si>
  <si>
    <t xml:space="preserve">CERCA DE ARAME FARPADO C/ 6 FIOS                                               </t>
  </si>
  <si>
    <t xml:space="preserve">CERCA ARAME FARPADO POR REAPROVEITAMENTO                                       </t>
  </si>
  <si>
    <t xml:space="preserve">DEMOLICAO DE CONCRETO ARMADO                                                   </t>
  </si>
  <si>
    <t xml:space="preserve">DEMOLICAO DE CONCRETO SIMPLES                                                  </t>
  </si>
  <si>
    <t xml:space="preserve">DEMOLICAO PAV.RIG.INCL.TRANSP. ATE 1 KM                                        </t>
  </si>
  <si>
    <t xml:space="preserve">DEMOLICAO DE EDIFICACAO EM ALVENARIA                                           </t>
  </si>
  <si>
    <t xml:space="preserve">DEMOLICAO DE EDIFICACAO EM MADEIRA                                             </t>
  </si>
  <si>
    <t xml:space="preserve">DEMOLICAO PAVIMENTOFLEXIVEL C/TRANSPORT                                        </t>
  </si>
  <si>
    <t xml:space="preserve">ABERTURA DE POCO DE INSPECAO ATE 1,5M DE PROFUNDIDADE                          </t>
  </si>
  <si>
    <t xml:space="preserve">ENSAIO DE UMIDADE NATURAL                                                      </t>
  </si>
  <si>
    <t xml:space="preserve">ENSAIO DE DENSIDADE NATURAL                                                    </t>
  </si>
  <si>
    <t xml:space="preserve">ANALISE GRANULOMETRICA POR PENEIRAMENTO E SEDIMENTACAO.                        </t>
  </si>
  <si>
    <t xml:space="preserve">ENSAIO DE CBR 5 PONTOS E.N.                                                    </t>
  </si>
  <si>
    <t xml:space="preserve">ENSAIO DE CBR 5 PONTOS E.I.                                                    </t>
  </si>
  <si>
    <t xml:space="preserve">CLASSIFICACAO MCT (PERDA POR IMERSAO E MINI MCV).                              </t>
  </si>
  <si>
    <t xml:space="preserve">CLASSIFICACAO MCT - METODO PASTILHA                                            </t>
  </si>
  <si>
    <t xml:space="preserve">ENSAIO DE CBR 1 PONTO MOLDADO NA UMIDADE OTIMA DE COMPACTACAO (E.N.)           </t>
  </si>
  <si>
    <t xml:space="preserve">ENSAIO DE COMPACTACAO - PROCTOR.                                               </t>
  </si>
  <si>
    <t xml:space="preserve">GRANULOMETRIA POR PENEIRAMENTO SIMPLES (SEM SEDIMENTACAO).                     </t>
  </si>
  <si>
    <t xml:space="preserve">LIMPEZA DE DRENAGEM DA PLATAFORMA                                              </t>
  </si>
  <si>
    <t xml:space="preserve">LIMPEZA DE BUEIROS DIAMETRO ATE 80CM                                           </t>
  </si>
  <si>
    <t xml:space="preserve">LIMPEZA DE BUEIROS DIAMETRO ATE 100CM                                          </t>
  </si>
  <si>
    <t xml:space="preserve">LIMPEZA DE BUEIROS DIAMETRO ATE 120CM                                          </t>
  </si>
  <si>
    <t xml:space="preserve">LIMPEZA DE BUEIROS DIAMETRO ATE 150CM                                          </t>
  </si>
  <si>
    <t xml:space="preserve">LIMPEZA DE GALERIA                                                             </t>
  </si>
  <si>
    <t xml:space="preserve">DEMOLICAO E RETIRADA DE GUARDA-CORPO                                           </t>
  </si>
  <si>
    <t xml:space="preserve">LIMPEZA DE BUEIROS DIAMETRO ATE 60CM                                           </t>
  </si>
  <si>
    <t xml:space="preserve">LIMPEZA DE DRENAGEM FORA DA PLATAFORMA                                         </t>
  </si>
  <si>
    <t xml:space="preserve">LIMP.TERRENO SEM DESTOCAMENTO DE ARVORES                                       </t>
  </si>
  <si>
    <t xml:space="preserve">LIMP.TERRENO C/DEST.ARV.PERIMETRO&lt;=78CM                                        </t>
  </si>
  <si>
    <t xml:space="preserve">LIMP. MANUAL TERRENO AMONT. DE MATERIAL                                        </t>
  </si>
  <si>
    <t xml:space="preserve">DERRUBADA E DEST.ARV.C/PERIMETRO&gt;78CM                                          </t>
  </si>
  <si>
    <t xml:space="preserve">DEST.ARV.COM PERIMETRO MAIOR QUE 78CM                                          </t>
  </si>
  <si>
    <t xml:space="preserve">RASPAGEM DO TERRENO                                                            </t>
  </si>
  <si>
    <t xml:space="preserve">ESCAVACAO E CARGA DE MATERIAL DE 1/2A CATEGORIA                                </t>
  </si>
  <si>
    <t xml:space="preserve">ESCAV.CARGA MATERIAL 2 CAT.C/EXPLOSIVO                                         </t>
  </si>
  <si>
    <t xml:space="preserve">ESCAVACAO E CARGA MATERIAL  3 CATEGORIA                                        </t>
  </si>
  <si>
    <t xml:space="preserve">ESCAV.CARGA SOLO MOLE SOB LAMINA D´AGUA                                        </t>
  </si>
  <si>
    <t xml:space="preserve">CARGA DE MATERIAL LIMPEZA                                                      </t>
  </si>
  <si>
    <t xml:space="preserve">ESCAV.,CARGA E DESC.MAT.SIL-ARG.NO CORTE                                       </t>
  </si>
  <si>
    <t xml:space="preserve">AQUIS.MAT.ESPAL.CONF.ROLAGEM MAT.SIL.ARG                                       </t>
  </si>
  <si>
    <t xml:space="preserve">ESPALHAMENTO/REGULARIZACAO/COMPACTACAO DE MATERIAL EM BOTA-FORA.               </t>
  </si>
  <si>
    <t xml:space="preserve">ESCAVAÇÃO OU DESMONTE E CARGA COM EQUIPAMENTO HIDRAULICO (PICÃO)               </t>
  </si>
  <si>
    <t xml:space="preserve">TRANSPORTE DE 1/2 CATEGORIA ATE 1 KM                                           </t>
  </si>
  <si>
    <t xml:space="preserve">TRANSPORTE DE 1/2 CATEGORIA ATE 2 KM                                           </t>
  </si>
  <si>
    <t xml:space="preserve">TRANSPORTE DE 1/2 CATEGORIA ATE 5 KM                                           </t>
  </si>
  <si>
    <t xml:space="preserve">TRANSPORTE DE 1/2 CATEGORIA ATE 10 KM                                          </t>
  </si>
  <si>
    <t xml:space="preserve">TRANSPORTE DE 1/2 CATEGORIA ATE 15 KM                                          </t>
  </si>
  <si>
    <t xml:space="preserve">TRANSPORTE DE 1/2 CATEGORIA ALEM DE 15KM                                       </t>
  </si>
  <si>
    <t xml:space="preserve">TRANSPORTE DE 3 CATEGORIA ATE 1 KM                                             </t>
  </si>
  <si>
    <t xml:space="preserve">TRANSPORTE DE 3 CATEGORIA ALEM 1 KM                                            </t>
  </si>
  <si>
    <t xml:space="preserve">TRANSPORTE DE SOLO MOLE ATE 2 KM                                               </t>
  </si>
  <si>
    <t xml:space="preserve">TRANSPORTE DE SOLO MOLE ALEM 2 KM                                              </t>
  </si>
  <si>
    <t xml:space="preserve">TRANSPORTE MATERIAL DE LIMPEZA ATE 1 KM                                        </t>
  </si>
  <si>
    <t xml:space="preserve">TRANSPORTE MATERIAL DE LIMP.ALEM DE 1 KM                                       </t>
  </si>
  <si>
    <t xml:space="preserve">COMPACTACAO DE ATERRO MAIOR/IGUAL 95% PS                                       </t>
  </si>
  <si>
    <t xml:space="preserve">RETALUDAMENTO MANUAL                                                           </t>
  </si>
  <si>
    <t xml:space="preserve">FUNDACAO DE ATERRO C/AREIA LAVADA                                              </t>
  </si>
  <si>
    <t xml:space="preserve">FUNDACAO DE ATERRO C/PED.RACHAO                                                </t>
  </si>
  <si>
    <t xml:space="preserve">ESPALH.ADENS.MATERIAL DE FUND.DE ATERRO                                        </t>
  </si>
  <si>
    <t xml:space="preserve">VALETA DE PROTECAO MANUAL                                                      </t>
  </si>
  <si>
    <t xml:space="preserve">GEOGRELHA POLIETILENO RESIST. TRANSV. 5 KN/M - RESIST. LONGIT. 30 KN/M         </t>
  </si>
  <si>
    <t xml:space="preserve">GEOGRELHA POLIETILENO RESIST. TRANSV. 5 KN/M - RESIST. LONGIT. 50 KN/M         </t>
  </si>
  <si>
    <t xml:space="preserve">GEOGRELHA POLIETILENO RESIST. TRANSV. 5 KN/M - RESIST. LONGIT. 80 KN/M         </t>
  </si>
  <si>
    <t xml:space="preserve">GEOGRELHA POLIETILENO RESIST. TRANSV. 5 KN/M - RESIST. LONGIT. 100 KN/M        </t>
  </si>
  <si>
    <t xml:space="preserve">GEOGRELHA POLIETILENO RESIST. TRANSV. 5 KN/M - RESIST. LONGIT. 150 KN/M        </t>
  </si>
  <si>
    <t xml:space="preserve">GEOGRELHA POLIETILENO RESIST. TRANSV. 5 KN/M - RESIST. LONGIT. 200 KN/M        </t>
  </si>
  <si>
    <t xml:space="preserve">GEOGRELHA POLIETILENO RESIST. TRANSV. 15 KN/M - RESIST. LONGIT. 30 KN/M        </t>
  </si>
  <si>
    <t xml:space="preserve">GEOGRELHA POLIETILENO RESIST. TRANSV. 15 KN/M - RESIST. LONGIT. 50 KN/M        </t>
  </si>
  <si>
    <t xml:space="preserve">GEOGRELHA POLIETILENO RESIST. TRANSV. 15 KN/M - RESIST. LONGIT. 80 KN/M.       </t>
  </si>
  <si>
    <t xml:space="preserve">GEOGRELHA POLIETILENO RESIST. TRANSV. 15 KN/M - RESIST. LONGIT. 100 KN/M.      </t>
  </si>
  <si>
    <t xml:space="preserve">GEOGRELHA POLIETILENO RESIST. TRANSV. 15 KN/M - RESIST. LONGIT. 150 KN/M.      </t>
  </si>
  <si>
    <t xml:space="preserve">GEOGRELHA POLIETILENO RESIST. TRANSV. 15 KN/M - RESIST. LONGIT. 200 KN/M.      </t>
  </si>
  <si>
    <t xml:space="preserve">GEOGRELHA POLIETILENO RESIST. TRANSV. 20 KN/M - RESIST. LONGIT. 30 KN/M.       </t>
  </si>
  <si>
    <t xml:space="preserve">GEOGRELHA POLIETILENO RESIST. TRANSV. 20 KN/M - RESIST. LONGIT. 50 KN/M.       </t>
  </si>
  <si>
    <t xml:space="preserve">GEOGRELHA POLIETILENO RESIST. TRANSV. 20 KN/M - RESIST. LONGIT. 80 KN/M.       </t>
  </si>
  <si>
    <t xml:space="preserve">GEOGRELHA POLIETILENO RESIST. TRANSV. 20 KN/M - RESIST. LONGIT. 100 KN/M.      </t>
  </si>
  <si>
    <t xml:space="preserve">GEOGRELHA POLIETILENO RESIST. TRANSV. 20 KN/M - RESIST. LONGIT. 150 KN/M.      </t>
  </si>
  <si>
    <t xml:space="preserve">GEOGRELHA POLIETILENO RESIST. TRANSV. 20 KN/M - RESIST. LONGIT. 200 KN/M.      </t>
  </si>
  <si>
    <t xml:space="preserve">GEOGRELHA POLIETILENO RESIST. TRANSV. 30 KN/M - RESIST. LONGIT. 30 KN/M.       </t>
  </si>
  <si>
    <t xml:space="preserve">GEOGRELHA POLIETILENO RESIST. TRANSV. 30 KN/M - RESIST. LONGIT. 50 KN/M.       </t>
  </si>
  <si>
    <t xml:space="preserve">GEOGRELHA POLIETILENO RESIST. TRANSV. 30 KN/M - RESIST. LONGIT. 80 KN/M.       </t>
  </si>
  <si>
    <t xml:space="preserve">GEOGRELHA POLIETILENO RESIST. TRANSV. 30 KN/M - RESIST. LONGIT. 100 KN/M.      </t>
  </si>
  <si>
    <t xml:space="preserve">GEOGRELHA POLIETILENO RESIST. TRANSV. 30 KN/M - RESIST. LONGIT. 150 KN/M.      </t>
  </si>
  <si>
    <t xml:space="preserve">GEOGRELHA POLIETILENO RESIST. TRANSV. 30 KN/M - RESIST. LONGIT. 200 KN/M.      </t>
  </si>
  <si>
    <t xml:space="preserve">GEOGRELHA POLIETILENO RESIST. TRANSV. 50 KN/M - RESIST. LONGIT. 50 KN/M        </t>
  </si>
  <si>
    <t xml:space="preserve">GEOGRELHA POLIETILENO RESIST. TRANSV. 50 KN/M - RESIST. LONGIT. 80 KN/M        </t>
  </si>
  <si>
    <t xml:space="preserve">GEOGRELHA POLIETILENO RESIST. TRANSV. 50 KN/M - RESIST. LONGIT. 100 KN/M       </t>
  </si>
  <si>
    <t xml:space="preserve">GEOGRELHA POLIETILENO RESIST. TRANSV. 50 KN/M - RESIST. LONGIT. 150 KN/M       </t>
  </si>
  <si>
    <t xml:space="preserve">GEOGRELHA POLIETILENO RESIST. TRANSV. 50 KN/M - RESIST. LONGIT. 200 KN/M       </t>
  </si>
  <si>
    <t xml:space="preserve">GEOGRELHA POLIETILENO RESIST. TRANSV. 100 KN/M - RESIST. LONGIT. 100 KN/M      </t>
  </si>
  <si>
    <t xml:space="preserve">GEOGRELHA POLIETILENO RESIST. TRANSV. 100 KN/M - RESIST. LONGIT. 150 KN/M      </t>
  </si>
  <si>
    <t xml:space="preserve">GEOGRELHA POLIETILENO RESIST. TRANSV. 100 KN/M - RESIST. LONGIT. 200 KN/M      </t>
  </si>
  <si>
    <t xml:space="preserve">GEOGRELHA POLIETILENO RESIST. TRANSV. 150 KN/M - RESIST. LONGIT. 150 KN/M      </t>
  </si>
  <si>
    <t xml:space="preserve">GEOGRELHA POLIETILENO RESIST. TRANSV. 150 KN/M - RESIST. LONGIT. 200 KN/M      </t>
  </si>
  <si>
    <t xml:space="preserve">GEOGRELHA POLIETILENO RESIST. TRANSV. 200 KN/M - RESIST. LONGIT. 200 KN/M.     </t>
  </si>
  <si>
    <t xml:space="preserve">GEOGRELHA PVC RESIST. TRANSV. 20 KN/M - RESIST. LONGIT. 40 KN/M.               </t>
  </si>
  <si>
    <t xml:space="preserve">GEOGRELHA PVC RESIST. TRANSV. 20 KN/M - RESIST. LONGIT. 60 KN/M.               </t>
  </si>
  <si>
    <t xml:space="preserve">GEOGRELHA PVC RESIST. TRANSV. 20 KN/M - RESIST. LONGIT. 90 KN/M.               </t>
  </si>
  <si>
    <t xml:space="preserve">GEOGRELHA PVC RESIST. TRANSV. 20 KN/M - RESIST. LONGIT. 120 KN/M.              </t>
  </si>
  <si>
    <t xml:space="preserve">GEOGRELHA PVC RESIST. TRANSV. 30 KN/M - RESIST. LONGIT. 40 KN/M.               </t>
  </si>
  <si>
    <t xml:space="preserve">GEOGRELHA PVC RESIST. TRANSV. 30 KN/M - RESIST. LONGIT. 60 KN/M.               </t>
  </si>
  <si>
    <t xml:space="preserve">GEOGRELHA PVC RESIST. TRANSV. 30 KN/M - RESIST. LONGIT. 90 KN/M.               </t>
  </si>
  <si>
    <t xml:space="preserve">GEOGRELHA PVC RESIST. TRANSV. 30 KN/M - RESIST. LONGIT. 120 KN/M.              </t>
  </si>
  <si>
    <t xml:space="preserve">MELH/PREPARO SUB-LEITO - 100% EN                                               </t>
  </si>
  <si>
    <t xml:space="preserve">MELH/PREPARO SUB-LEITO - 100% EI                                               </t>
  </si>
  <si>
    <t xml:space="preserve">REFORCO SUB-LEITO ESCAV. SOLO ESCOLHIDO                                        </t>
  </si>
  <si>
    <t xml:space="preserve">REFORCO DO SUB-LEITO - TRANSPORTE ATE 1 KM                                     </t>
  </si>
  <si>
    <t xml:space="preserve">REFORCO DO SUB-LEITO - TRANSPORTE ATE 2 KM                                     </t>
  </si>
  <si>
    <t xml:space="preserve">REFORCO DO SUB-LEITO - TRANSPORTE ATE 5KM                                      </t>
  </si>
  <si>
    <t xml:space="preserve">REFORCO DE SUB-LEITO - TRANSPORTE ATE 10 KM                                    </t>
  </si>
  <si>
    <t xml:space="preserve">REFORCO DO SUB-LEITO - TRANSPORTE ATE 15 KM                                    </t>
  </si>
  <si>
    <t xml:space="preserve">REFORCO DOE SUB-LEITO - TRANSPORTE + 15KM                                      </t>
  </si>
  <si>
    <t xml:space="preserve">REFORCO DE SUB-LEITO COMPACTACAO 100% EI                                       </t>
  </si>
  <si>
    <t xml:space="preserve">REFORCO DE SUB-LEITO COMPACT 100% EN                                           </t>
  </si>
  <si>
    <t>23.04.01.01</t>
  </si>
  <si>
    <t xml:space="preserve">SUB-BASE OU BASE SOLO CIM 3% - USINA                                           </t>
  </si>
  <si>
    <t xml:space="preserve">SUB-BASE OU BASE DE SOLO CIM.3%-USINA COM TRANSP.JAZIDA ATE LOCAL APLICACAO    </t>
  </si>
  <si>
    <t xml:space="preserve">SUB BASE OU BASE SOLO CIM.4%-USINA COM TRANSP.JAZIDA ATE LOCAL APLICACAO       </t>
  </si>
  <si>
    <t xml:space="preserve">SUB BASE OU BASE SOLO CIM.5%-USINA COM TRANSP.JAZIDA ATE LOCAL APLICACAO       </t>
  </si>
  <si>
    <t xml:space="preserve">SUB BASE OU BASE SOLO CIM.6%-USINA COM TRANSP. JAZIDA ATE LOCAL APLICACAO      </t>
  </si>
  <si>
    <t xml:space="preserve">SUB BASE OU BASE SOLO CIM.7%-SINA COM TRANSP.JAZIDA ATE LOCAL APLICACAO        </t>
  </si>
  <si>
    <t xml:space="preserve">SUB BASE OU BASE SOLO CIM.8%-USINA COM TRANSP.JAZIDA ATE LOCAL APLICACAO       </t>
  </si>
  <si>
    <t xml:space="preserve">SUB BASE OU BASE SOLO CIM.9%-USINA COM TRANSP.JAZIDA ATE LOCAL APLICACAO       </t>
  </si>
  <si>
    <t xml:space="preserve">SUB BASE OU BASE SOLO CIM.10%-USINA COM TRANSP.JAZIDA ATE LOCAL APLICACAO      </t>
  </si>
  <si>
    <t xml:space="preserve">SUB BASE OU BASE SOLO CIM.11%-USINA COM TRANSP.JAZIDA ATE LOCAL APLICACAO      </t>
  </si>
  <si>
    <t xml:space="preserve">SUB BASE OU BASE SOLO CIM.12%-USINA COM TRANSP.JAZIDA ATE LOCAL APLICACAO      </t>
  </si>
  <si>
    <t xml:space="preserve">SUB BASE OU BASE SOLO CIM.3%-PULVEMIST.-COM TRANSP.JAZIDA ATE LOCAL APLICACAO  </t>
  </si>
  <si>
    <t xml:space="preserve">SUB BASE OU BASE SOLO CIM.4%-PULVEMIST.-COM TRANSP.JAZIDA ATE LOCAL APLICACAO  </t>
  </si>
  <si>
    <t xml:space="preserve">SUB BASE OU BASE SOLO CIM.5%-PULVEMIST.-COM TRANSP.JAZIDA ATE LOCAL APLICACAO  </t>
  </si>
  <si>
    <t xml:space="preserve">SUB BASE OU BASE SOLO CIM.6%-PULVEMIST.-COM TRANSP.JAZIDA ATE LOCAL APLICACAO  </t>
  </si>
  <si>
    <t xml:space="preserve">SUB BASE OU BASE SOLO CIM.7%-PULVEMIST.-COM TRANSP.JAZIDA ATE LOCAL APLICACAO  </t>
  </si>
  <si>
    <t xml:space="preserve">SUB BASE OU BASE SOLO CIM.8%-PULVEMIST.-COM TRANSP.JAZIDA ATE LOCAL APLICACAO  </t>
  </si>
  <si>
    <t xml:space="preserve">SUB BASE OU BASE SOLO CIM.9%-PULVEMIST.-COM TRANSP.JAZIDA ATE LOCAL APLICACAO  </t>
  </si>
  <si>
    <t xml:space="preserve">SUB BASE OU BASE SOLO CAL 4% - COM TRANSP.JAZIDA ATE LOCAL APLICACAO           </t>
  </si>
  <si>
    <t xml:space="preserve">SUB BASE OU BASE SOLO BRITA C/CIM.3% COM TRANSP. JAZIDA ATE LOCAL APLICAÇÃO    </t>
  </si>
  <si>
    <t xml:space="preserve">SUB BASE OU BASE SOLO BRITA C/CIM.6% COM TRANSP.DA JAZIDA ATE LOCAL APLICAÇÃO  </t>
  </si>
  <si>
    <t xml:space="preserve">SUB-BASE OU BASE BRITA GRAD. SIMPLES                                           </t>
  </si>
  <si>
    <t xml:space="preserve">SUB-BASE OU BASE DE PEDRA BRITADA                                              </t>
  </si>
  <si>
    <t xml:space="preserve">SUB-BASE OU BASE DE BICA CORRIDA                                               </t>
  </si>
  <si>
    <t xml:space="preserve">SUB-BASE OU BASE DE PEDRA RACHAO, CONF. ET-POO/042 (DERSA)                     </t>
  </si>
  <si>
    <t xml:space="preserve">SUB-BASE OU BASE BRITA GRAD. C/CIM 1%VOL                                       </t>
  </si>
  <si>
    <t xml:space="preserve">SUB-BASE OU BASE BRITA GRA. C/CIM 2%VOL                                        </t>
  </si>
  <si>
    <t xml:space="preserve">SUB-BASE OU BASE BRITA GRAD. C/CIM 3%VOL                                       </t>
  </si>
  <si>
    <t xml:space="preserve">SUB-BASE OU BASE BRITA GRAD. C/CIM 4%VOL                                       </t>
  </si>
  <si>
    <t xml:space="preserve">SUB-BASE OU BASE BRITA GRAD. C/CIM 5%                                          </t>
  </si>
  <si>
    <t xml:space="preserve">SUB-BASE OU BASE ESTABILIZADA GRANULOMETRICAMENTE                              </t>
  </si>
  <si>
    <t xml:space="preserve">SUB-BASE OU BASE MACADAME HIDRAULICO                                           </t>
  </si>
  <si>
    <t xml:space="preserve">SUB-BASE OU BASE MACADAME BETUMINOSO                                           </t>
  </si>
  <si>
    <t xml:space="preserve">SUB-BASE OU BASE DE MACADAME SECO                                              </t>
  </si>
  <si>
    <t xml:space="preserve">SUB-BASE OU BASE SOLO AREN. FINO 95% PI                                        </t>
  </si>
  <si>
    <t xml:space="preserve">BASE SOLO ESTABILIZADO QUIMICAMENTE PARA SOLO ARENOSO                          </t>
  </si>
  <si>
    <t>23.04.07.04</t>
  </si>
  <si>
    <t xml:space="preserve">SUB-BASE OU BASE DE SOLO ESTAB. QUIMICO SOLIDO                                 </t>
  </si>
  <si>
    <t xml:space="preserve">IMPRIMADURA BETUMINOSA IMPERMEABILIZANTE                                       </t>
  </si>
  <si>
    <t xml:space="preserve">IMPRIMADURA BETUMINOSA IMPERMEABILIZANTE (SEM MATERIAIS ASFALTICOS)            </t>
  </si>
  <si>
    <t xml:space="preserve">IMPRIMADURA BETUMINOSA LIGANTE                                                 </t>
  </si>
  <si>
    <t xml:space="preserve">IMPRIMADURABETUMINOSA LIGANTE (SEM MATERIAIS ASFALTICOS)                       </t>
  </si>
  <si>
    <t xml:space="preserve">IMPRIMADURA BET. AUXILIAR DE LIGACAO                                           </t>
  </si>
  <si>
    <t xml:space="preserve">IMPRIM. BET. LIGANTE MODIF. POLIMERO                                           </t>
  </si>
  <si>
    <t xml:space="preserve">TRATAMENTO SUPERFICIAL SIMPLES                                                 </t>
  </si>
  <si>
    <t xml:space="preserve">TRATAMENTO SUPERFICIAL DUPLO                                                   </t>
  </si>
  <si>
    <t xml:space="preserve">TRATAMENTO SUPERFICIAL TRIPLO                                                  </t>
  </si>
  <si>
    <t xml:space="preserve">MICROREVESTIMENTO C/POLIMERO COM FIBRA À FRIO (MCAF)                           </t>
  </si>
  <si>
    <t xml:space="preserve">MICROREVESTIMENTO COM POLIMERO SEM FIBRA A FRIO (MCAF)                         </t>
  </si>
  <si>
    <t xml:space="preserve">MICROREVESTIMENTO ASFALTICO A FRIO COM POLIMERO COM FIBRA                      </t>
  </si>
  <si>
    <t xml:space="preserve">MICROREVESTIMENTO ASFALTICO A FRIO COM POLIMERO SEM FIBRA                      </t>
  </si>
  <si>
    <t xml:space="preserve">TRATAMENTO SUPERF. C/ LAMA ASFALTICA                                           </t>
  </si>
  <si>
    <t xml:space="preserve">TRAT.SUP.CAM. LAMA ASFALTICA GROSSA                                            </t>
  </si>
  <si>
    <t xml:space="preserve">TRATAMENTO SUPERFICIAL SIMPLES MODIFICADO POR POLIMEROS                        </t>
  </si>
  <si>
    <t xml:space="preserve">TRATAMENTO SUPERFICIAL DUPLO MODIFICADO POR POLIMEROS                          </t>
  </si>
  <si>
    <t xml:space="preserve">TRATAMENTO SUPERFICIAL TRIPLO MODIFICADO POR POLIMEROS                         </t>
  </si>
  <si>
    <t xml:space="preserve">PRE-MISTURADO A FRIO                                                           </t>
  </si>
  <si>
    <t xml:space="preserve">CAMADA BASE PRE-MISTURADO A FRIO (SEM MATERIAIS ASFALTICOS)                    </t>
  </si>
  <si>
    <t xml:space="preserve">APLICACAO CAMADA DE PRE-MISTURADO A FRIO COM TRANSPORTE (EXCLUSO MATERIAL)     </t>
  </si>
  <si>
    <t xml:space="preserve">CONC.ASF.US.QUENTE - BINDER GRAD.A C/DOP                                       </t>
  </si>
  <si>
    <t xml:space="preserve">CONC.ASF.US.QUENTE - BINDER GRAD.A S/DOP                                       </t>
  </si>
  <si>
    <t xml:space="preserve">CONC.ASF.US.QUENTE - BINDER GRAD.B C/DOP                                       </t>
  </si>
  <si>
    <t xml:space="preserve">CONC.ASF.US.QUENTE - BINDER GRAD.B S/DOP                                       </t>
  </si>
  <si>
    <t xml:space="preserve">CONCRETO ASFALTICO GRADUACAO I                                                 </t>
  </si>
  <si>
    <t xml:space="preserve">CAMADA ROLAMENTO-CBUQ GRADUACAO C-S/DOP                                        </t>
  </si>
  <si>
    <t xml:space="preserve">CAMADA ROLAMENTO - CBUQ - GRAD.C - COM DOP                                     </t>
  </si>
  <si>
    <t xml:space="preserve">CAMADA DE ROLAMENTO - CBUQ - GRAD. D - SEM DOP                                 </t>
  </si>
  <si>
    <t xml:space="preserve">CAMADA ROLANTE CBUQ - GRAD. D - COM DOP                                        </t>
  </si>
  <si>
    <t xml:space="preserve">CAMADA DE ROLAMENTO CBUQ - GRADUACAO D, MODIFICADA POR POLIMERO                </t>
  </si>
  <si>
    <t xml:space="preserve">CONC. ASF. MODIFICADO P/POLIMERO                                               </t>
  </si>
  <si>
    <t xml:space="preserve">CONCRETO ASFALTICO MODIFICADO POR POLIMERO - GRAD. II                          </t>
  </si>
  <si>
    <t xml:space="preserve">CONCRETO ASFALTICO MODIFICADO COM 15% EM PESO DE BORRACHA (CONTINUO)           </t>
  </si>
  <si>
    <t xml:space="preserve">CONCRETO ASFALTICO COM ASFALTO-BORRACHA, GRADUACAO IV                          </t>
  </si>
  <si>
    <t xml:space="preserve">CONCRETO ASFALTO BORRACHA MORNO COM 15% DE BORRACHA.                           </t>
  </si>
  <si>
    <t xml:space="preserve">CONCRETO ASFALTO BORRACHA GRAD. IV, MORNO COM 15% BORRACHA                     </t>
  </si>
  <si>
    <t xml:space="preserve">CAPA SELANTE TIPO 2                                                            </t>
  </si>
  <si>
    <t xml:space="preserve">CAPA SELANTE TIPO 3                                                            </t>
  </si>
  <si>
    <t xml:space="preserve">FRESAGEM CONTINUA DE PAV., INDEPENDENTE DA ESPESSURA                           </t>
  </si>
  <si>
    <t xml:space="preserve">PAVIMENTO DE CONCRETO - APLICACAO COM FORMAS DESLIZANTES                       </t>
  </si>
  <si>
    <t xml:space="preserve">PAVIMENTO DE CONCRETO SOBRE OBRA DE ARTE ESPECIAL-MANUAL.                      </t>
  </si>
  <si>
    <t xml:space="preserve">PAVIMENTO DE CONCRETO SOBRE OBRA DE ARTE ESPECIAL-MECANICO(PP-DE-P00/010)      </t>
  </si>
  <si>
    <t xml:space="preserve">PAVIMENTO DE CONCRETO POBRE PARA BASE DE PAVIMENTO RIGIDO.                     </t>
  </si>
  <si>
    <t xml:space="preserve">PAVIMENTO CONCRETO INTERTRAVADO - E=6CM                                        </t>
  </si>
  <si>
    <t xml:space="preserve">PAVIMENTO CONCRETO INTERTRAVADO - E=8CM                                        </t>
  </si>
  <si>
    <t xml:space="preserve">PAV CONCRETO INTERTRAVADO - E=10CM                                             </t>
  </si>
  <si>
    <t xml:space="preserve">RECICLAGEM CAPA/BASE COM ADICAO DE 4% DE CIMENTO                               </t>
  </si>
  <si>
    <t xml:space="preserve">RECICLAGEM DE PAVIMENTO COM ADICAO DE 30% DE BRITA E 4% DE CIMENTO             </t>
  </si>
  <si>
    <t xml:space="preserve">RECICLAGEM DE PAVIMENTO COM ADICAO DE 20% DE BRITA E 4% DE CIMENTO             </t>
  </si>
  <si>
    <t xml:space="preserve">RECICLAGEM DE PAVIMENTO COM ADICAO DE 20% DE BRITA E 6% DE CIMENTO             </t>
  </si>
  <si>
    <t xml:space="preserve">RECICLAGEM DE PAVIMENTO COM ADICAO DE 20% BRITA.                               </t>
  </si>
  <si>
    <t xml:space="preserve">RECICLAGEM DE PAVIMENTO COM ADICAO DE 30% DE BRITA                             </t>
  </si>
  <si>
    <t xml:space="preserve">REUTILIZACAO DE PAVIMENTO RECICLADO COM ADICAO DE 25% DE BRITA 1 EM PESO       </t>
  </si>
  <si>
    <t xml:space="preserve">REMOCAO, PULVERIZACAO, CARGA E TRANSPORTE (5KM) DE PAVIMENTO FLEXIVEL          </t>
  </si>
  <si>
    <t xml:space="preserve">RECICLAGEM EM USINA A FRIO COM ESPUMA ASFÁLTICA.                               </t>
  </si>
  <si>
    <t xml:space="preserve">ATERRO DE ACESSO                                                               </t>
  </si>
  <si>
    <t xml:space="preserve">ESCAVACAO MANUAL PARA OBRAS S/ EXPLOSIVO                                       </t>
  </si>
  <si>
    <t xml:space="preserve">ESCAVACAO MECANICA P/ OBRAS S/EXPLOSIVO                                        </t>
  </si>
  <si>
    <t xml:space="preserve">ESCAVACAO MECANICA P/ OBRAS C/EXPLOSIVO                                        </t>
  </si>
  <si>
    <t xml:space="preserve">CORTA-RIO ESCAVACAO SEM EXPLOSIVO                                              </t>
  </si>
  <si>
    <t xml:space="preserve">CORTA-RIO ESCAVACAO COM EXPLOSIVO                                              </t>
  </si>
  <si>
    <t xml:space="preserve">ESCAV.FUND.BUEIRO OU DRENO S/EXPL.ATE 2M                                       </t>
  </si>
  <si>
    <t xml:space="preserve">ACRESC.P/ESCAV.1,5M PROFUNDIDADE,ALEM 2M                                       </t>
  </si>
  <si>
    <t xml:space="preserve">ESCAV.FUND.BUEIRO OU DRENO C/EXPL.ATE 2M                                       </t>
  </si>
  <si>
    <t xml:space="preserve">ACRESC.ESC.ENS.EXPL.C/1,5M PROF.ALEM 2M                                        </t>
  </si>
  <si>
    <t xml:space="preserve">ESCAV.FUND.DENTRO ENSEC.SEM EXPL. ATE 3M                                       </t>
  </si>
  <si>
    <t xml:space="preserve">ACR.P/ESCAV.ENSEC.P/CADA 1M  PROF.ALEM3M                                       </t>
  </si>
  <si>
    <t xml:space="preserve">ESCAV.FUND.DENTRO ENSEC.C/EXPL.ATE 3M                                          </t>
  </si>
  <si>
    <t xml:space="preserve">ACRESC.P/ESC.ENSEC.C/EXPL.C/1,5M ALEM 3M                                       </t>
  </si>
  <si>
    <t xml:space="preserve">PAREDE ENSECADEIRA COM PRANCHA-ESP.0,05M                                       </t>
  </si>
  <si>
    <t xml:space="preserve">PAREDE ENSECADEIRA C/PRANCHA-ESP.0,075M                                        </t>
  </si>
  <si>
    <t xml:space="preserve">PAREDE ENSECADEIRA COM PERFIL METALICO                                         </t>
  </si>
  <si>
    <t xml:space="preserve">ARGILA ENCH.ENSECADEIRA,INCL.APILOAMENTO                                       </t>
  </si>
  <si>
    <t xml:space="preserve">ESGOTAMENTO CONTINUO AGUA                                                      </t>
  </si>
  <si>
    <t xml:space="preserve">ESCORAMENTO DE VALAS/CAVAS P/FUND.CONT.                                        </t>
  </si>
  <si>
    <t xml:space="preserve">ESCORAMENTO DE VALAS/CAVAS P/FUND.DESC.                                        </t>
  </si>
  <si>
    <t xml:space="preserve">ESCORAMENTO PARA FORMAS                                                        </t>
  </si>
  <si>
    <t xml:space="preserve">CIMB.DE PASSAGEM SECUND. E GALERIA RET.                                        </t>
  </si>
  <si>
    <t xml:space="preserve">CIMBRAMENTO DE GALERIA EM ABOBODA                                              </t>
  </si>
  <si>
    <t xml:space="preserve">ANDAIME DE MADEIRA                                                             </t>
  </si>
  <si>
    <t xml:space="preserve">ANDAIME TUBULAR                                                                </t>
  </si>
  <si>
    <t xml:space="preserve">FORMA PLANA PARA CONCRETO COMUM                                                </t>
  </si>
  <si>
    <t xml:space="preserve">FORMA PLANA PARA CONCRETO APARENTE                                             </t>
  </si>
  <si>
    <t xml:space="preserve">BARRA DE ACO CA-25                                                             </t>
  </si>
  <si>
    <t xml:space="preserve">BARRA DE ACO CA-50                                                             </t>
  </si>
  <si>
    <t xml:space="preserve">BARRA DE ACO CA-60                                                             </t>
  </si>
  <si>
    <t xml:space="preserve">TELA METALICA                                                                  </t>
  </si>
  <si>
    <t xml:space="preserve">CONCRETO FCK 10 MPA                                                            </t>
  </si>
  <si>
    <t xml:space="preserve">CONCRETO FCK 15 MPA                                                            </t>
  </si>
  <si>
    <t xml:space="preserve">CONCRETO FCK 18 MPA                                                            </t>
  </si>
  <si>
    <t xml:space="preserve">CONCRETO FCK 20 MPA                                                            </t>
  </si>
  <si>
    <t xml:space="preserve">CONCRETO FCK 25 MPA                                                            </t>
  </si>
  <si>
    <t xml:space="preserve">CONCRETO FCK 30 MPA                                                            </t>
  </si>
  <si>
    <t xml:space="preserve">CONCRETO CICLOPICO                                                             </t>
  </si>
  <si>
    <t xml:space="preserve">BOMBEAMENTO P/ CONCRETO QUALQUER RESIST.                                       </t>
  </si>
  <si>
    <t xml:space="preserve">CONCRETO FCK 35 MPA                                                            </t>
  </si>
  <si>
    <t xml:space="preserve">CONCRETO FCK 40 MPA                                                            </t>
  </si>
  <si>
    <t xml:space="preserve">CONCRETO FCK 45 MPA                                                            </t>
  </si>
  <si>
    <t xml:space="preserve"> CONCRETO FCK 50 MPA                                                           </t>
  </si>
  <si>
    <t xml:space="preserve">JUNTA ELASTICA EM PVC TIPO O-12                                                </t>
  </si>
  <si>
    <t xml:space="preserve">JUNTA ELASTICA EM PVC TIPO O-22                                                </t>
  </si>
  <si>
    <t xml:space="preserve">ENROCAMENTO PEDRA ARRUMADA                                                     </t>
  </si>
  <si>
    <t xml:space="preserve">ENROCAMENTO PEDRA ARRUMADA E REJUNTADA                                         </t>
  </si>
  <si>
    <t xml:space="preserve">ENROCAMENTO PEDRA JOGADA                                                       </t>
  </si>
  <si>
    <t xml:space="preserve">GABIAO TIPO CAIXA,ZN90/AL10,NBR 8964,H= 0,50 M                                 </t>
  </si>
  <si>
    <t xml:space="preserve">GABIAO TIPO CAIXA,ZN90/AL10,NBR 8964,H= 1,00 M                                 </t>
  </si>
  <si>
    <t xml:space="preserve">GABIAO TIPO SACO,ZN90/AL10,NBR 8964,REVESTIMEN.POLIMERO,ABRASAO MENOR QUE 09%  </t>
  </si>
  <si>
    <t xml:space="preserve">GABIAO TIPO SACO,ZN90/AL10,NBR 8964,REVESTIMEN.POLIMERO,ABRASAO MENOR QUE 12%  </t>
  </si>
  <si>
    <t xml:space="preserve">CAMADA FILTRANTE PEDRA BRITADA                                                 </t>
  </si>
  <si>
    <t xml:space="preserve">CALCAMENTO CONCRETO FCK 15 MPA                                                 </t>
  </si>
  <si>
    <t xml:space="preserve">CALCAMENTO CONCRETO FCK 10 MPA                                                 </t>
  </si>
  <si>
    <t xml:space="preserve">ALVENARIA TIJOLO                                                               </t>
  </si>
  <si>
    <t xml:space="preserve">ALVENARIA DE PEDRA SECA                                                        </t>
  </si>
  <si>
    <t xml:space="preserve">ALVENARIA DE PEDRA ARGAMASSADA                                                 </t>
  </si>
  <si>
    <t xml:space="preserve">ALVENARIA DE BLOCO DE CONCRETO                                                 </t>
  </si>
  <si>
    <t xml:space="preserve">ARGAM.DE CIMENTO E AREIA TRACO 1:3 E=2CM                                       </t>
  </si>
  <si>
    <t xml:space="preserve">ENCHIMENTO DE VALA COM PEDRA BRITADA 1E2                                       </t>
  </si>
  <si>
    <t xml:space="preserve">ENCHIMENTO DE VALA COM PEDRA BRITADA 3E4                                       </t>
  </si>
  <si>
    <t xml:space="preserve">ENCHIMENTO DE VALA COM BICA CORRIDA                                            </t>
  </si>
  <si>
    <t xml:space="preserve">ENCHIMENTO DE VALA COM AREIA                                                   </t>
  </si>
  <si>
    <t xml:space="preserve">ENCHIMENTO DE VALA COM PEDRA MARROADA                                          </t>
  </si>
  <si>
    <t>24.12.03.01</t>
  </si>
  <si>
    <t xml:space="preserve">ENCHIMENTO DE VALA COM PEDRA RACHÃO                                            </t>
  </si>
  <si>
    <t xml:space="preserve">ENCHIMENTO BASE TUBO COM PEDRA BRITADA                                         </t>
  </si>
  <si>
    <t xml:space="preserve">COMPACTACAO MANUAL C/REATERRO SOLO LOCAL                                       </t>
  </si>
  <si>
    <t xml:space="preserve">COMPACTACAO MANUAL PARA BASES DE CAIXAS E VALAS                                </t>
  </si>
  <si>
    <t xml:space="preserve">VALETA SECAO TRANSV.ATE 0,50M2 1 CAT.                                          </t>
  </si>
  <si>
    <t xml:space="preserve">VALETA SECAO TRANSV.ATE 0,50M2 2 CAT.                                          </t>
  </si>
  <si>
    <t xml:space="preserve">VALETA SECAO TRANSV.ATE 0,50M2 3 CAT.                                          </t>
  </si>
  <si>
    <t xml:space="preserve">VALETA SECAO TRANSV.MAIOR 0,50M2 1 CAT.                                        </t>
  </si>
  <si>
    <t xml:space="preserve">VALETA SECAO TRANSV.MAIOR 0,50M2 2 CAT.                                        </t>
  </si>
  <si>
    <t xml:space="preserve">VALETA SECAO TRANSV.MAIOR 0,50M2 3 CAT - COM EXPLOSIVOS                        </t>
  </si>
  <si>
    <t xml:space="preserve">VALETA SECAO TRANSV.MAIOR 0.50M2 - SEM EXPLOSIVO                               </t>
  </si>
  <si>
    <t xml:space="preserve">MANTA GEOTEXTIL NAO TECIDA RESISTENCIA LONGITUDINAL 07 KN/M                    </t>
  </si>
  <si>
    <t xml:space="preserve">MANTA GEOTEXTIL NAO TECIDA RESISTENCIA LONGITUDINAL 08 KN/M                    </t>
  </si>
  <si>
    <t xml:space="preserve">MANTA GEOTEXTIL NAO TECIDA RESISTENCIA LONGITUDINAL 09 KN/M                    </t>
  </si>
  <si>
    <t xml:space="preserve">MANTA GEOTEXTIL NAO TECIDA RESISTENCIA LONGITUDINAL 10 KN/M                    </t>
  </si>
  <si>
    <t xml:space="preserve">MANTA GEOTEXTIL NAO TECIDA RESISTENCIA LONGITUDINAL 14 KN/M                    </t>
  </si>
  <si>
    <t xml:space="preserve">MANTA GEOTEXTIL NAO TECIDA RESISTENCIA LONGITUDINAL 16 KN/M                    </t>
  </si>
  <si>
    <t xml:space="preserve">MANTA GEOTEXTIL NAO TECIDA RESISTENCIA LONGITUDINAL 21 KN/M                    </t>
  </si>
  <si>
    <t xml:space="preserve">MANTA GEOTEXTIL NAO TECIDA RESISTENCIA LONGITUDINAL 26 KN/M                    </t>
  </si>
  <si>
    <t xml:space="preserve">MANTA GEOTEXTIL NAO TECIDA RESISTENCIA LONGITUDINAL 31 KN/M                    </t>
  </si>
  <si>
    <t xml:space="preserve">MANTA GEOTEXTIL TECIDA RESIST. LONGIT. 24 KN/M                                 </t>
  </si>
  <si>
    <t xml:space="preserve">MANTA GEOTEXTIL TECIDA RESISTENCIA LOGINTUDINAL 48 KN/M                        </t>
  </si>
  <si>
    <t xml:space="preserve">GEOCOMPOSTO PARA DRENAGEM                                                      </t>
  </si>
  <si>
    <t xml:space="preserve">MANTA GEOTEXTIL TECIDA                                                         </t>
  </si>
  <si>
    <t xml:space="preserve">TUBO DRENO CONCRETO 15CM                                                       </t>
  </si>
  <si>
    <t xml:space="preserve">TUBO DRENO CONCRETO 20CM                                                       </t>
  </si>
  <si>
    <t xml:space="preserve">TUBO DRENO BARRO 15CM                                                          </t>
  </si>
  <si>
    <t xml:space="preserve">TUBO DRENO BARRO 20CM                                                          </t>
  </si>
  <si>
    <t xml:space="preserve">TUBO DE PVC PERFURADO OU NAO D=0,05M                                           </t>
  </si>
  <si>
    <t xml:space="preserve">TUBO DE PVC PERFURADO OU NAO D=0,075M                                          </t>
  </si>
  <si>
    <t xml:space="preserve">TUBO DE PVC PERFURADO OU NAO D=0,10M                                           </t>
  </si>
  <si>
    <t xml:space="preserve">TUBO DE PVC PERFURADO OU NAO D=0,15M                                           </t>
  </si>
  <si>
    <t xml:space="preserve">DRENO HORIZONTAL PROFUNDO                                                      </t>
  </si>
  <si>
    <t xml:space="preserve">DRENO LONGITUDINAL PROFUNDO PARA CORTE EM ROCHA DPR-PP-DE-H07/123              </t>
  </si>
  <si>
    <t xml:space="preserve">DRENO TRANSVERSAL RASO PARA CORTE EM ROCHA TIPO DRR, PP-DE-H07/123.            </t>
  </si>
  <si>
    <t xml:space="preserve">DRENO LONGITUDINAL RASO DLR-2, PP-DE-H07/125.                                  </t>
  </si>
  <si>
    <t xml:space="preserve">DRENOS LONGITUDINAIS PROFUNDOS PARA SOLOS ARENOSOS                             </t>
  </si>
  <si>
    <t xml:space="preserve">DRENOS LONGITUDINAIS PROFUNDOS EM SOLOS SILTOSOS E/OU ARGILOSOS                </t>
  </si>
  <si>
    <t xml:space="preserve">TUBO DRENO DE POLIET.DE ALTA DENS.0,10M                                        </t>
  </si>
  <si>
    <t xml:space="preserve">TUBO DRENO DE POLIET.DE ALTA DENS.0,15M                                        </t>
  </si>
  <si>
    <t xml:space="preserve">TUBO DRENO DE POLIET.DE ALTA DENS.0,20M                                        </t>
  </si>
  <si>
    <t xml:space="preserve">DUTO CORRUG. PEAD 0,05M                                                        </t>
  </si>
  <si>
    <t xml:space="preserve">DUTO CORRUG.PEAD 0,075M                                                        </t>
  </si>
  <si>
    <t xml:space="preserve">DUTO CORRUG.PEAD 0,10M                                                         </t>
  </si>
  <si>
    <t xml:space="preserve">DUTO CORRUG.PEAD 0,15M                                                         </t>
  </si>
  <si>
    <t xml:space="preserve">TUBO DE CONCRETO D=0,40M CLASSE PA-1                                           </t>
  </si>
  <si>
    <t xml:space="preserve">TUBO DE CONCRETO D=0,40M CLASSE PA-2                                           </t>
  </si>
  <si>
    <t xml:space="preserve">TUBO DE CONCRETO D=0,50M CLASSE PA-1                                           </t>
  </si>
  <si>
    <t xml:space="preserve">TUBO DE CONCRETO D=0,50M CLASSE PA-2                                           </t>
  </si>
  <si>
    <t xml:space="preserve">TUBO DE CONCRETO D=0,50M CLASSE PA-3                                           </t>
  </si>
  <si>
    <t xml:space="preserve">TUBO DE CONCRETO D=0,50M CLASSE PA-4                                           </t>
  </si>
  <si>
    <t xml:space="preserve">TUBO DE CONCRETO D=0,60M CLASSE PA-1                                           </t>
  </si>
  <si>
    <t xml:space="preserve">TUBO DE CONCRETO D=0,60M CLASSE PA-2                                           </t>
  </si>
  <si>
    <t xml:space="preserve">TUBO DE CONCRETO D=0,60M CLASSE PA-3                                           </t>
  </si>
  <si>
    <t xml:space="preserve">TUBO DE CONCRETO D=0,60M CLASSE PA-4                                           </t>
  </si>
  <si>
    <t xml:space="preserve">TUBO DE CONCRETO D=0,80M CLASSE PA-1                                           </t>
  </si>
  <si>
    <t xml:space="preserve">TUBO DE CONCRETO D=0,80M CLASSE PA-2                                           </t>
  </si>
  <si>
    <t xml:space="preserve">TUBO DE CONCRETO D=0,80M CLASSE PA-3                                           </t>
  </si>
  <si>
    <t xml:space="preserve">TUBO DE CONCRETO D=0,80M CLASSE PA-4                                           </t>
  </si>
  <si>
    <t xml:space="preserve">TUBO DE CONCRETO D=1,00M CLASSE PA-1                                           </t>
  </si>
  <si>
    <t xml:space="preserve">TUBO DE CONCRETO D=1,00M CLASSE PA-2                                           </t>
  </si>
  <si>
    <t xml:space="preserve">TUBO DE CONCRETO D=1,00M CLASSE PA-3                                           </t>
  </si>
  <si>
    <t xml:space="preserve">TUBO DE CONCRETO D=1,00M CLASSE PA-4                                           </t>
  </si>
  <si>
    <t xml:space="preserve">TUBO DE CONCRETO D=1,20M CLASSE PA-1                                           </t>
  </si>
  <si>
    <t xml:space="preserve">TUBO DE CONCRETO D=1,20M CLASSE PA-2                                           </t>
  </si>
  <si>
    <t xml:space="preserve">TUBO DE CONCRETO D=1,20M CLASSE PA-3                                           </t>
  </si>
  <si>
    <t xml:space="preserve">TUBO DE CONCRETO D=1,20M CLASSE PA-4                                           </t>
  </si>
  <si>
    <t xml:space="preserve">TUBO DE CONCRETO D=1,50M CLASSE PA-1                                           </t>
  </si>
  <si>
    <t xml:space="preserve">TUBO DE CONCRETO D=1,50M CLASSE PA-2                                           </t>
  </si>
  <si>
    <t xml:space="preserve">TUBO DE CONCRETO D=1,50M CLASSE PA-3                                           </t>
  </si>
  <si>
    <t xml:space="preserve">TUBO DE CONCRETO D=1,50M CLASSE PA-4                                           </t>
  </si>
  <si>
    <t xml:space="preserve">TUBO DE CONCRETO SIMPLES D=0,40M                                               </t>
  </si>
  <si>
    <t xml:space="preserve">TUBO DE CONCRETO SIMPLES D=0,60M                                               </t>
  </si>
  <si>
    <t xml:space="preserve">CANALETA CONCRETO 40CM                                                         </t>
  </si>
  <si>
    <t xml:space="preserve">CANALETA CONCRETO 60CM                                                         </t>
  </si>
  <si>
    <t xml:space="preserve">CANALETA CONCRETO 80CM                                                         </t>
  </si>
  <si>
    <t xml:space="preserve">GUIA PRE-FABRICADA CONCRETO FCK 20 MPA                                         </t>
  </si>
  <si>
    <t xml:space="preserve">SARJETA DE CONCRETO FCK 20 MPA                                                 </t>
  </si>
  <si>
    <t xml:space="preserve">GUIA DE CONCRETO FCK 20 MPA                                                    </t>
  </si>
  <si>
    <t xml:space="preserve">TELAR E TAMPAO DE FERRO FUNDIDO                                                </t>
  </si>
  <si>
    <t xml:space="preserve">GRELHA DE CONCRETO DE 10X44X120CM - FCK 20 MPA                                 </t>
  </si>
  <si>
    <t xml:space="preserve">GRELHA FERRO FUNDIDO BOCA LOB GRS-135                                          </t>
  </si>
  <si>
    <t xml:space="preserve">TUBO ACO CORR.GALV.MET.NAO DESTRUTIVO                                          </t>
  </si>
  <si>
    <t xml:space="preserve">TUBO ACO CORR.EPOXI MET.NAO DESTRUTIVO                                         </t>
  </si>
  <si>
    <t xml:space="preserve">TUBO ACO CORR.GALV.MET.DESTRUTIVO                                              </t>
  </si>
  <si>
    <t xml:space="preserve">TUBO ACO CORRUGADO EPOXI MET. DESTRUTIVO                                       </t>
  </si>
  <si>
    <t xml:space="preserve">BROCA DE CONCRETO ARMADO D=20,00CM                                             </t>
  </si>
  <si>
    <t xml:space="preserve">BROCA DE CONCRETO D=25,00CM                                                    </t>
  </si>
  <si>
    <t xml:space="preserve">BROCA DE CONCRETO D=15,00CM                                                    </t>
  </si>
  <si>
    <t xml:space="preserve">GEOFORMA TEXTIL TENSORIZADA TIPO COLCHAO - ESPESSURA DE 15 CM                  </t>
  </si>
  <si>
    <t xml:space="preserve">GEOFORMA TEXTIL COM DISPOSITIVO AUTO-DRENANTE "UNIFLUXO"                       </t>
  </si>
  <si>
    <t xml:space="preserve">GEOCOMPOSTO DRENANTE (GEOMANTA+GEOTEXTIL 1 LADO PERM.) TIPO 1L - 12 MM         </t>
  </si>
  <si>
    <t xml:space="preserve">GEOCOMPOSTO DRENANTE (GEOMANTA+GEOTEXTIL 1 LADO PERM.) TIPO 1S - 18 MM         </t>
  </si>
  <si>
    <t xml:space="preserve">GEOCOMPOSTO DRENANTE (GEOMANTA+GEOTEXTIL 2 LADOS PERM.TIPO 2L - 10 MM          </t>
  </si>
  <si>
    <t xml:space="preserve">GEOCOMPOSTO DRENANTE (GEOMANTA+GEOTEXTIL 2 LADOS PERM.)TIPO 2S - 16 MM         </t>
  </si>
  <si>
    <t xml:space="preserve">GEOCOMP. DRENANTE (GEOMANTA+GEOTEXTIL 1 LADO PER./1 LADOIMP.) TIPO 2L FP-10MM  </t>
  </si>
  <si>
    <t xml:space="preserve">GEOCOMP. TRINCHEIRA DRENANTE (GEOMANTA+GEOTEXTIL 2 LADOSPERM.) H=60CM / 10MM   </t>
  </si>
  <si>
    <t xml:space="preserve">GEOCOMP. TRINCHEIRA DRENANTE (GEOMANTA+GEOTEXTIL 2 LADOS PERM.) H=30CM / 10MM  </t>
  </si>
  <si>
    <t xml:space="preserve">GEOCOMPOSTO DRENANTE VERTICAL (GEOMANTA + GEOTEXTIL 2 LADOSPERM.)              </t>
  </si>
  <si>
    <t xml:space="preserve">GEOCOMP.TRINCHEIRA DRENANTE(GEOMANTA+GEOTEXTIL 2 LADOS PERM.)H=40CM/11MM       </t>
  </si>
  <si>
    <t xml:space="preserve">GEOCOMP.TRINCHEIRA DRENANTE(GEOMANTA+GEOTEXTIL 2 LADOS PERM.)H=60CM/11MM       </t>
  </si>
  <si>
    <t xml:space="preserve">GEOCOMP.TRINCHEIRA DRENATE(GEOMANTA+GEOTEXTIL 2 LADOS PERM.)H=100CM/11MM       </t>
  </si>
  <si>
    <t xml:space="preserve">GEOCOMP.TRINCEIRA DRENANTE(GEOMANTA+GEOTEXTIL 2 LADOS PERM.)H=140CM/11MM       </t>
  </si>
  <si>
    <t xml:space="preserve">GEOCOMPOSTO DRENANTE(GEOMANTA+GEOTEXTIL 1 LADO PERM.)TIPO 1L - 12MM.           </t>
  </si>
  <si>
    <t xml:space="preserve">GEOCOMPOSTO DRENANTE(GEOMANTA+GEOTEXTIL 2 LADOS PERM.)TIPO 2L - 11MM.          </t>
  </si>
  <si>
    <t xml:space="preserve">GEOCOMPOSTO DRENANTE(GEOMANTA+GEOTEXTIL 1 LADO PERM.)TIPO 1S -16MM.            </t>
  </si>
  <si>
    <t xml:space="preserve">GEOCOMPOSTO DRENANTE(GEOMANTA+GEOTEXTIL 2 LADOS PERM.)TIPO 2S-16MM.            </t>
  </si>
  <si>
    <t xml:space="preserve">ATERRO SOLO COM 3% DE CIMENTO EM USINA                                         </t>
  </si>
  <si>
    <t xml:space="preserve">ATERRO SOLO COM 3% DE CIMENTO C/PULVE.                                         </t>
  </si>
  <si>
    <t xml:space="preserve">ATERRO SOLO COM 6% DE CIMENTO C/PULVE.                                         </t>
  </si>
  <si>
    <t xml:space="preserve">ESCAVACAO MANUAL PARA OBRAS S/EXPLOSIVO                                        </t>
  </si>
  <si>
    <t xml:space="preserve">ESCAV.FUND.DENTRO ENSEC. SEM EXPL.ATE 3M                                       </t>
  </si>
  <si>
    <t xml:space="preserve">ACR.P/ESCAV.ENSEC.P/CADA1,0M PROF.ALEM3M                                       </t>
  </si>
  <si>
    <t xml:space="preserve">ESCAV.FUND.DENTRO ENSEC.C/EXPL.ATE  3M                                         </t>
  </si>
  <si>
    <t xml:space="preserve">ENSECADEIRA COM SACOS DE AREIA                                                 </t>
  </si>
  <si>
    <t xml:space="preserve">SOLO CIMENTO ENSACADO, COM TEOR DE CIMENTO A 4%                                </t>
  </si>
  <si>
    <t xml:space="preserve">SOLO CIMENTO ENSACADO, COM TEOR DE CIMENTO A 6%                                </t>
  </si>
  <si>
    <t xml:space="preserve">SOLO CIMENTO ENSACADO, COM TEOR DE CIMENTO A 8%                                </t>
  </si>
  <si>
    <t>25.03.23</t>
  </si>
  <si>
    <t xml:space="preserve">TRANSPORTE DE SOLO CIMENTO ATÉ 5 KM                                            </t>
  </si>
  <si>
    <t xml:space="preserve">ESTACA CONCRETO PRE-MOLDADO - 20/25T                                           </t>
  </si>
  <si>
    <t xml:space="preserve">ESTACA CONCRETO PRE-MOLDADO - 30/35T                                           </t>
  </si>
  <si>
    <t xml:space="preserve">ESTACA CONCRETO PRE-MOLDADO - 40/45T                                           </t>
  </si>
  <si>
    <t xml:space="preserve">ESTACA CONCRETO PRE-MOLDADO - 50/60T                                           </t>
  </si>
  <si>
    <t xml:space="preserve">ESTACA CONCRETO PRE-MOLDADO - 70/80T                                           </t>
  </si>
  <si>
    <t xml:space="preserve">ESTACA METALICA, FORNEC. E CRAVACAO                                            </t>
  </si>
  <si>
    <t xml:space="preserve">ESTACA DE MADEIRA D=20CM - 8 TON                                               </t>
  </si>
  <si>
    <t xml:space="preserve">ESTACA DE MADEIRA D=25CM - 15TON                                               </t>
  </si>
  <si>
    <t xml:space="preserve">ESTACA RAIZ EM SOLO D=15CM                                                     </t>
  </si>
  <si>
    <t xml:space="preserve">ESTACA RAIZ EM SOLO D=16CM                                                     </t>
  </si>
  <si>
    <t xml:space="preserve">ESTACA RAIZ EM SOLO D=20CM                                                     </t>
  </si>
  <si>
    <t xml:space="preserve">ESTACA RAIZ EM SOLO D=25CM                                                     </t>
  </si>
  <si>
    <t xml:space="preserve">ESTACA RAIZ EM SOLO D=31CM                                                     </t>
  </si>
  <si>
    <t xml:space="preserve">ESTACA RAIZ EM SOLO D=40CM                                                     </t>
  </si>
  <si>
    <t xml:space="preserve">ESTACA RAIZ EM ROCHA ALTERADA D=15CM                                           </t>
  </si>
  <si>
    <t xml:space="preserve">ESTACA RAIZ EM ROCHA ALTERADA D=16CM                                           </t>
  </si>
  <si>
    <t xml:space="preserve">ESTACA RAIZ EM ROCHA ALTERADA D=20CM                                           </t>
  </si>
  <si>
    <t xml:space="preserve">ESTACA RAIZ EM ROCHA ALTERADA D=25CM                                           </t>
  </si>
  <si>
    <t xml:space="preserve">ESTACA RAIZ EM ROCHA ALTERADA D=31CM                                           </t>
  </si>
  <si>
    <t xml:space="preserve">ESTACA RAIZ EM ROCHA ALTERADA D=40CM                                           </t>
  </si>
  <si>
    <t xml:space="preserve">TAXA DE INSTALACAO EQUIPAM.ESTACA RAIZ                                         </t>
  </si>
  <si>
    <t xml:space="preserve">ESTACA TIPO STRAUSS D=32CM                                                     </t>
  </si>
  <si>
    <t xml:space="preserve">TAXA MOBIL. DE EQUIPAMENTO BATE-ESTACA                                         </t>
  </si>
  <si>
    <t xml:space="preserve">ESTACA RAIZ EM ROCHA ALTERADA D=50CM                                           </t>
  </si>
  <si>
    <t xml:space="preserve">ESTACA RAIZ EM SOLO D=50CM                                                     </t>
  </si>
  <si>
    <t xml:space="preserve">ESTACA RAIZ EM ROCHA ALTERADA D=45CM                                           </t>
  </si>
  <si>
    <t xml:space="preserve">ESTACA RAIZ EM SOLO D=45CM                                                     </t>
  </si>
  <si>
    <t xml:space="preserve">FORMA PLANA PARA CONCRETO ARMADO COMUM                                         </t>
  </si>
  <si>
    <t xml:space="preserve">FORMA PL.P/CONCRETO PROTENDIDO OU APAR.                                        </t>
  </si>
  <si>
    <t xml:space="preserve">ACO PARA CONCRETO PROTENDIDO                                                   </t>
  </si>
  <si>
    <t xml:space="preserve">ACO P/CONCRETO PROTENDIDO TIPO DYWIDAG OU SIMILAR                              </t>
  </si>
  <si>
    <t xml:space="preserve">AP.ANC.P/CABOS PROTEN.ATIVA 12 FIOS-8MM                                        </t>
  </si>
  <si>
    <t xml:space="preserve">AP.ANC.P/CABOS PROTEN.ATIVA 4FIOS-12,7MM                                       </t>
  </si>
  <si>
    <t xml:space="preserve">AP.ANC.P/CABOS PROTEN.ATIVA 6FIOS-12,7MM                                       </t>
  </si>
  <si>
    <t xml:space="preserve">AP.ANC.P/CABOS PROTEN.ATIV.12FIOS-12,7MM                                       </t>
  </si>
  <si>
    <t xml:space="preserve">AP.ANC.P/CABOS PROTEN.ATIV.19FIOS-12,7MM                                       </t>
  </si>
  <si>
    <t xml:space="preserve">AP.ANC.P/CABOS PROTEN.ATIV.22FIOS-12,7MM                                       </t>
  </si>
  <si>
    <t xml:space="preserve">AP.ANC.P/CABOS PROTEN.PAS. 4 FIOS-12,7MM                                       </t>
  </si>
  <si>
    <t xml:space="preserve">AP.ANC.P/CABOS PROTEN.PAS. 6 FIOS-12,7MM                                       </t>
  </si>
  <si>
    <t xml:space="preserve">AP.ANC.P/CABOS PROTEN.PAS. 12FIOS-12,7MM                                       </t>
  </si>
  <si>
    <t xml:space="preserve">AP.ANC.P/CABOS PROTEN.PAS. 19FIOS-12,7MM                                       </t>
  </si>
  <si>
    <t xml:space="preserve">APARELHO DE ANCORAGEM ATIVO DE 4 FIOS DE Ã 5/8" (15,2MM)                       </t>
  </si>
  <si>
    <t xml:space="preserve">APARELHO DE ANCORAGEM ATIVO DE 12 FIOS DE Ã 5/8" (15,2MM)                      </t>
  </si>
  <si>
    <t xml:space="preserve">APARELHO DE ANCORAGEM ATIVO DE 15 FIOS DE Ã 5/8" (15,2MM)                      </t>
  </si>
  <si>
    <t xml:space="preserve">APARELHO DE ANCORAGEM ATIVO DE 19 FIOS DE Ã 5/8" (15,2MM)                      </t>
  </si>
  <si>
    <t xml:space="preserve">TIRANTE  40TF 5 FIOS D=1/2" FORN. E INST                                       </t>
  </si>
  <si>
    <t xml:space="preserve">TIRANTE  60TF 8 FIOS D=1/2" FORN. E INST                                       </t>
  </si>
  <si>
    <t xml:space="preserve">TIRANTE  80TF 10 FIOS D=1/2" FORN.E INST                                       </t>
  </si>
  <si>
    <t xml:space="preserve">TIRAN.100TF 12 FIOS D=1/2" FORN.E INST.                                        </t>
  </si>
  <si>
    <t xml:space="preserve">TERMO FIXO P/TIRANTES 40TF 5 FIOS D=1/2"                                       </t>
  </si>
  <si>
    <t xml:space="preserve">TERMO FIXO P/TIRANTES 60TF 8 FIOS D=1/2"                                       </t>
  </si>
  <si>
    <t xml:space="preserve">TERMO FIXO P/TIRANTES 80TF 10FIOS D=1/2"                                       </t>
  </si>
  <si>
    <t xml:space="preserve">TERMO FIXO P/TIRANTES 100TF 12F D=1/2"                                         </t>
  </si>
  <si>
    <t xml:space="preserve">CONCRETO PROJETADO                                                             </t>
  </si>
  <si>
    <t xml:space="preserve">BOMBEAMENTO CONCRETO QUALQUER RESIST.                                          </t>
  </si>
  <si>
    <t xml:space="preserve">INJECAO DE NATA DE CIMENTO                                                     </t>
  </si>
  <si>
    <t xml:space="preserve">CONCRETO FCK 50 MPA                                                            </t>
  </si>
  <si>
    <t xml:space="preserve">PERF.P/DRENO E TIR. SOLO D=57,10MM(AX)                                         </t>
  </si>
  <si>
    <t xml:space="preserve">PERF.P/DRENO E TIR. SOLO D=73,00MM(BX)                                         </t>
  </si>
  <si>
    <t xml:space="preserve">PERF.P/DRENO E TIR. SOLO D=88,90MM(NX)                                         </t>
  </si>
  <si>
    <t xml:space="preserve">PERF.P/DRENO E TIR. SOLO D=114,30MM(HX)                                        </t>
  </si>
  <si>
    <t xml:space="preserve">PERF.P/DRENO E TIR.RCH.ALT.D=57,10MM(AX)                                       </t>
  </si>
  <si>
    <t xml:space="preserve">PERF.P/DRENO E TIR.RCH.ALT.D=73,00MM(BX)                                       </t>
  </si>
  <si>
    <t xml:space="preserve">PERF.P/DRENO E TIR.RCH.ALT.D=88,90MM(NX)                                       </t>
  </si>
  <si>
    <t xml:space="preserve">PERF.P/DRENO E TIR.RCH.ALT.D=114,3MM(HX)                                       </t>
  </si>
  <si>
    <t xml:space="preserve">PERF.P/DRENO E TIR.RCH SA D=57,10MM (AX)                                       </t>
  </si>
  <si>
    <t xml:space="preserve">PERF.P/DRENO E TIR.RCH SA D=73,00MM(BX)                                        </t>
  </si>
  <si>
    <t xml:space="preserve">PERF.P/DRENO E TIR.RCH. SA D=88,90MM(NX)                                       </t>
  </si>
  <si>
    <t xml:space="preserve">PERF.P/DRENO E TIR RCH SA D=114,30MM(HX)                                       </t>
  </si>
  <si>
    <t xml:space="preserve">PERFURACAO MANUAL EM SOLO D=62,5MM OU D=2 1/2"                                 </t>
  </si>
  <si>
    <t xml:space="preserve">PERFURAÇÃO MANUAL EM SOLO D=114,3MM OU D=4"                                    </t>
  </si>
  <si>
    <t>25.11.03</t>
  </si>
  <si>
    <t xml:space="preserve">FORNECIMENTO DE TUBO DRENO CONCRETO 15CM                                       </t>
  </si>
  <si>
    <t xml:space="preserve">FORNECIMENTO DE TUBO DRENO CONCRETO 20CM                                       </t>
  </si>
  <si>
    <t xml:space="preserve">FORNECIMENTO DE TUBO DRENO BARRO 15CM                                          </t>
  </si>
  <si>
    <t xml:space="preserve">FORNECIMENTO DE TUBO DRENO BARRO 20CM                                          </t>
  </si>
  <si>
    <t xml:space="preserve">ASSENTAMENTO DE TUBO DRENO CONCRETO 15CM                                       </t>
  </si>
  <si>
    <t xml:space="preserve">ASSENTAMENTO DE TUBO DRENO CONCRETO 20CM                                       </t>
  </si>
  <si>
    <t xml:space="preserve">ASSENTAMENTO DE TUBO DRENO BARRO 15 CM                                         </t>
  </si>
  <si>
    <t xml:space="preserve">ASSENTAMENTO DE TUBO DRENO BARRO 20CM                                          </t>
  </si>
  <si>
    <t xml:space="preserve">TUBO DE PVC PERFURADO OU NAO D=0,050M                                          </t>
  </si>
  <si>
    <t xml:space="preserve">TUBO DE PVC PERFURADO OU NAO D=0,025M (D=1")                                   </t>
  </si>
  <si>
    <t xml:space="preserve">RETALUDAMENTO DE 1 E 2 CATEGORIA                                               </t>
  </si>
  <si>
    <t xml:space="preserve">SOLO REFORCADO TIPO GREIDE COM ALTURA DE 0 A 6 METROS.                         </t>
  </si>
  <si>
    <t xml:space="preserve">SOLO REFORCADO TIPO GREIDE COM ALTURA DE 6 A 9 METROS                          </t>
  </si>
  <si>
    <t xml:space="preserve">SOLO REFORCADO TIPO GREIDE COM ALTURA DE 9 A 12 METROS                         </t>
  </si>
  <si>
    <t xml:space="preserve">SOLO REFORCADO TIPO GREIDE COM ALTURA DE 12 A 15 METROS                        </t>
  </si>
  <si>
    <t xml:space="preserve">SOLO REFORCADO TIPO ENCONTRO PORTANTE COM ALTURA DE 0 A 6 METROS.              </t>
  </si>
  <si>
    <t xml:space="preserve">SOLO REFORCADO TIPO ENCONTRO PORTANTE COM ALTURA DE 6 A 9 METROS               </t>
  </si>
  <si>
    <t xml:space="preserve">SOLO REFORCADO TIPO ENCONTRO PORTANTE COM ALTURA DE 9 A 12 METROS              </t>
  </si>
  <si>
    <t xml:space="preserve">SOLO REFORCADO TIPO ENCONTRO PORTANTE COM ALTURA DE 12 A 15 METROS             </t>
  </si>
  <si>
    <t xml:space="preserve">SOLO REFORCADO TIPO PE DE TALUDE COM ALTURA DE 0 A 6M E ATERRO DE 0 A 3M       </t>
  </si>
  <si>
    <t xml:space="preserve">SOLO REFORCADO TIPO PE DE TALUDE COM ALTURA DE 0 A 6M E ATERRO DE 3 A 6M       </t>
  </si>
  <si>
    <t xml:space="preserve">SOLO REFORCADO TIPO PE DE TALUDE COM ALTURA DE 0 A 6M E ATERRO MAIOR QUE 6M    </t>
  </si>
  <si>
    <t xml:space="preserve">SOLO REFORCADO TIPO PE DE TALUDE COM ALTURA DE 6 A 9M E ATERRO DE 0 A 3M       </t>
  </si>
  <si>
    <t xml:space="preserve">SOLO REFORCADO TIPO PE DE TALUDE COM ALTURA DE 6 A 9M E ATERRO DE 3 A 6M       </t>
  </si>
  <si>
    <t xml:space="preserve">SOLO REFORCADO TIPO PE DE TALUDE COM ALTURA DE 6 A 9M E ATERRO MAIOR QUE 6M    </t>
  </si>
  <si>
    <t xml:space="preserve">SOLO REFORCADO TIPO PE DE TALUDE COM ALTURA DE 9 A 12M E ATERRO DE 0 A 3M      </t>
  </si>
  <si>
    <t xml:space="preserve">SOLO REFORCADO TIPO PE DE TALUDE COM ALTURA DE 9 A 12M E ATERRO DE 3 A 6M      </t>
  </si>
  <si>
    <t xml:space="preserve">SOLO REFORCADO TIPO PE DE TALUDE COM ALTURA DE 9 A 12M E ATERRO MAIOR QUE 6M   </t>
  </si>
  <si>
    <t xml:space="preserve">SOLO REFORCADO TIPO DE PE DE TALUDE DE 12 A 15M E ATERRO DE 0 A 3M             </t>
  </si>
  <si>
    <t xml:space="preserve">SOLO REFORCADO TIPO PE DE TALUDE DE 12 A 15M E ATERRO DE 3 A 6M                </t>
  </si>
  <si>
    <t xml:space="preserve">SOLO REFORCADO TIPO PE DE TALUDE DE 12 A 15M E ATERRO MAIOR QUE 6M             </t>
  </si>
  <si>
    <t xml:space="preserve">SOLO REF.C/MALHA HEX.DUPLA TORCAO-PANO UNICO PE DE TALUDE 0A6M E ATERRO 0A3M   </t>
  </si>
  <si>
    <t xml:space="preserve">SOLO REF.C/MALHA HEX.DUPLA TORCAO-PANO UNICO PE DE TALUDE 0A6M E ATERRO 3A6M   </t>
  </si>
  <si>
    <t xml:space="preserve">SOLO REF.C/MALHA HEX.DUPLA TORCAO-PANO UNICO PE DE TALUDE 0A6M E ATERRO &gt; 6M   </t>
  </si>
  <si>
    <t xml:space="preserve">SOLO REF.C/MALHA HEX.DUPLA TORCAO-PANO UNICO PE DE TALUDE 6A9M E ATERRO 0A3M   </t>
  </si>
  <si>
    <t xml:space="preserve">SOLO REF.C/MALHA HEX.DUPLA TORCAO-PANO UNICO PE DE TALUDE 6A9M E ATERRO 3A6M   </t>
  </si>
  <si>
    <t xml:space="preserve">SOLO REF.C/MALHA HEX.DUPLA TORCAO-PANO UNICO PE DE TALUDE 6A9M E ATERRO &gt; 6M.  </t>
  </si>
  <si>
    <t xml:space="preserve">SOLO REF.C/MALHA HEX.DUPLA TORCAO-PANO UNICO PE DE TALUDE 9A12M E ATERRO 0A3M  </t>
  </si>
  <si>
    <t xml:space="preserve">SOLO REF.C/MALHA HEX.DUPLA TORCAO-PANO UNICO PE DE TALUDE 9A12M E ATERRO 3A6M  </t>
  </si>
  <si>
    <t xml:space="preserve">SOLO REF.C/MALHA HEX.DUPLA TORCAO-PANO UNICO PE TALUDE C/12A15M E ATERRO 0A3M  </t>
  </si>
  <si>
    <t xml:space="preserve">SOLO REF.C/MALHA HEX.DUPLA TORCAO-PANO UNICO PE TALUDE C/12A15M E ATERRO 3A6M  </t>
  </si>
  <si>
    <t xml:space="preserve">SOLO REF.C/MALHA HEX.DUPLA TORCAO-PANO UNICO PE TALUDE C/12A15M E ATERRO &gt; 6M  </t>
  </si>
  <si>
    <t xml:space="preserve">SOLO REF.C/MALHA HEX.DUPLA TORCAO-PANO UNICO PE TALUDE C/15A18M E ATERRO 0A3M  </t>
  </si>
  <si>
    <t xml:space="preserve">SOLO REF.C/MALHA HEX.DUPLA TORCAO-PANO UNICO PE TALUDE C/15A18M E ATERRO 3A6M  </t>
  </si>
  <si>
    <t xml:space="preserve">CONTROLE DE EROSAO COM GEOMANTA TRIDIMENSIONAL VERDE,RESIST.A TRACAO A 4KN/M   </t>
  </si>
  <si>
    <t xml:space="preserve">ESCAVACAO MANUAL P/ OBRAS S/EXPLOSIVO                                          </t>
  </si>
  <si>
    <t xml:space="preserve">ESCAVACAO MECANICA P/ OBRAS C/ EXPLOSIVO                                       </t>
  </si>
  <si>
    <t xml:space="preserve">ESTACA CONCRETO PRE-MOLDADO - 20/25 T                                          </t>
  </si>
  <si>
    <t xml:space="preserve">ESTACA CONCRETO PRE-MOLDADO - 30/35 T                                          </t>
  </si>
  <si>
    <t xml:space="preserve">ESTACA CONCRETO PRE-MOLDADO - 40/45 T                                          </t>
  </si>
  <si>
    <t xml:space="preserve">ESTACA CONCRETO PRE-MOLDADO - 50/60 T                                          </t>
  </si>
  <si>
    <t xml:space="preserve">ESTACA CONCRETO PRE-MOLDADO - 70/80 T                                          </t>
  </si>
  <si>
    <t xml:space="preserve">TAXA MOBIL. DE EQUIP. BATE-ESTACA                                              </t>
  </si>
  <si>
    <t xml:space="preserve">ESTACAO EM SOLO D=1,00M                                                        </t>
  </si>
  <si>
    <t xml:space="preserve">ESTACAO EM SOLO D=1,20M                                                        </t>
  </si>
  <si>
    <t xml:space="preserve">ESTACAO EM SOLO D=1,40M                                                        </t>
  </si>
  <si>
    <t xml:space="preserve">ESTACAO EM SOLO D=1,50M                                                        </t>
  </si>
  <si>
    <t xml:space="preserve">ESTACAO EM SOLO D=1,60M                                                        </t>
  </si>
  <si>
    <t xml:space="preserve">TAXA MOBILIZACAO DE EQUIP. P/ ESTACAO                                          </t>
  </si>
  <si>
    <t xml:space="preserve">CAMISA METALICA                                                                </t>
  </si>
  <si>
    <t xml:space="preserve">CAMISA METALICA SEM REAPROVEITAMENTO E COM PRE-FURO                            </t>
  </si>
  <si>
    <t xml:space="preserve">ESTACA DE MADEIRA D=20CM - 8TON                                                </t>
  </si>
  <si>
    <t xml:space="preserve">ESC.TUB.CEU ABERTO 1/2 CAT. - SOLO                                             </t>
  </si>
  <si>
    <t xml:space="preserve">ESC.TUB.AR COMPRIMIDO 1/2 CAT - SOLO                                           </t>
  </si>
  <si>
    <t xml:space="preserve">ESC.TUB.CEU ABERTO 3 CAT.- ROCHA                                               </t>
  </si>
  <si>
    <t xml:space="preserve">ESC.TUB.AR COMPRIMIDO 3 CAT. - ROCHA                                           </t>
  </si>
  <si>
    <t xml:space="preserve">CIMBRAMENTO PONTES E VIADUTOS C/ ESTACA                                        </t>
  </si>
  <si>
    <t xml:space="preserve">CIMBRAMENTO PONTES E VIADUTOS S/ ESTACA                                        </t>
  </si>
  <si>
    <t xml:space="preserve">CIMBRAMENTO DE PASSAGEM SEC. GALERIA RET                                       </t>
  </si>
  <si>
    <t xml:space="preserve">CIMBRAMENTO METALICO P/ PONTES E VIADUTO                                       </t>
  </si>
  <si>
    <t xml:space="preserve">FORMA PLANA PARA CONC. ARMADO COMUM                                            </t>
  </si>
  <si>
    <t xml:space="preserve">FORMA PLANA P/CONC.PROTEND.OU APARENTE                                         </t>
  </si>
  <si>
    <t xml:space="preserve">FORMAS SEM REAPROVEITAMENTO                                                    </t>
  </si>
  <si>
    <t xml:space="preserve">FORMAS METALICAS ESPECIAL P/ VIGAS                                             </t>
  </si>
  <si>
    <t xml:space="preserve">FORMA CURVA PARA CONCRETO COMUM                                                </t>
  </si>
  <si>
    <t xml:space="preserve">FORMA CURVA PARA CONCRETO APARENTE                                             </t>
  </si>
  <si>
    <t xml:space="preserve">ACO ST 85/105                                                                  </t>
  </si>
  <si>
    <t xml:space="preserve">AP.ANC.P/CABOS PROTEN.ATIV. 12FIOS-8MM                                         </t>
  </si>
  <si>
    <t xml:space="preserve">AP.ANC.P/CABOS PROTEN.ATIV. 4FIOS-12,7MM                                       </t>
  </si>
  <si>
    <t xml:space="preserve">AP.ANC.P/CABOS PROTEN.ATIV. 6FIOS-12,7MM                                       </t>
  </si>
  <si>
    <t xml:space="preserve">AP.ANC.P/CABOS PROTEN.PASS. 4FIOS-12,7MM                                       </t>
  </si>
  <si>
    <t xml:space="preserve">AP.ANC.P/CABOS PROTEN.PASS. 6FIOS-12,7MM                                       </t>
  </si>
  <si>
    <t xml:space="preserve">APARELHO DE ANCORAGEM ATIVO DE 12 F-5/8" (15,2MM)                              </t>
  </si>
  <si>
    <t xml:space="preserve">APARELHO DE ANCORAGEM ATIVO 15 FIOS DE Ã 5/8" (15,2MM)                         </t>
  </si>
  <si>
    <t xml:space="preserve">APARELHO DE APOIO NEOPRENE FRETADO                                             </t>
  </si>
  <si>
    <t xml:space="preserve">ARTICULACAO DE CONCRETO TIPO"FREYSSINET"                                       </t>
  </si>
  <si>
    <t xml:space="preserve">CONCRETO FCK 10MPA                                                             </t>
  </si>
  <si>
    <t xml:space="preserve">CONCRETO FCK 15MPA                                                             </t>
  </si>
  <si>
    <t xml:space="preserve">CONCRETO FCK 18MPA                                                             </t>
  </si>
  <si>
    <t xml:space="preserve">CONCRETO FCK 30MPA                                                             </t>
  </si>
  <si>
    <t xml:space="preserve">BOMBEAMENTO P/ CONC. QUALQUER RESIST.                                          </t>
  </si>
  <si>
    <t xml:space="preserve">JUNTA/RETRACAO C/LABIO POLIM.AB.15 ATE 40 MM                                   </t>
  </si>
  <si>
    <t xml:space="preserve">JUNTA/RETRACAO C/LABIO POLIM.AB.20 ATE 55 MM                                   </t>
  </si>
  <si>
    <t xml:space="preserve">JUNTA/RETRACAO C/LABIO POLIM.AB. 30 ATE 80 MM                                  </t>
  </si>
  <si>
    <t xml:space="preserve">JUNTA DE DILATACAO METALICA                                                    </t>
  </si>
  <si>
    <t xml:space="preserve">JUNTAS DE DILATACAO METALICA C/NEOPRENE                                        </t>
  </si>
  <si>
    <t xml:space="preserve">FORNECIMENTO E APLICACAO DE JUNTA DE DILATACAO JJ-99120 OU T-110 OU SIMILAR.   </t>
  </si>
  <si>
    <t xml:space="preserve">JUNTA DE DILATACAO TERMOELASTICA DE BASE ASFALTICA MODIFICADA COM POLIMEROS    </t>
  </si>
  <si>
    <t xml:space="preserve">PLACA PRE MOLDADA DE CONCRETO PARA GUARDA CORPO PP-DE-C04/021.                 </t>
  </si>
  <si>
    <t xml:space="preserve">PLACA PRE MOLDADA DE CONCRETO PARA FIXACAO POSTE ILUMINACAO - PP-DE-C04/021.   </t>
  </si>
  <si>
    <t xml:space="preserve">LANÇAMENTO DE PLACA PRE MOLDADA DE CONCRETO, ATE 1000 KG.                      </t>
  </si>
  <si>
    <t xml:space="preserve">TELAMENTO METALICO PARA PASSARELA, CONFORME PP-DE-M09/001.                     </t>
  </si>
  <si>
    <t xml:space="preserve">GUARDA CORPO METALICO DE PASSARELA H=0,90M, CONFORME PP-DE-C04/029.            </t>
  </si>
  <si>
    <t xml:space="preserve">CORRIMAO METALICO D=2" PARA PASSARELA, CONFORME PP-DE-K00/004.                 </t>
  </si>
  <si>
    <t xml:space="preserve">BARREIRA DE SEGURANCA COM PASSEIO CONF. PP-DE-C01/293                          </t>
  </si>
  <si>
    <t xml:space="preserve">BARREIRA DE SEGURANCA CONF. PP-DE-C01/293                                      </t>
  </si>
  <si>
    <t xml:space="preserve">BAR. DOU.FACE NEW JERSEY O.A.E.DES.5464                                        </t>
  </si>
  <si>
    <t xml:space="preserve">BARREIRA DE SEGURANçA PARA O.A.E CONF. PP-DE-C01/293                           </t>
  </si>
  <si>
    <t xml:space="preserve">TUBO DE PVC PERFURADO OU NAO D=0,100M                                          </t>
  </si>
  <si>
    <t xml:space="preserve">TUBO DE PVC PERFURADO OU NAO D=0,150M                                          </t>
  </si>
  <si>
    <t xml:space="preserve">LANC.VIGA P&lt;=50T-GUINDASTE AUTO P                                              </t>
  </si>
  <si>
    <t xml:space="preserve">LANC.VIGA 50&lt;P&lt;=80 T C/GUIND.AUTO P                                            </t>
  </si>
  <si>
    <t xml:space="preserve">ESCORAMENTO VALAS/CAVAS P/FUND.CONTINUO                                        </t>
  </si>
  <si>
    <t xml:space="preserve">PAREDE ENSECADEIRA C/PRANCHA-ESP.0,050M                                        </t>
  </si>
  <si>
    <t>26.14.04</t>
  </si>
  <si>
    <t xml:space="preserve">PROTECAO DE TALUDE COM BLOCO PRE-MOLDADO SEXTAVADO 30X30X5CM INTERTRAVADO.     </t>
  </si>
  <si>
    <t xml:space="preserve">PROTECAO TALUDE SOB OAE EM PLACAS PRE MOLDADAS TRAPEZOIDAL, 98X80X40CM.        </t>
  </si>
  <si>
    <t xml:space="preserve">PROTECAO TALUDE SOB OAE COM PECAS PRE-MOLDADAS RETANGULAR 20X10X6CM.           </t>
  </si>
  <si>
    <t xml:space="preserve">REMOCAO MANUAL DE CONCRETO SEGREGADO                                           </t>
  </si>
  <si>
    <t xml:space="preserve">REMOCAO,CARGA E TRANSP.ENTULHO EM GERAL                                        </t>
  </si>
  <si>
    <t xml:space="preserve">LIXAMENTO MECÂNICO DE SUPERFÍCIO DE CONCRETO                                   </t>
  </si>
  <si>
    <t xml:space="preserve">TRATAMENTO DE ARMADURA COM PRIMER RICO EM ZINCO                                </t>
  </si>
  <si>
    <t xml:space="preserve">DESOBSTRUCAO DE JUNTA DE DILATACAO                                             </t>
  </si>
  <si>
    <t xml:space="preserve">APIC.MANUAL CONC.C/ELIMINACAO SUP.LISAS                                        </t>
  </si>
  <si>
    <t xml:space="preserve">LIMPEZA COM JATO D´AGUA S/SUP.DE CONC.                                         </t>
  </si>
  <si>
    <t xml:space="preserve">LIXAMENTO MANUAL DA SUPERFICIE DE CONCR.                                       </t>
  </si>
  <si>
    <t xml:space="preserve">JATEAMENTO DE CONCRETO COM AREIA                                               </t>
  </si>
  <si>
    <t xml:space="preserve">JATEAMENTO EM ESTR.CONCRETO COM AGUA                                           </t>
  </si>
  <si>
    <t xml:space="preserve">LIMPEZA MANUAL COM ESCOVA DE ACO P/ ACO                                        </t>
  </si>
  <si>
    <t xml:space="preserve">LIMPEZA MANUAL C/ESCOVA ACO P/CONCRETO                                         </t>
  </si>
  <si>
    <t xml:space="preserve">EXECUCAO DE ANDAIME SUSPENSO AREA MAXIMA DE 560 M2.                            </t>
  </si>
  <si>
    <t xml:space="preserve">DESMOB. DESLOCAMENTO, MONTAGEM E FURO NO CONCRETO PARA ANDAIME SUSPENSO.       </t>
  </si>
  <si>
    <t xml:space="preserve">FURO NO CONCRETO D=1" PROFUND. DE 30CM                                         </t>
  </si>
  <si>
    <t xml:space="preserve">FURO NO CONCRETO D=1/2" PROFUND.DE 15CM                                        </t>
  </si>
  <si>
    <t xml:space="preserve">FURO NO CONCRETO D=3/8"PROFUNDIDADE DE 10 CM.                                  </t>
  </si>
  <si>
    <t xml:space="preserve">FURO NO CONCRETO D=5/8"PROFUNDIDADE DE 19 CM.                                  </t>
  </si>
  <si>
    <t xml:space="preserve">FURO NO CONCRETO D=3/4"PROFUNDIDADE DE 24 CM.                                  </t>
  </si>
  <si>
    <t xml:space="preserve">FURO NO CONCRETO D=1/4"PROFUNDIDADE DE 7,5 CM.                                 </t>
  </si>
  <si>
    <t xml:space="preserve">FURO NO CONCRETO D=5/16"PROFUNDIDADE DE 9,5 CM.                                </t>
  </si>
  <si>
    <t xml:space="preserve">FURO NO CONCRETO D=1 1/4"PROFUNDIDADE 38 CM.                                   </t>
  </si>
  <si>
    <t xml:space="preserve">FORMA PLANA P/CONC.ARMADO COMUM                                                </t>
  </si>
  <si>
    <t xml:space="preserve">FORMAS METALICAS PARA CONCRETO                                                 </t>
  </si>
  <si>
    <t xml:space="preserve">BARRA DE ACO CA-50 PARA RECUPERACAO ESTRUTURAL                                 </t>
  </si>
  <si>
    <t xml:space="preserve">SUBSTITUICAO DE ACO DA ARMADURA                                                </t>
  </si>
  <si>
    <t xml:space="preserve">RETIRADA DA ARMADURA CORROIDA                                                  </t>
  </si>
  <si>
    <t xml:space="preserve">ACO P/ CONCRETO PROTENDIDO ST 85/105                                           </t>
  </si>
  <si>
    <t xml:space="preserve">EMENDA DE BARRA DE ACO COM LUVA PRENSADA D=12MM                                </t>
  </si>
  <si>
    <t xml:space="preserve">EMENDA DE BARRA DE ACO COM LUVA PRENSADA D=16MM                                </t>
  </si>
  <si>
    <t xml:space="preserve">EMENDA DE BARRA DE ACO COM LUVA PRENSADA D=20MM                                </t>
  </si>
  <si>
    <t xml:space="preserve">EMENDA DE BARRA DE ACO COM LUVA PRENSADA D=25MM                                </t>
  </si>
  <si>
    <t xml:space="preserve">EMENDA DE BARRA DE ACO COM ROSCA D=12MM                                        </t>
  </si>
  <si>
    <t xml:space="preserve">EMENDA DE BARRA DE ACO COM ROSCA D=16MM                                        </t>
  </si>
  <si>
    <t xml:space="preserve">EMENDA DE BARRA DE ACO COM ROSCA D=20MM                                        </t>
  </si>
  <si>
    <t xml:space="preserve">EMENDA DE BARRA DE ACO COM ROSCA D=25MM                                        </t>
  </si>
  <si>
    <t xml:space="preserve">CHUMBAMENTO BARRAS C/RESINA EPOX.INJ.                                          </t>
  </si>
  <si>
    <t xml:space="preserve">CHUMBADOR QUIMICO DIÂMETRO 1.1/2".                                             </t>
  </si>
  <si>
    <t xml:space="preserve">AP.ANC.P/CABOS PROTEN. ATIVA 12FIOS-8MM                                        </t>
  </si>
  <si>
    <t xml:space="preserve">AP.ANC.P/CABOS PROTEN.ATIV.04FIOS-12,7MM                                       </t>
  </si>
  <si>
    <t xml:space="preserve">APARELHO DE ANCORAGEM ATIVO DE 12 FIOS DE 5/8" (15,2MM)                        </t>
  </si>
  <si>
    <t xml:space="preserve">APARELHO DE ANCORAGEM ATIVO DE 19 FIOS DE Ã 5/8"                               </t>
  </si>
  <si>
    <t xml:space="preserve">SUBSTIT.APARELHO APOIO NEOPRENE FRETADO                                        </t>
  </si>
  <si>
    <t xml:space="preserve">CONCRETO FCK 20MPA                                                             </t>
  </si>
  <si>
    <t xml:space="preserve">CONCRETO FCK 25MPA                                                             </t>
  </si>
  <si>
    <t xml:space="preserve">CONCRETO PROJETADO,MEDIDO NA SECAO                                             </t>
  </si>
  <si>
    <t xml:space="preserve">BOMBEAMENTO P/CONC. QUALQUER RESIST.                                           </t>
  </si>
  <si>
    <t xml:space="preserve">CONCRETO GROUT ALTA RESISTENCIA                                                </t>
  </si>
  <si>
    <t xml:space="preserve">ENCHIMENTO COM CONCRETO CELULAR                                                </t>
  </si>
  <si>
    <t xml:space="preserve">CONCRETO FCK 35MPA                                                             </t>
  </si>
  <si>
    <t xml:space="preserve">CONCRETO FCK 40MPA                                                             </t>
  </si>
  <si>
    <t xml:space="preserve">JUNTA/RETRACAO C/LABIO POLI.AB.15ATE40MM                                       </t>
  </si>
  <si>
    <t xml:space="preserve">JUNTA/RETRACAO C/LABIO POLI.AB.20ATE55MM                                       </t>
  </si>
  <si>
    <t xml:space="preserve">JUNTA/RETRACAO C/LABIO POLI.AB.30ATE80MM                                       </t>
  </si>
  <si>
    <t xml:space="preserve">SUBSTITUICAO DE JUNTA METALICA                                                 </t>
  </si>
  <si>
    <t xml:space="preserve">MICROCONCRETO RAPFLEX 10                                                       </t>
  </si>
  <si>
    <t xml:space="preserve">ADESIVO EPOXI P/TRI.(INCL.FUROS E MANG.)                                       </t>
  </si>
  <si>
    <t xml:space="preserve">INJECAO DE CALDA DE CIMENTO                                                    </t>
  </si>
  <si>
    <t xml:space="preserve">INJECAO DE CALDA DE CIMENTO EM BAINHAS                                         </t>
  </si>
  <si>
    <t xml:space="preserve">ARGAM.CIMENTICIA C/POLIMERO INCORPORADO                                        </t>
  </si>
  <si>
    <t xml:space="preserve">ARGAMASSA DE CIMENTO E AREIA TRACO 1:6                                         </t>
  </si>
  <si>
    <t xml:space="preserve">ARGAMASSA CIMEN.E AREIA TRAC.1:3 ESP 2CM                                       </t>
  </si>
  <si>
    <t>27.11.11</t>
  </si>
  <si>
    <t xml:space="preserve">ADESIVO SELANTE PARA CONCRETO FISSURADO                                        </t>
  </si>
  <si>
    <t xml:space="preserve">ADITIVO SUPER PLASTIFICANTE                                                    </t>
  </si>
  <si>
    <t xml:space="preserve">ADITIVO SUPER FLUIDIFICANTE                                                    </t>
  </si>
  <si>
    <t xml:space="preserve">ADITIVO ACELERADOR DE PEGA                                                     </t>
  </si>
  <si>
    <t xml:space="preserve">ADITIVO RETARDADOR DE PEGA                                                     </t>
  </si>
  <si>
    <t xml:space="preserve">PINTURA HIDROFUGANTE C/SILICONE BASE AGUA - UMA DEMAO                          </t>
  </si>
  <si>
    <t xml:space="preserve">PINT.C/VERNIZ POLIURETANO INCOLOR-3DEMAO                                       </t>
  </si>
  <si>
    <t xml:space="preserve">PINTURA A BASE DE EPOXI - 2DEMAOS                                              </t>
  </si>
  <si>
    <t xml:space="preserve">PINTURA ACRILICA - 2DEMAOS                                                     </t>
  </si>
  <si>
    <t xml:space="preserve">APLICACAO MANUAL E PREPARO DE PASTA PARA ESTUCAMENTO EM OAE, SEM PINTURA.      </t>
  </si>
  <si>
    <t xml:space="preserve">FORN. E TRANSPORTE DE PLACA DE ACO GT+GT                                       </t>
  </si>
  <si>
    <t xml:space="preserve">FORN. E TRANSPORTE DE PLACA DE ACO GT+AI                                       </t>
  </si>
  <si>
    <t xml:space="preserve">FORN. E TRANSPORTE DE PLACA DE ALUMINIO GT+AI                                  </t>
  </si>
  <si>
    <t xml:space="preserve">COLOCACAO DE PLACA EM SUP. MADEIRA/METALICO-SOLO                               </t>
  </si>
  <si>
    <t xml:space="preserve">COLOCACAO DE PLACA AEREA EM PORTICOS OU SEMI-PORTICO                           </t>
  </si>
  <si>
    <t xml:space="preserve">RETIRADA DE PLACA DE SOLO EM SUPORTE DE MADEIRA OU METALICO                    </t>
  </si>
  <si>
    <t xml:space="preserve">RETIRADA DE PLACA AEREA                                                        </t>
  </si>
  <si>
    <t xml:space="preserve">FORN.TRANSP.INSTAL.PLC CHAPA DE LAMINADO FENOL MELAM. C/ACAB. GTP+GTP,MOD.AçO  </t>
  </si>
  <si>
    <t xml:space="preserve">FORN.TRANSP. MONTAG PLACA ALUM.E NUCLEO POLIET. BAIXA DENSIDADE ESP.3MM GT+GT  </t>
  </si>
  <si>
    <t xml:space="preserve">FORN.TRANSP. MONTAG PLACA ALUM.E NUCLEO POLIET. BAIXA DENSIDADE ESP.3MM GT+AI  </t>
  </si>
  <si>
    <t xml:space="preserve">FORN.TRANSP. E FIXACAO DE PORTICO TUB.MET. VAO DE 15,90M                       </t>
  </si>
  <si>
    <t xml:space="preserve">FORN.TRANSP. E FIXACAO DE PORTICO TUBULAR METALICO COM VAO DE 19,20M           </t>
  </si>
  <si>
    <t xml:space="preserve">FORN.,TRANSP.E FIXACAO DE SEMI-PORTICO TUBULAR MET.EM BALANCO COM VAO 6,00M    </t>
  </si>
  <si>
    <t xml:space="preserve">FORN.,TRANSP.E FIXACAO DE SEMI-PORTICO TUBULAR MET.EM BALANCO COM VAO 8,30M    </t>
  </si>
  <si>
    <t xml:space="preserve">FORN.,TRANSP.E FIXACAO DE SEMI-PORTICO TUB.MET.EM BALANCO DUPLO COM VAO 8,30M  </t>
  </si>
  <si>
    <t xml:space="preserve">FORN.,TRANSP.E FIXACAO DE SEMI-PORTICO TUBULAR MET.EM BALANCO COM VAO 4,90M    </t>
  </si>
  <si>
    <t xml:space="preserve">SINALIZ.HOR.C/RESINA VINILICA OU ACRILI.                                       </t>
  </si>
  <si>
    <t xml:space="preserve">SINALIZ.HOR. C/TERMOPLAST. HOT-SPRAY                                           </t>
  </si>
  <si>
    <t xml:space="preserve">SINALIZ.HOR. C/TERMOPLAST.SPRAY-C/VISIB.                                       </t>
  </si>
  <si>
    <t xml:space="preserve">SINALIZ.HOR.C/TERMOPLAST EXTRUDADO                                             </t>
  </si>
  <si>
    <t xml:space="preserve">SIN.HORIZ.PLAST.A FRIO,POR EXTRUSAO, ALTO RELEVO, ESPACAMENTO 500MM.           </t>
  </si>
  <si>
    <t xml:space="preserve">SINALIZ.HOR.TINTA P/ POUCO TRAFEGO                                             </t>
  </si>
  <si>
    <t xml:space="preserve">SINALIZ.HOR.ACRILICA BASE AGUA                                                 </t>
  </si>
  <si>
    <t xml:space="preserve">SINALIZ.HOR. ACRILICA BASE AGUA C/VISIB.                                       </t>
  </si>
  <si>
    <t xml:space="preserve">SINALIZACAO HORIZONTAL ACRILICA BRANCA A BASE DE EPOXI EMULSIONADA EM AGUA     </t>
  </si>
  <si>
    <t xml:space="preserve">SINALIZACAO HORIZONTAL ACRILICA AMARELA A BASE DE EPOXI EMULSIONADA EM AGUA    </t>
  </si>
  <si>
    <t xml:space="preserve">TACHA REFLETIVA BIDIRECIONAL TIPO III OU IV ABNT (VIDRO OU PRISMÁTICO)         </t>
  </si>
  <si>
    <t>28.03.09.03</t>
  </si>
  <si>
    <t xml:space="preserve">TACHA METALICA COM 1 PINO DE FIXACAO- MONO REFLETIVA                           </t>
  </si>
  <si>
    <t>28.03.09.04</t>
  </si>
  <si>
    <t xml:space="preserve">TACHA METALICA COM 1 PINO DE FIXACAO - BI REFLETIVA                            </t>
  </si>
  <si>
    <t xml:space="preserve">MINI TACHAO MONODIRECIONAL REFL. VIDRO                                         </t>
  </si>
  <si>
    <t xml:space="preserve">MINI TACHAO BIDIRECIONAL REFL. VIDRO                                           </t>
  </si>
  <si>
    <t xml:space="preserve">TACHAO MONODIRECIONAL REFLETIVO DE VIDRO                                       </t>
  </si>
  <si>
    <t xml:space="preserve">TACHAO BIDIRECIONAL REFLETIVO DE VIDRO                                         </t>
  </si>
  <si>
    <t xml:space="preserve">TACHA MONODIRECIONAL REFLETIVO PLASTICO                                        </t>
  </si>
  <si>
    <t xml:space="preserve">TACHA BIDIRECIONAL REFLETIVO PLASTICO                                          </t>
  </si>
  <si>
    <t xml:space="preserve">TACHA REFLETIVA MONODIRECIONAL TIPO III OU IV ABNT (VIDRO OU PRISMÁTICO)       </t>
  </si>
  <si>
    <t xml:space="preserve">FORN. E INSTAL. DE BALIZADOR LAT. DE SOLO BIREFLETIVO AI                       </t>
  </si>
  <si>
    <t>28.04.27</t>
  </si>
  <si>
    <t xml:space="preserve">FORNECIMENTO E COLOCAÇÃO DE SUPER CONE - TAMBOR PLASTICO 1,05X0,70M            </t>
  </si>
  <si>
    <t xml:space="preserve">FORNECIMENTO TRANSPORTE INST.TERM.ABSORV.ENERGIA NBR 15486, 100 KM/H SIMPLES.  </t>
  </si>
  <si>
    <t xml:space="preserve">FORNECIMENTO TRANSPORTE INST.TERM.ABSORV.ENERGIA NBR 15486, 110 KM/H SIMPLES.  </t>
  </si>
  <si>
    <t xml:space="preserve">FORNECIMENTO TRANSPORTE INST.TERM.ABSORV.ENERGIA NBR 15486, 70/80 KM/H DUPLO.  </t>
  </si>
  <si>
    <t xml:space="preserve">FORNECIMENTO TRANSPORTE INST.TERM.ABSORV.ENERGIA NBR 15486, 100 KM/H DUPLO.    </t>
  </si>
  <si>
    <t xml:space="preserve">FORNECIMENTO TRANSPORTE INST.TERM.ABSORV.ENERGIA NBR 15486, 110 KM/H DUPLO.    </t>
  </si>
  <si>
    <t xml:space="preserve">FORN.TRANS.INST.DE DEFENSA METÁLICA NBR 15486 H2 A W3 SIMPLES.                 </t>
  </si>
  <si>
    <t xml:space="preserve">FORN.TRANS.INST.DE DEFENSA METÁLICA NBR 15486 H2 A W2 SIMPLES.                 </t>
  </si>
  <si>
    <t xml:space="preserve">FORN.TRANS.INST.DE DEFENSA METÁLICA NBR 15486 H2 A W4 SIMPLES.                 </t>
  </si>
  <si>
    <t xml:space="preserve">FORN.TRANS.INST.DE DEFENSA METÁLICA NBR 15486 H1 A W2 SIMPLES.                 </t>
  </si>
  <si>
    <t xml:space="preserve">FORN.TRANS.INST.DE DEFENSA METÁLICA NBR 15486 H1 A W3 SIMPLES.                 </t>
  </si>
  <si>
    <t xml:space="preserve">FORN.TRANS.INST.DE DEFENSA METÁLICA NBR 15486 H1 A W4 SIMPLES.                 </t>
  </si>
  <si>
    <t>28.05.11.09</t>
  </si>
  <si>
    <t>28.05.11.10</t>
  </si>
  <si>
    <t xml:space="preserve">SUPORTE MADEIRA TRATADA 0,10X0,10M                                             </t>
  </si>
  <si>
    <t xml:space="preserve">RETIRADA DE SUPORTE DE MADEIRA TRATADA                                         </t>
  </si>
  <si>
    <t xml:space="preserve">SUPORTE DE PERFIL METALICO GALVANIZADO.                                        </t>
  </si>
  <si>
    <t xml:space="preserve">SUPORTE TUBULAR GALVANIZADO 2 1/2"                                             </t>
  </si>
  <si>
    <t xml:space="preserve">BARREIRA RIGIDA DE CONCRETO ARMADO SIMPLES BAIXA NBR 14.885                    </t>
  </si>
  <si>
    <t xml:space="preserve">BARREIRA RIGIDA DE CONCRETO ARMADO SIMPLES ALTA NBR 14.885                     </t>
  </si>
  <si>
    <t xml:space="preserve">BARREIRA RIGIDA DE CONCRETO ARMADO DUPLA BAIXA NBR 14.885                      </t>
  </si>
  <si>
    <t xml:space="preserve">BARREIRA RIGIDA DE CONCRETO ARMADO DUPLA ALTA NBR 14.885                       </t>
  </si>
  <si>
    <t xml:space="preserve">SUPORTE DE PLACAS DE SOLO ECOLOGICO E COLAPSIVEL 75X75MM.                      </t>
  </si>
  <si>
    <t xml:space="preserve">SUPORTE DE PLACA DE SOLO ECOLÍGICO E COLAPSIVEL 100 X 100MM                    </t>
  </si>
  <si>
    <t xml:space="preserve">SUPORTE DE PLACA DE SOLO ECOLÓGICO E COLAPSIVEL 70 X 150MM                     </t>
  </si>
  <si>
    <t xml:space="preserve">SUPORTE DE PLACAS DE SOLO ECOLOGICO E COLAPSIVEL C/REFORÇO EM AÇO 55X55MM.     </t>
  </si>
  <si>
    <t xml:space="preserve">BROCA DE CONTRETO ARMADO D=30CM                                                </t>
  </si>
  <si>
    <t xml:space="preserve">CONFECCAO, MONTAGEM E INSTALACAO DE PLACA INSTITUCIONAL                        </t>
  </si>
  <si>
    <t xml:space="preserve">MANUTENCAO DE PLACA INSTITUCIONAL                                              </t>
  </si>
  <si>
    <t xml:space="preserve">FORN.TRANS.INST.ATENUADOR DE IMPACT.NBR 15486 100 KMH PARALELO L&lt;=40CM.        </t>
  </si>
  <si>
    <t>28.13.05</t>
  </si>
  <si>
    <t xml:space="preserve">FORN.TRANS.INST.ATENUADOR DE IMPACT.NBR 15486 100 KMH PARALELO L&gt;70CM&lt;=100CM.  </t>
  </si>
  <si>
    <t>28.13.08</t>
  </si>
  <si>
    <t xml:space="preserve">FORN.TRANS.INST.ATENUADOR DE IMPACT.NBR 15486 110 KMH PARALELO L&gt;70CM&lt;=100CM.  </t>
  </si>
  <si>
    <t xml:space="preserve">FORN.TRANS.INST.ATENUADOR DE IMPACT.NBR 15486 100 KMH ABERTO L&gt;160CM&lt;=260CM.   </t>
  </si>
  <si>
    <t xml:space="preserve">GRAMA EM PLACA SEM ADUBO                                                       </t>
  </si>
  <si>
    <t xml:space="preserve">GRAMA PLACA COM ADUBO                                                          </t>
  </si>
  <si>
    <t xml:space="preserve">GRAMA MUDA SEM ADUBO                                                           </t>
  </si>
  <si>
    <t xml:space="preserve">GRAMA MUDA COM ADUBO                                                           </t>
  </si>
  <si>
    <t xml:space="preserve">PLANTIO LEGUM.SEMENTES SEM ADUBO                                               </t>
  </si>
  <si>
    <t xml:space="preserve">PLANTIO LEGUM.SEMENTES COM ADUBO                                               </t>
  </si>
  <si>
    <t xml:space="preserve">PLANTIO DE GRAMA PROC.HIDROSSEMEADURA                                          </t>
  </si>
  <si>
    <t xml:space="preserve">IRRIGACAO DE REVESTIMENTO VEGETAL                                              </t>
  </si>
  <si>
    <t xml:space="preserve">GRAMA ARMADA TELA VEGETAL                                                      </t>
  </si>
  <si>
    <t xml:space="preserve">ROCADA MANUAL                                                                  </t>
  </si>
  <si>
    <t xml:space="preserve">ROCADA MECANIZADA                                                              </t>
  </si>
  <si>
    <t xml:space="preserve">CAPINA MANUAL,INCL.AMONT.CARGA/DESC.                                           </t>
  </si>
  <si>
    <t xml:space="preserve">PLANTIO DE ARBUSTOS                                                            </t>
  </si>
  <si>
    <t xml:space="preserve">PLANTIO DE ARVORES                                                             </t>
  </si>
  <si>
    <t xml:space="preserve">PLANTIO DE GRAMINEAS SEMENTE TELA BIODEG                                       </t>
  </si>
  <si>
    <t xml:space="preserve">PLANTIO ESSENCIAS FLORESTAIS NATIVAS h&gt;=1,50M                                  </t>
  </si>
  <si>
    <t xml:space="preserve">ALAMBRADO COM TELA 15X5 E ESTICADOR                                            </t>
  </si>
  <si>
    <t xml:space="preserve">CERCA DE ARAME DE ACO OVALADO - 4 FIOS                                         </t>
  </si>
  <si>
    <t xml:space="preserve">ALAMBRADO EM TELA REVESTIDA EM PVC PARA CONDUCAO DE FAUNA                      </t>
  </si>
  <si>
    <t xml:space="preserve">ALAMBRADO EM TELA METALICA GALV.MONT.MET.GALV.PARA CONDUÇÃO DE FAUNA H=2,00M   </t>
  </si>
  <si>
    <t xml:space="preserve">PROJETO DE PLANTIO COM ESSENCIAS FLORESTAIS NATIVAS                            </t>
  </si>
  <si>
    <t xml:space="preserve">LIMPEZA DE AREAS INT.PISOS ACARPETADOS                                         </t>
  </si>
  <si>
    <t xml:space="preserve">LIMPEZA DE AREAS INTERNAS E PISOS FRIOS                                        </t>
  </si>
  <si>
    <t xml:space="preserve">LIMPEZA DE AREAS INTERNAS LABORATORIOS                                         </t>
  </si>
  <si>
    <t xml:space="preserve">LIMPEZA DE AREAS INT.ALMOXARIF.E GALPOES                                       </t>
  </si>
  <si>
    <t xml:space="preserve">LIMPEZA DE AREAS INTERNAS OFICINAS                                             </t>
  </si>
  <si>
    <t xml:space="preserve">LIMPEZA AREAS EXT.PISOS PAV.E TERRA                                            </t>
  </si>
  <si>
    <t xml:space="preserve">LIMP.EXT.PAT.E AREAS VERDES - ALTA FREQ.                                       </t>
  </si>
  <si>
    <t xml:space="preserve">LIMP.EXT.PAT.E AREAS VERDES - MEDIA FREQ                                       </t>
  </si>
  <si>
    <t xml:space="preserve">LIMP.EXT.PAT.E AREAS VERDES - BAIXA FREQ                                       </t>
  </si>
  <si>
    <t xml:space="preserve">VIDROS EXTERNOS C/EXP.RISCO TRIMESTR.                                          </t>
  </si>
  <si>
    <t xml:space="preserve">VIDROS EXTERNOS S/EXP.RISCO - TRIMESTR.                                        </t>
  </si>
  <si>
    <t xml:space="preserve">VIDROS EXTERNOS C/EXP.RISCO - SEMESTRAL                                        </t>
  </si>
  <si>
    <t xml:space="preserve">VIDROS EXTERNOS S/EXP.RISCO - SEMESTRAL                                        </t>
  </si>
  <si>
    <t xml:space="preserve">VIG.44H SEM. DIURNO                                                            </t>
  </si>
  <si>
    <t xml:space="preserve">VIG.12H DIURNO DE SEGUNDA A DOMINGO                                            </t>
  </si>
  <si>
    <t xml:space="preserve">VIG.12H NOTURNO DE SEGUNDA A DOMINGO                                           </t>
  </si>
  <si>
    <t xml:space="preserve">PORT.44H SEM.DIURNO DE SEG./SEXTA-FEIRA                                        </t>
  </si>
  <si>
    <t xml:space="preserve">PORT.12H DIARIAS DIURNO DE SEG./SEXTA-FEIRA                                    </t>
  </si>
  <si>
    <t xml:space="preserve">PORT.8H DIURNO DE SEGUNDA A DOMINGO                                            </t>
  </si>
  <si>
    <t xml:space="preserve">PORT.24 DIUTURNO DE SEGUNDA A DOMINGO                                          </t>
  </si>
  <si>
    <t xml:space="preserve">MEDICO SUPERVISOR                                                              </t>
  </si>
  <si>
    <t xml:space="preserve">PARAMEDICO                                                                     </t>
  </si>
  <si>
    <t xml:space="preserve">ATENDENTE DE PRIMEIROS SOCORROS                                                </t>
  </si>
  <si>
    <t xml:space="preserve">AUX.ATENDENTE DE PRIMEIROS SOCORROS                                            </t>
  </si>
  <si>
    <t xml:space="preserve">MOTORISTA AMBULANCIA                                                           </t>
  </si>
  <si>
    <t xml:space="preserve">OPERADOR DE GUINCHO                                                            </t>
  </si>
  <si>
    <t xml:space="preserve">ESTUDO HIDROLOGICO E APROV. DO DAEE                                            </t>
  </si>
  <si>
    <t xml:space="preserve">ESTUDO, REG. AMBIENTAL E APROV. DEPRN                                          </t>
  </si>
  <si>
    <t xml:space="preserve">CARACT.AMBIENTAL EMPREEND.ROD.ELAB.REL.TECN.INTERV.AREA PRES.CETESB S19 E S07  </t>
  </si>
  <si>
    <t xml:space="preserve">CARACT.AMBIENTAL EMPREEND.ROD.AREA PRESERV.CETESB S19 E S07 &gt;10&lt;=20KM          </t>
  </si>
  <si>
    <t xml:space="preserve">CARACT.AMBIENTAL EMPREEND.ROD.AREA PRESERV.CETESB S19 E S07 &gt;20&lt;=30            </t>
  </si>
  <si>
    <t xml:space="preserve">CARACT.AMBIENTAL EMPREEND.ROD.AREA PRESERV.CETESB S19 E S07 &gt;30&lt;=40KM          </t>
  </si>
  <si>
    <t xml:space="preserve">ELABORACAO DE EVI E APROVACAO DE IMPLANTACAO DO EMPREENDIMENTO NO DAEE.        </t>
  </si>
  <si>
    <t xml:space="preserve">DIREITO DE USO DO RECURSO HIDRICO EM TRAVESSIAS / DAEE                         </t>
  </si>
  <si>
    <t xml:space="preserve">EQUIPE DE MERGULHO COM FILMAGEM                                                </t>
  </si>
  <si>
    <t xml:space="preserve">EQUIPE DE MERGULHO SEM FILMAGEM                                                </t>
  </si>
  <si>
    <t xml:space="preserve">LEVANTAMENTO DEFLECTOMETRICO DO PAVIMENTO                                      </t>
  </si>
  <si>
    <t xml:space="preserve">ADVOGADO JUNIOR                                                                </t>
  </si>
  <si>
    <t xml:space="preserve">ADVOGADO PLENO                                                                 </t>
  </si>
  <si>
    <t xml:space="preserve">ADVOGADO SENIOR                                                                </t>
  </si>
  <si>
    <t xml:space="preserve">ANALISTA DE SISTEMA JUNIOR                                                     </t>
  </si>
  <si>
    <t xml:space="preserve">ANALISTA DE SISTEMA PLENO                                                      </t>
  </si>
  <si>
    <t xml:space="preserve">ANALISTA DE SISTEMA SENIOR                                                     </t>
  </si>
  <si>
    <t xml:space="preserve">ARQUITETO JUNIOR                                                               </t>
  </si>
  <si>
    <t xml:space="preserve">ARQUITETO PLENO                                                                </t>
  </si>
  <si>
    <t xml:space="preserve">ARQUITETO SENIOR                                                               </t>
  </si>
  <si>
    <t xml:space="preserve">AUXILIAR DE ESCRITORIO                                                         </t>
  </si>
  <si>
    <t xml:space="preserve">AUXILIAR DE LABORATORIO                                                        </t>
  </si>
  <si>
    <t xml:space="preserve">AUXILIAR DE TOPOGRAFIA                                                         </t>
  </si>
  <si>
    <t xml:space="preserve">AUXILIAR TECNICO                                                               </t>
  </si>
  <si>
    <t xml:space="preserve">CHEFE DE ESCRITORIO                                                            </t>
  </si>
  <si>
    <t xml:space="preserve">CONSULTOR                                                                      </t>
  </si>
  <si>
    <t xml:space="preserve">CONSULTOR B                                                                    </t>
  </si>
  <si>
    <t xml:space="preserve">CONSULTOR C                                                                    </t>
  </si>
  <si>
    <t xml:space="preserve">CONSULTOR INTERNACIONAL                                                        </t>
  </si>
  <si>
    <t xml:space="preserve">COORDENADOR                                                                    </t>
  </si>
  <si>
    <t xml:space="preserve">CADISTA                                                                        </t>
  </si>
  <si>
    <t xml:space="preserve">CADISTA / CALCULISTA I                                                         </t>
  </si>
  <si>
    <t xml:space="preserve">CADISTA / CALCULISTA II                                                        </t>
  </si>
  <si>
    <t xml:space="preserve">CADISTA / CALCULISTA III                                                       </t>
  </si>
  <si>
    <t xml:space="preserve">DIGITADOR                                                                      </t>
  </si>
  <si>
    <t xml:space="preserve">ECONOMISTA JUNIOR                                                              </t>
  </si>
  <si>
    <t xml:space="preserve">ECONOMISTA PLENO                                                               </t>
  </si>
  <si>
    <t xml:space="preserve">ECONOMISTA SENIOR                                                              </t>
  </si>
  <si>
    <t xml:space="preserve">ENGENHEIRO JUNIOR                                                              </t>
  </si>
  <si>
    <t xml:space="preserve">ENGENHEIRO PLENO                                                               </t>
  </si>
  <si>
    <t xml:space="preserve">ENGENHEIRO SENIOR                                                              </t>
  </si>
  <si>
    <t>35.03.33</t>
  </si>
  <si>
    <t xml:space="preserve">ESPECIALISTA EM TREINAMENTO PLENO                                              </t>
  </si>
  <si>
    <t>35.03.34</t>
  </si>
  <si>
    <t xml:space="preserve">ESPECIALISTA EM TREINAMENTO SENIOR                                             </t>
  </si>
  <si>
    <t xml:space="preserve">FISCAL DE OBRAS                                                                </t>
  </si>
  <si>
    <t xml:space="preserve">GEOLOGO JUNIOR                                                                 </t>
  </si>
  <si>
    <t xml:space="preserve">GEOLOGO PLENO                                                                  </t>
  </si>
  <si>
    <t xml:space="preserve">GEOLOGO SENIOR                                                                 </t>
  </si>
  <si>
    <t xml:space="preserve">LABORATORISTA                                                                  </t>
  </si>
  <si>
    <t xml:space="preserve">MENSAGEIRO                                                                     </t>
  </si>
  <si>
    <t xml:space="preserve">MOTORISTA                                                                      </t>
  </si>
  <si>
    <t xml:space="preserve">NIVELADOR                                                                      </t>
  </si>
  <si>
    <t xml:space="preserve">PROGRAMADOR DE COMPUTADOR JUNIOR                                               </t>
  </si>
  <si>
    <t xml:space="preserve">PROGRAMADOR DE COMPUTADOR PLENO                                                </t>
  </si>
  <si>
    <t xml:space="preserve">PROGRAMADOR DE COMPUTADOR SENIOR                                               </t>
  </si>
  <si>
    <t xml:space="preserve">PROJETISTA A / ASSISTENTE TECNICO I                                            </t>
  </si>
  <si>
    <t xml:space="preserve">PROJETISTA B / ASSISTENTE TECNICO II                                           </t>
  </si>
  <si>
    <t xml:space="preserve">PROJETISTA C / ASSISTENTE TECNICO III                                          </t>
  </si>
  <si>
    <t xml:space="preserve">SECRETARIA                                                                     </t>
  </si>
  <si>
    <t xml:space="preserve">TOPOGRAFO                                                                      </t>
  </si>
  <si>
    <t>35.03.64</t>
  </si>
  <si>
    <t xml:space="preserve">ADMINISTRADOR JUNIOR                                                           </t>
  </si>
  <si>
    <t>35.03.65</t>
  </si>
  <si>
    <t xml:space="preserve">ADMINISTRADOR PLENO                                                            </t>
  </si>
  <si>
    <t>35.03.66</t>
  </si>
  <si>
    <t xml:space="preserve">ADMINISTRADOR SENIOR                                                           </t>
  </si>
  <si>
    <t xml:space="preserve">BIOLOGO                                                                        </t>
  </si>
  <si>
    <t xml:space="preserve">MEDICO VETERINARIO                                                             </t>
  </si>
  <si>
    <t xml:space="preserve">ASSISTENTE SOCIAL JUNIOR                                                       </t>
  </si>
  <si>
    <t xml:space="preserve">ASSISTENTE SOCIAL PLENO                                                        </t>
  </si>
  <si>
    <t xml:space="preserve">ASSISTENTE SOCIAL SENIOR                                                       </t>
  </si>
  <si>
    <t xml:space="preserve">ADVOGADO JUNIOR TEMPORARIO                                                     </t>
  </si>
  <si>
    <t xml:space="preserve">ADVOGADO PLENO TEMPORARIO                                                      </t>
  </si>
  <si>
    <t xml:space="preserve">ADVOGADO SENIOR TEMPORARIO                                                     </t>
  </si>
  <si>
    <t xml:space="preserve">ANALISTA DE SISTEMA JUNIOR TEMPORARIO                                          </t>
  </si>
  <si>
    <t xml:space="preserve">ANALISTA DE SISTEMA PLENO TEMPORARIO                                           </t>
  </si>
  <si>
    <t xml:space="preserve">ANALISTA DE SISTEMA SENIOR TEMPORARIO                                          </t>
  </si>
  <si>
    <t xml:space="preserve">ARQUITETO JUNIOR TEMPORARIO                                                    </t>
  </si>
  <si>
    <t xml:space="preserve">ARQUITETO PLENO TEMPORARIO                                                     </t>
  </si>
  <si>
    <t xml:space="preserve">ARQUITETO SENIOR TEMPORARIO                                                    </t>
  </si>
  <si>
    <t xml:space="preserve">AUXILIAR DE ESCRITORIO TEMPORARIO                                              </t>
  </si>
  <si>
    <t xml:space="preserve">AUXILIAR DE LABORATORIO TEMPORARIO                                             </t>
  </si>
  <si>
    <t xml:space="preserve">AUXILIAR DE TOPOGRAFIA TEMPORARIO                                              </t>
  </si>
  <si>
    <t xml:space="preserve">AUXILIAR TECNICO TEMPORARIO                                                    </t>
  </si>
  <si>
    <t xml:space="preserve">CHEFE DE ESCRITORIO TEMPORARIO                                                 </t>
  </si>
  <si>
    <t xml:space="preserve">CONSULTOR TEMPORARIO                                                           </t>
  </si>
  <si>
    <t xml:space="preserve">CONSULTOR B TEMPORARIO                                                         </t>
  </si>
  <si>
    <t xml:space="preserve">CONSULTO C TEMPORARIO                                                          </t>
  </si>
  <si>
    <t xml:space="preserve">CONSULTOR INTERNACIONAL TEMPORARIO                                             </t>
  </si>
  <si>
    <t xml:space="preserve">COORDENADOR TEMPORARIO                                                         </t>
  </si>
  <si>
    <t xml:space="preserve">CADISTA CALCULISTA TEMPORARIO                                                  </t>
  </si>
  <si>
    <t xml:space="preserve">CADISTA / CALCULISTA I TEMPORARIO                                              </t>
  </si>
  <si>
    <t xml:space="preserve">CADISTA / CALCULISTA II TEMPORARIO                                             </t>
  </si>
  <si>
    <t xml:space="preserve">CADISTA / CALCULISTA III TEMPORARIO                                            </t>
  </si>
  <si>
    <t xml:space="preserve">DIGITADOR TEMPORARIO                                                           </t>
  </si>
  <si>
    <t xml:space="preserve">ECONOMISTA JUNIOR TEMPORARIO                                                   </t>
  </si>
  <si>
    <t xml:space="preserve">ECONOMISTA PLENO TEMPORARIO                                                    </t>
  </si>
  <si>
    <t xml:space="preserve">ECONOMISTA SENIOR TEMPORARIO                                                   </t>
  </si>
  <si>
    <t xml:space="preserve">ENGENHEIRO JUNIOR TEMPORARIO                                                   </t>
  </si>
  <si>
    <t xml:space="preserve">ENGENHEIRO PLENO TEMPORARIO                                                    </t>
  </si>
  <si>
    <t xml:space="preserve">ENGENHEIRO SENIOR TEMPORARIO                                                   </t>
  </si>
  <si>
    <t>35.04.33</t>
  </si>
  <si>
    <t xml:space="preserve">ESPECIALISTA EM TREINAMENTO PLENO TEMPORARIO                                   </t>
  </si>
  <si>
    <t>35.04.34</t>
  </si>
  <si>
    <t xml:space="preserve">ESPECIALISTA EM TREINAMENTO SENIOR TEMPORARIO                                  </t>
  </si>
  <si>
    <t xml:space="preserve">FISCAL DE OBRA TEMPORARIO                                                      </t>
  </si>
  <si>
    <t xml:space="preserve">GEOLOGO JUNIOR TEMPORARIO                                                      </t>
  </si>
  <si>
    <t xml:space="preserve">GEOLOGO PLENO TEMPORARIO                                                       </t>
  </si>
  <si>
    <t xml:space="preserve">GEOLOGO SENIOR TEMPORARIO                                                      </t>
  </si>
  <si>
    <t xml:space="preserve">LABORATORISTA TEMPORARIO                                                       </t>
  </si>
  <si>
    <t xml:space="preserve">MENSAGEIRO TEMPORARIO                                                          </t>
  </si>
  <si>
    <t xml:space="preserve">MOTORISTA TEMPORARIO                                                           </t>
  </si>
  <si>
    <t xml:space="preserve">NIVELADOR TEMPORARIO                                                           </t>
  </si>
  <si>
    <t xml:space="preserve">PROGRAMADOR DE COMPUTADOR JUNIOR TEMPORARIO                                    </t>
  </si>
  <si>
    <t xml:space="preserve">PROGRAMADOR DE COMPUTADOR PLENO TEMPORARIO                                     </t>
  </si>
  <si>
    <t xml:space="preserve">PROGRAMADOR DE COMPUTADOR SENIOR TEMPORARIO                                    </t>
  </si>
  <si>
    <t xml:space="preserve">PROJETISTA A / ASSISTENTE TECNICO I TEMPORARIO                                 </t>
  </si>
  <si>
    <t xml:space="preserve">PROJETISTA B / ASSISTENTE TECNICO II TEMPORARIO                                </t>
  </si>
  <si>
    <t xml:space="preserve">PROJETISTA C / ASSISTENTE TECNICO III TEMPORARIO                               </t>
  </si>
  <si>
    <t xml:space="preserve">SECCIONISTA TEMPORARIO                                                         </t>
  </si>
  <si>
    <t xml:space="preserve">SECRETARIA TEMPORARIO                                                          </t>
  </si>
  <si>
    <t xml:space="preserve">TOPOGRAFO TEMPORARIO                                                           </t>
  </si>
  <si>
    <t xml:space="preserve">REPARO TOTAL DE CERCA                                                          </t>
  </si>
  <si>
    <t xml:space="preserve">REPARO PARCIAL DE CERCA - MOURAO                                               </t>
  </si>
  <si>
    <t xml:space="preserve">REPARO PARCIAL DE CERCA-ARAME                                                  </t>
  </si>
  <si>
    <t xml:space="preserve">LIMPEZA DE BUEIROS DIAMETRO D&lt;=0,60M                                           </t>
  </si>
  <si>
    <t xml:space="preserve">LIMPEZA DE BUEIROS DIAMETRO 0,6&lt;D&lt;=0,8M                                        </t>
  </si>
  <si>
    <t xml:space="preserve">LIMPEZA DE BUEIROS DIAMETRO 0,8 &lt; D &lt;=1,0M                                     </t>
  </si>
  <si>
    <t xml:space="preserve">LIMPEZA DE BUEIROS DIAMETRO 1,0&lt;D&lt;=1,20M                                       </t>
  </si>
  <si>
    <t xml:space="preserve">LIMPEZA DE BUEIROS 1,20&lt;D&lt;=1,50M                                               </t>
  </si>
  <si>
    <t xml:space="preserve">REPARO DRENAGEM SUPERFICIAL DE CONCRETO                                        </t>
  </si>
  <si>
    <t xml:space="preserve">DEMOLICAO OBRAS DE CONCRETO SIMPLES                                            </t>
  </si>
  <si>
    <t xml:space="preserve">DEMOLICAO OBRAS DE CONCRETO ARMADO                                             </t>
  </si>
  <si>
    <t xml:space="preserve">LIMPEZA DE PLACA                                                               </t>
  </si>
  <si>
    <t xml:space="preserve">LIMPEZA TACHA REFLETIVA MONO/BIDIREC                                           </t>
  </si>
  <si>
    <t xml:space="preserve">PINTURA DE CAIACAO 2 DEMAOS                                                    </t>
  </si>
  <si>
    <t xml:space="preserve">LIMPEZA SUPERFICIAL CONCRETO                                                   </t>
  </si>
  <si>
    <t xml:space="preserve">ALVENARIA DE 1 TIJOLO                                                          </t>
  </si>
  <si>
    <t xml:space="preserve">RECOLHIMENTO DE ANIMAIS                                                        </t>
  </si>
  <si>
    <t xml:space="preserve">EQUIPE PARA SERVICOS CONSERVACAO                                               </t>
  </si>
  <si>
    <t xml:space="preserve">TRANSPORTE DE PESSOAL                                                          </t>
  </si>
  <si>
    <t xml:space="preserve">PINTURA LATEX ACRILICA                                                         </t>
  </si>
  <si>
    <t xml:space="preserve">REPOSICAO DE REVEST.PRIMARIO NA PISTA                                          </t>
  </si>
  <si>
    <t xml:space="preserve">REPOSICAO REVEST.PRIMARIO ACOSTAMENTO                                          </t>
  </si>
  <si>
    <t xml:space="preserve">RECONFORMACAO DE PLATAFORMA                                                    </t>
  </si>
  <si>
    <t xml:space="preserve">RECONFORMACAO DE ACOSTAMENTO                                                   </t>
  </si>
  <si>
    <t xml:space="preserve">RECOMPOSICAO MANUAL DE ATERRO                                                  </t>
  </si>
  <si>
    <t xml:space="preserve">RECOMPOSICAO MECANICA DE ATERRO                                                </t>
  </si>
  <si>
    <t xml:space="preserve">REMOCAO MANUAL DE BARREIRA                                                     </t>
  </si>
  <si>
    <t xml:space="preserve">REMOCAO MECANICA DE BARREIRA                                                   </t>
  </si>
  <si>
    <t xml:space="preserve">RETALUDAMENTO MECANICO 1A/2A CAT.                                              </t>
  </si>
  <si>
    <t xml:space="preserve">LIMP.TERRENO C/DEST.ARV.PERIMETRO&lt;=78                                          </t>
  </si>
  <si>
    <t xml:space="preserve">LIMP.TERRENO S/DESTOCAMENTO DE ARVORE                                          </t>
  </si>
  <si>
    <t xml:space="preserve">ESCAV.CARGA MATERIAL 2A.CAT.C/EXPLOSIVO                                        </t>
  </si>
  <si>
    <t xml:space="preserve">ESCAVACAO E CARGA MATERIAL DE 3A.CAT.                                          </t>
  </si>
  <si>
    <t xml:space="preserve">COMPACTACAO ATERRO MAIOR/IGUAL 95%PS                                           </t>
  </si>
  <si>
    <t xml:space="preserve">TRANSPORTE DE 1A/2A. CATEGORIA ATE 1KM                                         </t>
  </si>
  <si>
    <t xml:space="preserve">TRANSPORTE DE 1A/2A. CATEGORIA ATE 2KM                                         </t>
  </si>
  <si>
    <t xml:space="preserve">TRANSPORTE DE 1A/2A. CATEGORIA ATE 5KM                                         </t>
  </si>
  <si>
    <t xml:space="preserve">TRANSPORTE DE 1A/2A. CATEGORIA ATE 10KM                                        </t>
  </si>
  <si>
    <t xml:space="preserve">TRANSPORTE DE 1A/2A. CATEGORIA ATE 15KM                                        </t>
  </si>
  <si>
    <t xml:space="preserve">TRANSPORTE DE 1A/2A. CATEGORIA ALEM 15KM                                       </t>
  </si>
  <si>
    <t xml:space="preserve">REVESTIMENTO PRIMARIO                                                          </t>
  </si>
  <si>
    <t xml:space="preserve">REMENDO PRE-MISTURADO A QUENTE                                                 </t>
  </si>
  <si>
    <t xml:space="preserve">REMENDO PRE-MISTURADO A FRIO                                                   </t>
  </si>
  <si>
    <t xml:space="preserve">REPARO EMERGENCIAL DE PAV.-TAPA BURACO                                         </t>
  </si>
  <si>
    <t xml:space="preserve">REPARO DE BASE BRITA GRADUADA                                                  </t>
  </si>
  <si>
    <t xml:space="preserve">SELAGEM DE TRINCA COM MASTIQUE ASFALTICO                                       </t>
  </si>
  <si>
    <t xml:space="preserve">REPARO DE CONCRETO PORTLAND                                                    </t>
  </si>
  <si>
    <t xml:space="preserve">ESCAVACAO P/ REFORCO DE SUB-LEITO                                              </t>
  </si>
  <si>
    <t xml:space="preserve">COMPACTACAO PARA REFORCO DE SUB-LEITO                                          </t>
  </si>
  <si>
    <t xml:space="preserve">PREPARO E MELHORAMENTO SUB-LEITO                                               </t>
  </si>
  <si>
    <t xml:space="preserve">SUB-BASE OU BASE BRITA GRAD.SIMPLES                                            </t>
  </si>
  <si>
    <t xml:space="preserve">IMPRIMADURA BET.IMPERMEABILIZANTE                                              </t>
  </si>
  <si>
    <t xml:space="preserve">TRATAMENTO SUPERF.C/LAMA ASFALTICA                                             </t>
  </si>
  <si>
    <t xml:space="preserve">CAMADA DE LAMA ASFALTICA GROSSA                                                </t>
  </si>
  <si>
    <t xml:space="preserve">CAMADA DE ROLAMENTO CBUQ - PANOS S/DOP                                         </t>
  </si>
  <si>
    <t xml:space="preserve">CAM.BASE/REGULARIZACAO DE PMF                                                  </t>
  </si>
  <si>
    <t xml:space="preserve">CAPA SELANTE BETUMINOSA                                                        </t>
  </si>
  <si>
    <t xml:space="preserve">FRESAGEM PAVIMENTO                                                             </t>
  </si>
  <si>
    <t xml:space="preserve">REMOCAO CAMADA DE ROLAMENTO                                                    </t>
  </si>
  <si>
    <t xml:space="preserve">TRANSPORTE DE SOLO CIMENTO ATE 5 KM                                            </t>
  </si>
  <si>
    <t xml:space="preserve">SUB-BASE OU BASE SOLO CIM. 7% - PULV.                                          </t>
  </si>
  <si>
    <t xml:space="preserve">SUB-BASE OU BASE SOLO CIM. 10% - PULV.                                         </t>
  </si>
  <si>
    <t xml:space="preserve">RECICLAGEM PAVIMENTO IN LOCO                                                   </t>
  </si>
  <si>
    <t xml:space="preserve">REPARO DE GUARDA CORPO METALICO                                                </t>
  </si>
  <si>
    <t xml:space="preserve">ESCAVACAO MANUAL DE 1A/2A CATEGORIA                                            </t>
  </si>
  <si>
    <t xml:space="preserve">ESCAV.FUND.,BUEIRO OU DRENO S/EXPL.ATE2M                                       </t>
  </si>
  <si>
    <t xml:space="preserve">ACRESC.P/ESCAV. 1,5M PROF.,ALEM 2M                                             </t>
  </si>
  <si>
    <t xml:space="preserve">ESCAV.FUND.,BUEIRO OU DRENO C/EXPL.ATE2M                                       </t>
  </si>
  <si>
    <t xml:space="preserve">ACR.ESC.ENSEC.EXPL.C/1,5M PROF.ALEM 3M                                         </t>
  </si>
  <si>
    <t xml:space="preserve">COMPACTACAO MANUAL,REATERRO SOLO LOCAL                                         </t>
  </si>
  <si>
    <t xml:space="preserve">FORMA PLANA P/CONCRETO COMUM                                                   </t>
  </si>
  <si>
    <t xml:space="preserve">BOMBEAMENTO P/CONC.QUALQUER RESIST.                                            </t>
  </si>
  <si>
    <t xml:space="preserve">TUBO CONCRETO D=0,40M PA-1 - FORNEC.                                           </t>
  </si>
  <si>
    <t xml:space="preserve">TUBO CONCRETO D=0,40M PA-2 - FORNEC.                                           </t>
  </si>
  <si>
    <t xml:space="preserve">TUBO CONCRETO D=0,50M PA-3 - FORNEC.                                           </t>
  </si>
  <si>
    <t xml:space="preserve">TUBO CONCRETO D=0,60M PA-1 - FORNEC.                                           </t>
  </si>
  <si>
    <t xml:space="preserve">TUBO CONCRETO D=0,60M PA-2 - FORNEC.                                           </t>
  </si>
  <si>
    <t xml:space="preserve">TUBO CONCRETO D=0,60M PA-3 - FORNEC.                                           </t>
  </si>
  <si>
    <t xml:space="preserve">TUBO CONCRETO D=0,60M PA-4 - FORNEC.                                           </t>
  </si>
  <si>
    <t xml:space="preserve">TUBO CONCRETO D=0,80M PA-1 - FORNEC.                                           </t>
  </si>
  <si>
    <t xml:space="preserve">TUBO CONCRETO D=0,80M PA-2 - FORNEC.                                           </t>
  </si>
  <si>
    <t xml:space="preserve">TUBO CONCRETO D=0,80M PA-3 - FORNEC.                                           </t>
  </si>
  <si>
    <t xml:space="preserve">TUBO CONCRETO D=0,80M PA-4 - FORNEC.                                           </t>
  </si>
  <si>
    <t xml:space="preserve">TUBO CONCRETO D=1,00M PA-1 - FORNEC.                                           </t>
  </si>
  <si>
    <t xml:space="preserve">TUBO CONCRETO D=1,20M PA-1 - FORNEC.                                           </t>
  </si>
  <si>
    <t xml:space="preserve">TUBO CONCRETO D=1,50M PA-1 - FORNEC.                                           </t>
  </si>
  <si>
    <t xml:space="preserve">TUBO CONCRETO D=0,40M ASSENTAMENTO                                             </t>
  </si>
  <si>
    <t xml:space="preserve">TUBO CONCRETO D=0,50M ASSENTAMENTO                                             </t>
  </si>
  <si>
    <t xml:space="preserve">TUBO CONCRETO D=0,60M ASSENTAMENTO                                             </t>
  </si>
  <si>
    <t xml:space="preserve">TUBO CONCRETO D=0,80M ASSENTAMENTO                                             </t>
  </si>
  <si>
    <t xml:space="preserve">TUBO CONCRETO D=1,00M ASSENTAMENTO                                             </t>
  </si>
  <si>
    <t xml:space="preserve">TUBO CONCRETO D=1,20M ASSENTAMENTO                                             </t>
  </si>
  <si>
    <t xml:space="preserve">TUBO CONCRETO D=1,50M ASSENTAMENTO                                             </t>
  </si>
  <si>
    <t>37.04.53</t>
  </si>
  <si>
    <t xml:space="preserve">GABIAO TIPO CAIXA, ZINCO-ALUMINIO, NBR 8964, ALTURA 50CM                       </t>
  </si>
  <si>
    <t xml:space="preserve">TUBO PVC PERFURADO OU NAO D=0,050M                                             </t>
  </si>
  <si>
    <t xml:space="preserve">TUBO PVC PERFURADO OU NAO D=0,10M                                              </t>
  </si>
  <si>
    <t xml:space="preserve">TUBO PVC PERFURADO OU NAO D=0,15M                                              </t>
  </si>
  <si>
    <t xml:space="preserve">MANTA GEOTEXTIL NAO TECIDA                                                     </t>
  </si>
  <si>
    <t xml:space="preserve">MANTA GEOTEXTIL NAO TECIDA RESISTENCIA LONGITUDINAL 7KN/M                      </t>
  </si>
  <si>
    <t xml:space="preserve">MANTA GEOTEXTIL NAO TECIDA RESISTENCIA LONGITUDINAL 8KN/M                      </t>
  </si>
  <si>
    <t xml:space="preserve">MANTA GEOTEXTIL NAO TECIDA RESISTENCIA LONGITUDINAL 9KN/M                      </t>
  </si>
  <si>
    <t xml:space="preserve">MANTA GEOTEXTIL TECIDA RESISTENCIA LONGITUDINAL 24 KN/M                        </t>
  </si>
  <si>
    <t xml:space="preserve">MANTA GEOTEXTIL TECIDA RESISTENCIA LONGITUDINAL 48 KN/M                        </t>
  </si>
  <si>
    <t xml:space="preserve">ENCHIMENTO DE VALA COM AREIA LAVADA                                            </t>
  </si>
  <si>
    <t xml:space="preserve">ENCHIMENTO DE VALA COM PEDRA RACHAO                                            </t>
  </si>
  <si>
    <t xml:space="preserve">TUBO ACO CORRUGADO GALV.MET.NAO DESTRUT.                                       </t>
  </si>
  <si>
    <t xml:space="preserve">TUBO ACO CORR.EPOXI MET. DESTRUTIVO                                            </t>
  </si>
  <si>
    <t xml:space="preserve">SUPORTE DE PERFIL METALICO GALVANIZADO                                         </t>
  </si>
  <si>
    <t xml:space="preserve">SUPORTE DE TUBO GALVANIZADO D=2 1/2"                                           </t>
  </si>
  <si>
    <t xml:space="preserve">SUBSTITUICAO DE DEFENSA SEMI-MALEAVEL                                          </t>
  </si>
  <si>
    <t xml:space="preserve">TACHA REFLETIVA MONODIRECIONAL TIPO III OU IV ABNT (VIDRO OU PRISMATICA)       </t>
  </si>
  <si>
    <t xml:space="preserve">TACHA REFLETIVA BIDIRECIONAL TIPO III OU ABNT (VIDRO OU PRISMATICA)            </t>
  </si>
  <si>
    <t xml:space="preserve">MINI TACHAO MONODIRECIONAL REFL.VIDRO                                          </t>
  </si>
  <si>
    <t xml:space="preserve">MINI TACHAO BIDIRECIONAL REFL.VIDRO                                            </t>
  </si>
  <si>
    <t xml:space="preserve">SINALIZ.HORIZ.ACRIL.BASE DE AGUA                                               </t>
  </si>
  <si>
    <t xml:space="preserve">RENOV.TINTA RES.ACRIL./VINILICA                                                </t>
  </si>
  <si>
    <t xml:space="preserve">RENOV.MAT.TERMOPL.ASPERSAO                                                     </t>
  </si>
  <si>
    <t xml:space="preserve">RENOV.MAT.TERMOPL.EXTRUSAO                                                     </t>
  </si>
  <si>
    <t>37.05.20.05</t>
  </si>
  <si>
    <t xml:space="preserve">FORNECIMENTO E APLICACAO DE MATERIAL TERMOPLASTICO DE ALTORELEVO               </t>
  </si>
  <si>
    <t xml:space="preserve">SINALIZ.HORIZ.ACRIL.BASE AGUA C/VISIBE.                                        </t>
  </si>
  <si>
    <t>37.05.26</t>
  </si>
  <si>
    <t xml:space="preserve">RETIRADA DE PLACA DE SOLO EM SUPORTE DE MADEIRA OU METALICO.                   </t>
  </si>
  <si>
    <t xml:space="preserve">COLOCACAO DE PLACA EM SUPORTE DE MADEIRA OU METALICO - SOLO                    </t>
  </si>
  <si>
    <t xml:space="preserve">COLOCACAO DE PLACA AEREA EM PORTICOS OU SEMI-PORTICOS.                         </t>
  </si>
  <si>
    <t xml:space="preserve">FORNECIMENTO E TRANSPORTE DE PLACA DE ACO GT+GT.                               </t>
  </si>
  <si>
    <t xml:space="preserve">FORNECIMENTO E TRANSPORTE DE PLACA MOD. ALUMINIO GT+GT.                        </t>
  </si>
  <si>
    <t xml:space="preserve">FORN.E COL.PL.AL.MOD.GT+AI PORT/SEMI PORT                                      </t>
  </si>
  <si>
    <t xml:space="preserve">DISP.MARCADOR ALINHAM-BARR.PLAST.BICOLOR                                       </t>
  </si>
  <si>
    <t xml:space="preserve">DISP.MARC.ALINH.-CILINDRO CANAL. TRAFEGO                                       </t>
  </si>
  <si>
    <t xml:space="preserve">DISP.DELIMITADOR-BALIZADOR CIL.C/PEL.AI                                        </t>
  </si>
  <si>
    <t xml:space="preserve">DISP.MARCADOR ALINH-BAIA P/BALIZ.SIMPLES                                       </t>
  </si>
  <si>
    <t xml:space="preserve">LAMELA ANT. DEFENSA H=0,80M                                                    </t>
  </si>
  <si>
    <t xml:space="preserve">DISPOSITIVO DELIMITADOR-BALIZADOR DE SOLO                                      </t>
  </si>
  <si>
    <t xml:space="preserve">GRAMA EM PLACA COM ADUBO                                                       </t>
  </si>
  <si>
    <t xml:space="preserve">ROCADA MECANICA                                                                </t>
  </si>
  <si>
    <t xml:space="preserve">CAPINA MANUAL                                                                  </t>
  </si>
  <si>
    <t xml:space="preserve">CAPINA QUIMICA                                                                 </t>
  </si>
  <si>
    <t xml:space="preserve">CONSERVACAO MANUAL DE ACEIRO                                                   </t>
  </si>
  <si>
    <t xml:space="preserve">DESPRAGUEJAMENTO MANUAL DE GRAMADO                                             </t>
  </si>
  <si>
    <t xml:space="preserve">REMOCAO LIXO ENTULHO                                                           </t>
  </si>
  <si>
    <t xml:space="preserve">ACAB.CONCRETO DE SUPERF.B-436 - COND. A                                        </t>
  </si>
  <si>
    <t xml:space="preserve">ACAB.CONCRETO DE SUPERF.B-436 - COND. B                                        </t>
  </si>
  <si>
    <t xml:space="preserve">ACAB.CONCRETO DE SUPERF.B-436 - COND. C                                        </t>
  </si>
  <si>
    <t xml:space="preserve">ACAB. CONCRETO DE SUPERF.B-436 - COND. D                                       </t>
  </si>
  <si>
    <t xml:space="preserve">ACAB.DE CONCRETO SUPERF.BG-38 - COND. A                                        </t>
  </si>
  <si>
    <t xml:space="preserve">ACAB.DE CONCRETO SUPERF.BG-38 - COND. B                                        </t>
  </si>
  <si>
    <t xml:space="preserve">ACAB.DE CONCRETO SUPERF.BG-38 - COND. C                                        </t>
  </si>
  <si>
    <t xml:space="preserve">ACAB.DE CONCRETO SUPERF.BG-38 - COND. D                                        </t>
  </si>
  <si>
    <t xml:space="preserve">VEICULO C/CAPAC.P/4 PES.1.600CC COND. A                                        </t>
  </si>
  <si>
    <t xml:space="preserve">VEICULO C/CAPAC.P/4 PES.1600CC COND. B                                         </t>
  </si>
  <si>
    <t xml:space="preserve">VEICULO C/CAPAC.P/4 PES.1600CC COND. C                                         </t>
  </si>
  <si>
    <t xml:space="preserve">VEICULO C/CAPAC.P/4 PES.1.600CC COND. D                                        </t>
  </si>
  <si>
    <t xml:space="preserve">VEICULO C/CAPAC.P/4 PES. 1.600CC COND. E                                       </t>
  </si>
  <si>
    <t xml:space="preserve">VEICULO C/CAPAC.P/4 PES. 1.600CC COND F                                        </t>
  </si>
  <si>
    <t xml:space="preserve">VEICULO C/CAPAC.P/4 PES. 1.000CC COND. A                                       </t>
  </si>
  <si>
    <t xml:space="preserve">VEICULO C/CAPAC.P/4 PES. 1.000CC COND. B                                       </t>
  </si>
  <si>
    <t xml:space="preserve">VEICULO C/CAPAC.P/4 PES. 1.000CC COND. C                                       </t>
  </si>
  <si>
    <t xml:space="preserve">VEICULO C/CAPAC.P/4 PES. 1.000CC COND. D                                       </t>
  </si>
  <si>
    <t xml:space="preserve">VEICULO C/CAPAC.P/4 PES. 1.000CC COND. E                                       </t>
  </si>
  <si>
    <t xml:space="preserve">VEICULO C/CAPAC.P/4 PES.1000CC COND. F                                         </t>
  </si>
  <si>
    <t xml:space="preserve">VEICULO UTIL.CAMIONETE P/3 PES. COND. A                                        </t>
  </si>
  <si>
    <t xml:space="preserve">VEICULO UTIL.CAMIONETE P/3 PES. COND. B                                        </t>
  </si>
  <si>
    <t xml:space="preserve">VEICULO UTIL.CAMIONETE P/3 PES. COND. C                                        </t>
  </si>
  <si>
    <t xml:space="preserve">VEICULO UTIL.CAMIONETE P/3 PES. COND. D                                        </t>
  </si>
  <si>
    <t xml:space="preserve">VEICULO UTIL.CAMIONETE P/ 3 PES. COND. E                                       </t>
  </si>
  <si>
    <t xml:space="preserve">VEICULO UTIL.CAMIONETE P/3 PES.COND. F                                         </t>
  </si>
  <si>
    <t xml:space="preserve">VEICULO DE PREMARCACAO - COND. A                                               </t>
  </si>
  <si>
    <t xml:space="preserve">VEICULO DE PREMARCACAO - COND. B                                               </t>
  </si>
  <si>
    <t xml:space="preserve">VEICULO DE PREMARCACAO - COND. C                                               </t>
  </si>
  <si>
    <t xml:space="preserve">VEICULO DE PREMARCACAO - COND. D                                               </t>
  </si>
  <si>
    <t xml:space="preserve">VEICULO PEQUENO 1.6CC COM AR E DIRECAO HIDRAULICA - CONDICAO A                 </t>
  </si>
  <si>
    <t xml:space="preserve">VEICULO PEQUENO 1.6CC COM AR E DIRECAO HIDRAULICA - CONDICAO B                 </t>
  </si>
  <si>
    <t xml:space="preserve">VEICULO PEQUENO 1.6CC COM AR E DIRECAO HIDRAULICA - CONDICAO C                 </t>
  </si>
  <si>
    <t xml:space="preserve">VEICULO C/ CAP.P/4.PESSOAS 1.600CC C/ AR + DIR.HID. + AIR BAG - COND.D         </t>
  </si>
  <si>
    <t xml:space="preserve">VEICULO PEQUENO 1.6CC COM AR E DIRECAO HIDRAULICA - CONDICAO E                 </t>
  </si>
  <si>
    <t xml:space="preserve">VEICULO PEQUENO 1.6CC COM AR E DIRECAO HIDRAULICA - CONDICAO F                 </t>
  </si>
  <si>
    <t xml:space="preserve">VEICULO UTILITARIO COM MINIMO DE 10 LUGARES COM AR E DIR. HID. CONDICAO A      </t>
  </si>
  <si>
    <t xml:space="preserve">VEICULO UTILITARIO COM MINIMO DE 10 LUGARES COM AR E DIR. HID. CONDICAOB       </t>
  </si>
  <si>
    <t xml:space="preserve">VEICULO UTILITARIO COM MINIMO DE 10 LUGARES COM AR E DIR. HID. CONDICAO C      </t>
  </si>
  <si>
    <t xml:space="preserve">VEICULO UTILITARIO C/MIN.10LUGARES C/ AR + DIR.HID. COND.D                     </t>
  </si>
  <si>
    <t xml:space="preserve">VEICULO UTILITARIO COM MINIMO DE 10 LUGARES COM AR E DIR. HID. CONDICAOE       </t>
  </si>
  <si>
    <t xml:space="preserve">VEICULO UTILITARIO COM MINIMO DE 10 LUGARES COM AR E DIR. HID. CONDICAOF       </t>
  </si>
  <si>
    <t xml:space="preserve">VEICULO UTILITARIO PICK-UP COM AR E DIR. HID. CONDICAO A                       </t>
  </si>
  <si>
    <t xml:space="preserve">VEICULO UTILITARIO PICK-UP COM AR E DIR. HID. CONDICAOB                        </t>
  </si>
  <si>
    <t xml:space="preserve">VEICULO UTILITARIO PICK-UP COM AR E DIR. HID. CONDICAO C                       </t>
  </si>
  <si>
    <t xml:space="preserve">VEICULO UTILITARIO CAMIONETE P/3 PESSOAS C/ AR + DIR.HID.+ AIRBAG              </t>
  </si>
  <si>
    <t xml:space="preserve">VEICULO UTILITARIO PICK-UP COM AR E DIR. HID. CONDICAO E                       </t>
  </si>
  <si>
    <t xml:space="preserve">VEICULO UTILITARIO PICK-UP COM AR E DIR. HID. CONDICAOF                        </t>
  </si>
  <si>
    <t xml:space="preserve">BATE ESTACA 40 ATE 80 T - COND. A                                              </t>
  </si>
  <si>
    <t xml:space="preserve">BATE ESTACA 40 ATE 80 T - COND. B                                              </t>
  </si>
  <si>
    <t xml:space="preserve">BATE ESTACA 40 ATE 80 T - COND. C                                              </t>
  </si>
  <si>
    <t xml:space="preserve">BATE ESTACA 40 ATE 80 T - COND. D                                              </t>
  </si>
  <si>
    <t xml:space="preserve">BATE ESTACA ATE 40T COND. A                                                    </t>
  </si>
  <si>
    <t xml:space="preserve">BATE ESTACA ATE 40T CONDI. B                                                   </t>
  </si>
  <si>
    <t xml:space="preserve">BATE ESTACA ATE 40T COND. C                                                    </t>
  </si>
  <si>
    <t xml:space="preserve">BATE ESTACA ATE 40T COND. D                                                    </t>
  </si>
  <si>
    <t xml:space="preserve">BETONEIRA 320L MOTOR ELETRICO COND.A                                           </t>
  </si>
  <si>
    <t xml:space="preserve">BETONEIRA 320L MOTOR ELETRICO COND.B                                           </t>
  </si>
  <si>
    <t xml:space="preserve">BETONEIRA 320L MOTOR ELETRICO COND.C                                           </t>
  </si>
  <si>
    <t xml:space="preserve">BETONEIRA 320L MOTOR ELETRICO COND.D                                           </t>
  </si>
  <si>
    <t xml:space="preserve">BETONEIRA 320L MOTOR GASOLINA COND. A                                          </t>
  </si>
  <si>
    <t xml:space="preserve">BETONEIRA 320L MOTOR GASOLINA COND. B                                          </t>
  </si>
  <si>
    <t xml:space="preserve">BETONEIRA 320L MOTOR GASOLINA COND. C                                          </t>
  </si>
  <si>
    <t xml:space="preserve">BETONEIRA 320L MOTOR GASOLINA COND. D                                          </t>
  </si>
  <si>
    <t xml:space="preserve">BETONEIRA 580L ELETRICA C/CARREG. COND.A                                       </t>
  </si>
  <si>
    <t xml:space="preserve">BETONEIRA 580L ELETRICA C/CARREG. COND.B                                       </t>
  </si>
  <si>
    <t xml:space="preserve">BETONEIRA 580L ELETRICA C/CARREG. COND.C                                       </t>
  </si>
  <si>
    <t xml:space="preserve">BETONEIRA 580L ELETRICA C/CARREG. COND.D                                       </t>
  </si>
  <si>
    <t xml:space="preserve">BETONEIRA 580L MOTOR A DIESEL COND. A                                          </t>
  </si>
  <si>
    <t xml:space="preserve">BETONEIRA 580L MOTOR A DIESEL COND. B                                          </t>
  </si>
  <si>
    <t xml:space="preserve">BETONEIRA 580L MOTOR A DIESEL COND. C                                          </t>
  </si>
  <si>
    <t xml:space="preserve">BETONEIRA 580L MOTOR A DIESEL - COND. D                                        </t>
  </si>
  <si>
    <t xml:space="preserve">BOMBA DREN.SUBMER.ELETR.27M3/H COND. A                                         </t>
  </si>
  <si>
    <t xml:space="preserve">BOMBA DREN.SUBMER.ELETR.27M3/H COND. B                                         </t>
  </si>
  <si>
    <t xml:space="preserve">BOMBA DREN.SUBMER.ELETR.27M3/H COND. C                                         </t>
  </si>
  <si>
    <t xml:space="preserve">BOMBA DREN.SUBMER.ELETR.27M3/H COND. D                                         </t>
  </si>
  <si>
    <t xml:space="preserve">BOMBA DREN.SUBMER.ELETR.60M3/H COND. A                                         </t>
  </si>
  <si>
    <t xml:space="preserve">BOMBA DREN.SUBMER.ELETR.60M3/H COND. B                                         </t>
  </si>
  <si>
    <t xml:space="preserve">BOMBA DREN.SUBMER.ELETR.60M3/H COND. C                                         </t>
  </si>
  <si>
    <t xml:space="preserve">BOMBA DREN.SUBMER.ELETR.60M3/H COND. D                                         </t>
  </si>
  <si>
    <t xml:space="preserve">BOMBA DREN.SUBMER.ELETR.144M3/H COND. A                                        </t>
  </si>
  <si>
    <t xml:space="preserve">BOMBA DREN.SUBMER.ELETR.144M3/H COND. B                                        </t>
  </si>
  <si>
    <t xml:space="preserve">BOMBA DREN.SUBMER.ELETR.144M3/H COND. C                                        </t>
  </si>
  <si>
    <t xml:space="preserve">BOMBA DREN.SUBMER.ELETR.144M3/H COND. D                                        </t>
  </si>
  <si>
    <t xml:space="preserve">BOMBA DREN.SUBMER.ELETR.180M3/H COND. A                                        </t>
  </si>
  <si>
    <t xml:space="preserve">BOMBA DREN.SUBMER.ELETR.180M3/H COND. B                                        </t>
  </si>
  <si>
    <t xml:space="preserve">BOMBA DREN.SUBMER.ELETR.180M3/H COND. C                                        </t>
  </si>
  <si>
    <t xml:space="preserve">BOMBA DREN.SUBMER.ELETR.180M3/H COND. D                                        </t>
  </si>
  <si>
    <t xml:space="preserve">BOMBA DREN.SUB.GAS.60.000L/H COND. A                                           </t>
  </si>
  <si>
    <t xml:space="preserve">BOMBA DREN.SUB.GAS.60.000L/H COND. B                                           </t>
  </si>
  <si>
    <t xml:space="preserve">BOMBA DREN.SUB.GAS.60.000L/H COND. C                                           </t>
  </si>
  <si>
    <t xml:space="preserve">BOMBA DREN.SUB.GAS.60.000L/H COND. D                                           </t>
  </si>
  <si>
    <t xml:space="preserve">BOMBA INJ.PROJ.NATA CIM.ARG.1M3/H COND.A                                       </t>
  </si>
  <si>
    <t xml:space="preserve">BOMBA INJ.PROJ.NATA CIM.ARG.1M3/H COND.B                                       </t>
  </si>
  <si>
    <t xml:space="preserve">BOMBA INJ.PROJ.NATA CIM.ARG.1M3/H COND.C                                       </t>
  </si>
  <si>
    <t xml:space="preserve">BOMBA INJ.PROJ.NATA CIM.ARG.1M3/H COND.D                                       </t>
  </si>
  <si>
    <t xml:space="preserve">BOMBA INJ.PROJ.NATA CIM.ARG.3M3/H COND.A                                       </t>
  </si>
  <si>
    <t xml:space="preserve">BOMBA INJ.PROJ.NATA CIM.ARG.3M3/H COND.B                                       </t>
  </si>
  <si>
    <t xml:space="preserve">BOMBA INJ.PROJ.NATA CIM.ARG.3M3/H COND.C                                       </t>
  </si>
  <si>
    <t xml:space="preserve">BOMBA INJ.PROJ.NATA CIM.ARG.3M3/H COND.D                                       </t>
  </si>
  <si>
    <t xml:space="preserve">BOM.INJ.PROJ.CONCR.35M3/H COND. A                                              </t>
  </si>
  <si>
    <t xml:space="preserve">BOM.INJ.PROJ.CONCR.35M3/H COND. B                                              </t>
  </si>
  <si>
    <t xml:space="preserve">BOM.INJ.PROJ.CONCR.35M3/H COND. C                                              </t>
  </si>
  <si>
    <t xml:space="preserve">BOM.INJ.PROJ.CONCR.35M3/H COND. D                                              </t>
  </si>
  <si>
    <t xml:space="preserve">BOMBA PROJECAO DE CONC.MAN.10M3/H COND.A                                       </t>
  </si>
  <si>
    <t xml:space="preserve">BOMBA PROJECAO DE CONC.MAN.10M3/H COND.B                                       </t>
  </si>
  <si>
    <t xml:space="preserve">BOMBA PROJECAO DE CONC.MAN.10M3/H COND.C                                       </t>
  </si>
  <si>
    <t xml:space="preserve">BOMBA PROJECAO DE CONC.MAN.10M3/H COND.D                                       </t>
  </si>
  <si>
    <t xml:space="preserve">BOM.PROJ.CONC.C/LANCA TEL.23M3/H COND.A                                        </t>
  </si>
  <si>
    <t xml:space="preserve">BOM.PROJ.CONC.C/LANCA TEL.23M3/H COND.B                                        </t>
  </si>
  <si>
    <t xml:space="preserve">BOM.PROJ.CONC.C/LANCA TEL.23M3/H COND.C                                        </t>
  </si>
  <si>
    <t xml:space="preserve">BOM.PROJ.CONC.C/LANCA TEL 23M3/H COND.D                                        </t>
  </si>
  <si>
    <t xml:space="preserve">BOMBA HIDRAULICA PARA PROTENSAO COND.A                                         </t>
  </si>
  <si>
    <t xml:space="preserve">BOMBA HIDRAULICA PARA PROTENSAO COND.B                                         </t>
  </si>
  <si>
    <t xml:space="preserve">BOMBA HIDRAULICA PARA PROTENSAO COND.C                                         </t>
  </si>
  <si>
    <t xml:space="preserve">BOMBA HIDRAULICA PARA PROTENSAO COND.D                                         </t>
  </si>
  <si>
    <t xml:space="preserve">MACACO PARA PROTENSAO AU-1 COND. A                                             </t>
  </si>
  <si>
    <t xml:space="preserve">MACACO PARA PROTENSAO AU-1 COND. B                                             </t>
  </si>
  <si>
    <t xml:space="preserve">MACACO PARA PROTENSAO AU-1 COND. C                                             </t>
  </si>
  <si>
    <t xml:space="preserve">MACACO PARA PROTENCAO AU-1 COND. D                                             </t>
  </si>
  <si>
    <t xml:space="preserve">MACACO PROTENSAO AU-5 COND. A                                                  </t>
  </si>
  <si>
    <t xml:space="preserve">MACACO PROTENSAO AU-5 COND. B                                                  </t>
  </si>
  <si>
    <t xml:space="preserve">MACACO PROTENSAO AU-5 COND. C                                                  </t>
  </si>
  <si>
    <t xml:space="preserve">MACACO PROTENSAO AU-5 COND. D                                                  </t>
  </si>
  <si>
    <t xml:space="preserve">MACACO PROTENSAO S-6 COND. A                                                   </t>
  </si>
  <si>
    <t xml:space="preserve">MACACO PROTENSAO S-6 COND. B                                                   </t>
  </si>
  <si>
    <t xml:space="preserve">MACACO PROTENSAO S-6 COND. C                                                   </t>
  </si>
  <si>
    <t xml:space="preserve">MACACO PROTENSAO S-6 COND. D                                                   </t>
  </si>
  <si>
    <t xml:space="preserve">MACACO PROTENSAO K-350 COND. A                                                 </t>
  </si>
  <si>
    <t xml:space="preserve">MACACO PROTENSAO K-350 COND. B                                                 </t>
  </si>
  <si>
    <t xml:space="preserve">MACACO PROTENSAO K-350 COND. C                                                 </t>
  </si>
  <si>
    <t xml:space="preserve">MACACO PROTENSAO K-350 COND. D                                                 </t>
  </si>
  <si>
    <t xml:space="preserve">CAMINHAO IRRIGADEIRA 6000L COND. A                                             </t>
  </si>
  <si>
    <t xml:space="preserve">CAMINHAO IRRIGADEIRA 6000L COND. B                                             </t>
  </si>
  <si>
    <t xml:space="preserve">CAMINHAO IRRIGADEIRA 6000L COND. C                                             </t>
  </si>
  <si>
    <t xml:space="preserve">CAMINHAO IRRIGADEIRA 6000L COND. D                                             </t>
  </si>
  <si>
    <t xml:space="preserve">CAMINHAO IRRIGADEIRA 6000L COND. E                                             </t>
  </si>
  <si>
    <t xml:space="preserve">CAMINHAO IRRIGADEIRA 9000L COND. A                                             </t>
  </si>
  <si>
    <t xml:space="preserve">CAMINHAO IRRIGADEIRA 9000L COND. B                                             </t>
  </si>
  <si>
    <t xml:space="preserve">CAMINHAO IRRIGADEIRA 9000L COND. C                                             </t>
  </si>
  <si>
    <t xml:space="preserve">CAMINHAO IRRIGADEIRA 9000L COND. D                                             </t>
  </si>
  <si>
    <t xml:space="preserve">CAMINHAO IRRIGADEIRA 9000L COND. E                                             </t>
  </si>
  <si>
    <t xml:space="preserve">CAMINHAO BASCULANTE 5M3 COND. A                                                </t>
  </si>
  <si>
    <t xml:space="preserve">CAMINHAO BASCULANTE 5M3 COND. B                                                </t>
  </si>
  <si>
    <t xml:space="preserve">CAMINHAO BASCULANTE 5M3 COND. C                                                </t>
  </si>
  <si>
    <t xml:space="preserve">CAMINHAO BASCULANTE 5M3 COND. D                                                </t>
  </si>
  <si>
    <t xml:space="preserve">CAMINHAO BASCULANTE 5M3 COND. E                                                </t>
  </si>
  <si>
    <t xml:space="preserve">CAMINHAO BASCULANTE 8M3 COND. A                                                </t>
  </si>
  <si>
    <t xml:space="preserve">CAMINHAO BASCULANTE 8M3 COND. B                                                </t>
  </si>
  <si>
    <t xml:space="preserve">CAMINHAO BASCULANTE 8M3 COND. C                                                </t>
  </si>
  <si>
    <t xml:space="preserve">CAMINHAO BASCULANTE 8M3 COND. D                                                </t>
  </si>
  <si>
    <t xml:space="preserve">CAMINHAO BASCULANTE 8M3 COND. E                                                </t>
  </si>
  <si>
    <t xml:space="preserve">CHAS.BASC.12M3 C-A                                                             </t>
  </si>
  <si>
    <t xml:space="preserve">CHAS.BASC.12M3 C-B                                                             </t>
  </si>
  <si>
    <t xml:space="preserve">CHAS.BASC.12M3 C-C                                                             </t>
  </si>
  <si>
    <t xml:space="preserve">CAMINHAO BASCULANTE 12M3 COND. D                                               </t>
  </si>
  <si>
    <t xml:space="preserve">CHAS.BASC.12M3 C-E                                                             </t>
  </si>
  <si>
    <t xml:space="preserve">CAMINHAO BASC.FORA ESTR. 18,3M3 COND. A                                        </t>
  </si>
  <si>
    <t xml:space="preserve">CAMINHAO BASC. FORA ESTR. 18,3M3 COND. B                                       </t>
  </si>
  <si>
    <t xml:space="preserve">CAMINHAO BASC. FORA ESTR. 18.3M3 COND. C                                       </t>
  </si>
  <si>
    <t xml:space="preserve">CAMINHAO BASC.FORA ESTR. 18,3M3 COND. D                                        </t>
  </si>
  <si>
    <t xml:space="preserve">CAMINHAO BASC.FORA ESTR.18,3M3 COND. E                                         </t>
  </si>
  <si>
    <t xml:space="preserve">CAMINHAO BETONEIRA 5M3 COND. A                                                 </t>
  </si>
  <si>
    <t xml:space="preserve">CAMINHAO BETONEIRA 5M3 COND. B                                                 </t>
  </si>
  <si>
    <t xml:space="preserve">CAMINHAO BETONEIRA 5M3 COND. C                                                 </t>
  </si>
  <si>
    <t xml:space="preserve">CAMINHAO BETONEIRA 5M3 COND. D                                                 </t>
  </si>
  <si>
    <t xml:space="preserve">CAMINHAO BETONEIRA 5M3 COND. E                                                 </t>
  </si>
  <si>
    <t xml:space="preserve">CAMINHAO BETONEIRA 7M3 COND. A                                                 </t>
  </si>
  <si>
    <t xml:space="preserve">CAMINHAO BETONEIRA 7M3 COND. B                                                 </t>
  </si>
  <si>
    <t xml:space="preserve">CAMINHAO BETONEIRA 7M3 COND. C                                                 </t>
  </si>
  <si>
    <t xml:space="preserve">CAMINHAO BETONEIRA 7M3 COND. D                                                 </t>
  </si>
  <si>
    <t xml:space="preserve">CAMINHAO BETONEIRA 7M3 COND. E                                                 </t>
  </si>
  <si>
    <t xml:space="preserve">CAMINHAO P/BOMBEAMENTO DE CONC. COND. A                                        </t>
  </si>
  <si>
    <t xml:space="preserve">CAMINHAO P/BOMBEAMENTO DE CONC. COND. B                                        </t>
  </si>
  <si>
    <t xml:space="preserve">CAMINHAO P/BOMBEAMENTO DE CONC. COND. C                                        </t>
  </si>
  <si>
    <t xml:space="preserve">CAMINHAO P/BOMBEAMENTO DE CONC. COND. D                                        </t>
  </si>
  <si>
    <t xml:space="preserve">CAMINHAO P/BOMBEAMENTO DE CONC. COND. E                                        </t>
  </si>
  <si>
    <t xml:space="preserve">CAMINHAO CARROC. MADEIRA 4,5T COND. A                                          </t>
  </si>
  <si>
    <t xml:space="preserve">CAMINHAO CARROC. MADEIRA 4,5T COND. B                                          </t>
  </si>
  <si>
    <t xml:space="preserve">CAMINHAO CARROC. MADEIRA 4,5T COND. C                                          </t>
  </si>
  <si>
    <t xml:space="preserve">CAMINHAO CARROC. MADEIRA 4,5T COND. D                                          </t>
  </si>
  <si>
    <t xml:space="preserve">CAMINHAO CARROC. MADEIRA 4,5 T COND. E                                         </t>
  </si>
  <si>
    <t xml:space="preserve">CAMINHAO CARROC. MADEIRA 8,0T COND. A                                          </t>
  </si>
  <si>
    <t xml:space="preserve">CAMINHAO CARROC. MADEIRA 8,0T COND. B                                          </t>
  </si>
  <si>
    <t xml:space="preserve">CAMINHAO CARROC. MADEIRA 8,0T COND. C                                          </t>
  </si>
  <si>
    <t xml:space="preserve">CAMINHAO CARROC. MADEIRA 8,0T COND. D                                          </t>
  </si>
  <si>
    <t xml:space="preserve">CAMINHAO CARROC. MADEIRA 8,0 TON COND. E                                       </t>
  </si>
  <si>
    <t xml:space="preserve">CAMINHAO CARROC. MADEIRA 10,5T COND. A                                         </t>
  </si>
  <si>
    <t xml:space="preserve">CAMINHAO CARROC. MADEIRA 10,5T COND. B                                         </t>
  </si>
  <si>
    <t xml:space="preserve">CAMINHAO CARROC. MADEIRA 10,5T COND. C                                         </t>
  </si>
  <si>
    <t xml:space="preserve">CAMINHAO CARROC. MADEIRA 10,5T COND. D                                         </t>
  </si>
  <si>
    <t xml:space="preserve">CAMINHAO CARROC. MADEIRA 10,5T COND. E                                         </t>
  </si>
  <si>
    <t xml:space="preserve">CAMINHAO PARA LUBRIFICACAO 3000L COND. A                                       </t>
  </si>
  <si>
    <t xml:space="preserve">CAMINHAO PARA LUBRIFICACAO 3000L COND. B                                       </t>
  </si>
  <si>
    <t xml:space="preserve">CAMINHAO PARA LUBRIFICACAO 3000L COND. C                                       </t>
  </si>
  <si>
    <t xml:space="preserve">CAMINHAO PARA LUBRIFICACAO 3000L COND. D                                       </t>
  </si>
  <si>
    <t xml:space="preserve">CAMINHAO P/ LUBRIFICACAO 3000L COND. E                                         </t>
  </si>
  <si>
    <t xml:space="preserve">CAMINHAO PARA LUBRIFICACAO 7000L COND. A                                       </t>
  </si>
  <si>
    <t xml:space="preserve">CAMINHAO PARA LUBRIFICACAO 7000L COND. B                                       </t>
  </si>
  <si>
    <t xml:space="preserve">CAMINHAO PARA LUBRIFICACAO 7000L COND. C                                       </t>
  </si>
  <si>
    <t xml:space="preserve">CAMINHAO PARA LUBRIFICACAO 7000L COND. D                                       </t>
  </si>
  <si>
    <t xml:space="preserve">CAMINHAO P/LUBRIFICACAO 7000L COND. E                                          </t>
  </si>
  <si>
    <t xml:space="preserve">CAMINHAO ABASTECEDOR COND. A                                                   </t>
  </si>
  <si>
    <t xml:space="preserve">CAMINHAO ABASTECEDOR COND. B                                                   </t>
  </si>
  <si>
    <t xml:space="preserve">CAMINHAO ABASTECEDOR COND. C                                                   </t>
  </si>
  <si>
    <t xml:space="preserve">CAMINHAO ABASTECEDOR COND. D                                                   </t>
  </si>
  <si>
    <t xml:space="preserve">CAMINHAO ABASTECEDOR COND. E                                                   </t>
  </si>
  <si>
    <t xml:space="preserve">CAMINHAO CARROC.BOIAD.R.8T COND. A                                             </t>
  </si>
  <si>
    <t xml:space="preserve">CAMINHAO CARROC.BOIAD.R.8T COND. B                                             </t>
  </si>
  <si>
    <t xml:space="preserve">CAMINHAO CARROC.BOIAD.R.8T COND. C                                             </t>
  </si>
  <si>
    <t xml:space="preserve">CAMINHAO CARROC.BOIAD.R.8T COND. D                                             </t>
  </si>
  <si>
    <t xml:space="preserve">CAMINHAO HIDROSSEMEADOR 5600L COND. A                                          </t>
  </si>
  <si>
    <t xml:space="preserve">CAMINHAO HIDROSSEMEADOR 5600L COND. B                                          </t>
  </si>
  <si>
    <t xml:space="preserve">CAMINHAO HIDROSSEMEADOR 5600L COND. C                                          </t>
  </si>
  <si>
    <t xml:space="preserve">CAMINHAO HIDROSSEMEADOR 5600L COND. D                                          </t>
  </si>
  <si>
    <t xml:space="preserve">CAMINHAO HIDROSSEMEADOR 5600L COND. E                                          </t>
  </si>
  <si>
    <t xml:space="preserve">CAMINHAO ESPARGIDOR 6000L COND. A                                              </t>
  </si>
  <si>
    <t xml:space="preserve">CAMINHAO ESPARGIDOR 6000L COND. B                                              </t>
  </si>
  <si>
    <t xml:space="preserve">CAMINHAO ESPARGIDOR 6000L COND. C                                              </t>
  </si>
  <si>
    <t xml:space="preserve">CAMINHAO ESPARGIDOR 6000L COND. D                                              </t>
  </si>
  <si>
    <t xml:space="preserve">CAMINHAO ESPARGIDOR 6000L COND. E                                              </t>
  </si>
  <si>
    <t xml:space="preserve">CAMINHAO GUINCHO LANC.TELES.3,75T COND.A                                       </t>
  </si>
  <si>
    <t xml:space="preserve">CAMINHAO GUINCHO LANC.TELES.3,75T COND.B                                       </t>
  </si>
  <si>
    <t xml:space="preserve">CAMINHAO GUINCHO LANC.TELES.3,75T COND.C                                       </t>
  </si>
  <si>
    <t xml:space="preserve">CAMINHAO GUINCHO LANC.TELES.3,75T COND.D                                       </t>
  </si>
  <si>
    <t xml:space="preserve">CAMINHAO GUINCHO LANC.TELES.3,75T COND.E                                       </t>
  </si>
  <si>
    <t xml:space="preserve">CAMINHAO GUINCHO LANC.TELES.4,10T COND.A                                       </t>
  </si>
  <si>
    <t xml:space="preserve">CAMINHAO GUINCHO LANC.TELES.4,10T COND.B                                       </t>
  </si>
  <si>
    <t xml:space="preserve">CAMINHAO GUINCHO LANC.TELES.4,10T COND.C                                       </t>
  </si>
  <si>
    <t xml:space="preserve">CAMINHAO GUINCHO LANC.TELES.4,10T COND.D                                       </t>
  </si>
  <si>
    <t xml:space="preserve">CAMINHAO GUINCHO LANC.TELES.4,10T COND.E                                       </t>
  </si>
  <si>
    <t xml:space="preserve">CAMINHAO CARROCERIA COM GUINDAUTO 640-18COND. A                                </t>
  </si>
  <si>
    <t xml:space="preserve">CAMINHAO CARROCERIA COM GUINDAUTO 640-18, COND. B                              </t>
  </si>
  <si>
    <t xml:space="preserve">CAMINHAO CARROCERIA COM GUINDAUTO 640-18, COND. C                              </t>
  </si>
  <si>
    <t xml:space="preserve">CAMINHAO CAR. GUINDAUTO 640-18                                                 </t>
  </si>
  <si>
    <t xml:space="preserve">CAMINHAO CARROCERIA COM GUINDAUTO 640-18, COND. E                              </t>
  </si>
  <si>
    <t xml:space="preserve">CAMINHAO C/USINA LAMA ASFAL.10,5T COND.A                                       </t>
  </si>
  <si>
    <t xml:space="preserve">CAMINHAO C/USINA LAMA ASFAL.10,5T COND.B                                       </t>
  </si>
  <si>
    <t xml:space="preserve">CAMINHAO C/USINA LAMA ASFAL.10,5T COND.C                                       </t>
  </si>
  <si>
    <t xml:space="preserve">CAMINHAO C/USINA LAMA ASFAL.10,5T COND.D                                       </t>
  </si>
  <si>
    <t xml:space="preserve">CAMINHAO C/USINA LAMA ASFAL.10,5T COND.E                                       </t>
  </si>
  <si>
    <t xml:space="preserve">CAMINHAO USINA P/MICROP.9M3 COND.A                                             </t>
  </si>
  <si>
    <t xml:space="preserve">CAMINHAO USINA P/MICROP.9M3 COND.B                                             </t>
  </si>
  <si>
    <t xml:space="preserve">CAMINHAO USINA P/MICROP.9M3 COND. C                                            </t>
  </si>
  <si>
    <t xml:space="preserve">CAMINHAO USINA P/MICROP.9M3 COND.D                                             </t>
  </si>
  <si>
    <t xml:space="preserve">CAMINHAO PANTOGRAFICO ATE 9M COND. A                                           </t>
  </si>
  <si>
    <t xml:space="preserve">CAMINHAO PANTOGRAFICO ATE 9M COND. B                                           </t>
  </si>
  <si>
    <t xml:space="preserve">CAMINHAO PANTOGRAFICO ATE 9M COND. C                                           </t>
  </si>
  <si>
    <t xml:space="preserve">CAMINHAO PANTOGRAFICO ATE 9M COND. D                                           </t>
  </si>
  <si>
    <t xml:space="preserve">CAVALO MECANICO C/CARRETA 30000KG COND.A                                       </t>
  </si>
  <si>
    <t xml:space="preserve">CAVALO MECANICO C/CARRETA 30000KG COND.B                                       </t>
  </si>
  <si>
    <t xml:space="preserve">CAVALO MECANICO C/CARRETA 30000KG COND.C                                       </t>
  </si>
  <si>
    <t xml:space="preserve">CAVALO MECANICO C/CARRETA 30000KG COND.D                                       </t>
  </si>
  <si>
    <t xml:space="preserve">CAVALO MECANICO C/CARRETA 30000KG COND.E                                       </t>
  </si>
  <si>
    <t xml:space="preserve">CAVALO MECANICO C/PRANCHA 30000KG COND.A                                       </t>
  </si>
  <si>
    <t xml:space="preserve">CAVALO MECANICO C/PRANCHA 30000KG COND.B                                       </t>
  </si>
  <si>
    <t xml:space="preserve">CAVALO MECANICO C/PRANCHA 30000KG COND.C                                       </t>
  </si>
  <si>
    <t xml:space="preserve">CAVALO MECANICO C/PRANCHA 30000KG COND.D                                       </t>
  </si>
  <si>
    <t xml:space="preserve">CAVALO MECANICO C/PRANCHA 30000KG COND.E                                       </t>
  </si>
  <si>
    <t xml:space="preserve">CAMPANULA COND. A                                                              </t>
  </si>
  <si>
    <t xml:space="preserve">CAMPANULA COND. B                                                              </t>
  </si>
  <si>
    <t xml:space="preserve">CAMPANULA COND. C                                                              </t>
  </si>
  <si>
    <t xml:space="preserve">CAMPANULA COND. D                                                              </t>
  </si>
  <si>
    <t xml:space="preserve">COMPACTADOR PERC.220M2/H MAN.COND.A                                            </t>
  </si>
  <si>
    <t xml:space="preserve">COMPACTADOR PERC.220M2/H MAN.COND.B                                            </t>
  </si>
  <si>
    <t xml:space="preserve">COMPACTADOR PERC.220M2/H MAN.COND.C                                            </t>
  </si>
  <si>
    <t xml:space="preserve">COMPACTADOR PERC.220M2/H MAN.COND.D                                            </t>
  </si>
  <si>
    <t xml:space="preserve">COMPACTADOR PLAC.VIB.MAN.1000M2/H COND.A                                       </t>
  </si>
  <si>
    <t xml:space="preserve">COMPACTADOR PLAC.VIB.MAN.1000M2/H COND.B                                       </t>
  </si>
  <si>
    <t xml:space="preserve">COMPACTADOR PLAC.VIB.MAN.1000M2/H COND.C                                       </t>
  </si>
  <si>
    <t xml:space="preserve">COMPACTADOR PLAC.VIB.MAN.1000M2/H COND.D                                       </t>
  </si>
  <si>
    <t xml:space="preserve">COMPRESSOR DE AR XA-90 MWD COND. A                                             </t>
  </si>
  <si>
    <t xml:space="preserve">COMPRESSOR DE AR XA-90 MWD COND. B                                             </t>
  </si>
  <si>
    <t xml:space="preserve">COMPRESSOR DE AR XA-90 MWD COND. C                                             </t>
  </si>
  <si>
    <t xml:space="preserve">COMPRESSOR DE AR XA-90 MWD COND. D                                             </t>
  </si>
  <si>
    <t xml:space="preserve">COMPRESSOR DE AR XA-125 MWD COND. A                                            </t>
  </si>
  <si>
    <t xml:space="preserve">COMPRESSOR DE AR XA-125 MWD COND. B                                            </t>
  </si>
  <si>
    <t xml:space="preserve">COMPRESSOR DE AR XA-125 MWD COND. C                                            </t>
  </si>
  <si>
    <t xml:space="preserve">COMPRESSOR DE AR XA-125 MWD COND. D                                            </t>
  </si>
  <si>
    <t xml:space="preserve">COMPRESSOR DE AR XA-175MWD COND. A                                             </t>
  </si>
  <si>
    <t xml:space="preserve">COMPRESSOR DE AR XA-175MWD COND. B                                             </t>
  </si>
  <si>
    <t xml:space="preserve">COMPRESSOR DE AR XA-175MWD COND. C                                             </t>
  </si>
  <si>
    <t xml:space="preserve">COMPRESSOR DE AR XA-175MWD COND. D                                             </t>
  </si>
  <si>
    <t xml:space="preserve">COMPRESSOR DE AR XA-360MWD COND. A                                             </t>
  </si>
  <si>
    <t xml:space="preserve">COMPRESSOR DE AR XA-360MWD COND. B                                             </t>
  </si>
  <si>
    <t xml:space="preserve">COMPRESSOR DE AR XA-360MWD COND. C                                             </t>
  </si>
  <si>
    <t xml:space="preserve">COMPRESSOR DE AR XA-360MWD COND. D                                             </t>
  </si>
  <si>
    <t xml:space="preserve">DEMARCADOR DE FAIXA A FRIO 250L COND.A                                         </t>
  </si>
  <si>
    <t xml:space="preserve">DEMARCADOR DE FAIXA A FRIO 250L COND.B                                         </t>
  </si>
  <si>
    <t xml:space="preserve">DEMARCADOR DE FAIXA A FRIO 250L COND.C                                         </t>
  </si>
  <si>
    <t xml:space="preserve">DEMARCADOR DE FAIXA A FRIO 250L COND.D                                         </t>
  </si>
  <si>
    <t xml:space="preserve">DEMARCADOR DE FAIXA A QUENTE 500L COND.A                                       </t>
  </si>
  <si>
    <t xml:space="preserve">DEMARCADOR DE FAIXA A QUENTE 500L COND.B                                       </t>
  </si>
  <si>
    <t xml:space="preserve">DEMARCADOR DE FAIXA A QUENTE 500L COND.C                                       </t>
  </si>
  <si>
    <t xml:space="preserve">DEMARCADOR DE FAIXA A QUENTE 500L COND.D                                       </t>
  </si>
  <si>
    <t xml:space="preserve">DISTRIBUIDOR AGREG.S/EST.1000T/H COND. A                                       </t>
  </si>
  <si>
    <t xml:space="preserve">DISTRIBUIDOR AGREG.S/EST.1000T/H COND. B                                       </t>
  </si>
  <si>
    <t xml:space="preserve">DISTRIBUIDOR AGREG.S/EST.1000T/H COND. C                                       </t>
  </si>
  <si>
    <t xml:space="preserve">DISTRIBUIDOR AGREG.S/EST.1000T/H COND. D                                       </t>
  </si>
  <si>
    <t xml:space="preserve">DISTRIBUIDOR AGREGADO 600T/H COND.A                                            </t>
  </si>
  <si>
    <t xml:space="preserve">DISTRIBUIDOR AGREGADO 600T/H COND. B                                           </t>
  </si>
  <si>
    <t xml:space="preserve">DISTRIBUIDOR AGREGADO 600T/H COND. C                                           </t>
  </si>
  <si>
    <t xml:space="preserve">DISTRIBUIDOR AGREGADO 600T/H COND. D                                           </t>
  </si>
  <si>
    <t xml:space="preserve">DISTR.ASF.REB.2400L COND. A                                                    </t>
  </si>
  <si>
    <t xml:space="preserve">DISTR.ASF.REB.2400L COND. B                                                    </t>
  </si>
  <si>
    <t xml:space="preserve">DISTR.ASF.REB.2400L COND. C                                                    </t>
  </si>
  <si>
    <t xml:space="preserve">DISTR.ASF.REB.2400L COND. D                                                    </t>
  </si>
  <si>
    <t xml:space="preserve">DISTR. ADUBOS E SEMENTES 700L COND. A                                          </t>
  </si>
  <si>
    <t xml:space="preserve">DISTR. ADUBOS E SEMENTES 700L COND. B                                          </t>
  </si>
  <si>
    <t xml:space="preserve">DISTR. ADUBOS E SEMENTES 700L COND. C                                          </t>
  </si>
  <si>
    <t xml:space="preserve">DISTR. ADUBOS E SEMENTES 700L COND. D                                          </t>
  </si>
  <si>
    <t xml:space="preserve">DRAGA COM EMBARCACAO AUX.400M3 COND. A                                         </t>
  </si>
  <si>
    <t xml:space="preserve">DRAGA COM EMBARCACAO AUX.400M3 COND. B                                         </t>
  </si>
  <si>
    <t xml:space="preserve">DRAGA COM EMBARCACAO AUX.400M3 COND. C                                         </t>
  </si>
  <si>
    <t xml:space="preserve">DRAGA COM EMBARCACAO AUX 400M3 COND. D                                         </t>
  </si>
  <si>
    <t xml:space="preserve">EQUIP.VIS.OAE C/LANC.TELESC.25M COND. A                                        </t>
  </si>
  <si>
    <t xml:space="preserve">EQUIP.VIS.OAE C/LANC.TELESC.25M COND. B                                        </t>
  </si>
  <si>
    <t xml:space="preserve">EQUIP.VIS.OAE C/LANC.TELESC.25M COND. C                                        </t>
  </si>
  <si>
    <t xml:space="preserve">EQUIP.VIS.OAE C/LANC.TELESC.25M COND. D                                        </t>
  </si>
  <si>
    <t xml:space="preserve">EQUIP.VIS.OAE C/LANC.ARTIC.12,14M COND.A                                       </t>
  </si>
  <si>
    <t xml:space="preserve">EQUIP.VIS.OAE C/LANC.ARTIC.12,14M COND.B                                       </t>
  </si>
  <si>
    <t xml:space="preserve">EQUIP.VIS.OAE C/LANC.ARTIC.12,14M COND.C                                       </t>
  </si>
  <si>
    <t xml:space="preserve">EQUIP.VIS.OAE C/LANC.ARTIC.12,14M COND.D                                       </t>
  </si>
  <si>
    <t xml:space="preserve">EQUIP.VIST.OAE TP TESOURA 7,62M COND. A                                        </t>
  </si>
  <si>
    <t xml:space="preserve">EQUIP.VIST.OAE TP TESOURA 7,62M COND. B                                        </t>
  </si>
  <si>
    <t xml:space="preserve">EQUIP.VIST.OAE TP TESOURA 7,62M COND. C                                        </t>
  </si>
  <si>
    <t xml:space="preserve">EQUIP.VIST.OAE TP TESOURA 7,62M COND. D                                        </t>
  </si>
  <si>
    <t xml:space="preserve">ESCAVADEIRA HIDR.S/EST.0,7M3 COND. A                                           </t>
  </si>
  <si>
    <t xml:space="preserve">ESCAVADEIRA HIDR.S/EST.0,7M3 COND. B                                           </t>
  </si>
  <si>
    <t xml:space="preserve">ESCAVADEIRA HIDR.S/EST.0,7M3 COND. C                                           </t>
  </si>
  <si>
    <t xml:space="preserve">ESCAVADEIRA HIDR.S/EST.0,7M3 COND. D                                           </t>
  </si>
  <si>
    <t xml:space="preserve">ESCAVADEIRA HIDR.S/EST.0,60M3 COND. A                                          </t>
  </si>
  <si>
    <t xml:space="preserve">ESCAVADEIRA HIDR.S/EST.0,60M3 COND. B                                          </t>
  </si>
  <si>
    <t xml:space="preserve">ESCAVADEIRA HIDR.S/EST.0,60M3 COND. C                                          </t>
  </si>
  <si>
    <t xml:space="preserve">ESCAVADEIRA HIDR.S/EST.0,60M3 COND. D                                          </t>
  </si>
  <si>
    <t xml:space="preserve">ESCAVADEIRA HID.S/EST.0,62M3 COND. A                                           </t>
  </si>
  <si>
    <t xml:space="preserve">ESCAVADEIRA HID.S/EST.0,62M3 COND. B                                           </t>
  </si>
  <si>
    <t xml:space="preserve">ESCAVADEIRA HID.S/EST.0,62M3 COND. C                                           </t>
  </si>
  <si>
    <t xml:space="preserve">ESCAVADEIRA HID.S/EST.0,62M3 COND. D                                           </t>
  </si>
  <si>
    <t xml:space="preserve">ESCAVADEIRA HID.S/EST.2,2M3 COND. A                                            </t>
  </si>
  <si>
    <t xml:space="preserve">ESCAVADEIRA HID.S/EST.2,2M3 COND. B                                            </t>
  </si>
  <si>
    <t xml:space="preserve">ESCAVADEIRA HID.S/EST.2,2M3 COND. C                                            </t>
  </si>
  <si>
    <t xml:space="preserve">ESCAVADEIRA HID.S/EST.2,2M3 COND. D                                            </t>
  </si>
  <si>
    <t xml:space="preserve">ESCAVADEIRA HIDR.S/PNEU 0,25M3 COND. A                                         </t>
  </si>
  <si>
    <t xml:space="preserve">ESCAVADEIRA HIDR.S/PNEU 0,25M3 COND. B                                         </t>
  </si>
  <si>
    <t xml:space="preserve">ESCAVADEIRA HIDR.S/PNEU 0,25M3 COND. C                                         </t>
  </si>
  <si>
    <t xml:space="preserve">ESCAVADEIRA HIDR.S/PNEU 0,25M3 COND. D                                         </t>
  </si>
  <si>
    <t xml:space="preserve">EMPILHADEIRA 2500KG COND. A                                                    </t>
  </si>
  <si>
    <t xml:space="preserve">EMPILHADEIRA 2500KG COND. B                                                    </t>
  </si>
  <si>
    <t xml:space="preserve">EMPILHADEIRA 2500KG COND. C                                                    </t>
  </si>
  <si>
    <t xml:space="preserve">EMPILHADEIRA 2500KG COND. D                                                    </t>
  </si>
  <si>
    <t xml:space="preserve">EMPILHADEIRA 5000KG COND. A                                                    </t>
  </si>
  <si>
    <t xml:space="preserve">EMPILHADEIRA 5000KG COND. B                                                    </t>
  </si>
  <si>
    <t xml:space="preserve">EMPILHADEIRA 5000KG COND. C                                                    </t>
  </si>
  <si>
    <t xml:space="preserve">EMPILHADEIRA 5000KG COND. D                                                    </t>
  </si>
  <si>
    <t xml:space="preserve">FRESADORA A FRIO S/PNEUS 150M2/H COND.A                                        </t>
  </si>
  <si>
    <t xml:space="preserve">FRESADORA A FRIO S/PNEUS 150M2/H COND.B                                        </t>
  </si>
  <si>
    <t xml:space="preserve">FRESADORA A FRIO S/PNEUS 150M2/H COND.C                                        </t>
  </si>
  <si>
    <t xml:space="preserve">FRESADORA A FRIO S/PNEUS 150M2/H COND.D                                        </t>
  </si>
  <si>
    <t xml:space="preserve">FRESADORA A FRIO S/PNEUS 670HP COND. A                                         </t>
  </si>
  <si>
    <t xml:space="preserve">FRESADORA A FRIO S/PNEUS 670HP COND. B                                         </t>
  </si>
  <si>
    <t xml:space="preserve">FRESADORA A FRIO S/PNEUS 670HP COND. C                                         </t>
  </si>
  <si>
    <t xml:space="preserve">FRESADORA A FRIO S/PNEUS 670HP COND. D                                         </t>
  </si>
  <si>
    <t xml:space="preserve">GRUA 12M COND. A                                                               </t>
  </si>
  <si>
    <t xml:space="preserve">GRUA 12M COND. B                                                               </t>
  </si>
  <si>
    <t xml:space="preserve">GRUA 12M COND. C                                                               </t>
  </si>
  <si>
    <t xml:space="preserve">GRUA 12M COND. D                                                               </t>
  </si>
  <si>
    <t xml:space="preserve">GRUPO GERADOR 40KVA COND. A                                                    </t>
  </si>
  <si>
    <t xml:space="preserve">GRUPO GERADOR 40KVA COND. B                                                    </t>
  </si>
  <si>
    <t xml:space="preserve">GRUPO GERADOR 40KVA COND. C                                                    </t>
  </si>
  <si>
    <t xml:space="preserve">GRUPO GERADOR 40KVA COND. D                                                    </t>
  </si>
  <si>
    <t xml:space="preserve">GRUPO GERADOR 55KVA COND. A                                                    </t>
  </si>
  <si>
    <t xml:space="preserve">GRUPO GERADOR 55KVA COND. B                                                    </t>
  </si>
  <si>
    <t xml:space="preserve">GRUPO GERADOR 55KVA COND. C                                                    </t>
  </si>
  <si>
    <t xml:space="preserve">GRUPO GERADOR 55KVA COND. D                                                    </t>
  </si>
  <si>
    <t xml:space="preserve">GRUPO GERADOR 83KVA COND. A                                                    </t>
  </si>
  <si>
    <t xml:space="preserve">GRUPO GERADOR 83KVA COND. B                                                    </t>
  </si>
  <si>
    <t xml:space="preserve">GRUPO GERADOR 83KVA COND. C                                                    </t>
  </si>
  <si>
    <t xml:space="preserve">GRUPO GERADOR 83KVA COND. D                                                    </t>
  </si>
  <si>
    <t xml:space="preserve">GRUPO GERADOR 115KVA COND. A                                                   </t>
  </si>
  <si>
    <t xml:space="preserve">GRUPO GERADOR 115KVA COND. B                                                   </t>
  </si>
  <si>
    <t xml:space="preserve">GRUPO GERADOR 115KVA COND. C                                                   </t>
  </si>
  <si>
    <t xml:space="preserve">GRUPO GERADOR 115KVA COND. D                                                   </t>
  </si>
  <si>
    <t xml:space="preserve">GRUPO GERADOR PORTATIL 3,5KVA COND. A                                          </t>
  </si>
  <si>
    <t xml:space="preserve">GRUPO GERADOR PORTATIL 3,5KVA COND. B                                          </t>
  </si>
  <si>
    <t xml:space="preserve">GRUPO GERADOR PORTATIL 3,5KVA COND. C                                          </t>
  </si>
  <si>
    <t xml:space="preserve">GRUPO GERADOR PORTATIL 3,5KVA COND. D                                          </t>
  </si>
  <si>
    <t xml:space="preserve">GRUPO GERADOR PORTATIL 7KVA COND. A                                            </t>
  </si>
  <si>
    <t xml:space="preserve">GRUPO GERADOR PORTATIL 7KVA COND. B                                            </t>
  </si>
  <si>
    <t xml:space="preserve">GRUPO GERADOR PORTATIL 7KVA COND. C                                            </t>
  </si>
  <si>
    <t xml:space="preserve">GRUPO GERADOR PORTATIL 7KVA COND. D                                            </t>
  </si>
  <si>
    <t xml:space="preserve">GUINCHO ELETRICO DE COLUNA 30M COND. A                                         </t>
  </si>
  <si>
    <t xml:space="preserve">GUINCHO ELETRICO DE COLUNA 30M COND. B                                         </t>
  </si>
  <si>
    <t xml:space="preserve">GUINCHO ELETRICO DE COLUNA 30M COND. C                                         </t>
  </si>
  <si>
    <t xml:space="preserve">GUINCHO ELETRICO DE COLUNA 30M COND. D                                         </t>
  </si>
  <si>
    <t xml:space="preserve">GUINCHO ELETRICO TIPO ELEV. 30M COND. A                                        </t>
  </si>
  <si>
    <t xml:space="preserve">GUINCHO ELETRICO TIPO ELEV. 30M COND. B                                        </t>
  </si>
  <si>
    <t xml:space="preserve">GUINCHO ELETRICO TIPO ELEV. 30M COND. C                                        </t>
  </si>
  <si>
    <t xml:space="preserve">GUINCHO ELETRICO TIPO ELEV. 30M COND. D                                        </t>
  </si>
  <si>
    <t xml:space="preserve">GUIND.HID.LANC.TELES.S/PN 20T COND. A                                          </t>
  </si>
  <si>
    <t xml:space="preserve">GUIND.HID.LANC.TELES.S/PN 20T COND. B                                          </t>
  </si>
  <si>
    <t xml:space="preserve">GUIND.HID.LANC.TELES.S/PN 20T COND. C                                          </t>
  </si>
  <si>
    <t xml:space="preserve">GUIND.HID.LANC.TELES.S/PN 20T COND. D                                          </t>
  </si>
  <si>
    <t xml:space="preserve">GUIND.HID.LANC.TELES.S/PN.27,2T COND. A                                        </t>
  </si>
  <si>
    <t xml:space="preserve">GUIND.HID.LANC.TELES.S/PN.27,2T COND. B                                        </t>
  </si>
  <si>
    <t xml:space="preserve">GUIND.HID.LANC.TELES.S/PN.27,2T COND. C                                        </t>
  </si>
  <si>
    <t xml:space="preserve">GUIND.HID.LANC.TELES.S/PN.27,2T COND. D                                        </t>
  </si>
  <si>
    <t xml:space="preserve">LAVA JATO 200L/H COND. A                                                       </t>
  </si>
  <si>
    <t xml:space="preserve">LAVA JATO 200L/H COND. B                                                       </t>
  </si>
  <si>
    <t xml:space="preserve">LAVA JATO 200L/H COND. C                                                       </t>
  </si>
  <si>
    <t xml:space="preserve">LAVA JATO 200L/H COND. D                                                       </t>
  </si>
  <si>
    <t xml:space="preserve">MARTELETE ROMP.PN.11,2KG COND. A                                               </t>
  </si>
  <si>
    <t xml:space="preserve">MARTELETE ROMP.PN.11,2KG COND. B                                               </t>
  </si>
  <si>
    <t xml:space="preserve">MARTELETE ROMP.PN.11,2KG COND. C                                               </t>
  </si>
  <si>
    <t xml:space="preserve">MARTELETE ROMP.PN.11,2KG COND. D                                               </t>
  </si>
  <si>
    <t xml:space="preserve">MARTELETE ROMP.PN.35KG COND. A                                                 </t>
  </si>
  <si>
    <t xml:space="preserve">MARTELETE ROMP.PN.35KG COND. B                                                 </t>
  </si>
  <si>
    <t xml:space="preserve">MARTELETE ROMP.PN.35KG COND. C                                                 </t>
  </si>
  <si>
    <t xml:space="preserve">MARTELETE ROMP.PN.35KG COND. D                                                 </t>
  </si>
  <si>
    <t xml:space="preserve">MARTELETE ROMP.PN.42KG COND. A                                                 </t>
  </si>
  <si>
    <t xml:space="preserve">MARTELETE ROMP.PN.42KG COND. B                                                 </t>
  </si>
  <si>
    <t xml:space="preserve">MARTELETE ROMP.PN.42KG COND. C                                                 </t>
  </si>
  <si>
    <t xml:space="preserve">MARTELETE ROMP.PN.42KG COND. D                                                 </t>
  </si>
  <si>
    <t xml:space="preserve">ROMPEDOR/DEMOL.HIDR.P/ESCAVAD. COND. A                                         </t>
  </si>
  <si>
    <t xml:space="preserve">ROMPEDOR/DEMOL.HIDR.P/ESCAVAD. COND. B                                         </t>
  </si>
  <si>
    <t xml:space="preserve">ROMPEDOR/DEMOL.HIDR.P/ESCAVAD. COND. C                                         </t>
  </si>
  <si>
    <t xml:space="preserve">ROMPEDOR/DEMOL.HIDR.P/ESCAVAD. COND. D                                         </t>
  </si>
  <si>
    <t xml:space="preserve">ROMPEDOR/DEMOL.HIDR.P/RETROESC. COND. A                                        </t>
  </si>
  <si>
    <t xml:space="preserve">ROMPEDOR/DEMOL.HIDR.P/RETROESC. COND. B                                        </t>
  </si>
  <si>
    <t xml:space="preserve">ROMPEDOR/DEMOL.HIDR.P/RETROESC. COND. C                                        </t>
  </si>
  <si>
    <t xml:space="preserve">ROMPEDOR/DEMOL.HIDR.P/RETROESC. COND. D                                        </t>
  </si>
  <si>
    <t xml:space="preserve">MOTONIVELADORA COM RIPPER 140HP COND. A                                        </t>
  </si>
  <si>
    <t xml:space="preserve">MOTONIVELADORA COM RIPPER 140HP COND. B                                        </t>
  </si>
  <si>
    <t xml:space="preserve">MOTONIVELADORA COM RIPPER 140HP COND. C                                        </t>
  </si>
  <si>
    <t xml:space="preserve">MOTONIVELADORA COM RIPPER 140HP COND. D                                        </t>
  </si>
  <si>
    <t xml:space="preserve">MOTONIVELADORA C/ESCARIF.(16200KG)COND.A                                       </t>
  </si>
  <si>
    <t xml:space="preserve">MOTONIVELADORA C/ESCARIF.(16200KG)COND.B                                       </t>
  </si>
  <si>
    <t xml:space="preserve">MOTONIVELADORA C/ESCARIF.(16200KG)COND.C                                       </t>
  </si>
  <si>
    <t xml:space="preserve">MOTONIVELADORA C/ESCARIF.(16200KG)COND.D                                       </t>
  </si>
  <si>
    <t xml:space="preserve">MOTOSCRAPER 15M3 COND. A                                                       </t>
  </si>
  <si>
    <t xml:space="preserve">MOTOSCRAPER 15M3 COND. B                                                       </t>
  </si>
  <si>
    <t xml:space="preserve">MOTOSCRAPER 15M3 COND. C                                                       </t>
  </si>
  <si>
    <t xml:space="preserve">MOTOSCRAPER 15M3 COND. D                                                       </t>
  </si>
  <si>
    <t xml:space="preserve">MOTOSCRAPER 26M3 COND. A                                                       </t>
  </si>
  <si>
    <t xml:space="preserve">MOTOSCRAPER 26M3 COND. B                                                       </t>
  </si>
  <si>
    <t xml:space="preserve">MOTOSCRAPER 26M3 COND. C                                                       </t>
  </si>
  <si>
    <t xml:space="preserve">MOTOSCRAPER 26M3 COND. D                                                       </t>
  </si>
  <si>
    <t xml:space="preserve">MAQUINA SOLDA ELETRICA (40-375A) COND.A                                        </t>
  </si>
  <si>
    <t xml:space="preserve">MAQUINA SOLDA ELETRICA (40-375A) COND.B                                        </t>
  </si>
  <si>
    <t xml:space="preserve">MAQUINA SOLDA ELETRICA (40-375A) COND.C                                        </t>
  </si>
  <si>
    <t xml:space="preserve">MAQUINA SOLDA ELETRICA (40-375A) COND.D                                        </t>
  </si>
  <si>
    <t xml:space="preserve">MAQUINA DE SOLDA A DIESEL COND. A                                              </t>
  </si>
  <si>
    <t xml:space="preserve">MAQUINA SOLDA A DIESEL ATE 375A COND.B                                         </t>
  </si>
  <si>
    <t xml:space="preserve">MAQUINA SOLDA A DIESEL ATE 375A COND.C                                         </t>
  </si>
  <si>
    <t xml:space="preserve">MAQUINA SOLDA A DIESEL ATE 375A COND.D                                         </t>
  </si>
  <si>
    <t xml:space="preserve">MACARICO DE CORTE COND. A                                                      </t>
  </si>
  <si>
    <t xml:space="preserve">MACARICO DE CORTE COND. B                                                      </t>
  </si>
  <si>
    <t xml:space="preserve">MACARICO DE CORTE COND. C                                                      </t>
  </si>
  <si>
    <t xml:space="preserve">MACARICO DE CORTE COND. D                                                      </t>
  </si>
  <si>
    <t xml:space="preserve">TEODOLITO COM TRIPE COND. A                                                    </t>
  </si>
  <si>
    <t xml:space="preserve">TEODOLITO COM TRIPE COND. B                                                    </t>
  </si>
  <si>
    <t xml:space="preserve">TEODOLITO COM TRIPE COND. C                                                    </t>
  </si>
  <si>
    <t xml:space="preserve">TEODOLITO COM TRIPE COND. D                                                    </t>
  </si>
  <si>
    <t xml:space="preserve">ESTACAO TOTAL COND. A                                                          </t>
  </si>
  <si>
    <t xml:space="preserve">ESTACAO TOTAL COND. B                                                          </t>
  </si>
  <si>
    <t xml:space="preserve">ESTACAO TOTAL COND. C                                                          </t>
  </si>
  <si>
    <t xml:space="preserve">ESTACAO TOTAL COND. D                                                          </t>
  </si>
  <si>
    <t xml:space="preserve">NIVEL COM TRIPE COND. A                                                        </t>
  </si>
  <si>
    <t xml:space="preserve">NIVEL COM TRIPE COND. B                                                        </t>
  </si>
  <si>
    <t xml:space="preserve">NIVEL COM TRIPE COND. C                                                        </t>
  </si>
  <si>
    <t xml:space="preserve">NIVEL COM TRIPE COND. D                                                        </t>
  </si>
  <si>
    <t xml:space="preserve">PA CARREG.S/PNEUS 1,7M3 A 1,9M3 - COND.A                                       </t>
  </si>
  <si>
    <t xml:space="preserve">PA CARREG.S/PNEUS 1,7M3 A 1,9M3 - COND.B                                       </t>
  </si>
  <si>
    <t xml:space="preserve">PA CARREG.S/PNEUS 1,7M3 A 1,9M3 - COND.C                                       </t>
  </si>
  <si>
    <t xml:space="preserve">PA CARREG.S/PNEUS 1,7M3 A 1,9M3 - COND.D                                       </t>
  </si>
  <si>
    <t xml:space="preserve">PA CARREG.S/PNEUS 1,91M3 A 2,5M3 -COND.A                                       </t>
  </si>
  <si>
    <t xml:space="preserve">PA CARREG.S/PNEUS 1,91M3 A 2,5M3 -COND.B                                       </t>
  </si>
  <si>
    <t xml:space="preserve">PA CARREG.S/PNEUS 1,91M3 A 2,5M3 -COND.C                                       </t>
  </si>
  <si>
    <t xml:space="preserve">PA CARREG.S/PNEUS 1,91M3 A 2,5M3 -COND.D                                       </t>
  </si>
  <si>
    <t xml:space="preserve">PA CARREG.S/PNEUS 3,3M3 A 3,8M3 - COND.A                                       </t>
  </si>
  <si>
    <t xml:space="preserve">PA CARREG.S/PNEUS 3,3M3 A 3,8M3 - COND.B                                       </t>
  </si>
  <si>
    <t xml:space="preserve">PA CARREG.S/PNEUS 3,3M3 A 3,8M3 - COND.C                                       </t>
  </si>
  <si>
    <t xml:space="preserve">PA CARREG.S/PNEUS 3,3M3 A 3,8M3 - COND.D                                       </t>
  </si>
  <si>
    <t xml:space="preserve">PA CARREG. S/ESTEIRA 1,85M3 COND. A                                            </t>
  </si>
  <si>
    <t xml:space="preserve">PA CARREG S/ESTEIRA 1,85M3 COND. B                                             </t>
  </si>
  <si>
    <t xml:space="preserve">PA CARREG. S/ESTEIRA 1,85M3 COND. C                                            </t>
  </si>
  <si>
    <t xml:space="preserve">PA CARREG. S/ESTEIRA 1,85M3 COND. D                                            </t>
  </si>
  <si>
    <t xml:space="preserve">PA CARREGADEIRA S/EST.2,3M3 COND. A                                            </t>
  </si>
  <si>
    <t xml:space="preserve">PA CARREGADEIRA S/EST.2,3M3 COND. B                                            </t>
  </si>
  <si>
    <t xml:space="preserve">PA CARREGADEIRA S/EST.2,3M3 COND. C                                            </t>
  </si>
  <si>
    <t xml:space="preserve">PA CARREGADEIRA S/EST.2,3M3 COND. D                                            </t>
  </si>
  <si>
    <t xml:space="preserve">PERFURATRIZ MANUAL COND. A                                                     </t>
  </si>
  <si>
    <t xml:space="preserve">PERFURATRIZ MANUAL COND. B                                                     </t>
  </si>
  <si>
    <t xml:space="preserve">PERFURATRIZ MANUAL COND. C                                                     </t>
  </si>
  <si>
    <t xml:space="preserve">PERFURATRIZ MANUAL COND. D                                                     </t>
  </si>
  <si>
    <t xml:space="preserve">PERFURATRIZ S/ESTEIRA COND. A                                                  </t>
  </si>
  <si>
    <t xml:space="preserve">PERFURATRIZ S/ESTEIRA COND. B                                                  </t>
  </si>
  <si>
    <t xml:space="preserve">PERFURATRIZ S/ESTEIRA COND. C                                                  </t>
  </si>
  <si>
    <t xml:space="preserve">PERFURATRIZ S/ESTEIRA COND. D                                                  </t>
  </si>
  <si>
    <t xml:space="preserve">PERFURATRIZ JUMBO 3 BRACOS COND. A                                             </t>
  </si>
  <si>
    <t xml:space="preserve">PERFURATRIZ JUMBO 3 BRACOS COND. B                                             </t>
  </si>
  <si>
    <t xml:space="preserve">PERFURATRIZ JUMBO 3 BRACOS COND. C                                             </t>
  </si>
  <si>
    <t xml:space="preserve">PERFURATRIZ JUMBO 3 BRACOS COND. D                                             </t>
  </si>
  <si>
    <t xml:space="preserve">SONDA ROTATIVA COND. A                                                         </t>
  </si>
  <si>
    <t xml:space="preserve">SONDA ROTATIVA COND. B                                                         </t>
  </si>
  <si>
    <t xml:space="preserve">SONDA ROTATIVA COND. C                                                         </t>
  </si>
  <si>
    <t xml:space="preserve">SONDA ROTATIVA COND. D                                                         </t>
  </si>
  <si>
    <t xml:space="preserve">PERFURADOR/CINZAL DE BAIXO PESO COND. A                                        </t>
  </si>
  <si>
    <t xml:space="preserve">PERFURADOR/CINZAL DE BAIXO PESO COND. B                                        </t>
  </si>
  <si>
    <t xml:space="preserve">PERFURADOR/CINZAL DE BAIXO PESO COND. C                                        </t>
  </si>
  <si>
    <t xml:space="preserve">PERFURADOR/CINZAL DE BAIXO PESO COND. D                                        </t>
  </si>
  <si>
    <t xml:space="preserve">RETROESCAV./CARREGADEIRA 0,77M3 COND. A                                        </t>
  </si>
  <si>
    <t xml:space="preserve">RETROESCAV./CARREGADEIRA 0,77M3 COND. B                                        </t>
  </si>
  <si>
    <t xml:space="preserve">RETROESCAV./CARREGADEIRA 0,77M3 COND. C                                        </t>
  </si>
  <si>
    <t xml:space="preserve">RETROESCAV./CARREGADEIRA 0,77M3 COND. D                                        </t>
  </si>
  <si>
    <t xml:space="preserve">ROCADEIRA MANUAL GASOLINA COND. A                                              </t>
  </si>
  <si>
    <t xml:space="preserve">ROCADEIRA MANUAL GASOLINA COND. B                                              </t>
  </si>
  <si>
    <t xml:space="preserve">ROCADEIRA MANUAL GASOLINA COND. C                                              </t>
  </si>
  <si>
    <t xml:space="preserve">ROCADEIRA MANUAL GASOLINA COND. D                                              </t>
  </si>
  <si>
    <t xml:space="preserve">ROCADEIRA MANUAL ELETRICA COND. A                                              </t>
  </si>
  <si>
    <t xml:space="preserve">ROCADEIRA MANUAL ELETRICA COND. B                                              </t>
  </si>
  <si>
    <t xml:space="preserve">ROCADEIRA MANUAL ELETRICA COND. C                                              </t>
  </si>
  <si>
    <t xml:space="preserve">ROCADEIRA MANUAL ELETRICA COND. D                                              </t>
  </si>
  <si>
    <t xml:space="preserve">ROCADEIRA ADAPT.P/TRAT.AGRIC.COND. A                                           </t>
  </si>
  <si>
    <t xml:space="preserve">ROCADEIRA ADAPT.P/TRAT.AGRIC.COND. B                                           </t>
  </si>
  <si>
    <t xml:space="preserve">ROCADEIRA ADAPT.P/TRAT.AGRIC.COND. C                                           </t>
  </si>
  <si>
    <t xml:space="preserve">ROCADEIRA ADAPT.P/TRAT.AGRIC. COND. D                                          </t>
  </si>
  <si>
    <t xml:space="preserve">ROLO COMPACT.VIBRAT.CILIN./PN 7T COND. A                                       </t>
  </si>
  <si>
    <t xml:space="preserve">ROLO COMPACT.VIBRAT.CILIN./PN 7T COND. B                                       </t>
  </si>
  <si>
    <t xml:space="preserve">ROLO COMPACT.VIBRAT.CILIN./PN 7T COND. C                                       </t>
  </si>
  <si>
    <t xml:space="preserve">ROLO COMPACT.VIBRAT.CILIN./PN 7T COND. D                                       </t>
  </si>
  <si>
    <t xml:space="preserve">ROLO COMPACT.VIBRAT.CILIN./PN7,7T COND.A                                       </t>
  </si>
  <si>
    <t xml:space="preserve">ROLO COMPACT.VIBRAT.CILIN./PN7,7T COND.B                                       </t>
  </si>
  <si>
    <t xml:space="preserve">ROLO COMPACT.VIBRAT.CILIN./PN7,7T COND.C                                       </t>
  </si>
  <si>
    <t xml:space="preserve">ROLO COMPACT.VIBRAT.CILIN./PN7,7T COND.D                                       </t>
  </si>
  <si>
    <t xml:space="preserve">ROLO COMPACT.VIBRAT.CILIN./PN10T COND.A                                        </t>
  </si>
  <si>
    <t xml:space="preserve">ROLO COMPACT.VIBRAT.CILIN./PN10T COND.B                                        </t>
  </si>
  <si>
    <t xml:space="preserve">ROLO COMPACT VIBRAT.CILIN./PN10T COND.C                                        </t>
  </si>
  <si>
    <t xml:space="preserve">ROLO COMPACT.VIBRAT.CILIN./PN10T COND.D                                        </t>
  </si>
  <si>
    <t xml:space="preserve">ROLO COMPACT.VIBR.CILIN./PN 11,3T COND.A                                       </t>
  </si>
  <si>
    <t xml:space="preserve">ROLO COMPACT.VIBR.CILIN./PN 11,3T COND.B                                       </t>
  </si>
  <si>
    <t xml:space="preserve">ROLO COMPACT.VIBR.CILIN./PN 11,3T COND.C                                       </t>
  </si>
  <si>
    <t xml:space="preserve">ROLO COMPACT.VIBR.CILIN./PN 11,3T COND.D                                       </t>
  </si>
  <si>
    <t xml:space="preserve">ROLO COMPACT.VIBR.CILIN./PN 15,5T COND.A                                       </t>
  </si>
  <si>
    <t xml:space="preserve">ROLO COMPACT.VIBR.CILIN./PN 15,5T COND.B                                       </t>
  </si>
  <si>
    <t xml:space="preserve">ROLO COMPACT.VIBR.CILIN./PN 15,5T COND.C                                       </t>
  </si>
  <si>
    <t xml:space="preserve">ROLO COMPACT.VIBR.CILIN./PN 15,5T COND.D                                       </t>
  </si>
  <si>
    <t xml:space="preserve">ROLO COMP.PE DE CARN./PN 15,5T COND. A                                         </t>
  </si>
  <si>
    <t xml:space="preserve">ROLO COMP.PE DE CARN./PN 15,5T COND. B                                         </t>
  </si>
  <si>
    <t xml:space="preserve">ROLO COMP.PE DE CARN./PN 15,5T COND. C                                         </t>
  </si>
  <si>
    <t xml:space="preserve">ROLO COMP.PE DE CARN./PN 15,5T COND. D                                         </t>
  </si>
  <si>
    <t xml:space="preserve">ROLO COMPACT.VIBR.ASF.7,2T COND. A                                             </t>
  </si>
  <si>
    <t xml:space="preserve">ROLO COMPACT.VIBR.ASF.7,2T COND. B                                             </t>
  </si>
  <si>
    <t xml:space="preserve">ROLO COMPACT.VIBR.ASF.7,2T COND. C                                             </t>
  </si>
  <si>
    <t xml:space="preserve">ROLO COMPACT.VIBR.ASF.7,2T COND. D                                             </t>
  </si>
  <si>
    <t xml:space="preserve">ROLO COMPACT.VIBR.ASF.10,2T COND. A                                            </t>
  </si>
  <si>
    <t xml:space="preserve">ROLO COMPACT.VIBR.ASF.10,2T COND. B                                            </t>
  </si>
  <si>
    <t xml:space="preserve">ROLO COMPACT.VIBR.ASF.10,2T COND. C                                            </t>
  </si>
  <si>
    <t xml:space="preserve">ROLO COMPACT.VIBR.ASF.10,2T COND. D                                            </t>
  </si>
  <si>
    <t xml:space="preserve">ROLO COMPACT. TANDEM 2,3TON COND. A                                            </t>
  </si>
  <si>
    <t xml:space="preserve">ROLO COMPACT. TANDEM 2,3TON COND. B                                            </t>
  </si>
  <si>
    <t xml:space="preserve">ROLO COMPACT. TANDEM 2,3TON COND. C                                            </t>
  </si>
  <si>
    <t xml:space="preserve">ROLO COMPACT. TANDEM 2,3TON COND. D                                            </t>
  </si>
  <si>
    <t xml:space="preserve">ROLO COMPACT. TANDEM 7TON COND. A                                              </t>
  </si>
  <si>
    <t xml:space="preserve">ROLO COMPACT. TANDEM 7TON COND. B                                              </t>
  </si>
  <si>
    <t xml:space="preserve">ROLO COMPACT. TANDEM 7TON COND. C                                              </t>
  </si>
  <si>
    <t xml:space="preserve">ROLO COMPACT. TANDEM 7TON COND. D                                              </t>
  </si>
  <si>
    <t xml:space="preserve">ROLO COMPACT. TANDEM 12TON COND. A                                             </t>
  </si>
  <si>
    <t xml:space="preserve">ROLO COMPACT. TANDEM 12TON COND. B                                             </t>
  </si>
  <si>
    <t xml:space="preserve">ROLO COMPACT. TANDEM 12TON COND. C                                             </t>
  </si>
  <si>
    <t xml:space="preserve">ROLO COMPACT. TANDEM 12TON COND. D                                             </t>
  </si>
  <si>
    <t xml:space="preserve">ROLO COMPACT.S/PNEU P/ASF. 12,5T COND. A                                       </t>
  </si>
  <si>
    <t xml:space="preserve">ROLO COMPACT.S/PNEU P/ASF. 12,5T COND. B                                       </t>
  </si>
  <si>
    <t xml:space="preserve">ROLO COMPACT.S/PNEU P/ASF. 12,5T COND. C                                       </t>
  </si>
  <si>
    <t xml:space="preserve">ROLO COMPACT.S/PNEU P/ASF. 12,5T COND. D                                       </t>
  </si>
  <si>
    <t xml:space="preserve">ROLO COMPACT. S/PNEU P/ASF. 27T COND. A                                        </t>
  </si>
  <si>
    <t xml:space="preserve">ROLO COMPACT. S/PNEU P/ASF. 27T COND. B                                        </t>
  </si>
  <si>
    <t xml:space="preserve">ROLO COMPACT. S/PNEU P/ASF. 27T COND. C                                        </t>
  </si>
  <si>
    <t xml:space="preserve">ROLO COMPACT. S/PNEU P/ASF. 27T COND. D                                        </t>
  </si>
  <si>
    <t xml:space="preserve">TRATOR AGRIC.C/PESO DE 3,7T COND. A                                            </t>
  </si>
  <si>
    <t xml:space="preserve">TRATOR AGRIC.C/PESO DE 3,7T COND. B                                            </t>
  </si>
  <si>
    <t xml:space="preserve">TRATOR AGRIC.C/PESO DE 3,7T COND. C                                            </t>
  </si>
  <si>
    <t xml:space="preserve">TRATOR AGRIC.C/PESO DE 3,7T COND. D                                            </t>
  </si>
  <si>
    <t xml:space="preserve">TRATOR AGRIC.C/PESO DE 5T COND. A                                              </t>
  </si>
  <si>
    <t xml:space="preserve">TRATOR AGRIC.C/PESO DE 5T COND. B                                              </t>
  </si>
  <si>
    <t xml:space="preserve">TRATOR AGRIC.C/PESO DE 5T COND. C                                              </t>
  </si>
  <si>
    <t xml:space="preserve">TRATOR AGRIC.C/PESO DE 5T COND. D                                              </t>
  </si>
  <si>
    <t xml:space="preserve">MICRO TRATOR C/APAR. DE GRAMA COND. A                                          </t>
  </si>
  <si>
    <t xml:space="preserve">MICRO TRATOR C/APAR. DE GRAMA COND. B                                          </t>
  </si>
  <si>
    <t xml:space="preserve">MICRO TRATOR C/APAR. DE GRAMA COND. C                                          </t>
  </si>
  <si>
    <t xml:space="preserve">MICRO TRATOR C/APAR. DE GRAMA COND. D                                          </t>
  </si>
  <si>
    <t xml:space="preserve">TRATOR EQUIP.C/TRIT.RESIDUOS VEG.COND. A                                       </t>
  </si>
  <si>
    <t xml:space="preserve">TRATOR EQUIP.C/TRIT.RESIDUOS VEG.COND. B                                       </t>
  </si>
  <si>
    <t xml:space="preserve">TRATOR EQUIP.C/TRIT.RESIDUOS VEG.COND. C                                       </t>
  </si>
  <si>
    <t xml:space="preserve">TRATOR EQUIP.C/TRIT.RESIDUOS VEG.COND. D                                       </t>
  </si>
  <si>
    <t xml:space="preserve">TRATOR AGRIC. C/PULVEMISTURADOR COND. A                                        </t>
  </si>
  <si>
    <t xml:space="preserve">TRATOR AGRIC. C/PULVEMISTURADOR COND. B                                        </t>
  </si>
  <si>
    <t xml:space="preserve">TRATOR AGRIC. C/PULVEMISTURADOR COND. C                                        </t>
  </si>
  <si>
    <t xml:space="preserve">TRATOR AGRIC. C/PULVEMISTURADOR COND. D                                        </t>
  </si>
  <si>
    <t xml:space="preserve">TRATOR S/EST.COM LAMINA 1,93M3 COND. A                                         </t>
  </si>
  <si>
    <t xml:space="preserve">TRATOR S/EST.COM LAMINA 1,93M3 COND. B                                         </t>
  </si>
  <si>
    <t xml:space="preserve">TRATOR S/EST.COM LAMINA 1,93M3 COND. C                                         </t>
  </si>
  <si>
    <t xml:space="preserve">TRATOR S/EST.COM LAMINA 1,93M3 COND. D                                         </t>
  </si>
  <si>
    <t xml:space="preserve">TRATOR S/EST. COM LAMINA 2,28M3 COND. A                                        </t>
  </si>
  <si>
    <t xml:space="preserve">TRATOR S/EST. COM LAMINA 2,28M3 COND. B                                        </t>
  </si>
  <si>
    <t xml:space="preserve">TRATOR S/EST. COM LAMINA 2,28M3 COND. C                                        </t>
  </si>
  <si>
    <t xml:space="preserve">TRATOR S/EST. COM LAMINA 2,28M3 COND. D                                        </t>
  </si>
  <si>
    <t xml:space="preserve">TRATOR S/EST.COM LAMINA 3,18M3 COND. A                                         </t>
  </si>
  <si>
    <t xml:space="preserve">TRATOR S/EST.COM LAMINA 3,18M3 COND. B                                         </t>
  </si>
  <si>
    <t xml:space="preserve">TRATOR S/EST.COM LAMINA 3,18M3 COND. C                                         </t>
  </si>
  <si>
    <t xml:space="preserve">TRATOR S/EST.COM LAMINA 3,18M3 COND. D                                         </t>
  </si>
  <si>
    <t xml:space="preserve">TRATOR S/EST. C/LAMINA/RIP.1,93M3 COND.A                                       </t>
  </si>
  <si>
    <t xml:space="preserve">TRATOR S/EST. C/LAMINA/RIP.1,93M3 COND.B                                       </t>
  </si>
  <si>
    <t xml:space="preserve">TRATOR S/EST. C/LAMINA/RIP.1,93M3 COND.C                                       </t>
  </si>
  <si>
    <t xml:space="preserve">TRATOR S/EST. C/LAMINA/RIP.1,93M3 COND.D                                       </t>
  </si>
  <si>
    <t xml:space="preserve">TRATOR S/EST. C/LAMINA/RIP.2,28M3 COND.A                                       </t>
  </si>
  <si>
    <t xml:space="preserve">TRATOR S/EST. C/LAMINA/RIP.2,28M3 COND.B                                       </t>
  </si>
  <si>
    <t xml:space="preserve">TRATOR S/EST. C/LAMINA/RIP.2,28M3 COND.C                                       </t>
  </si>
  <si>
    <t xml:space="preserve">TRATOR S/EST. C/LAMINA/RIP.2,28M3 COND.D                                       </t>
  </si>
  <si>
    <t xml:space="preserve">TRATOR S/EST. C/LAMINA/RIP.3,18M3 COND.A                                       </t>
  </si>
  <si>
    <t xml:space="preserve">TRATOR S/EST. C/LAMINA/RIP.3,18M3 COND.B                                       </t>
  </si>
  <si>
    <t xml:space="preserve">TRATOR S/EST. C/LAMINA/RIP.3,18M3 COND.C                                       </t>
  </si>
  <si>
    <t xml:space="preserve">TRATOR S/EST. C/LAMINA/RIP.3,18M3 COND.D                                       </t>
  </si>
  <si>
    <t xml:space="preserve">USINA DE CONCRETO 200M3/H COND. A                                              </t>
  </si>
  <si>
    <t xml:space="preserve">USINA DE CONCRETO 200M3/H COND. B                                              </t>
  </si>
  <si>
    <t xml:space="preserve">USINA DE CONCRETO 200M3/H COND. C                                              </t>
  </si>
  <si>
    <t xml:space="preserve">USINA DE CONCRETO 200M3/H COND. D                                              </t>
  </si>
  <si>
    <t xml:space="preserve">USINA DE CONCRETO 40M3/H COND. A                                               </t>
  </si>
  <si>
    <t xml:space="preserve">USINA DE CONCRETO 40M3/H COND. B                                               </t>
  </si>
  <si>
    <t xml:space="preserve">USINA DE CONCRETO 40M3/H COND. C                                               </t>
  </si>
  <si>
    <t xml:space="preserve">USINA DE CONCRETO 40M3/H COND. D                                               </t>
  </si>
  <si>
    <t xml:space="preserve">USINA ASFALTICA 60A80T/H COND. A                                               </t>
  </si>
  <si>
    <t xml:space="preserve">USINA ASFALTICA 60A80T/H COND. B                                               </t>
  </si>
  <si>
    <t xml:space="preserve">USINA ASFALTICA 60 A 80T/H COND. C                                             </t>
  </si>
  <si>
    <t xml:space="preserve">USINA ASFALTICA 60 A 80 T/H COND. D                                            </t>
  </si>
  <si>
    <t xml:space="preserve">USINA ASF.MATER.FRES.100A150T/H COND.A                                         </t>
  </si>
  <si>
    <t xml:space="preserve">USINA ASF.MATER.FRES.100A150T/H COND.B                                         </t>
  </si>
  <si>
    <t xml:space="preserve">USINA ASF.MATER.FRES.100A150T/H COND.C                                         </t>
  </si>
  <si>
    <t xml:space="preserve">USINA ASF.MATER.FRES.100A150T/H COND.D                                         </t>
  </si>
  <si>
    <t xml:space="preserve">USINA DE SOLOS 400TON/H COND. A                                                </t>
  </si>
  <si>
    <t xml:space="preserve">USINA DE SOLOS 400TON/H COND. B                                                </t>
  </si>
  <si>
    <t xml:space="preserve">USINA DE SOLOS 400TON/H COND. C                                                </t>
  </si>
  <si>
    <t xml:space="preserve">USINA DE SOLOS 400TON/H COND. D                                                </t>
  </si>
  <si>
    <t xml:space="preserve">VIBRADOR DE IMERSAO 12000VPM ELET.COND.A                                       </t>
  </si>
  <si>
    <t xml:space="preserve">VIBRADOR DE IMERSAO 12000VPM ELET.COND.B                                       </t>
  </si>
  <si>
    <t xml:space="preserve">VIBRADOR DE IMERSAO 12000VPM ELET.COND.C                                       </t>
  </si>
  <si>
    <t xml:space="preserve">VIBRADOR DE IMERSAO 12000VPM ELET.COND.D                                       </t>
  </si>
  <si>
    <t xml:space="preserve">VIBRADOR DE IMERSAO 12000VPM GAS.COND.A                                        </t>
  </si>
  <si>
    <t xml:space="preserve">VIBRADOR DE IMERSAO 12000VPM GAS.COND.B                                        </t>
  </si>
  <si>
    <t xml:space="preserve">VIBRADOR DE IMERSAO 12000VPM GAS.COND.C                                        </t>
  </si>
  <si>
    <t xml:space="preserve">VIBRADOR DE IMERSAO 12000VPM GAS.COND.D                                        </t>
  </si>
  <si>
    <t xml:space="preserve">VIBRO ACAB.ASF.S/EST.400T/H COND. A                                            </t>
  </si>
  <si>
    <t xml:space="preserve">VIBRO ACAB.ASF.S/EST.400T/H COND.B                                             </t>
  </si>
  <si>
    <t xml:space="preserve">VIBRO ACAB.ASF.S/EST.400T/H COND.C                                             </t>
  </si>
  <si>
    <t xml:space="preserve">VIBRO ACAB.ASF.S/EST.400T/H COND.D                                             </t>
  </si>
  <si>
    <t xml:space="preserve">VIBRO ACAB.ASF.S/EST. 2200TON/H COND.A                                         </t>
  </si>
  <si>
    <t xml:space="preserve">VIBRO ACAB.ASF.S/EST. 2200TON/H COND.B                                         </t>
  </si>
  <si>
    <t xml:space="preserve">VIBRO ACAB.ASF.S/EST. 2200TON/H COND.C                                         </t>
  </si>
  <si>
    <t xml:space="preserve">VIBRO ACAB.ASF.S/EST. 2200TON/H COND.D                                         </t>
  </si>
  <si>
    <t xml:space="preserve">VIBRO ACAB.ASF.S/EST.500TON/H COND. A                                          </t>
  </si>
  <si>
    <t xml:space="preserve">VIBRO ACAB.ASF.S/EST.500TON/H COND. B                                          </t>
  </si>
  <si>
    <t xml:space="preserve">VIBRO ACAB.ASF.S/EST.500TON/H COND. C                                          </t>
  </si>
  <si>
    <t xml:space="preserve">VIBRO ACAB.ASF.S/EST.500TON/H COND. D                                          </t>
  </si>
  <si>
    <t xml:space="preserve">VIBRO ACAB.ASF.S/PNEU 14,7T/H COND. A                                          </t>
  </si>
  <si>
    <t xml:space="preserve">VIBRO ACAB.ASF.S/PNEU 14,7T/H COND. B                                          </t>
  </si>
  <si>
    <t xml:space="preserve">VIBRO ACAB.ASF.S/PNEU 14,7T/H COND. C                                          </t>
  </si>
  <si>
    <t xml:space="preserve">VIBRO ACAB.ASF.S/PNEU 14,7T/H COND. D                                          </t>
  </si>
  <si>
    <t xml:space="preserve">VIBRO ACAB.CONCRETO 200M3/H COND. A                                            </t>
  </si>
  <si>
    <t xml:space="preserve">VIBRO ACAB.CONCRETO 200M3/H COND. B                                            </t>
  </si>
  <si>
    <t xml:space="preserve">VIBRO ACAB.CONCRETO 200M3/H COND. C                                            </t>
  </si>
  <si>
    <t xml:space="preserve">VIBRO ACAB.CONCRETO 200M3/H COND. D                                            </t>
  </si>
  <si>
    <t xml:space="preserve">SERRA PARA PAVIMENTO 8HP COND. A                                               </t>
  </si>
  <si>
    <t xml:space="preserve">SERRA PARA PAVIMENTO 8HP COND. B                                               </t>
  </si>
  <si>
    <t xml:space="preserve">SERRA PARA PAVIMENTO 8HP COND. C                                               </t>
  </si>
  <si>
    <t>72.56.01.04</t>
  </si>
  <si>
    <t xml:space="preserve">SERRA PARA PAVIMENTO 8HP COND. D                                               </t>
  </si>
  <si>
    <t xml:space="preserve">SERRA PARA PAVIMENTO 9HP COND. C                                               </t>
  </si>
  <si>
    <t xml:space="preserve">SERRA PARA PAVIMENTO 9HP COND. D                                               </t>
  </si>
  <si>
    <t xml:space="preserve">SELADORA A FRIO 15HP COND. A                                                   </t>
  </si>
  <si>
    <t xml:space="preserve">SELADORA A FRIO 15HP COND. B                                                   </t>
  </si>
  <si>
    <t xml:space="preserve">SELADORA A FRIO 15HP COND. C                                                   </t>
  </si>
  <si>
    <t xml:space="preserve">SELADORA A FRIO 15HP COND. D                                                   </t>
  </si>
  <si>
    <t xml:space="preserve">UNIDADE APLIC.EXTRUSAO COND. A                                                 </t>
  </si>
  <si>
    <t xml:space="preserve">UNIDADE APLIC.EXTRUSAO COND. B                                                 </t>
  </si>
  <si>
    <t xml:space="preserve">UNIDADE APLIC.EXTRUSAO COND. C                                                 </t>
  </si>
  <si>
    <t xml:space="preserve">UNIDADE APLIC.EXTRUSAO COND. D                                                 </t>
  </si>
  <si>
    <t xml:space="preserve">UNIDADE APLIC.TINTA ELAST.A FRIO COND.A                                        </t>
  </si>
  <si>
    <t xml:space="preserve">UNIDADE APLIC.TINTA ELAST.A FRIO COND.B                                        </t>
  </si>
  <si>
    <t xml:space="preserve">UNIDADE APLIC.TINTA ELAST.A FRIO COND.C                                        </t>
  </si>
  <si>
    <t xml:space="preserve">UNIDADE APLIC.TINTA ELAST.A FRIO COND.D                                        </t>
  </si>
  <si>
    <t xml:space="preserve">UNIDADE FUSORA COND. A                                                         </t>
  </si>
  <si>
    <t xml:space="preserve">UNIDADE FUSORA COND. B                                                         </t>
  </si>
  <si>
    <t xml:space="preserve">UNIDADE FUSORA COND. C                                                         </t>
  </si>
  <si>
    <t xml:space="preserve">UNIDADE FUSORA COND. D                                                         </t>
  </si>
  <si>
    <t xml:space="preserve">UNIDADE APLIC.HOT-SPRAY COND. A                                                </t>
  </si>
  <si>
    <t xml:space="preserve">UNIDADE APLIC.HOT-SPRAY COND. B                                                </t>
  </si>
  <si>
    <t xml:space="preserve">UNIDADE APLIC.HOT-SPRAY COND. C                                                </t>
  </si>
  <si>
    <t xml:space="preserve">UNIDADE APLIC.HOT-SPRAY COND. D                                                </t>
  </si>
  <si>
    <t xml:space="preserve">UNID.APLIC.TINTA (HOFFMAN OU SIMILAR)C-A                                       </t>
  </si>
  <si>
    <t xml:space="preserve">UNID.APLIC.TINTA (HOFFMAN OU SIMILAR)C-B                                       </t>
  </si>
  <si>
    <t xml:space="preserve">UNID.APLIC.TINTA (HOFFMAN OU SIMILAR)C-C                                       </t>
  </si>
  <si>
    <t xml:space="preserve">UNID.APLIC.TINTA (HOFFMAN OU SIMILAR)C-D                                       </t>
  </si>
  <si>
    <t xml:space="preserve">SILO P/ESTOC.CIMENTO 30T COND. A                                               </t>
  </si>
  <si>
    <t xml:space="preserve">SILO P/ESTOC.CIMENTO 30T COND. B                                               </t>
  </si>
  <si>
    <t xml:space="preserve">SILO P/ESTOC.CIMENTO 30T COND. C                                               </t>
  </si>
  <si>
    <t xml:space="preserve">SILO P/ESTOC.CIMENTO 30T COND. D                                               </t>
  </si>
  <si>
    <t xml:space="preserve">SILO P/ESTOC.MASSA ASF.35TON COND. A                                           </t>
  </si>
  <si>
    <t xml:space="preserve">SILO P/ESTOC.MASSA ASF.35TON COND. B                                           </t>
  </si>
  <si>
    <t xml:space="preserve">SILO P/ESTOC.MASSA ASF.35TON COND. C                                           </t>
  </si>
  <si>
    <t xml:space="preserve">SILO P/ESTOC.MASSA ASF.35TON COND. D                                           </t>
  </si>
  <si>
    <t xml:space="preserve">VASSOURA MEC. REBOCAVEL COND. A                                                </t>
  </si>
  <si>
    <t xml:space="preserve">VASSOURA MEC. REBOCAVEL COND. B                                                </t>
  </si>
  <si>
    <t xml:space="preserve">VASSOURA MEC. REBOCAVEL COND. C                                                </t>
  </si>
  <si>
    <t xml:space="preserve">VASSOURA MEC. REBOCAVEL COND. D                                                </t>
  </si>
  <si>
    <t xml:space="preserve">MAQUINA DE JATO COND. A                                                        </t>
  </si>
  <si>
    <t xml:space="preserve">MAQUINA DE JATO COND. B                                                        </t>
  </si>
  <si>
    <t xml:space="preserve">MAQUINA DE JATO COND. C                                                        </t>
  </si>
  <si>
    <t xml:space="preserve">MAQUINA DE JATO COND. D                                                        </t>
  </si>
  <si>
    <t>Consolidação dos custos de mão de obra - Tabela de Preços de Consultoria</t>
  </si>
  <si>
    <t>Custo Unitário</t>
  </si>
  <si>
    <t>P8167</t>
  </si>
  <si>
    <t>Arquivista júnior</t>
  </si>
  <si>
    <t>P8168</t>
  </si>
  <si>
    <t>Arquivista pleno</t>
  </si>
  <si>
    <t>P8169</t>
  </si>
  <si>
    <t>Arquivista sênior</t>
  </si>
  <si>
    <t>P8173</t>
  </si>
  <si>
    <t>Administrador júnior</t>
  </si>
  <si>
    <t>P8174</t>
  </si>
  <si>
    <t>Administrador pleno</t>
  </si>
  <si>
    <t>P8175</t>
  </si>
  <si>
    <t>Administrador sênior</t>
  </si>
  <si>
    <t>Custos de veículos Tabela de Preços de Consultoria</t>
  </si>
  <si>
    <t>Produtivo</t>
  </si>
  <si>
    <t>Improdutivo</t>
  </si>
  <si>
    <t>E8889</t>
  </si>
  <si>
    <t>Veículo leve - 53 kW (sem motorista)</t>
  </si>
  <si>
    <t>Veículo leve Pick Up 4x4 - 147 kW (sem motorista)</t>
  </si>
  <si>
    <t>Van furgão - 93 kW (com motorista)</t>
  </si>
  <si>
    <t>Cotações de Mercado</t>
  </si>
  <si>
    <t>op. 1</t>
  </si>
  <si>
    <t>op. 2</t>
  </si>
  <si>
    <t>op. 3</t>
  </si>
  <si>
    <t>EQ001</t>
  </si>
  <si>
    <t>Cotação Online</t>
  </si>
  <si>
    <t>PASS - DF</t>
  </si>
  <si>
    <t>PASS - AM</t>
  </si>
  <si>
    <t>PASS - RJ</t>
  </si>
  <si>
    <t>PASS - MG</t>
  </si>
  <si>
    <t>PASS - CE</t>
  </si>
  <si>
    <t>PASS - RS</t>
  </si>
  <si>
    <t>PASS - PE</t>
  </si>
  <si>
    <t>PASS - BA</t>
  </si>
  <si>
    <t>PASS - SP</t>
  </si>
  <si>
    <t>PASS - AC</t>
  </si>
  <si>
    <t>PASS - AL</t>
  </si>
  <si>
    <t>PASS - AP</t>
  </si>
  <si>
    <t>PASS - ES</t>
  </si>
  <si>
    <t>PASS - GO</t>
  </si>
  <si>
    <t>PASS - MA</t>
  </si>
  <si>
    <t>PASS - MT</t>
  </si>
  <si>
    <t>PASS - MS</t>
  </si>
  <si>
    <t>PASS - PA</t>
  </si>
  <si>
    <t>PASS - PB</t>
  </si>
  <si>
    <t>PASS - PR</t>
  </si>
  <si>
    <t>PASS - PI</t>
  </si>
  <si>
    <t>PASS - RN</t>
  </si>
  <si>
    <t>PASS - RO</t>
  </si>
  <si>
    <t>PASS - RR</t>
  </si>
  <si>
    <t>PASS - SC</t>
  </si>
  <si>
    <t>PASS - SE</t>
  </si>
  <si>
    <t>PASS - TO</t>
  </si>
  <si>
    <t>Custos de imóveis, mobiliário, cestas de instalações e custos diversos Tabela de Preços de Consultoria</t>
  </si>
  <si>
    <t>Comercial (2,60% do CMCC - SINAPI)</t>
  </si>
  <si>
    <t>m² x mês</t>
  </si>
  <si>
    <t>Residencial (1,70% do CMCC - SINAPI)</t>
  </si>
  <si>
    <t>ocupante x mês</t>
  </si>
  <si>
    <t>Benefícios e Despesas Indiretas - BDI</t>
  </si>
  <si>
    <t>Despesas Indiretas</t>
  </si>
  <si>
    <t>% sobre PV</t>
  </si>
  <si>
    <t>% sobre CD</t>
  </si>
  <si>
    <t>Administração Central</t>
  </si>
  <si>
    <t>Variável - f (CD)</t>
  </si>
  <si>
    <t>Despesas Financeiras</t>
  </si>
  <si>
    <t>Riscos</t>
  </si>
  <si>
    <t>0,50% do PV</t>
  </si>
  <si>
    <t>Garantias Contratuais</t>
  </si>
  <si>
    <t>0,10% do PV</t>
  </si>
  <si>
    <t>Subtotal 1</t>
  </si>
  <si>
    <t>Benefícios</t>
  </si>
  <si>
    <t>Lucro Operacional</t>
  </si>
  <si>
    <t>Subtotal 2</t>
  </si>
  <si>
    <t>Tributos</t>
  </si>
  <si>
    <t>PIS</t>
  </si>
  <si>
    <t>1,65% do PV</t>
  </si>
  <si>
    <t>COFINS</t>
  </si>
  <si>
    <t>7,60% do PV</t>
  </si>
  <si>
    <t>5,00% do PV</t>
  </si>
  <si>
    <t>Subtotal 3</t>
  </si>
  <si>
    <t>Total - BDI (%)</t>
  </si>
  <si>
    <t>Fonte: FGV IBRE</t>
  </si>
  <si>
    <t>Apêndice D - Lista de Produtos e Cronograma Referencial</t>
  </si>
  <si>
    <t>Participação</t>
  </si>
  <si>
    <t>Valor</t>
  </si>
  <si>
    <t>Escopo 1 - Estudos de Tráfego</t>
  </si>
  <si>
    <t>Plano de Trabalho</t>
  </si>
  <si>
    <t>Levantamentos Primários de Dados de Tráfego com arquivo kmz conforme determinado no Termo de Referência</t>
  </si>
  <si>
    <t>Tratamento, Análise e Consolidação dos Dados de Tráfego</t>
  </si>
  <si>
    <t>Montagem da Rede de Transportes e Base Georreferenciada</t>
  </si>
  <si>
    <t>Alocação de Tráfego e Modelo de Projeção de Tráfego</t>
  </si>
  <si>
    <t>Análise de obras de melhorias e ampliação de capacidade</t>
  </si>
  <si>
    <t>Dimensionamento da Praça de Pedágio</t>
  </si>
  <si>
    <t>Cálculos Auxiliares ao Dimensionamento do Pavimento</t>
  </si>
  <si>
    <t>Relatório de Tráfego - Situação Atual</t>
  </si>
  <si>
    <t>• Caracterização da Concessão e da Região de Inserção do Lote
• Levantamento e processamento de dados primários e secundários
• Determinação do Volume Diário Médio Anual no ano base
• Arquivos conforme determinado no Termo de Referência</t>
  </si>
  <si>
    <t>• Determinação do Custo de Viagem
• Sistema de Transporte e Rede Georreferenciada
• Zoneamento
• Localização das praças de pedágio
• Arquivos conforme determinado no Termo de Referência</t>
  </si>
  <si>
    <t>• Alocação de viagens
• Matriz Origem-Destino no ano base
• Carregamento do sistema no ano base
• Arquivos conforme determinado no Termo de Referência</t>
  </si>
  <si>
    <t>Relatório de Tráfego - Tráfego ao longo da concessão</t>
  </si>
  <si>
    <t>• Modelo de Projeção
• Arquivos conforme determinado no Termo de Referência</t>
  </si>
  <si>
    <t>• Previsão de intervenções no sistema
• Matrizes Origem-Destino futuras
• Carregamento do sistema ao longo da concessão
• Arquivos conforme determinado no Termo de Referência</t>
  </si>
  <si>
    <t>• Consolidação da localização das praças de pedágio
• Arquivos conforme determinado no Termo de Referência</t>
  </si>
  <si>
    <t>Relatório de Tráfego - Dimensionamento de Infraestrutura</t>
  </si>
  <si>
    <t>• Avaliação do nível de serviço sem a realização de obras de melhorias e ampliação de capacidade de acordo com o HCM
• Avaliação da necessidade de implantação de faixas adicionais em rampas ascedentes e descendentes
• Arquivos conforme determinado no Termo de Referência</t>
  </si>
  <si>
    <t>• Avaliação do nível de serviço com a realização de obras de melhorias e ampliação de capacidade de acordo com o HCM
• Listagem de intervenções por segmento homogêneo e ano de implantação
• Arquivos conforme determinado no Termo de Referência</t>
  </si>
  <si>
    <t>• Posicionamento, identificação e dimensionamento de dispositivos e intersecções no sistema
• Arquivos conforme determinado no Termo de Referência</t>
  </si>
  <si>
    <t>• Dimensionamento das praças de pedágio
• Arquivos conforme determinado no Termo de Referência</t>
  </si>
  <si>
    <t>• Cálculos de apoio ao dimensionamento do pavimento
• Arquivos conforme determinado no Termo de Referência</t>
  </si>
  <si>
    <t>Escopo 2 - Cadastro Geral da Rodovia</t>
  </si>
  <si>
    <t>Compilação de dados gerais existentes</t>
  </si>
  <si>
    <t>Levantamento topográfico</t>
  </si>
  <si>
    <t>Avaliação de Velocidades das Vias Existentes</t>
  </si>
  <si>
    <t>Geologia / Geotecnia</t>
  </si>
  <si>
    <t>Levantamento de pavimentos</t>
  </si>
  <si>
    <t>iRAP</t>
  </si>
  <si>
    <t>Inspeção de obras de arte especiais</t>
  </si>
  <si>
    <t>Cadastro de interferências</t>
  </si>
  <si>
    <t>Relatório de compilação de dados existentes por disciplina</t>
  </si>
  <si>
    <t>Dados brutos dos levantamentos de campo (nuvem de pontos e imagens aéreas)</t>
  </si>
  <si>
    <t>Desenhos e pranchas em dgw, com filtros, padrões e layers aplicados, inclusive extração de quantidades de elementos existentes</t>
  </si>
  <si>
    <t>Modelo Digital do Terreno (MDT) para BIM, contendo a superfície do terreno existente e delimitação de bacias de contribuição de drenagem</t>
  </si>
  <si>
    <t>Vídeo registro</t>
  </si>
  <si>
    <t>Sistema de visualização + fotos e filme georreferenciados</t>
  </si>
  <si>
    <t>Planilhas de cadastro, inclusive resumo de quantidades de elementos existentes</t>
  </si>
  <si>
    <t>Retigráfico situação existente com link automático aos bancos de dados de cadastros</t>
  </si>
  <si>
    <t>2.5</t>
  </si>
  <si>
    <t>Avaliação de velocidade das vias existentes</t>
  </si>
  <si>
    <t>Velocidades admissíveis</t>
  </si>
  <si>
    <t>2.6</t>
  </si>
  <si>
    <t>Geotecnia / Geologia</t>
  </si>
  <si>
    <t>Relatório de programação de sondagens</t>
  </si>
  <si>
    <t>Relatório de resultados de sondagens / ensaios</t>
  </si>
  <si>
    <t>Modelo BIM preliminar contendo as superfícies representativas das camadas inferidas para 1ª, 2ª e 3ª categorias com base nos dados coletados e de campo, e topografia do terreno</t>
  </si>
  <si>
    <t>Relatório Consolidado de Geologia / Geotecnia contendo mapeamento consolidado</t>
  </si>
  <si>
    <t>2.7</t>
  </si>
  <si>
    <t>Relatório de Levantamento Visual (IGG, LVC, PRO-07), IRI/QI e FWD + planilhas formato padrão EPL</t>
  </si>
  <si>
    <t>Arquivos do HDM-4 montados com cadastro de segmentos homogêneo e respectivas características técnicas - pav. Existente</t>
  </si>
  <si>
    <t>2.8</t>
  </si>
  <si>
    <t>Segurança Viária - iRAP</t>
  </si>
  <si>
    <t>Retigráfico elementos existentes constantes no cadastro versus contramedidas propostas pelo software (link automático às planilçhas de saída do software)</t>
  </si>
  <si>
    <t>Quantificação das contramedidas previstas para as fases da Concessão (TI, Recuperação e Ampliação)</t>
  </si>
  <si>
    <t>2.9</t>
  </si>
  <si>
    <t>Relatório de Inspeção contendo fichas, croquis e fotos</t>
  </si>
  <si>
    <t>2.10</t>
  </si>
  <si>
    <t xml:space="preserve">Cadastro de Interferências </t>
  </si>
  <si>
    <t>Relatório contendo fichas, croquis e fotos</t>
  </si>
  <si>
    <t>2.11</t>
  </si>
  <si>
    <t>Relatório Final Consolidado</t>
  </si>
  <si>
    <t>Desenhos e pranchas (planta e pefil) em dwg, com filtros, padrões e layers aplicados, inclusive extração de quantidades de elementos existentes com os dados consolidados do levantamento topográfico, vídeo-registro, contramedidas propostas pelo iRAP</t>
  </si>
  <si>
    <t>Escopo 3 - Estudos Ambientais</t>
  </si>
  <si>
    <t>Plano de trabalho separado por disciplina</t>
  </si>
  <si>
    <t>3.2</t>
  </si>
  <si>
    <t>Levantamentos de Campo</t>
  </si>
  <si>
    <t>Relatório + banco de dados de Cadastro de passivos ambientais</t>
  </si>
  <si>
    <t>Relatório + banco de dados de Cadastro de passivos sociais</t>
  </si>
  <si>
    <t>3.3</t>
  </si>
  <si>
    <t>Estudos Sócio-Ambientais</t>
  </si>
  <si>
    <t>Relatório de Estudos Sócio-ambientais</t>
  </si>
  <si>
    <t>3.4</t>
  </si>
  <si>
    <t>Escopo 4 - Trabalhos Iniciais</t>
  </si>
  <si>
    <t>4.1</t>
  </si>
  <si>
    <t>Pavimento</t>
  </si>
  <si>
    <t>Quantificação e orçamentação</t>
  </si>
  <si>
    <t>4.2</t>
  </si>
  <si>
    <t>Programa de manutenção de pavimentos</t>
  </si>
  <si>
    <t>Programa de Manutenção de Pavimentos Existentes - relatórios de saída do HDM-4 com pelo menos dois cenários alternativos</t>
  </si>
  <si>
    <t>4.3</t>
  </si>
  <si>
    <t>Relatório de memória de quantidades</t>
  </si>
  <si>
    <t>4.4</t>
  </si>
  <si>
    <t>Escopo 5 - Programa de Recuperação</t>
  </si>
  <si>
    <t>5.1</t>
  </si>
  <si>
    <t>5.2</t>
  </si>
  <si>
    <t>5.3</t>
  </si>
  <si>
    <t>Escopo 6 - Manutenção Periódica e Conservação</t>
  </si>
  <si>
    <t>6.1</t>
  </si>
  <si>
    <t>6.2</t>
  </si>
  <si>
    <t>6.3</t>
  </si>
  <si>
    <t>Escopo 7 - Ampliação de Capacidade e Melhorias</t>
  </si>
  <si>
    <t>7.1</t>
  </si>
  <si>
    <t>Geometria / Terraplenagem</t>
  </si>
  <si>
    <t>Sinalização, Segurança e Iluminação</t>
  </si>
  <si>
    <t>OAEs</t>
  </si>
  <si>
    <t>Drenagem, Interferências e demais disciplinas</t>
  </si>
  <si>
    <t>Plano de trabalho referente à elaboração do projeto funcional</t>
  </si>
  <si>
    <t>Plano de trabalho referente à elaboração de modelos BIM</t>
  </si>
  <si>
    <t>7.2</t>
  </si>
  <si>
    <t>Projeto Funcional</t>
  </si>
  <si>
    <t>Projeto Funcional (planta, perfil e seção-tipo) das ampliações em dwg (pranchas) e pdf, inclusive extração de quantidades dos desenhos</t>
  </si>
  <si>
    <t>Retigráfico situação projetada</t>
  </si>
  <si>
    <t>7.3</t>
  </si>
  <si>
    <t>Modelo BIM das ampliações propostas, inclusive extração de quantidades dos desenhos</t>
  </si>
  <si>
    <t>Entrega do modelo em formato aberto nativo AutoCAD Civil 3D 2021</t>
  </si>
  <si>
    <t>Entrega do modelo em formato aberto nativo Autodesk Infraworks 2021</t>
  </si>
  <si>
    <t>Entrega do modelo em formato aberto nativo Autodesk Navisworks Manage 2021</t>
  </si>
  <si>
    <t>7.4</t>
  </si>
  <si>
    <t>Programa de Pavimentação</t>
  </si>
  <si>
    <t>Relatório de Estudo de Dimensionamento de Alternativas de Pavimento (rígido e flexível)</t>
  </si>
  <si>
    <t>Arquivos do HDM-4 montados com cadastro de segmentos homogêneo e respectivas características técnicas - pav. Novos</t>
  </si>
  <si>
    <t>Programa de Manutenção de Pavimentos Novos - relatórios de saída do HDM-4 com pelo menos dois cenários alternativos</t>
  </si>
  <si>
    <t>7.5</t>
  </si>
  <si>
    <t>7.6</t>
  </si>
  <si>
    <t>Escopo 8 - Modelo Operacional</t>
  </si>
  <si>
    <t>8.1</t>
  </si>
  <si>
    <t>8.2</t>
  </si>
  <si>
    <t>8.3</t>
  </si>
  <si>
    <t>Escopo 9 - Modelo Econômico-Financeiro</t>
  </si>
  <si>
    <t>9.1</t>
  </si>
  <si>
    <t>Plano de trabalho referente à orçamentação</t>
  </si>
  <si>
    <t>Plano de trabalho referente à elaboração do modelo econômico financeiro</t>
  </si>
  <si>
    <t>9.2</t>
  </si>
  <si>
    <t xml:space="preserve">Orçamentação </t>
  </si>
  <si>
    <t>Planilhas com cálculo do FIT, DMTs, Aquisição e Transporte de Material betuminoso</t>
  </si>
  <si>
    <t>Planilhas com composições de custo unitário, BDI, quantitativos consolidados e Curva ABC</t>
  </si>
  <si>
    <t>Planilhas com cálculo de custos indiretos (Administração Local, Canteiros, Mobilização e Desmobilização)</t>
  </si>
  <si>
    <t>9.3</t>
  </si>
  <si>
    <t>Planilha MEF</t>
  </si>
  <si>
    <t>Planilha Modelo Econômico Financeiro</t>
  </si>
  <si>
    <t>9.4</t>
  </si>
  <si>
    <t>Escopo 10 - Modelagem Juríca</t>
  </si>
  <si>
    <t>10.1</t>
  </si>
  <si>
    <t>Plano de trabalho</t>
  </si>
  <si>
    <t>10.2</t>
  </si>
  <si>
    <t>Modelagem Jurídica</t>
  </si>
  <si>
    <t>Minuta de PER</t>
  </si>
  <si>
    <t>Minuta de Edital e Anexos</t>
  </si>
  <si>
    <t>Minuta de Contrato e Anexos</t>
  </si>
  <si>
    <t>Tradução de documentos</t>
  </si>
  <si>
    <t>Planilha resumo para ANTT</t>
  </si>
  <si>
    <t>Assessoria Jurídica</t>
  </si>
  <si>
    <t>Escopo 11 - Gestão do Projeto</t>
  </si>
  <si>
    <t>11.1</t>
  </si>
  <si>
    <t>11.2</t>
  </si>
  <si>
    <t>Escopo 13 - Apoio à fase de Audiência Pública</t>
  </si>
  <si>
    <t>Cadastro em planilha padrão e elaboração de kmz padrão com os pleitos da audiência pública</t>
  </si>
  <si>
    <t>Relatório de subsídios de respostas às contribuições da audiência pública</t>
  </si>
  <si>
    <t>11.3</t>
  </si>
  <si>
    <t>Escopo 14 - Apoio à fase de Controle Externo</t>
  </si>
  <si>
    <t>Relatório de subsídios a eventuais questionamentos órgão de controle externo</t>
  </si>
  <si>
    <t>Escopo 15 - Apoio à fase de Licitação</t>
  </si>
  <si>
    <t xml:space="preserve">Relatório de subsídios a eventuais questionamentos </t>
  </si>
  <si>
    <t>Escopo 12 - Promoção Nacional e Internacional</t>
  </si>
  <si>
    <t>12.1</t>
  </si>
  <si>
    <t>12.2</t>
  </si>
  <si>
    <t>Valor Orçamento
(referencia)</t>
  </si>
  <si>
    <t>% (ref)</t>
  </si>
  <si>
    <t>Definição de Porcentagem sobre o orçamento bruto</t>
  </si>
  <si>
    <t>Planos de trabalho</t>
  </si>
  <si>
    <t>Trabalhos iniciais</t>
  </si>
  <si>
    <t>Recuperação</t>
  </si>
  <si>
    <t>Manutenção e conservação</t>
  </si>
  <si>
    <t>Ampliação de capaciadade</t>
  </si>
  <si>
    <t>B.00) Planos de Trabalho</t>
  </si>
  <si>
    <t>15 dias corridos para elaboração dos planos de trabalho para todo o estudo</t>
  </si>
  <si>
    <t>7 dias corridos para validação e revisão dos planos de trabalho para todo o estudo</t>
  </si>
  <si>
    <t>Valor total 
(US$)</t>
  </si>
  <si>
    <t>A.01) PLANO INTEGRADO DE COMUNICAÇÃO, HOTSITE E RESULTADOS DE PROMOÇÃO</t>
  </si>
  <si>
    <t>A.02) ROAD SHOWS</t>
  </si>
  <si>
    <t>A.02.1) EVENTOS NACIONAIS</t>
  </si>
  <si>
    <t>A.02.2) EVENTOS INTERNACIONAIS</t>
  </si>
  <si>
    <t>Plano Integrado de Comunicação, hotsite e Resultados de Promoção</t>
  </si>
  <si>
    <t>12.3</t>
  </si>
  <si>
    <t>Road Show</t>
  </si>
  <si>
    <t>Eventos nacionais</t>
  </si>
  <si>
    <t>Eventos internacionais</t>
  </si>
  <si>
    <t>Rodovia</t>
  </si>
  <si>
    <t xml:space="preserve">UF </t>
  </si>
  <si>
    <t>Código</t>
  </si>
  <si>
    <t>km inicial</t>
  </si>
  <si>
    <t>km final</t>
  </si>
  <si>
    <t>Extensão</t>
  </si>
  <si>
    <t>Superfície Federal</t>
  </si>
  <si>
    <t>393ARJ1005</t>
  </si>
  <si>
    <t>IMP</t>
  </si>
  <si>
    <t>393ARJ1010</t>
  </si>
  <si>
    <t>PAV</t>
  </si>
  <si>
    <t>393BRJ0270</t>
  </si>
  <si>
    <t>393BRJ0275</t>
  </si>
  <si>
    <t>393BRJ0290</t>
  </si>
  <si>
    <t>393BRJ0330</t>
  </si>
  <si>
    <t>393BRJ0340</t>
  </si>
  <si>
    <t>DUP</t>
  </si>
  <si>
    <t>393BRJ0350</t>
  </si>
  <si>
    <t>393BRJ0370</t>
  </si>
  <si>
    <t>393BRJ0390</t>
  </si>
  <si>
    <t>393BRJ0410</t>
  </si>
  <si>
    <t>393BRJ0430</t>
  </si>
  <si>
    <t>393BRJ0450</t>
  </si>
  <si>
    <t>393BRJ0470</t>
  </si>
  <si>
    <t>393BRJ0490</t>
  </si>
  <si>
    <t>393BRJ0510</t>
  </si>
  <si>
    <t>393BRJ0530</t>
  </si>
  <si>
    <t>393BRJ0560</t>
  </si>
  <si>
    <t>393BRJ0570</t>
  </si>
  <si>
    <t>393BRJ0590</t>
  </si>
  <si>
    <t>393BRJ0610</t>
  </si>
  <si>
    <t>MT</t>
  </si>
  <si>
    <t>163BMT0560</t>
  </si>
  <si>
    <t>163BMT0565</t>
  </si>
  <si>
    <t>163BMT0570</t>
  </si>
  <si>
    <t>163BMT0575</t>
  </si>
  <si>
    <t>163BMT0580</t>
  </si>
  <si>
    <t>163BMT0581</t>
  </si>
  <si>
    <t>163BMT0582</t>
  </si>
  <si>
    <t>163BMT0585</t>
  </si>
  <si>
    <t>163BMT0590</t>
  </si>
  <si>
    <t>163BMT0591</t>
  </si>
  <si>
    <t>163BMT0592</t>
  </si>
  <si>
    <t>163BMT0595</t>
  </si>
  <si>
    <t>163BMT0610</t>
  </si>
  <si>
    <t>163BMT0625</t>
  </si>
  <si>
    <t>163BMT0630</t>
  </si>
  <si>
    <t>163BMT0635</t>
  </si>
  <si>
    <t>163BMT0640</t>
  </si>
  <si>
    <t>163BMT0645</t>
  </si>
  <si>
    <t>163BMT0660</t>
  </si>
  <si>
    <t>163BMT0665</t>
  </si>
  <si>
    <t>163BMT0670</t>
  </si>
  <si>
    <t>163BMT0675</t>
  </si>
  <si>
    <t>163BMT0685</t>
  </si>
  <si>
    <t>163BMT0695</t>
  </si>
  <si>
    <t>163BMT0700</t>
  </si>
  <si>
    <t>163BMT0705</t>
  </si>
  <si>
    <t>163BMT0710</t>
  </si>
  <si>
    <t>163BMT0715</t>
  </si>
  <si>
    <t>163BMT0720</t>
  </si>
  <si>
    <t>163BMT0725</t>
  </si>
  <si>
    <t>163BMT0730</t>
  </si>
  <si>
    <t>163BMT0735</t>
  </si>
  <si>
    <t>163BMT0740</t>
  </si>
  <si>
    <t>163BMT0745</t>
  </si>
  <si>
    <t>163BMT0750</t>
  </si>
  <si>
    <t>163BMT0755</t>
  </si>
  <si>
    <t>163BMT0760</t>
  </si>
  <si>
    <t>163BMT0765</t>
  </si>
  <si>
    <t>163BMT0770</t>
  </si>
  <si>
    <t>163BMT0775</t>
  </si>
  <si>
    <t>163BMT0780</t>
  </si>
  <si>
    <t>163BMT0785</t>
  </si>
  <si>
    <t>163BMT0790</t>
  </si>
  <si>
    <t>163BMT0795</t>
  </si>
  <si>
    <t>163BMT0800</t>
  </si>
  <si>
    <t>163BMT0805</t>
  </si>
  <si>
    <t>163BMT0808</t>
  </si>
  <si>
    <t>163BMT0810</t>
  </si>
  <si>
    <t>163BMT0815</t>
  </si>
  <si>
    <t>163BMT0820</t>
  </si>
  <si>
    <t>163BMT0821</t>
  </si>
  <si>
    <t>163BMT0822</t>
  </si>
  <si>
    <t>163BMT0825</t>
  </si>
  <si>
    <t>163BMT0830</t>
  </si>
  <si>
    <t>163BMT0832</t>
  </si>
  <si>
    <t>163VMT1005</t>
  </si>
  <si>
    <t>163VMT2005</t>
  </si>
  <si>
    <t>163CMT1005</t>
  </si>
  <si>
    <t>163CMT1010</t>
  </si>
  <si>
    <t>163CMT1015</t>
  </si>
  <si>
    <t>163CMT1020</t>
  </si>
  <si>
    <t>163CMT1025</t>
  </si>
  <si>
    <t>163CMT1030</t>
  </si>
  <si>
    <t>PLA</t>
  </si>
  <si>
    <t>070BMT0290</t>
  </si>
  <si>
    <t>070BMT0295</t>
  </si>
  <si>
    <t>070BMT0300</t>
  </si>
  <si>
    <t>070BMT0310</t>
  </si>
  <si>
    <t>070BMT0320</t>
  </si>
  <si>
    <t>070BMT0321</t>
  </si>
  <si>
    <t>070BMT0322</t>
  </si>
  <si>
    <t>070BMT0324</t>
  </si>
  <si>
    <t>070BMT0326</t>
  </si>
  <si>
    <t>070BMT0328</t>
  </si>
  <si>
    <t>070BMT0330</t>
  </si>
  <si>
    <t>070BMT0350</t>
  </si>
  <si>
    <t>070BMT0370</t>
  </si>
  <si>
    <t>070BMT0372</t>
  </si>
  <si>
    <t>070BMT0373</t>
  </si>
  <si>
    <t>070BMT0374</t>
  </si>
  <si>
    <t>070BMT0375</t>
  </si>
  <si>
    <t>070BMT0376</t>
  </si>
  <si>
    <t>070BMT0378</t>
  </si>
  <si>
    <t>070BMT0384</t>
  </si>
  <si>
    <t>070BMT0390</t>
  </si>
  <si>
    <t>070BMT0500</t>
  </si>
  <si>
    <t>Alças e Acessos Equivalente
(km)</t>
  </si>
  <si>
    <t>BR-393</t>
  </si>
  <si>
    <t>BR-163</t>
  </si>
  <si>
    <t>BR-070</t>
  </si>
  <si>
    <t>Acost. PD</t>
  </si>
  <si>
    <t>Acost. OS</t>
  </si>
  <si>
    <t>Ext. Equivalente Total Implantada com Acostamento
(km)</t>
  </si>
  <si>
    <t>DNIT jul/21</t>
  </si>
  <si>
    <t>Ida</t>
  </si>
  <si>
    <t>Volta</t>
  </si>
  <si>
    <t>BR-393/RJ</t>
  </si>
  <si>
    <t>BR-163/MT</t>
  </si>
  <si>
    <t>BR-070/MT</t>
  </si>
  <si>
    <t>Capital</t>
  </si>
  <si>
    <t>Custo (R$)</t>
  </si>
  <si>
    <t>DECRETO Nº 5.992, DE 19 DE DEZEMBRO DE 2006</t>
  </si>
  <si>
    <t>Sinop</t>
  </si>
  <si>
    <t>Considerado o deslocamento das principais capitais aos aeroportos de Sinop e Cuiabá pois são os mais próximos do trecho em estudo</t>
  </si>
  <si>
    <t>Foram desconsiderados os aeroportos de Barra do Garças, Sorriso e Rondonópolis devido aos longos períodos de deslocamento (acima de 4 horas por conta de conexões)</t>
  </si>
  <si>
    <t>TPU DER set/21</t>
  </si>
  <si>
    <t>Inspeção e avaliação in loco, suporte aos levantamentos</t>
  </si>
  <si>
    <t>Estimado: 1 viagens (ida e volta) para 2 engenheiros</t>
  </si>
  <si>
    <t>Estima-se extensão média de 40m por OAE (162 OAES)</t>
  </si>
  <si>
    <t>43 dias úteis de trabalho do operador do drone</t>
  </si>
  <si>
    <t>393BRJ0550a</t>
  </si>
  <si>
    <t>393BRJ0550b</t>
  </si>
  <si>
    <t>Levantamento Completo</t>
  </si>
  <si>
    <t>Sim</t>
  </si>
  <si>
    <t>Não</t>
  </si>
  <si>
    <t>Levant. Completo</t>
  </si>
  <si>
    <t>163BMT0600a</t>
  </si>
  <si>
    <t>163BMT0600b</t>
  </si>
  <si>
    <t>Contorno Santa Elvira</t>
  </si>
  <si>
    <t>163BMT0605a</t>
  </si>
  <si>
    <t>163BMT0605b</t>
  </si>
  <si>
    <t>163BMT0605c</t>
  </si>
  <si>
    <t>Contorno Juscimeira</t>
  </si>
  <si>
    <t>163BMT0615a</t>
  </si>
  <si>
    <t>163BMT0615b</t>
  </si>
  <si>
    <t>Contorno São Pedro da Cipa</t>
  </si>
  <si>
    <t>163BMT0620a</t>
  </si>
  <si>
    <t>163BMT0620b</t>
  </si>
  <si>
    <t>163BMT0620c</t>
  </si>
  <si>
    <t>163BMT0650a</t>
  </si>
  <si>
    <t>163BMT0650b</t>
  </si>
  <si>
    <t>Contorno Água Quente</t>
  </si>
  <si>
    <t>163BMT0655a</t>
  </si>
  <si>
    <t>163BMT0655b</t>
  </si>
  <si>
    <t>163BMT0680a</t>
  </si>
  <si>
    <t>163BMT0680b</t>
  </si>
  <si>
    <t>GO</t>
  </si>
  <si>
    <t>Contorno</t>
  </si>
  <si>
    <t>Extensão Estudo Total
(km)</t>
  </si>
  <si>
    <t>Ext. Estudo Total Implantada
(km)</t>
  </si>
  <si>
    <t>Extensão Urbano Contornado
(km)</t>
  </si>
  <si>
    <t>Considerdo 4 inspeções por dia - 58 OAEs no RJ + 1 dia de mobilização * 2 profissionais</t>
  </si>
  <si>
    <t>Considerdo 4 inspeções por dia - 104 OAEs no MT + 1 dia de mobilização * 2 profissionais</t>
  </si>
  <si>
    <t xml:space="preserve">Estimado: 3 dias úteis/ mês * 2 profissionais </t>
  </si>
  <si>
    <t xml:space="preserve">Estimado: 19 dias úteis/ mês * 2 profissionais </t>
  </si>
  <si>
    <t>Estimado: 1 viagem (ida e volta) para 2 profissionais</t>
  </si>
  <si>
    <t>Estimado 1 equipamento por profissional de campo</t>
  </si>
  <si>
    <t>Estimado: 1 viagem para Eng. Pleno e Senior</t>
  </si>
  <si>
    <t>Estimado: 2 viagens para Eng. Pleno e Senior</t>
  </si>
  <si>
    <t>Preço unitário: Custo DNIT * Número de pessoas*mês</t>
  </si>
  <si>
    <t>Preço unitário: Custo DNIT * Cálc. Área escritório (AE=(57,95/2)+4,5 x número de pessoas)*mês</t>
  </si>
  <si>
    <t>Estimado: 2 diárias * 2 profissionais por viagem (1 viagem)</t>
  </si>
  <si>
    <t>Estimado: 2 diárias * 2 profissionais por viagem (2 viagem)</t>
  </si>
  <si>
    <t>Estimado: 3 dias úteis/ mês * 1 profissional</t>
  </si>
  <si>
    <t>Estimado: 19 dias úteis/ mês * 1 profissional</t>
  </si>
  <si>
    <t>Estimado: 1 viagem (ida e volta) para 1 profissional</t>
  </si>
  <si>
    <t>Considerando 22 dias uteis - 01 profissional</t>
  </si>
  <si>
    <t>Considerado os dias necessários para inspeção mais dia de mobilização</t>
  </si>
  <si>
    <t>Ext. Duplicada
(km)</t>
  </si>
  <si>
    <t>Ext. Simples Imp
(km)</t>
  </si>
  <si>
    <t>Ext. Simples Pav
(km)</t>
  </si>
  <si>
    <t>Ext. Total
(km)</t>
  </si>
  <si>
    <t>Ext. Coinc
(km)</t>
  </si>
  <si>
    <t>Soma de Extensão</t>
  </si>
  <si>
    <t>Rótulos de Coluna</t>
  </si>
  <si>
    <t>Rótulos de Linha</t>
  </si>
  <si>
    <t>Total Geral</t>
  </si>
  <si>
    <t>Lote 1 - BR-158/155 MT/PA</t>
  </si>
  <si>
    <t>BR-155/PA</t>
  </si>
  <si>
    <t>155BPA</t>
  </si>
  <si>
    <t>(vazio)</t>
  </si>
  <si>
    <t>BR-158/MT</t>
  </si>
  <si>
    <t>158BMT</t>
  </si>
  <si>
    <t>BR-158/PA</t>
  </si>
  <si>
    <t>158BPA</t>
  </si>
  <si>
    <t>5-CONCER</t>
  </si>
  <si>
    <t>Lote 2 - BR-135/316 MA</t>
  </si>
  <si>
    <t>BR-135/MA</t>
  </si>
  <si>
    <t>135BMA</t>
  </si>
  <si>
    <t>BR-316/MA</t>
  </si>
  <si>
    <t>316BMA</t>
  </si>
  <si>
    <t>Lote 3 - BR-163/MS</t>
  </si>
  <si>
    <t>BR-163/MS</t>
  </si>
  <si>
    <t>163BMS</t>
  </si>
  <si>
    <t>Lote 4 - BR-060/153/262/DF/GO/MG (Concebra)</t>
  </si>
  <si>
    <t>BR-060/DF</t>
  </si>
  <si>
    <t>060BDF</t>
  </si>
  <si>
    <t>BR-060/GO</t>
  </si>
  <si>
    <t>060BGO</t>
  </si>
  <si>
    <t>BR-153/GO</t>
  </si>
  <si>
    <t>153BGO</t>
  </si>
  <si>
    <t>BR-153/MG</t>
  </si>
  <si>
    <t>153BMG</t>
  </si>
  <si>
    <t>BR-262/MG</t>
  </si>
  <si>
    <t>262BMG</t>
  </si>
  <si>
    <t>Lote 5 - BR-040/DF/GO/MG (Via040)</t>
  </si>
  <si>
    <t>BR-040/DF</t>
  </si>
  <si>
    <t>040BDF</t>
  </si>
  <si>
    <t>BR-040/GO</t>
  </si>
  <si>
    <t>040BGO</t>
  </si>
  <si>
    <t>BR-040/MG</t>
  </si>
  <si>
    <t>040BMG</t>
  </si>
  <si>
    <t>Lote 6 - BR-476/153/282/480/SC/PR</t>
  </si>
  <si>
    <t>BR-153/PR</t>
  </si>
  <si>
    <t>153BPR</t>
  </si>
  <si>
    <t>BR-153/SC</t>
  </si>
  <si>
    <t>153BSC</t>
  </si>
  <si>
    <t>BR-280/PR</t>
  </si>
  <si>
    <t>280BPR</t>
  </si>
  <si>
    <t>BR-282/SC</t>
  </si>
  <si>
    <t>282BSC</t>
  </si>
  <si>
    <t>BR-466/PR</t>
  </si>
  <si>
    <t>466BPR</t>
  </si>
  <si>
    <t>BR-476/PR</t>
  </si>
  <si>
    <t>476BPR</t>
  </si>
  <si>
    <t>BR-480/SC</t>
  </si>
  <si>
    <t>480BSC</t>
  </si>
  <si>
    <t>Incluindo o contorno e segregando o aditivo à Concer da 040:</t>
  </si>
  <si>
    <t>EPL</t>
  </si>
  <si>
    <t>Ext. Simples Pavimentada
(km)</t>
  </si>
  <si>
    <t>Ext. Simples Planejada
(km)</t>
  </si>
  <si>
    <t>DUPLA</t>
  </si>
  <si>
    <t>SIMPLES</t>
  </si>
  <si>
    <t>FA</t>
  </si>
  <si>
    <t>MARGINAL</t>
  </si>
  <si>
    <t>Check</t>
  </si>
  <si>
    <t xml:space="preserve">Sondagens à Percussão </t>
  </si>
  <si>
    <t>Sondagens à trado/ amostra para ensaio</t>
  </si>
  <si>
    <t>Sondagens à Percussão para OAE</t>
  </si>
  <si>
    <t>Sondagens pavimento serracopo</t>
  </si>
  <si>
    <t xml:space="preserve">A- Lote </t>
  </si>
  <si>
    <t xml:space="preserve">Lote </t>
  </si>
  <si>
    <t>BR-070/GO</t>
  </si>
  <si>
    <t>TOTAL</t>
  </si>
  <si>
    <t>prof</t>
  </si>
  <si>
    <t>metros</t>
  </si>
  <si>
    <t xml:space="preserve">    </t>
  </si>
  <si>
    <t>Estimado: 1 viagem (ida e volta) para 1 profissionais</t>
  </si>
  <si>
    <t xml:space="preserve">Estimado: 36 dias úteis/ mês *1 profissional </t>
  </si>
  <si>
    <t xml:space="preserve">Estimado: 3 dias úteis/ mês *3 profissional </t>
  </si>
  <si>
    <t xml:space="preserve">Estimado: 19 dias úteis/ mês *3 profissional </t>
  </si>
  <si>
    <t>Estimado: 1 viagem (ida e volta) para 3 profissionais</t>
  </si>
  <si>
    <t>Veículo eng. Senior (reuniões externas)</t>
  </si>
  <si>
    <t>Estimado: 2 viagem (ida e volta) para 2 profissionais</t>
  </si>
  <si>
    <t>Estudo Jurídico-Regulatório</t>
  </si>
  <si>
    <t>21.03.15</t>
  </si>
  <si>
    <t xml:space="preserve">MONTAGEM E DESMONTAGEM DE BLOQUEADOR TEMPORARIO DE FLUIDOS                     </t>
  </si>
  <si>
    <t>21.09.04</t>
  </si>
  <si>
    <t xml:space="preserve">SIST.DE VIDEO-INSP.ROBOT.DE TUBULAC.E TUBULAC.DE CONCRETO EMISSAO DE RELATORIO </t>
  </si>
  <si>
    <t>21.09.05</t>
  </si>
  <si>
    <t xml:space="preserve">SIST.DE VIDEO-INSP.DE TUBULACOES E CANALIZACOES COM DIAMETROENTRE 75MM E 200MM </t>
  </si>
  <si>
    <t>21.13.01</t>
  </si>
  <si>
    <t>MOBIL.E DESMOB.DE INSTAL.PROVIS.(BY-PASS)TREC.REDE PLUVIAL MAN.TUB.DE POLIETIL.</t>
  </si>
  <si>
    <t>22.01.07</t>
  </si>
  <si>
    <t xml:space="preserve">CARGA DE MATERIAL DE LIMPEZA DE ESCAV.                                         </t>
  </si>
  <si>
    <t>24.07.09.01</t>
  </si>
  <si>
    <t xml:space="preserve">BOMBEAMENTO DE AGUA PLUVIAL DE ENCANAMENTOS E TUBULACOES MANUTENCAO(BY-PASS)   </t>
  </si>
  <si>
    <t>24.12.04</t>
  </si>
  <si>
    <t xml:space="preserve">ENCHIMENTO DE VALA COM PEDREGULHO DE RIO                                       </t>
  </si>
  <si>
    <t>24.25.01</t>
  </si>
  <si>
    <t xml:space="preserve">REABILITACAO ESTRUTURAL DE TUBULACOES DE CONCRETO COM DIAMETRO ATE 400MM       </t>
  </si>
  <si>
    <t>24.25.02</t>
  </si>
  <si>
    <t>REABILITACAO ESTRUTURAL DE TUBULACOES DE CONCRETO COM DIAMETRO DE 401 ATE 600MM</t>
  </si>
  <si>
    <t>24.25.03</t>
  </si>
  <si>
    <t>REABILITACAO ESTRUTURAL DE TUBULACOES DE CONCRETO COM DIAMETRO DE 601 ATE 800MM</t>
  </si>
  <si>
    <t>24.25.04</t>
  </si>
  <si>
    <t xml:space="preserve">REABILITACAO ESTRUTURAL DE TUBULACOES  CONCRETO COM DIAMETRO DE 801 ATE 1000MM </t>
  </si>
  <si>
    <t>24.25.05</t>
  </si>
  <si>
    <t xml:space="preserve">REABILITACAO ESTRUTURAL DE TUBULACOES CONCRETO COM DIAMETRO DE 1001 ATE 1200MM </t>
  </si>
  <si>
    <t>24.25.06</t>
  </si>
  <si>
    <t xml:space="preserve">REABILITACAO ESTRUTURAL DE TUBULACOES CONCRETO COM DIAMETRO DE 1201 ATE 1500MM </t>
  </si>
  <si>
    <t>24.26.01</t>
  </si>
  <si>
    <t xml:space="preserve">BLOQUEADOR TEMPORARIO DE FLUIDOS,TIPO MULTIDIMENSIONAL COM REAPROVEITAMENTO    </t>
  </si>
  <si>
    <t>27.04.01</t>
  </si>
  <si>
    <t xml:space="preserve">FURO NO CONCRETO D=1" PROFUND.DE 5CM                                           </t>
  </si>
  <si>
    <t>27.04.04</t>
  </si>
  <si>
    <t xml:space="preserve">FURO NO CONCRETO D=3/4" PROFUND.DE 5CM                                         </t>
  </si>
  <si>
    <t>27.04.05</t>
  </si>
  <si>
    <t xml:space="preserve">FURO NO CONCRETO D=3/4" PROFUND.DE 15CM                                        </t>
  </si>
  <si>
    <t>27.04.06</t>
  </si>
  <si>
    <t xml:space="preserve">FURO NO CONCRETO D=3/4" PROFUND.DE 30CM                                        </t>
  </si>
  <si>
    <t>27.04.07</t>
  </si>
  <si>
    <t xml:space="preserve">FURO NO CONCRETO D=1/2" PROFUND.DE 5CM                                         </t>
  </si>
  <si>
    <t>27.10.06</t>
  </si>
  <si>
    <t xml:space="preserve">JUNTA/RETRAÇÃO C/LÁBIO POLI.AB. 120ATE150MM                                    </t>
  </si>
  <si>
    <t>28.01.07.01</t>
  </si>
  <si>
    <t xml:space="preserve">FORN. E TRANSPORTE DE PLACA MOD.ALUMINIO GT+GT                                 </t>
  </si>
  <si>
    <t xml:space="preserve">FORN.TRANS.INST.DE DEFENSA METÁLICA NBR 15486 H1 A W4 DUPLA.                   </t>
  </si>
  <si>
    <t xml:space="preserve">FORN.TRANS.INST.DE DEFENSA METÁLICA NBR 15486 H1 A W3 DUPLA.                   </t>
  </si>
  <si>
    <t xml:space="preserve">FORN.TRANS.INST.ATENUADOR DE IMPACT.NBR 15486 100 KMH PARALELO L&gt;40CM&lt;=70CM.   </t>
  </si>
  <si>
    <t xml:space="preserve">FORN.TRANS.INST.ATENUADOR DE IMPACT.NBR 15486 110 KMH PARALELO L&gt;40CM&lt;=70CM.   </t>
  </si>
  <si>
    <t>35.03.22</t>
  </si>
  <si>
    <t xml:space="preserve">CADISTA CALCULISTA                                                             </t>
  </si>
  <si>
    <t>37.02.09</t>
  </si>
  <si>
    <t>37.28.10.01</t>
  </si>
  <si>
    <t xml:space="preserve">FORNECIMENTO, INSTALAÇÃO BALIZ.DEFENSA MEÁLICA COM PELICULA GT+GT              </t>
  </si>
  <si>
    <t>37.28.10.02</t>
  </si>
  <si>
    <t xml:space="preserve">FORNECIMENTO, INSTALAÇÃO BALIZ.P/BARREIRA RIGIDA COM PELICULA GT+GT            </t>
  </si>
  <si>
    <t>72.56.03.01</t>
  </si>
  <si>
    <t xml:space="preserve">SERRA PARA PAVIMENTO 9HP COND. A                                               </t>
  </si>
  <si>
    <t>72.56.03.02</t>
  </si>
  <si>
    <t xml:space="preserve">SERRA PARA PAVIMENTO 9HP COND. B                                               </t>
  </si>
  <si>
    <t>72.72.01.01</t>
  </si>
  <si>
    <t xml:space="preserve">CALDEIRA GERADORA DE VAPOR HORIZONTAL PRESSURIZADA                             </t>
  </si>
  <si>
    <t>72.72.01.02</t>
  </si>
  <si>
    <t>72.72.01.03</t>
  </si>
  <si>
    <t>72.72.01.04</t>
  </si>
  <si>
    <t>72.73.01.01</t>
  </si>
  <si>
    <t xml:space="preserve">TRATOR ROBO PARA INSPECAO DE TUBO SUPERIORES A 300 MM,COM CONTROL.SOFTWARE     </t>
  </si>
  <si>
    <t>72.73.01.02</t>
  </si>
  <si>
    <t>72.73.01.03</t>
  </si>
  <si>
    <t>72.73.01.04</t>
  </si>
  <si>
    <t>72.74.01.01</t>
  </si>
  <si>
    <t xml:space="preserve">SISTEMA DE INSPECAO INTERNA DE TUBULACOES COMP.POR UND.DE CONTROL.SOFTWARE     </t>
  </si>
  <si>
    <t>72.74.01.02</t>
  </si>
  <si>
    <t>72.74.01.03</t>
  </si>
  <si>
    <t>72.74.01.04</t>
  </si>
  <si>
    <t xml:space="preserve">SISTEMA DE INSPECAO INTERNA DE TUBULACOES COMP.POR UNID.DE CONTROL.SOFTWARE    </t>
  </si>
  <si>
    <t>DER/SP 31/12/2021</t>
  </si>
  <si>
    <t>DNIT OUT/21</t>
  </si>
  <si>
    <t>Escritório</t>
  </si>
  <si>
    <t>Residência</t>
  </si>
  <si>
    <t>Data-base:</t>
  </si>
  <si>
    <t>ISSQN*</t>
  </si>
  <si>
    <t>DESCRIÇÃO DOS ÍNDICES</t>
  </si>
  <si>
    <t>TERRAPLENAGEM</t>
  </si>
  <si>
    <t>DEZ/2000=100</t>
  </si>
  <si>
    <t>OBRAS DE ARTE ESPECIAIS</t>
  </si>
  <si>
    <t>PAVIMENTAÇÃO</t>
  </si>
  <si>
    <t>CONSULTORIA (SUPERVISÃO E PROJETOS)</t>
  </si>
  <si>
    <t>DRENAGEM</t>
  </si>
  <si>
    <t>SINALIZAÇÃO HORIZONTAL</t>
  </si>
  <si>
    <t>PAVIMENTOS CONCRETO CIMENTO PORTLAND</t>
  </si>
  <si>
    <t>CONSERVAÇÃO RODOVIÁRIA</t>
  </si>
  <si>
    <t>LIGANTES BETUMINOSOS</t>
  </si>
  <si>
    <t>OBRAS DE ARTE ESPECIAIS (SEM AÇO)</t>
  </si>
  <si>
    <t>IGP - DI</t>
  </si>
  <si>
    <t>AGO/1994=100</t>
  </si>
  <si>
    <t>ÍNDICE NACIONAL DE CUSTO DA CONSTRUÇÃO</t>
  </si>
  <si>
    <t>VERGALHÕES E ARAMES DE AÇO CARBONO</t>
  </si>
  <si>
    <t>PRODUTOS SIDERÚRGICOS</t>
  </si>
  <si>
    <t>DEZ/2007=100</t>
  </si>
  <si>
    <t>PRODUTOS DE AÇO GALVANIZADO</t>
  </si>
  <si>
    <t>MAR/1999=100</t>
  </si>
  <si>
    <t>SINALIZAÇÃO VERTICAL</t>
  </si>
  <si>
    <t>MAI/2005=100</t>
  </si>
  <si>
    <t>ASFALTO DILUÍDO</t>
  </si>
  <si>
    <t>CIMENTO ASFÁLTICO PETRÓLEO (CAP 7 e 20)</t>
  </si>
  <si>
    <t>EMULSÕES (RR1C E RR2C)</t>
  </si>
  <si>
    <t>ADMINISTRAÇÃO LOCAL</t>
  </si>
  <si>
    <t>DEZ/2016=100</t>
  </si>
  <si>
    <t>MOBILIZAÇÃO E DESMOBILIZAÇÃO</t>
  </si>
  <si>
    <t>OBRAS COMPLEMENTARES E MEIO AMBIENTE</t>
  </si>
  <si>
    <t>ÍNDICE DE EMULSÃO ASFÁLTICA MODIFICADO</t>
  </si>
  <si>
    <t>DEZ/2018=100</t>
  </si>
  <si>
    <t>ÍNDICE DE ASFALTO MODIFICADO POR POLÍMERO</t>
  </si>
  <si>
    <t>ÍNDICE DE EMULSÃO ASFÁLTICA DE IMPRIMAÇÃO</t>
  </si>
  <si>
    <t>ÍNDICE DE ASFALTO BORRACHA</t>
  </si>
  <si>
    <t>ÍNDICE DE SUPERESTRUTURA DE PASSARELAS METÁLICAS</t>
  </si>
  <si>
    <t>JUL/2021=100</t>
  </si>
  <si>
    <t>Versão set/21</t>
  </si>
  <si>
    <t>Cambio 
(R$ - US$)</t>
  </si>
  <si>
    <t>Samsung</t>
  </si>
  <si>
    <t>Positivo</t>
  </si>
  <si>
    <t>Multilaser</t>
  </si>
  <si>
    <t>Lote 2</t>
  </si>
  <si>
    <t>Lote 1</t>
  </si>
  <si>
    <t>Passagem (ida e volta)</t>
  </si>
  <si>
    <t>Preço (R$)</t>
  </si>
  <si>
    <t>Rio de Janeiro (Galeão ou Santos Dumont)</t>
  </si>
  <si>
    <t>Média</t>
  </si>
  <si>
    <t>Considerado o deslocamento das principais capitais ao aeroporto do Rio de Janeiro. Foi desconsiderado o aeroporto de Juiz de Fora devido aos longos períodos de deslocamento (acima de 4 horas por conta de conexões)</t>
  </si>
  <si>
    <t>Passagens pesquisadas com um mês de antecedência, previsão de volta pelo mesmo destino, e voos diretos (conforme disponibilidade).</t>
  </si>
  <si>
    <t>Distrito Federal</t>
  </si>
  <si>
    <t>fator de atualização data base</t>
  </si>
  <si>
    <t>0,93% sobre (PV - Lucro)</t>
  </si>
  <si>
    <t>(conforme solitação da Cliente)</t>
  </si>
  <si>
    <t>C</t>
  </si>
  <si>
    <t>12.3.2</t>
  </si>
  <si>
    <t>12.3.1</t>
  </si>
  <si>
    <t>Plano Integrado de Comunicação, hotsite e resultados de promoção</t>
  </si>
  <si>
    <t>12.2.1</t>
  </si>
  <si>
    <t>P</t>
  </si>
  <si>
    <t>12.1.1</t>
  </si>
  <si>
    <t>Após a fase de Licitação</t>
  </si>
  <si>
    <t>11.3.1</t>
  </si>
  <si>
    <t>Após a fase de Controle Externo</t>
  </si>
  <si>
    <t>11.2.1</t>
  </si>
  <si>
    <t>Após a fase de Audiência Pública</t>
  </si>
  <si>
    <t>11.1.2</t>
  </si>
  <si>
    <t>11.1.1</t>
  </si>
  <si>
    <t>x</t>
  </si>
  <si>
    <t>B</t>
  </si>
  <si>
    <t>10.2.6</t>
  </si>
  <si>
    <t>10.2.5</t>
  </si>
  <si>
    <t>10.2.4</t>
  </si>
  <si>
    <t>10.2.3</t>
  </si>
  <si>
    <t>10.2.2</t>
  </si>
  <si>
    <t>10.2.1</t>
  </si>
  <si>
    <t>10.1.1</t>
  </si>
  <si>
    <t>9.4.1</t>
  </si>
  <si>
    <t>9.3.1</t>
  </si>
  <si>
    <t>9.2.3</t>
  </si>
  <si>
    <t>9.2.2</t>
  </si>
  <si>
    <t>9.2.1</t>
  </si>
  <si>
    <t>9.1.2</t>
  </si>
  <si>
    <t>9.1.1</t>
  </si>
  <si>
    <t>8.3.1</t>
  </si>
  <si>
    <t>8.2.1</t>
  </si>
  <si>
    <t>8.1.1</t>
  </si>
  <si>
    <t>7.6.1</t>
  </si>
  <si>
    <t>7.5.1</t>
  </si>
  <si>
    <t>7.4.3</t>
  </si>
  <si>
    <t>7.4.2</t>
  </si>
  <si>
    <t>7.4.1</t>
  </si>
  <si>
    <t>7.3.3</t>
  </si>
  <si>
    <t>7.3.2</t>
  </si>
  <si>
    <t>7.3.1</t>
  </si>
  <si>
    <t>7.2.2</t>
  </si>
  <si>
    <t>7.2.1</t>
  </si>
  <si>
    <t>7.1.8</t>
  </si>
  <si>
    <t>7.1.7</t>
  </si>
  <si>
    <t>7.1.6</t>
  </si>
  <si>
    <t>7.1.5</t>
  </si>
  <si>
    <t>7.1.4</t>
  </si>
  <si>
    <t>7.1.3</t>
  </si>
  <si>
    <t>7.1.2</t>
  </si>
  <si>
    <t>7.1.1</t>
  </si>
  <si>
    <t>6.3.1</t>
  </si>
  <si>
    <t>6.2.1</t>
  </si>
  <si>
    <t>6.1.1</t>
  </si>
  <si>
    <t>5.3.1</t>
  </si>
  <si>
    <t>5.2.1</t>
  </si>
  <si>
    <t>5.1.1</t>
  </si>
  <si>
    <t>4.4.1</t>
  </si>
  <si>
    <t>4.3.1</t>
  </si>
  <si>
    <t>4.2.1</t>
  </si>
  <si>
    <t>4.1.1</t>
  </si>
  <si>
    <t>3.4.1</t>
  </si>
  <si>
    <t>3.3.1</t>
  </si>
  <si>
    <t>3.2.2</t>
  </si>
  <si>
    <t>3.2.1</t>
  </si>
  <si>
    <t>3.1.1</t>
  </si>
  <si>
    <t>2.11.2</t>
  </si>
  <si>
    <t>2.11.1</t>
  </si>
  <si>
    <t>2.10.1</t>
  </si>
  <si>
    <t>2.9.1</t>
  </si>
  <si>
    <t>2.8.2</t>
  </si>
  <si>
    <t>2.8.1</t>
  </si>
  <si>
    <t>2.7.2</t>
  </si>
  <si>
    <t>2.7.1</t>
  </si>
  <si>
    <t>2.6.4</t>
  </si>
  <si>
    <t>2.6.3</t>
  </si>
  <si>
    <t>2.6.2</t>
  </si>
  <si>
    <t>2.6.1</t>
  </si>
  <si>
    <t>2.5.1</t>
  </si>
  <si>
    <t>2.4.3</t>
  </si>
  <si>
    <t>2.4.2</t>
  </si>
  <si>
    <t>2.4.1</t>
  </si>
  <si>
    <t>2.3.3</t>
  </si>
  <si>
    <t>2.3.2</t>
  </si>
  <si>
    <t>2.3.1</t>
  </si>
  <si>
    <t>2.2.1</t>
  </si>
  <si>
    <t>2.1.8</t>
  </si>
  <si>
    <t>2.1.7</t>
  </si>
  <si>
    <t>2.1.6</t>
  </si>
  <si>
    <t>2.1.5</t>
  </si>
  <si>
    <t>2.1.4</t>
  </si>
  <si>
    <t>2.1.3</t>
  </si>
  <si>
    <t>2.1.2</t>
  </si>
  <si>
    <t>2.1.1</t>
  </si>
  <si>
    <t>1.4.5</t>
  </si>
  <si>
    <t>1.4.4</t>
  </si>
  <si>
    <t>1.4.3</t>
  </si>
  <si>
    <t>1.3.3</t>
  </si>
  <si>
    <t>1.2.3</t>
  </si>
  <si>
    <t>1.1.7</t>
  </si>
  <si>
    <t>1.1.6</t>
  </si>
  <si>
    <t>1.1.5</t>
  </si>
  <si>
    <t>1.1.4</t>
  </si>
  <si>
    <t>1.1.3</t>
  </si>
  <si>
    <t>Leilão</t>
  </si>
  <si>
    <t>Processo Licitatório</t>
  </si>
  <si>
    <t>Publicação do Edital</t>
  </si>
  <si>
    <t>TCU</t>
  </si>
  <si>
    <t>Revisão Pós Audiência</t>
  </si>
  <si>
    <t>Audiência Pública</t>
  </si>
  <si>
    <t>Estudo Inicial</t>
  </si>
  <si>
    <t>Cronograma do Estudo Inicial</t>
  </si>
  <si>
    <t>Desembolsos</t>
  </si>
  <si>
    <t>Na primeira entrega do material (protocolo)</t>
  </si>
  <si>
    <t>Na aprovação formal</t>
  </si>
  <si>
    <t>Data Base do Orçamento:</t>
  </si>
  <si>
    <t>Medição</t>
  </si>
  <si>
    <t>Revisão Pós TCU</t>
  </si>
  <si>
    <t>Desembolso total do mês:</t>
  </si>
  <si>
    <t>Percentual de desembolso mensal:</t>
  </si>
  <si>
    <t>Percentual de desembolso acumulado:</t>
  </si>
  <si>
    <t>Critérios de Medição</t>
  </si>
  <si>
    <t>Ao final do período de audiência pública, conforme cronograma definido pela ANTT (fase de audiência pública)</t>
  </si>
  <si>
    <t>Na data de expedição de Acórdão pelo TCU (fase de controle externo)</t>
  </si>
  <si>
    <t>Parcela</t>
  </si>
  <si>
    <t>Mês</t>
  </si>
  <si>
    <t>No ato do leilão, conforme cronograma definido pela ANTT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</si>
</sst>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8" formatCode="&quot;R$&quot;\ #,##0.00;[Red]\-&quot;R$&quot;\ #,##0.00"/>
    <numFmt numFmtId="41" formatCode="_-* #,##0_-;\-* #,##0_-;_-* &quot;-&quot;_-;_-@_-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d\.mm\.yy"/>
    <numFmt numFmtId="165" formatCode="_-* #,##0.0_-;\-* #,##0.0_-;_-* &quot;-&quot;?_-;_-@_-"/>
    <numFmt numFmtId="166" formatCode="#,##0.000_);\-#,##0.000_);&quot;&quot;"/>
    <numFmt numFmtId="167" formatCode="0.0"/>
    <numFmt numFmtId="168" formatCode="#,##0.000;[Red]\(#,##0.000\);&quot;-&quot;;@"/>
    <numFmt numFmtId="169" formatCode="_-* #,##0.00_-;\-* #,##0.00_-;_-* &quot;-&quot;?_-;_-@_-"/>
    <numFmt numFmtId="170" formatCode="0.0000"/>
    <numFmt numFmtId="171" formatCode="#,##0.0"/>
    <numFmt numFmtId="172" formatCode="0.000%"/>
    <numFmt numFmtId="173" formatCode="0.0%"/>
    <numFmt numFmtId="174" formatCode="#,##0.000_ ;\-#,##0.000\ "/>
    <numFmt numFmtId="175" formatCode="0.000"/>
    <numFmt numFmtId="176" formatCode="0.00;;&quot;-&quot;"/>
    <numFmt numFmtId="177" formatCode="_-* #,##0.0000_-;\-* #,##0.0000_-;_-* &quot;-&quot;????_-;_-@_-"/>
    <numFmt numFmtId="178" formatCode="_-* #,##0_-;\-* #,##0_-;_-* &quot;-&quot;??_-;_-@_-"/>
    <numFmt numFmtId="179" formatCode="mmmm\,\ yyyy;@"/>
    <numFmt numFmtId="180" formatCode="&quot;Sim&quot;;&quot;Sim&quot;;&quot;Não&quot;"/>
    <numFmt numFmtId="181" formatCode="#,##0;;&quot;-&quot;"/>
    <numFmt numFmtId="182" formatCode="#,##0.00;\-#,##0.00;&quot;&quot;"/>
  </numFmts>
  <fonts count="91" x14ac:knownFonts="1">
    <font>
      <sz val="10"/>
      <color rgb="FF000000"/>
      <name val="Arial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color theme="1"/>
      <name val="Arial"/>
      <family val="2"/>
      <scheme val="minor"/>
    </font>
    <font>
      <sz val="11"/>
      <name val="Arial"/>
      <family val="2"/>
      <scheme val="minor"/>
    </font>
    <font>
      <b/>
      <sz val="8.5"/>
      <name val="Arial"/>
      <family val="2"/>
    </font>
    <font>
      <sz val="8.5"/>
      <color theme="1"/>
      <name val="Arial"/>
      <family val="2"/>
    </font>
    <font>
      <b/>
      <sz val="8.5"/>
      <color theme="1"/>
      <name val="Arial"/>
      <family val="2"/>
    </font>
    <font>
      <b/>
      <sz val="7"/>
      <name val="Arial"/>
      <family val="2"/>
    </font>
    <font>
      <b/>
      <sz val="9"/>
      <color theme="1"/>
      <name val="Arial"/>
      <family val="2"/>
    </font>
    <font>
      <u/>
      <sz val="11"/>
      <color theme="10"/>
      <name val="Arial"/>
      <family val="2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sz val="10"/>
      <color rgb="FF000000"/>
      <name val="Arial"/>
      <family val="2"/>
      <scheme val="major"/>
    </font>
    <font>
      <sz val="11"/>
      <color rgb="FF000000"/>
      <name val="Arial"/>
      <family val="2"/>
      <scheme val="major"/>
    </font>
    <font>
      <b/>
      <sz val="11"/>
      <color rgb="FF000000"/>
      <name val="Arial"/>
      <family val="2"/>
      <scheme val="major"/>
    </font>
    <font>
      <sz val="10"/>
      <name val="Arial"/>
      <family val="2"/>
      <scheme val="major"/>
    </font>
    <font>
      <sz val="10"/>
      <color theme="1"/>
      <name val="Arial"/>
      <family val="2"/>
      <scheme val="major"/>
    </font>
    <font>
      <b/>
      <u/>
      <sz val="11"/>
      <color rgb="FF000000"/>
      <name val="Arial"/>
      <family val="2"/>
      <scheme val="major"/>
    </font>
    <font>
      <b/>
      <sz val="10"/>
      <color rgb="FF000000"/>
      <name val="Arial"/>
      <family val="2"/>
      <scheme val="major"/>
    </font>
    <font>
      <sz val="11"/>
      <color theme="1"/>
      <name val="Arial"/>
      <family val="2"/>
      <scheme val="major"/>
    </font>
    <font>
      <b/>
      <sz val="11"/>
      <color theme="1"/>
      <name val="Arial"/>
      <family val="2"/>
      <scheme val="major"/>
    </font>
    <font>
      <b/>
      <i/>
      <sz val="10"/>
      <color rgb="FFFF0000"/>
      <name val="Arial"/>
      <family val="2"/>
    </font>
    <font>
      <sz val="11"/>
      <name val="Arial"/>
      <family val="2"/>
      <scheme val="major"/>
    </font>
    <font>
      <b/>
      <sz val="12"/>
      <color rgb="FF000000"/>
      <name val="Arial"/>
      <family val="2"/>
      <scheme val="major"/>
    </font>
    <font>
      <b/>
      <u/>
      <sz val="12"/>
      <color rgb="FF000000"/>
      <name val="Arial"/>
      <family val="2"/>
      <scheme val="major"/>
    </font>
    <font>
      <b/>
      <u/>
      <sz val="14"/>
      <name val="Arial Narrow"/>
      <family val="2"/>
    </font>
    <font>
      <b/>
      <sz val="12"/>
      <name val="Arial Narrow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2"/>
      <color rgb="FF000000"/>
      <name val="Arial"/>
      <family val="2"/>
      <scheme val="major"/>
    </font>
    <font>
      <b/>
      <sz val="12"/>
      <color theme="1"/>
      <name val="Arial"/>
      <family val="2"/>
    </font>
    <font>
      <b/>
      <sz val="8"/>
      <color theme="1"/>
      <name val="Arial"/>
      <family val="2"/>
      <scheme val="minor"/>
    </font>
    <font>
      <sz val="8"/>
      <color theme="1" tint="0.249977111117893"/>
      <name val="Calibri Light"/>
      <family val="2"/>
    </font>
    <font>
      <i/>
      <sz val="11"/>
      <color theme="1"/>
      <name val="Arial"/>
      <family val="2"/>
      <scheme val="minor"/>
    </font>
    <font>
      <sz val="10"/>
      <color rgb="FF000000"/>
      <name val="Times New Roman"/>
      <family val="1"/>
    </font>
    <font>
      <b/>
      <sz val="10"/>
      <name val="Arial"/>
      <family val="2"/>
      <scheme val="minor"/>
    </font>
    <font>
      <b/>
      <sz val="10"/>
      <color rgb="FFFFFFFF"/>
      <name val="Arial"/>
      <family val="2"/>
      <scheme val="minor"/>
    </font>
    <font>
      <b/>
      <sz val="10"/>
      <color rgb="FF000000"/>
      <name val="Arial"/>
      <family val="2"/>
      <scheme val="minor"/>
    </font>
    <font>
      <sz val="1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1"/>
      <name val="Arial"/>
      <family val="2"/>
    </font>
    <font>
      <b/>
      <sz val="11"/>
      <color rgb="FFFFFFFF"/>
      <name val="Arial"/>
      <family val="2"/>
    </font>
    <font>
      <b/>
      <sz val="10"/>
      <color rgb="FF231F20"/>
      <name val="Arial"/>
      <family val="2"/>
      <scheme val="minor"/>
    </font>
    <font>
      <sz val="10"/>
      <color rgb="FF231F20"/>
      <name val="Arial"/>
      <family val="2"/>
      <scheme val="minor"/>
    </font>
    <font>
      <sz val="10"/>
      <color rgb="FF000000"/>
      <name val="Arial"/>
      <family val="2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FFFFFF"/>
      <name val="Arial"/>
      <family val="2"/>
    </font>
    <font>
      <sz val="8"/>
      <name val="Arial"/>
      <family val="2"/>
    </font>
    <font>
      <b/>
      <u/>
      <sz val="11"/>
      <color theme="1"/>
      <name val="Arial"/>
      <family val="2"/>
      <scheme val="minor"/>
    </font>
    <font>
      <b/>
      <sz val="11"/>
      <name val="Arial"/>
      <family val="2"/>
      <scheme val="minor"/>
    </font>
    <font>
      <sz val="10"/>
      <color theme="0" tint="-0.14999847407452621"/>
      <name val="Arial"/>
      <family val="2"/>
    </font>
    <font>
      <sz val="11"/>
      <color theme="0" tint="-0.14999847407452621"/>
      <name val="Arial"/>
      <family val="2"/>
      <scheme val="minor"/>
    </font>
    <font>
      <sz val="10"/>
      <color theme="0" tint="-0.14999847407452621"/>
      <name val="Arial"/>
      <family val="2"/>
      <scheme val="minor"/>
    </font>
    <font>
      <u/>
      <sz val="9"/>
      <color theme="0" tint="-0.14999847407452621"/>
      <name val="Arial"/>
      <family val="2"/>
      <scheme val="minor"/>
    </font>
    <font>
      <sz val="9"/>
      <color theme="0" tint="-0.14999847407452621"/>
      <name val="Arial"/>
      <family val="2"/>
    </font>
    <font>
      <sz val="10"/>
      <color theme="0" tint="-4.9989318521683403E-2"/>
      <name val="Arial"/>
      <family val="2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</font>
    <font>
      <b/>
      <i/>
      <sz val="11"/>
      <color rgb="FFFF0000"/>
      <name val="Arial"/>
      <family val="2"/>
      <scheme val="minor"/>
    </font>
    <font>
      <i/>
      <sz val="11"/>
      <color rgb="FFFF0000"/>
      <name val="Arial"/>
      <family val="2"/>
      <scheme val="minor"/>
    </font>
    <font>
      <b/>
      <sz val="11"/>
      <color theme="8"/>
      <name val="Arial"/>
      <family val="2"/>
      <scheme val="minor"/>
    </font>
    <font>
      <sz val="11"/>
      <color theme="8"/>
      <name val="Arial"/>
      <family val="2"/>
      <scheme val="minor"/>
    </font>
    <font>
      <b/>
      <i/>
      <sz val="11"/>
      <name val="Arial"/>
      <family val="2"/>
      <scheme val="minor"/>
    </font>
    <font>
      <sz val="7"/>
      <name val="Calibri"/>
      <family val="2"/>
    </font>
    <font>
      <sz val="7"/>
      <color rgb="FF000000"/>
      <name val="Calibri"/>
      <family val="2"/>
    </font>
    <font>
      <b/>
      <sz val="7"/>
      <color theme="0"/>
      <name val="Calibri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theme="0" tint="-0.14999847407452621"/>
      <name val="Arial"/>
      <family val="2"/>
    </font>
    <font>
      <sz val="10"/>
      <color theme="1"/>
      <name val="Arial"/>
      <family val="2"/>
      <scheme val="minor"/>
    </font>
    <font>
      <sz val="11"/>
      <color theme="9" tint="0.59999389629810485"/>
      <name val="Arial"/>
      <family val="2"/>
      <scheme val="minor"/>
    </font>
    <font>
      <sz val="9"/>
      <color theme="1"/>
      <name val="Arial"/>
      <family val="2"/>
      <scheme val="minor"/>
    </font>
    <font>
      <b/>
      <sz val="9"/>
      <color theme="1"/>
      <name val="Arial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D9D9D9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1E4D77"/>
      </patternFill>
    </fill>
    <fill>
      <patternFill patternType="solid">
        <fgColor rgb="FFEDEDED"/>
      </patternFill>
    </fill>
    <fill>
      <patternFill patternType="solid">
        <fgColor rgb="FF757070"/>
      </patternFill>
    </fill>
    <fill>
      <patternFill patternType="solid">
        <fgColor rgb="FFDADBDC"/>
      </patternFill>
    </fill>
    <fill>
      <patternFill patternType="solid">
        <fgColor rgb="FFF2F3F3"/>
      </patternFill>
    </fill>
    <fill>
      <patternFill patternType="solid">
        <fgColor rgb="FF00376F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theme="4" tint="0.79998168889431442"/>
      </patternFill>
    </fill>
    <fill>
      <patternFill patternType="solid">
        <fgColor rgb="FFFFFF00"/>
        <bgColor theme="4" tint="0.79998168889431442"/>
      </patternFill>
    </fill>
    <fill>
      <patternFill patternType="solid">
        <fgColor rgb="FF2F6393"/>
      </patternFill>
    </fill>
    <fill>
      <patternFill patternType="solid">
        <fgColor rgb="FFCDDFEE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8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rgb="FF95B3D7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C9C9C9"/>
      </left>
      <right style="thin">
        <color rgb="FFC9C9C9"/>
      </right>
      <top/>
      <bottom style="thin">
        <color rgb="FFC9C9C9"/>
      </bottom>
      <diagonal/>
    </border>
    <border>
      <left style="thin">
        <color rgb="FFC9C9C9"/>
      </left>
      <right/>
      <top/>
      <bottom style="thin">
        <color rgb="FFC9C9C9"/>
      </bottom>
      <diagonal/>
    </border>
    <border>
      <left style="thin">
        <color rgb="FFC9C9C9"/>
      </left>
      <right style="thin">
        <color rgb="FFC9C9C9"/>
      </right>
      <top style="thin">
        <color rgb="FFC9C9C9"/>
      </top>
      <bottom style="thin">
        <color rgb="FFC9C9C9"/>
      </bottom>
      <diagonal/>
    </border>
    <border>
      <left style="thin">
        <color rgb="FFC9C9C9"/>
      </left>
      <right/>
      <top style="thin">
        <color rgb="FFC9C9C9"/>
      </top>
      <bottom style="thin">
        <color rgb="FFC9C9C9"/>
      </bottom>
      <diagonal/>
    </border>
    <border>
      <left/>
      <right/>
      <top style="thin">
        <color rgb="FFC9C9C9"/>
      </top>
      <bottom style="thin">
        <color rgb="FFC9C9C9"/>
      </bottom>
      <diagonal/>
    </border>
    <border>
      <left/>
      <right style="thin">
        <color rgb="FFC9C9C9"/>
      </right>
      <top style="thin">
        <color rgb="FFC9C9C9"/>
      </top>
      <bottom style="thin">
        <color rgb="FFC9C9C9"/>
      </bottom>
      <diagonal/>
    </border>
    <border>
      <left/>
      <right style="thin">
        <color rgb="FFC9C9C9"/>
      </right>
      <top/>
      <bottom style="thin">
        <color rgb="FFC9C9C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4">
    <xf numFmtId="0" fontId="0" fillId="0" borderId="0"/>
    <xf numFmtId="43" fontId="14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6" fillId="0" borderId="0"/>
    <xf numFmtId="0" fontId="5" fillId="0" borderId="0"/>
    <xf numFmtId="44" fontId="5" fillId="0" borderId="0" applyFont="0" applyFill="0" applyBorder="0" applyAlignment="0" applyProtection="0"/>
    <xf numFmtId="0" fontId="48" fillId="0" borderId="0"/>
    <xf numFmtId="44" fontId="4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4" fillId="0" borderId="0"/>
    <xf numFmtId="0" fontId="4" fillId="0" borderId="0"/>
    <xf numFmtId="43" fontId="12" fillId="0" borderId="0" applyFont="0" applyFill="0" applyBorder="0" applyAlignment="0" applyProtection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22">
    <xf numFmtId="0" fontId="0" fillId="0" borderId="0" xfId="0" applyFont="1" applyAlignment="1"/>
    <xf numFmtId="0" fontId="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43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left" indent="1"/>
    </xf>
    <xf numFmtId="0" fontId="12" fillId="0" borderId="1" xfId="0" applyFont="1" applyBorder="1" applyAlignment="1">
      <alignment horizontal="left" indent="1"/>
    </xf>
    <xf numFmtId="43" fontId="0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wrapText="1" inden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 inden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43" fontId="8" fillId="0" borderId="0" xfId="0" applyNumberFormat="1" applyFont="1" applyAlignment="1">
      <alignment horizontal="center" vertical="center"/>
    </xf>
    <xf numFmtId="0" fontId="12" fillId="0" borderId="0" xfId="0" applyFont="1" applyAlignment="1"/>
    <xf numFmtId="0" fontId="8" fillId="0" borderId="1" xfId="0" applyFont="1" applyBorder="1" applyAlignment="1">
      <alignment horizontal="center" vertical="center"/>
    </xf>
    <xf numFmtId="0" fontId="17" fillId="3" borderId="1" xfId="2" applyFont="1" applyFill="1" applyBorder="1" applyAlignment="1">
      <alignment horizontal="center" vertical="center" wrapText="1"/>
    </xf>
    <xf numFmtId="0" fontId="17" fillId="3" borderId="1" xfId="2" applyFont="1" applyFill="1" applyBorder="1" applyAlignment="1">
      <alignment vertical="center" wrapText="1"/>
    </xf>
    <xf numFmtId="0" fontId="18" fillId="0" borderId="13" xfId="2" applyFont="1" applyBorder="1" applyAlignment="1">
      <alignment vertical="top" wrapText="1"/>
    </xf>
    <xf numFmtId="8" fontId="19" fillId="0" borderId="1" xfId="2" applyNumberFormat="1" applyFont="1" applyBorder="1" applyAlignment="1">
      <alignment horizontal="center" vertical="center" wrapText="1"/>
    </xf>
    <xf numFmtId="0" fontId="17" fillId="3" borderId="11" xfId="2" applyFont="1" applyFill="1" applyBorder="1" applyAlignment="1">
      <alignment horizontal="center" vertical="center" wrapText="1"/>
    </xf>
    <xf numFmtId="0" fontId="20" fillId="3" borderId="11" xfId="2" applyFont="1" applyFill="1" applyBorder="1" applyAlignment="1">
      <alignment horizontal="left" vertical="center" wrapText="1"/>
    </xf>
    <xf numFmtId="0" fontId="17" fillId="3" borderId="11" xfId="2" applyFont="1" applyFill="1" applyBorder="1" applyAlignment="1">
      <alignment vertical="center" wrapText="1"/>
    </xf>
    <xf numFmtId="0" fontId="16" fillId="3" borderId="11" xfId="2" applyFont="1" applyFill="1" applyBorder="1" applyAlignment="1">
      <alignment vertical="top" wrapText="1"/>
    </xf>
    <xf numFmtId="0" fontId="21" fillId="0" borderId="11" xfId="2" applyFont="1" applyBorder="1" applyAlignment="1">
      <alignment horizontal="left" vertical="center" wrapText="1"/>
    </xf>
    <xf numFmtId="0" fontId="16" fillId="3" borderId="14" xfId="2" applyFont="1" applyFill="1" applyBorder="1" applyAlignment="1">
      <alignment vertical="top" wrapText="1"/>
    </xf>
    <xf numFmtId="0" fontId="21" fillId="0" borderId="14" xfId="2" applyFont="1" applyBorder="1" applyAlignment="1">
      <alignment horizontal="left" vertical="center" wrapText="1"/>
    </xf>
    <xf numFmtId="0" fontId="17" fillId="3" borderId="14" xfId="2" applyFont="1" applyFill="1" applyBorder="1" applyAlignment="1">
      <alignment horizontal="center" vertical="center" wrapText="1"/>
    </xf>
    <xf numFmtId="0" fontId="22" fillId="0" borderId="0" xfId="4"/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0" xfId="0"/>
    <xf numFmtId="0" fontId="0" fillId="0" borderId="0" xfId="0" applyFont="1" applyAlignment="1">
      <alignment horizontal="left" vertical="center"/>
    </xf>
    <xf numFmtId="165" fontId="0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165" fontId="8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43" fontId="26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9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left" wrapText="1" indent="1"/>
    </xf>
    <xf numFmtId="0" fontId="0" fillId="0" borderId="0" xfId="0" applyFont="1" applyFill="1" applyAlignment="1">
      <alignment horizontal="left" vertical="center" wrapText="1"/>
    </xf>
    <xf numFmtId="0" fontId="12" fillId="0" borderId="1" xfId="0" applyFont="1" applyFill="1" applyBorder="1" applyAlignment="1">
      <alignment horizontal="left" wrapText="1" indent="1"/>
    </xf>
    <xf numFmtId="0" fontId="25" fillId="0" borderId="1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horizontal="center" vertical="center" wrapText="1"/>
    </xf>
    <xf numFmtId="165" fontId="26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 vertical="center"/>
    </xf>
    <xf numFmtId="0" fontId="26" fillId="0" borderId="1" xfId="0" applyFont="1" applyFill="1" applyBorder="1" applyAlignment="1">
      <alignment horizontal="left" vertical="center" wrapText="1"/>
    </xf>
    <xf numFmtId="43" fontId="26" fillId="0" borderId="1" xfId="0" applyNumberFormat="1" applyFont="1" applyFill="1" applyBorder="1" applyAlignment="1">
      <alignment horizontal="center" vertical="center"/>
    </xf>
    <xf numFmtId="0" fontId="26" fillId="0" borderId="1" xfId="0" applyFont="1" applyBorder="1" applyAlignment="1">
      <alignment horizontal="left" vertical="center" wrapText="1"/>
    </xf>
    <xf numFmtId="0" fontId="26" fillId="0" borderId="1" xfId="0" applyFont="1" applyBorder="1" applyAlignment="1">
      <alignment horizontal="center" vertical="center" wrapText="1"/>
    </xf>
    <xf numFmtId="43" fontId="26" fillId="0" borderId="1" xfId="0" applyNumberFormat="1" applyFont="1" applyBorder="1" applyAlignment="1">
      <alignment horizontal="center" vertical="center" wrapText="1"/>
    </xf>
    <xf numFmtId="14" fontId="26" fillId="0" borderId="1" xfId="0" applyNumberFormat="1" applyFont="1" applyBorder="1" applyAlignment="1">
      <alignment horizontal="center" vertical="center" wrapText="1"/>
    </xf>
    <xf numFmtId="43" fontId="26" fillId="0" borderId="1" xfId="0" applyNumberFormat="1" applyFont="1" applyFill="1" applyBorder="1" applyAlignment="1">
      <alignment horizontal="center" vertical="center" wrapText="1"/>
    </xf>
    <xf numFmtId="17" fontId="32" fillId="0" borderId="1" xfId="0" applyNumberFormat="1" applyFont="1" applyFill="1" applyBorder="1" applyAlignment="1">
      <alignment horizontal="center" vertical="center" wrapText="1"/>
    </xf>
    <xf numFmtId="165" fontId="32" fillId="0" borderId="1" xfId="0" applyNumberFormat="1" applyFont="1" applyFill="1" applyBorder="1" applyAlignment="1">
      <alignment horizontal="center" vertical="center" wrapText="1"/>
    </xf>
    <xf numFmtId="17" fontId="32" fillId="0" borderId="1" xfId="0" applyNumberFormat="1" applyFont="1" applyBorder="1" applyAlignment="1">
      <alignment horizontal="center" vertical="center" wrapText="1"/>
    </xf>
    <xf numFmtId="165" fontId="32" fillId="0" borderId="1" xfId="0" applyNumberFormat="1" applyFont="1" applyBorder="1" applyAlignment="1">
      <alignment horizontal="center" vertical="center" wrapText="1"/>
    </xf>
    <xf numFmtId="43" fontId="32" fillId="0" borderId="1" xfId="0" applyNumberFormat="1" applyFont="1" applyFill="1" applyBorder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26" fillId="0" borderId="1" xfId="0" applyFont="1" applyBorder="1" applyAlignment="1">
      <alignment horizontal="left" vertical="center"/>
    </xf>
    <xf numFmtId="43" fontId="32" fillId="0" borderId="1" xfId="0" applyNumberFormat="1" applyFont="1" applyBorder="1" applyAlignment="1">
      <alignment horizontal="center" vertical="center"/>
    </xf>
    <xf numFmtId="164" fontId="32" fillId="0" borderId="1" xfId="0" applyNumberFormat="1" applyFont="1" applyBorder="1" applyAlignment="1">
      <alignment horizontal="center" vertical="center" wrapText="1"/>
    </xf>
    <xf numFmtId="43" fontId="25" fillId="0" borderId="1" xfId="0" applyNumberFormat="1" applyFont="1" applyBorder="1" applyAlignment="1">
      <alignment horizontal="center" vertical="center"/>
    </xf>
    <xf numFmtId="43" fontId="27" fillId="5" borderId="1" xfId="0" applyNumberFormat="1" applyFont="1" applyFill="1" applyBorder="1" applyAlignment="1">
      <alignment horizontal="center" vertical="center"/>
    </xf>
    <xf numFmtId="0" fontId="30" fillId="5" borderId="1" xfId="0" applyFont="1" applyFill="1" applyBorder="1" applyAlignment="1">
      <alignment horizontal="center" vertical="center"/>
    </xf>
    <xf numFmtId="0" fontId="25" fillId="0" borderId="1" xfId="0" applyNumberFormat="1" applyFont="1" applyBorder="1" applyAlignment="1">
      <alignment horizontal="left" vertical="center"/>
    </xf>
    <xf numFmtId="43" fontId="25" fillId="0" borderId="1" xfId="0" applyNumberFormat="1" applyFont="1" applyBorder="1" applyAlignment="1">
      <alignment vertical="center"/>
    </xf>
    <xf numFmtId="43" fontId="25" fillId="0" borderId="1" xfId="0" applyNumberFormat="1" applyFont="1" applyFill="1" applyBorder="1" applyAlignment="1">
      <alignment vertical="center"/>
    </xf>
    <xf numFmtId="0" fontId="25" fillId="3" borderId="0" xfId="0" applyFont="1" applyFill="1" applyAlignment="1">
      <alignment horizontal="center" vertical="center"/>
    </xf>
    <xf numFmtId="43" fontId="25" fillId="3" borderId="0" xfId="0" applyNumberFormat="1" applyFont="1" applyFill="1" applyAlignment="1">
      <alignment horizontal="center" vertical="center"/>
    </xf>
    <xf numFmtId="0" fontId="35" fillId="0" borderId="1" xfId="0" applyFont="1" applyFill="1" applyBorder="1" applyAlignment="1">
      <alignment horizontal="left" vertical="center" wrapText="1"/>
    </xf>
    <xf numFmtId="0" fontId="35" fillId="0" borderId="1" xfId="0" applyFont="1" applyFill="1" applyBorder="1" applyAlignment="1">
      <alignment horizontal="center" vertical="center" wrapText="1"/>
    </xf>
    <xf numFmtId="43" fontId="35" fillId="0" borderId="1" xfId="0" applyNumberFormat="1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left" vertical="center"/>
    </xf>
    <xf numFmtId="0" fontId="26" fillId="0" borderId="1" xfId="0" applyFont="1" applyFill="1" applyBorder="1" applyAlignment="1">
      <alignment horizontal="center" vertical="center"/>
    </xf>
    <xf numFmtId="0" fontId="26" fillId="5" borderId="1" xfId="0" applyFont="1" applyFill="1" applyBorder="1" applyAlignment="1">
      <alignment horizontal="center" vertical="center" wrapText="1"/>
    </xf>
    <xf numFmtId="165" fontId="26" fillId="5" borderId="1" xfId="0" applyNumberFormat="1" applyFont="1" applyFill="1" applyBorder="1" applyAlignment="1">
      <alignment horizontal="center" vertical="center" wrapText="1"/>
    </xf>
    <xf numFmtId="43" fontId="27" fillId="7" borderId="1" xfId="0" applyNumberFormat="1" applyFont="1" applyFill="1" applyBorder="1" applyAlignment="1">
      <alignment horizontal="center" vertical="center"/>
    </xf>
    <xf numFmtId="0" fontId="27" fillId="8" borderId="19" xfId="0" applyFont="1" applyFill="1" applyBorder="1" applyAlignment="1">
      <alignment horizontal="left" vertical="center" wrapText="1"/>
    </xf>
    <xf numFmtId="0" fontId="27" fillId="8" borderId="19" xfId="0" applyFont="1" applyFill="1" applyBorder="1" applyAlignment="1">
      <alignment horizontal="center" vertical="center" wrapText="1"/>
    </xf>
    <xf numFmtId="43" fontId="27" fillId="8" borderId="19" xfId="0" applyNumberFormat="1" applyFont="1" applyFill="1" applyBorder="1" applyAlignment="1">
      <alignment horizontal="center" vertical="center" wrapText="1"/>
    </xf>
    <xf numFmtId="0" fontId="27" fillId="8" borderId="20" xfId="0" applyFont="1" applyFill="1" applyBorder="1" applyAlignment="1">
      <alignment horizontal="center" vertical="center" wrapText="1"/>
    </xf>
    <xf numFmtId="0" fontId="27" fillId="8" borderId="13" xfId="0" applyFont="1" applyFill="1" applyBorder="1" applyAlignment="1">
      <alignment horizontal="center" vertical="center" wrapText="1"/>
    </xf>
    <xf numFmtId="165" fontId="27" fillId="8" borderId="13" xfId="0" applyNumberFormat="1" applyFont="1" applyFill="1" applyBorder="1" applyAlignment="1">
      <alignment horizontal="center" vertical="center" wrapText="1"/>
    </xf>
    <xf numFmtId="0" fontId="27" fillId="8" borderId="18" xfId="0" applyFont="1" applyFill="1" applyBorder="1" applyAlignment="1">
      <alignment horizontal="center" vertical="center" wrapText="1"/>
    </xf>
    <xf numFmtId="0" fontId="30" fillId="7" borderId="1" xfId="0" applyFont="1" applyFill="1" applyBorder="1" applyAlignment="1">
      <alignment horizontal="center" vertical="center"/>
    </xf>
    <xf numFmtId="0" fontId="25" fillId="7" borderId="1" xfId="0" applyFont="1" applyFill="1" applyBorder="1" applyAlignment="1">
      <alignment horizontal="center" vertical="center"/>
    </xf>
    <xf numFmtId="43" fontId="25" fillId="7" borderId="1" xfId="0" applyNumberFormat="1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left" vertical="center" wrapText="1"/>
    </xf>
    <xf numFmtId="0" fontId="13" fillId="5" borderId="1" xfId="0" applyFont="1" applyFill="1" applyBorder="1" applyAlignment="1">
      <alignment horizontal="left" vertical="center" wrapText="1"/>
    </xf>
    <xf numFmtId="43" fontId="13" fillId="5" borderId="1" xfId="0" applyNumberFormat="1" applyFont="1" applyFill="1" applyBorder="1" applyAlignment="1">
      <alignment horizontal="center" vertical="center"/>
    </xf>
    <xf numFmtId="43" fontId="13" fillId="7" borderId="1" xfId="0" applyNumberFormat="1" applyFont="1" applyFill="1" applyBorder="1" applyAlignment="1">
      <alignment horizontal="center" vertical="center"/>
    </xf>
    <xf numFmtId="0" fontId="12" fillId="3" borderId="0" xfId="0" applyFont="1" applyFill="1" applyAlignment="1">
      <alignment horizontal="left" vertical="center" wrapText="1"/>
    </xf>
    <xf numFmtId="0" fontId="0" fillId="3" borderId="0" xfId="0" applyFont="1" applyFill="1" applyAlignment="1">
      <alignment horizontal="center" vertical="center"/>
    </xf>
    <xf numFmtId="0" fontId="34" fillId="3" borderId="0" xfId="0" applyFont="1" applyFill="1" applyAlignment="1">
      <alignment horizontal="left" vertical="center"/>
    </xf>
    <xf numFmtId="43" fontId="25" fillId="0" borderId="1" xfId="0" applyNumberFormat="1" applyFont="1" applyFill="1" applyBorder="1" applyAlignment="1">
      <alignment horizontal="center" vertical="center"/>
    </xf>
    <xf numFmtId="0" fontId="0" fillId="0" borderId="0" xfId="0" applyFont="1" applyAlignment="1"/>
    <xf numFmtId="17" fontId="26" fillId="0" borderId="1" xfId="0" applyNumberFormat="1" applyFont="1" applyBorder="1" applyAlignment="1">
      <alignment horizontal="center" vertical="center" wrapText="1"/>
    </xf>
    <xf numFmtId="17" fontId="32" fillId="5" borderId="1" xfId="0" applyNumberFormat="1" applyFont="1" applyFill="1" applyBorder="1" applyAlignment="1">
      <alignment horizontal="center" vertical="center" wrapText="1"/>
    </xf>
    <xf numFmtId="17" fontId="26" fillId="5" borderId="1" xfId="0" applyNumberFormat="1" applyFont="1" applyFill="1" applyBorder="1" applyAlignment="1">
      <alignment horizontal="center" vertical="center" wrapText="1"/>
    </xf>
    <xf numFmtId="43" fontId="11" fillId="0" borderId="0" xfId="6" applyFont="1" applyBorder="1" applyAlignment="1">
      <alignment horizontal="right"/>
    </xf>
    <xf numFmtId="43" fontId="10" fillId="0" borderId="0" xfId="6" applyFont="1" applyBorder="1" applyAlignment="1">
      <alignment horizontal="right" vertical="top"/>
    </xf>
    <xf numFmtId="0" fontId="30" fillId="3" borderId="0" xfId="0" applyFont="1" applyFill="1" applyAlignment="1"/>
    <xf numFmtId="0" fontId="27" fillId="3" borderId="0" xfId="0" applyFont="1" applyFill="1" applyAlignment="1"/>
    <xf numFmtId="0" fontId="13" fillId="5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43" fontId="13" fillId="2" borderId="1" xfId="0" applyNumberFormat="1" applyFont="1" applyFill="1" applyBorder="1" applyAlignment="1">
      <alignment horizontal="center" vertical="center"/>
    </xf>
    <xf numFmtId="0" fontId="12" fillId="9" borderId="5" xfId="0" applyFont="1" applyFill="1" applyBorder="1" applyAlignment="1">
      <alignment horizontal="center" vertical="center"/>
    </xf>
    <xf numFmtId="1" fontId="13" fillId="9" borderId="7" xfId="0" applyNumberFormat="1" applyFont="1" applyFill="1" applyBorder="1" applyAlignment="1">
      <alignment horizontal="center" vertical="center"/>
    </xf>
    <xf numFmtId="0" fontId="12" fillId="9" borderId="8" xfId="0" applyFont="1" applyFill="1" applyBorder="1" applyAlignment="1">
      <alignment horizontal="center" vertical="center"/>
    </xf>
    <xf numFmtId="1" fontId="13" fillId="9" borderId="10" xfId="0" applyNumberFormat="1" applyFont="1" applyFill="1" applyBorder="1" applyAlignment="1">
      <alignment horizontal="center" vertical="center"/>
    </xf>
    <xf numFmtId="167" fontId="0" fillId="9" borderId="6" xfId="0" applyNumberFormat="1" applyFont="1" applyFill="1" applyBorder="1" applyAlignment="1">
      <alignment horizontal="center" vertical="center"/>
    </xf>
    <xf numFmtId="167" fontId="0" fillId="9" borderId="9" xfId="0" applyNumberFormat="1" applyFont="1" applyFill="1" applyBorder="1" applyAlignment="1">
      <alignment horizontal="center" vertical="center"/>
    </xf>
    <xf numFmtId="2" fontId="32" fillId="0" borderId="1" xfId="0" applyNumberFormat="1" applyFont="1" applyBorder="1" applyAlignment="1">
      <alignment horizontal="center" vertical="center"/>
    </xf>
    <xf numFmtId="2" fontId="32" fillId="0" borderId="1" xfId="0" applyNumberFormat="1" applyFont="1" applyFill="1" applyBorder="1" applyAlignment="1">
      <alignment horizontal="center" vertical="center"/>
    </xf>
    <xf numFmtId="43" fontId="10" fillId="0" borderId="0" xfId="6" applyFont="1" applyFill="1" applyBorder="1" applyAlignment="1">
      <alignment horizontal="right"/>
    </xf>
    <xf numFmtId="43" fontId="27" fillId="2" borderId="1" xfId="0" applyNumberFormat="1" applyFont="1" applyFill="1" applyBorder="1" applyAlignment="1">
      <alignment horizontal="center" vertical="center"/>
    </xf>
    <xf numFmtId="43" fontId="26" fillId="2" borderId="1" xfId="0" applyNumberFormat="1" applyFont="1" applyFill="1" applyBorder="1" applyAlignment="1">
      <alignment horizontal="center" vertical="center" wrapText="1"/>
    </xf>
    <xf numFmtId="17" fontId="26" fillId="2" borderId="1" xfId="0" applyNumberFormat="1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165" fontId="26" fillId="2" borderId="1" xfId="0" applyNumberFormat="1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165" fontId="27" fillId="2" borderId="1" xfId="0" applyNumberFormat="1" applyFont="1" applyFill="1" applyBorder="1" applyAlignment="1">
      <alignment horizontal="center" vertical="center" wrapText="1"/>
    </xf>
    <xf numFmtId="43" fontId="33" fillId="2" borderId="1" xfId="0" applyNumberFormat="1" applyFont="1" applyFill="1" applyBorder="1" applyAlignment="1">
      <alignment horizontal="center" vertical="center"/>
    </xf>
    <xf numFmtId="0" fontId="33" fillId="2" borderId="1" xfId="0" applyFont="1" applyFill="1" applyBorder="1" applyAlignment="1">
      <alignment horizontal="center" vertical="center" wrapText="1"/>
    </xf>
    <xf numFmtId="164" fontId="32" fillId="2" borderId="1" xfId="0" applyNumberFormat="1" applyFont="1" applyFill="1" applyBorder="1" applyAlignment="1">
      <alignment horizontal="center" vertical="center" wrapText="1"/>
    </xf>
    <xf numFmtId="17" fontId="32" fillId="2" borderId="1" xfId="0" applyNumberFormat="1" applyFont="1" applyFill="1" applyBorder="1" applyAlignment="1">
      <alignment horizontal="center" vertical="center" wrapText="1"/>
    </xf>
    <xf numFmtId="43" fontId="27" fillId="0" borderId="1" xfId="0" applyNumberFormat="1" applyFont="1" applyBorder="1" applyAlignment="1">
      <alignment horizontal="center" vertical="center"/>
    </xf>
    <xf numFmtId="17" fontId="34" fillId="3" borderId="0" xfId="0" applyNumberFormat="1" applyFont="1" applyFill="1" applyAlignment="1">
      <alignment horizontal="left" vertical="center"/>
    </xf>
    <xf numFmtId="169" fontId="26" fillId="0" borderId="1" xfId="0" applyNumberFormat="1" applyFont="1" applyFill="1" applyBorder="1" applyAlignment="1">
      <alignment horizontal="center" vertical="center" wrapText="1"/>
    </xf>
    <xf numFmtId="169" fontId="26" fillId="0" borderId="1" xfId="0" applyNumberFormat="1" applyFont="1" applyBorder="1" applyAlignment="1">
      <alignment horizontal="center" vertical="center" wrapText="1"/>
    </xf>
    <xf numFmtId="169" fontId="32" fillId="0" borderId="1" xfId="0" applyNumberFormat="1" applyFont="1" applyBorder="1" applyAlignment="1">
      <alignment horizontal="center" vertical="center" wrapText="1"/>
    </xf>
    <xf numFmtId="43" fontId="26" fillId="5" borderId="1" xfId="0" applyNumberFormat="1" applyFont="1" applyFill="1" applyBorder="1" applyAlignment="1">
      <alignment horizontal="center" vertical="center"/>
    </xf>
    <xf numFmtId="3" fontId="25" fillId="0" borderId="1" xfId="0" applyNumberFormat="1" applyFont="1" applyFill="1" applyBorder="1" applyAlignment="1">
      <alignment horizontal="center" vertical="center"/>
    </xf>
    <xf numFmtId="0" fontId="36" fillId="3" borderId="0" xfId="0" applyFont="1" applyFill="1" applyAlignment="1"/>
    <xf numFmtId="0" fontId="13" fillId="2" borderId="2" xfId="0" applyFont="1" applyFill="1" applyBorder="1" applyAlignment="1">
      <alignment horizontal="left" vertical="center"/>
    </xf>
    <xf numFmtId="0" fontId="0" fillId="2" borderId="4" xfId="0" applyFont="1" applyFill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3" fontId="10" fillId="3" borderId="0" xfId="6" applyFont="1" applyFill="1" applyBorder="1" applyAlignment="1">
      <alignment horizontal="right"/>
    </xf>
    <xf numFmtId="0" fontId="49" fillId="10" borderId="26" xfId="11" applyFont="1" applyFill="1" applyBorder="1" applyAlignment="1">
      <alignment horizontal="center" vertical="center" wrapText="1"/>
    </xf>
    <xf numFmtId="0" fontId="49" fillId="10" borderId="27" xfId="11" applyFont="1" applyFill="1" applyBorder="1" applyAlignment="1">
      <alignment horizontal="center" vertical="center" wrapText="1"/>
    </xf>
    <xf numFmtId="0" fontId="48" fillId="0" borderId="0" xfId="11" applyFill="1" applyBorder="1" applyAlignment="1">
      <alignment horizontal="left" vertical="center"/>
    </xf>
    <xf numFmtId="1" fontId="51" fillId="11" borderId="28" xfId="11" applyNumberFormat="1" applyFont="1" applyFill="1" applyBorder="1" applyAlignment="1">
      <alignment horizontal="center" vertical="center" shrinkToFit="1"/>
    </xf>
    <xf numFmtId="0" fontId="49" fillId="11" borderId="29" xfId="11" applyFont="1" applyFill="1" applyBorder="1" applyAlignment="1">
      <alignment vertical="center" wrapText="1"/>
    </xf>
    <xf numFmtId="0" fontId="49" fillId="11" borderId="30" xfId="11" applyFont="1" applyFill="1" applyBorder="1" applyAlignment="1">
      <alignment vertical="center" wrapText="1"/>
    </xf>
    <xf numFmtId="0" fontId="49" fillId="11" borderId="31" xfId="11" applyFont="1" applyFill="1" applyBorder="1" applyAlignment="1">
      <alignment vertical="center" wrapText="1"/>
    </xf>
    <xf numFmtId="0" fontId="52" fillId="0" borderId="28" xfId="11" applyFont="1" applyFill="1" applyBorder="1" applyAlignment="1">
      <alignment horizontal="center" vertical="center" wrapText="1"/>
    </xf>
    <xf numFmtId="0" fontId="52" fillId="0" borderId="28" xfId="11" applyFont="1" applyFill="1" applyBorder="1" applyAlignment="1">
      <alignment horizontal="left" vertical="center" wrapText="1"/>
    </xf>
    <xf numFmtId="0" fontId="53" fillId="0" borderId="28" xfId="11" applyFont="1" applyFill="1" applyBorder="1" applyAlignment="1">
      <alignment horizontal="left" vertical="center" wrapText="1"/>
    </xf>
    <xf numFmtId="0" fontId="53" fillId="0" borderId="31" xfId="11" applyFont="1" applyFill="1" applyBorder="1" applyAlignment="1">
      <alignment vertical="center" wrapText="1"/>
    </xf>
    <xf numFmtId="4" fontId="53" fillId="0" borderId="31" xfId="11" applyNumberFormat="1" applyFont="1" applyFill="1" applyBorder="1" applyAlignment="1">
      <alignment horizontal="right" vertical="center" shrinkToFit="1"/>
    </xf>
    <xf numFmtId="2" fontId="53" fillId="0" borderId="31" xfId="11" applyNumberFormat="1" applyFont="1" applyFill="1" applyBorder="1" applyAlignment="1">
      <alignment horizontal="right" vertical="center" shrinkToFit="1"/>
    </xf>
    <xf numFmtId="0" fontId="52" fillId="0" borderId="26" xfId="11" applyFont="1" applyFill="1" applyBorder="1" applyAlignment="1">
      <alignment horizontal="center" vertical="center" wrapText="1"/>
    </xf>
    <xf numFmtId="0" fontId="52" fillId="0" borderId="26" xfId="11" applyFont="1" applyFill="1" applyBorder="1" applyAlignment="1">
      <alignment horizontal="left" vertical="center" wrapText="1"/>
    </xf>
    <xf numFmtId="0" fontId="53" fillId="0" borderId="26" xfId="11" applyFont="1" applyFill="1" applyBorder="1" applyAlignment="1">
      <alignment horizontal="left" vertical="center" wrapText="1"/>
    </xf>
    <xf numFmtId="0" fontId="53" fillId="0" borderId="32" xfId="11" applyFont="1" applyFill="1" applyBorder="1" applyAlignment="1">
      <alignment vertical="center" wrapText="1"/>
    </xf>
    <xf numFmtId="0" fontId="53" fillId="10" borderId="28" xfId="11" applyFont="1" applyFill="1" applyBorder="1" applyAlignment="1">
      <alignment horizontal="left" vertical="center" wrapText="1"/>
    </xf>
    <xf numFmtId="0" fontId="49" fillId="10" borderId="29" xfId="11" applyFont="1" applyFill="1" applyBorder="1" applyAlignment="1">
      <alignment vertical="center" wrapText="1"/>
    </xf>
    <xf numFmtId="0" fontId="48" fillId="0" borderId="0" xfId="11" applyFill="1" applyBorder="1" applyAlignment="1">
      <alignment horizontal="left" vertical="top"/>
    </xf>
    <xf numFmtId="0" fontId="54" fillId="12" borderId="33" xfId="11" applyFont="1" applyFill="1" applyBorder="1" applyAlignment="1">
      <alignment horizontal="left" vertical="top" wrapText="1"/>
    </xf>
    <xf numFmtId="0" fontId="42" fillId="0" borderId="33" xfId="11" applyFont="1" applyFill="1" applyBorder="1" applyAlignment="1">
      <alignment horizontal="left" vertical="top" wrapText="1"/>
    </xf>
    <xf numFmtId="3" fontId="11" fillId="0" borderId="33" xfId="11" applyNumberFormat="1" applyFont="1" applyFill="1" applyBorder="1" applyAlignment="1">
      <alignment horizontal="right" vertical="top" shrinkToFit="1"/>
    </xf>
    <xf numFmtId="0" fontId="49" fillId="13" borderId="1" xfId="11" applyFont="1" applyFill="1" applyBorder="1" applyAlignment="1">
      <alignment horizontal="center" vertical="center" wrapText="1"/>
    </xf>
    <xf numFmtId="1" fontId="56" fillId="14" borderId="1" xfId="11" applyNumberFormat="1" applyFont="1" applyFill="1" applyBorder="1" applyAlignment="1">
      <alignment horizontal="center" vertical="center" wrapText="1"/>
    </xf>
    <xf numFmtId="0" fontId="53" fillId="0" borderId="1" xfId="11" applyFont="1" applyFill="1" applyBorder="1" applyAlignment="1">
      <alignment vertical="center" wrapText="1"/>
    </xf>
    <xf numFmtId="0" fontId="52" fillId="0" borderId="1" xfId="11" applyFont="1" applyFill="1" applyBorder="1" applyAlignment="1">
      <alignment horizontal="center" vertical="center" wrapText="1"/>
    </xf>
    <xf numFmtId="4" fontId="57" fillId="0" borderId="1" xfId="11" applyNumberFormat="1" applyFont="1" applyFill="1" applyBorder="1" applyAlignment="1">
      <alignment horizontal="center" vertical="center" shrinkToFit="1"/>
    </xf>
    <xf numFmtId="2" fontId="57" fillId="0" borderId="1" xfId="11" applyNumberFormat="1" applyFont="1" applyFill="1" applyBorder="1" applyAlignment="1">
      <alignment horizontal="center" vertical="center" shrinkToFit="1"/>
    </xf>
    <xf numFmtId="0" fontId="52" fillId="0" borderId="1" xfId="11" applyFont="1" applyFill="1" applyBorder="1" applyAlignment="1">
      <alignment vertical="center" wrapText="1"/>
    </xf>
    <xf numFmtId="0" fontId="52" fillId="0" borderId="1" xfId="11" applyFont="1" applyFill="1" applyBorder="1" applyAlignment="1">
      <alignment horizontal="left" vertical="center" wrapText="1"/>
    </xf>
    <xf numFmtId="0" fontId="56" fillId="13" borderId="1" xfId="11" applyFont="1" applyFill="1" applyBorder="1" applyAlignment="1">
      <alignment horizontal="center" vertical="center" wrapText="1"/>
    </xf>
    <xf numFmtId="1" fontId="56" fillId="2" borderId="1" xfId="11" applyNumberFormat="1" applyFont="1" applyFill="1" applyBorder="1" applyAlignment="1">
      <alignment horizontal="center" vertical="center" shrinkToFit="1"/>
    </xf>
    <xf numFmtId="0" fontId="56" fillId="2" borderId="1" xfId="11" applyFont="1" applyFill="1" applyBorder="1" applyAlignment="1">
      <alignment vertical="center" wrapText="1"/>
    </xf>
    <xf numFmtId="0" fontId="53" fillId="2" borderId="1" xfId="11" applyFont="1" applyFill="1" applyBorder="1" applyAlignment="1">
      <alignment horizontal="left" vertical="center" wrapText="1"/>
    </xf>
    <xf numFmtId="0" fontId="53" fillId="2" borderId="1" xfId="11" applyFont="1" applyFill="1" applyBorder="1" applyAlignment="1">
      <alignment horizontal="center" vertical="center" wrapText="1"/>
    </xf>
    <xf numFmtId="0" fontId="49" fillId="2" borderId="1" xfId="11" applyFont="1" applyFill="1" applyBorder="1" applyAlignment="1">
      <alignment vertical="center" wrapText="1"/>
    </xf>
    <xf numFmtId="0" fontId="53" fillId="2" borderId="1" xfId="11" applyFont="1" applyFill="1" applyBorder="1" applyAlignment="1">
      <alignment vertical="center" wrapText="1"/>
    </xf>
    <xf numFmtId="170" fontId="26" fillId="0" borderId="1" xfId="0" applyNumberFormat="1" applyFont="1" applyFill="1" applyBorder="1" applyAlignment="1">
      <alignment horizontal="center" vertical="center" wrapText="1"/>
    </xf>
    <xf numFmtId="0" fontId="57" fillId="0" borderId="1" xfId="11" applyFont="1" applyFill="1" applyBorder="1" applyAlignment="1">
      <alignment vertical="center" wrapText="1"/>
    </xf>
    <xf numFmtId="0" fontId="38" fillId="3" borderId="0" xfId="5" applyFont="1" applyFill="1" applyBorder="1" applyAlignment="1">
      <alignment vertical="center" wrapText="1"/>
    </xf>
    <xf numFmtId="0" fontId="39" fillId="3" borderId="0" xfId="5" applyFont="1" applyFill="1" applyBorder="1" applyAlignment="1">
      <alignment vertical="center" wrapText="1"/>
    </xf>
    <xf numFmtId="0" fontId="38" fillId="3" borderId="0" xfId="5" applyFont="1" applyFill="1" applyBorder="1" applyAlignment="1">
      <alignment vertical="center"/>
    </xf>
    <xf numFmtId="0" fontId="39" fillId="3" borderId="0" xfId="5" applyFont="1" applyFill="1" applyBorder="1" applyAlignment="1">
      <alignment horizontal="center"/>
    </xf>
    <xf numFmtId="0" fontId="25" fillId="0" borderId="1" xfId="0" applyFont="1" applyBorder="1" applyAlignment="1">
      <alignment vertical="center" wrapText="1"/>
    </xf>
    <xf numFmtId="0" fontId="25" fillId="0" borderId="1" xfId="0" applyFont="1" applyBorder="1" applyAlignment="1">
      <alignment horizontal="left" vertical="center"/>
    </xf>
    <xf numFmtId="43" fontId="25" fillId="0" borderId="1" xfId="0" applyNumberFormat="1" applyFont="1" applyBorder="1" applyAlignment="1">
      <alignment horizontal="left" vertical="center"/>
    </xf>
    <xf numFmtId="0" fontId="38" fillId="3" borderId="0" xfId="5" applyFont="1" applyFill="1" applyBorder="1" applyAlignment="1">
      <alignment horizontal="center"/>
    </xf>
    <xf numFmtId="0" fontId="37" fillId="3" borderId="0" xfId="0" applyFont="1" applyFill="1" applyAlignment="1"/>
    <xf numFmtId="0" fontId="34" fillId="3" borderId="0" xfId="0" applyFont="1" applyFill="1" applyAlignment="1">
      <alignment horizontal="right" vertical="center"/>
    </xf>
    <xf numFmtId="0" fontId="13" fillId="6" borderId="2" xfId="0" applyFont="1" applyFill="1" applyBorder="1" applyAlignment="1">
      <alignment horizontal="center" vertical="center" wrapText="1"/>
    </xf>
    <xf numFmtId="0" fontId="13" fillId="6" borderId="4" xfId="0" applyFont="1" applyFill="1" applyBorder="1" applyAlignment="1">
      <alignment horizontal="center" vertical="center" wrapText="1"/>
    </xf>
    <xf numFmtId="165" fontId="13" fillId="6" borderId="4" xfId="0" applyNumberFormat="1" applyFont="1" applyFill="1" applyBorder="1" applyAlignment="1">
      <alignment horizontal="center" vertical="center" wrapText="1"/>
    </xf>
    <xf numFmtId="165" fontId="13" fillId="6" borderId="3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165" fontId="0" fillId="0" borderId="4" xfId="0" applyNumberFormat="1" applyFont="1" applyBorder="1" applyAlignment="1">
      <alignment horizontal="center" vertical="center"/>
    </xf>
    <xf numFmtId="165" fontId="13" fillId="2" borderId="4" xfId="0" applyNumberFormat="1" applyFont="1" applyFill="1" applyBorder="1" applyAlignment="1">
      <alignment horizontal="center" vertical="center"/>
    </xf>
    <xf numFmtId="165" fontId="13" fillId="2" borderId="3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left" vertical="center"/>
    </xf>
    <xf numFmtId="165" fontId="12" fillId="2" borderId="4" xfId="0" applyNumberFormat="1" applyFont="1" applyFill="1" applyBorder="1" applyAlignment="1">
      <alignment horizontal="center" vertical="center"/>
    </xf>
    <xf numFmtId="0" fontId="25" fillId="0" borderId="1" xfId="0" applyNumberFormat="1" applyFont="1" applyBorder="1" applyAlignment="1">
      <alignment horizontal="center" vertical="center"/>
    </xf>
    <xf numFmtId="0" fontId="25" fillId="0" borderId="1" xfId="0" applyNumberFormat="1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25" fillId="0" borderId="1" xfId="0" applyNumberFormat="1" applyFont="1" applyFill="1" applyBorder="1" applyAlignment="1">
      <alignment horizontal="left" vertical="center"/>
    </xf>
    <xf numFmtId="0" fontId="25" fillId="0" borderId="1" xfId="0" applyFont="1" applyFill="1" applyBorder="1" applyAlignment="1">
      <alignment vertical="center"/>
    </xf>
    <xf numFmtId="165" fontId="0" fillId="0" borderId="0" xfId="0" applyNumberFormat="1" applyFont="1" applyAlignment="1"/>
    <xf numFmtId="0" fontId="0" fillId="9" borderId="6" xfId="0" applyNumberFormat="1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vertical="center" wrapText="1"/>
    </xf>
    <xf numFmtId="0" fontId="10" fillId="0" borderId="0" xfId="0" applyFont="1"/>
    <xf numFmtId="0" fontId="41" fillId="0" borderId="0" xfId="0" applyFont="1"/>
    <xf numFmtId="0" fontId="44" fillId="0" borderId="0" xfId="0" applyFont="1"/>
    <xf numFmtId="43" fontId="11" fillId="0" borderId="13" xfId="6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17" fontId="12" fillId="0" borderId="2" xfId="0" applyNumberFormat="1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10" fontId="10" fillId="0" borderId="14" xfId="0" applyNumberFormat="1" applyFont="1" applyBorder="1" applyAlignment="1">
      <alignment horizontal="center"/>
    </xf>
    <xf numFmtId="43" fontId="10" fillId="0" borderId="0" xfId="6" applyFont="1" applyBorder="1" applyAlignment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/>
    </xf>
    <xf numFmtId="10" fontId="11" fillId="0" borderId="1" xfId="14" applyNumberFormat="1" applyFont="1" applyBorder="1" applyAlignment="1">
      <alignment horizontal="center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left"/>
    </xf>
    <xf numFmtId="0" fontId="40" fillId="0" borderId="0" xfId="15" applyFont="1" applyAlignment="1">
      <alignment horizontal="left" vertical="top" indent="1"/>
    </xf>
    <xf numFmtId="0" fontId="40" fillId="0" borderId="0" xfId="15" applyFont="1" applyAlignment="1">
      <alignment horizontal="left" indent="1"/>
    </xf>
    <xf numFmtId="0" fontId="40" fillId="0" borderId="0" xfId="15" applyFont="1" applyAlignment="1">
      <alignment horizontal="center" vertical="top"/>
    </xf>
    <xf numFmtId="166" fontId="40" fillId="0" borderId="0" xfId="15" applyNumberFormat="1" applyFont="1" applyAlignment="1">
      <alignment horizontal="right" vertical="top"/>
    </xf>
    <xf numFmtId="0" fontId="40" fillId="0" borderId="0" xfId="15" applyFont="1" applyAlignment="1">
      <alignment horizontal="left" wrapText="1" indent="1"/>
    </xf>
    <xf numFmtId="0" fontId="11" fillId="0" borderId="0" xfId="0" applyFont="1" applyAlignment="1">
      <alignment horizontal="right"/>
    </xf>
    <xf numFmtId="0" fontId="10" fillId="0" borderId="0" xfId="0" applyFont="1" applyAlignment="1">
      <alignment horizontal="center"/>
    </xf>
    <xf numFmtId="43" fontId="10" fillId="0" borderId="0" xfId="0" applyNumberFormat="1" applyFont="1"/>
    <xf numFmtId="43" fontId="10" fillId="0" borderId="0" xfId="6" applyFont="1" applyBorder="1" applyAlignment="1">
      <alignment horizontal="right"/>
    </xf>
    <xf numFmtId="43" fontId="0" fillId="0" borderId="1" xfId="6" applyFont="1" applyFill="1" applyBorder="1" applyAlignment="1">
      <alignment horizontal="center" vertical="center"/>
    </xf>
    <xf numFmtId="0" fontId="10" fillId="0" borderId="34" xfId="0" applyFont="1" applyBorder="1" applyAlignment="1">
      <alignment horizontal="center"/>
    </xf>
    <xf numFmtId="0" fontId="10" fillId="0" borderId="34" xfId="0" applyFont="1" applyBorder="1" applyAlignment="1">
      <alignment horizontal="left"/>
    </xf>
    <xf numFmtId="43" fontId="10" fillId="0" borderId="34" xfId="6" applyFont="1" applyFill="1" applyBorder="1" applyAlignment="1">
      <alignment horizontal="right"/>
    </xf>
    <xf numFmtId="0" fontId="10" fillId="0" borderId="34" xfId="0" applyFont="1" applyBorder="1" applyAlignment="1">
      <alignment horizontal="center" vertical="center"/>
    </xf>
    <xf numFmtId="43" fontId="10" fillId="0" borderId="0" xfId="6" applyFont="1" applyBorder="1"/>
    <xf numFmtId="0" fontId="59" fillId="15" borderId="35" xfId="0" applyFont="1" applyFill="1" applyBorder="1" applyAlignment="1">
      <alignment vertical="top"/>
    </xf>
    <xf numFmtId="0" fontId="60" fillId="15" borderId="35" xfId="0" applyFont="1" applyFill="1" applyBorder="1" applyAlignment="1">
      <alignment vertical="top"/>
    </xf>
    <xf numFmtId="0" fontId="0" fillId="0" borderId="0" xfId="0" applyAlignment="1">
      <alignment horizontal="left" vertical="top"/>
    </xf>
    <xf numFmtId="0" fontId="60" fillId="0" borderId="33" xfId="0" applyFont="1" applyBorder="1" applyAlignment="1">
      <alignment horizontal="center" vertical="top"/>
    </xf>
    <xf numFmtId="0" fontId="60" fillId="0" borderId="37" xfId="0" applyFont="1" applyBorder="1" applyAlignment="1">
      <alignment horizontal="center" vertical="top"/>
    </xf>
    <xf numFmtId="0" fontId="61" fillId="0" borderId="19" xfId="0" applyFont="1" applyBorder="1" applyAlignment="1">
      <alignment horizontal="left" vertical="top"/>
    </xf>
    <xf numFmtId="0" fontId="61" fillId="0" borderId="18" xfId="0" applyFont="1" applyBorder="1" applyAlignment="1">
      <alignment horizontal="center" vertical="top"/>
    </xf>
    <xf numFmtId="2" fontId="62" fillId="0" borderId="18" xfId="0" applyNumberFormat="1" applyFont="1" applyBorder="1" applyAlignment="1">
      <alignment horizontal="center" vertical="top" shrinkToFit="1"/>
    </xf>
    <xf numFmtId="2" fontId="62" fillId="0" borderId="38" xfId="0" applyNumberFormat="1" applyFont="1" applyBorder="1" applyAlignment="1">
      <alignment horizontal="center" vertical="top" shrinkToFit="1"/>
    </xf>
    <xf numFmtId="0" fontId="61" fillId="0" borderId="39" xfId="0" applyFont="1" applyBorder="1" applyAlignment="1">
      <alignment horizontal="left" vertical="top"/>
    </xf>
    <xf numFmtId="0" fontId="61" fillId="0" borderId="40" xfId="0" applyFont="1" applyBorder="1" applyAlignment="1">
      <alignment horizontal="center" vertical="top"/>
    </xf>
    <xf numFmtId="2" fontId="62" fillId="0" borderId="40" xfId="0" applyNumberFormat="1" applyFont="1" applyBorder="1" applyAlignment="1">
      <alignment horizontal="center" vertical="top" shrinkToFit="1"/>
    </xf>
    <xf numFmtId="2" fontId="62" fillId="0" borderId="41" xfId="0" applyNumberFormat="1" applyFont="1" applyBorder="1" applyAlignment="1">
      <alignment horizontal="center" vertical="top" shrinkToFit="1"/>
    </xf>
    <xf numFmtId="0" fontId="61" fillId="0" borderId="42" xfId="0" applyFont="1" applyBorder="1" applyAlignment="1">
      <alignment horizontal="left" vertical="top"/>
    </xf>
    <xf numFmtId="0" fontId="61" fillId="0" borderId="43" xfId="0" applyFont="1" applyBorder="1" applyAlignment="1">
      <alignment horizontal="center" vertical="top"/>
    </xf>
    <xf numFmtId="2" fontId="62" fillId="0" borderId="43" xfId="0" applyNumberFormat="1" applyFont="1" applyBorder="1" applyAlignment="1">
      <alignment horizontal="center" vertical="top" shrinkToFit="1"/>
    </xf>
    <xf numFmtId="2" fontId="62" fillId="0" borderId="44" xfId="0" applyNumberFormat="1" applyFont="1" applyBorder="1" applyAlignment="1">
      <alignment horizontal="center" vertical="top" shrinkToFit="1"/>
    </xf>
    <xf numFmtId="2" fontId="63" fillId="0" borderId="33" xfId="0" applyNumberFormat="1" applyFont="1" applyBorder="1" applyAlignment="1">
      <alignment horizontal="center" vertical="top" shrinkToFit="1"/>
    </xf>
    <xf numFmtId="2" fontId="63" fillId="0" borderId="37" xfId="0" applyNumberFormat="1" applyFont="1" applyBorder="1" applyAlignment="1">
      <alignment horizontal="center" vertical="top" shrinkToFit="1"/>
    </xf>
    <xf numFmtId="0" fontId="61" fillId="0" borderId="36" xfId="0" applyFont="1" applyBorder="1" applyAlignment="1">
      <alignment horizontal="left" vertical="top"/>
    </xf>
    <xf numFmtId="0" fontId="61" fillId="0" borderId="33" xfId="0" applyFont="1" applyBorder="1" applyAlignment="1">
      <alignment horizontal="center" vertical="top"/>
    </xf>
    <xf numFmtId="2" fontId="62" fillId="0" borderId="33" xfId="0" applyNumberFormat="1" applyFont="1" applyBorder="1" applyAlignment="1">
      <alignment horizontal="center" vertical="top" shrinkToFit="1"/>
    </xf>
    <xf numFmtId="2" fontId="62" fillId="0" borderId="37" xfId="0" applyNumberFormat="1" applyFont="1" applyBorder="1" applyAlignment="1">
      <alignment horizontal="center" vertical="top" shrinkToFit="1"/>
    </xf>
    <xf numFmtId="0" fontId="60" fillId="15" borderId="36" xfId="0" applyFont="1" applyFill="1" applyBorder="1" applyAlignment="1">
      <alignment vertical="top"/>
    </xf>
    <xf numFmtId="2" fontId="64" fillId="15" borderId="33" xfId="0" applyNumberFormat="1" applyFont="1" applyFill="1" applyBorder="1" applyAlignment="1">
      <alignment horizontal="center" vertical="top" shrinkToFit="1"/>
    </xf>
    <xf numFmtId="2" fontId="64" fillId="15" borderId="37" xfId="0" applyNumberFormat="1" applyFont="1" applyFill="1" applyBorder="1" applyAlignment="1">
      <alignment horizontal="center" vertical="top" shrinkToFit="1"/>
    </xf>
    <xf numFmtId="0" fontId="65" fillId="0" borderId="0" xfId="0" applyFont="1" applyAlignment="1">
      <alignment vertical="top"/>
    </xf>
    <xf numFmtId="0" fontId="45" fillId="0" borderId="0" xfId="16" applyFont="1" applyAlignment="1">
      <alignment vertical="center"/>
    </xf>
    <xf numFmtId="0" fontId="4" fillId="0" borderId="0" xfId="16"/>
    <xf numFmtId="0" fontId="15" fillId="0" borderId="17" xfId="16" applyFont="1" applyBorder="1" applyAlignment="1">
      <alignment horizontal="center" vertical="center"/>
    </xf>
    <xf numFmtId="168" fontId="46" fillId="0" borderId="17" xfId="16" applyNumberFormat="1" applyFont="1" applyBorder="1" applyAlignment="1">
      <alignment horizontal="center" vertical="center"/>
    </xf>
    <xf numFmtId="168" fontId="46" fillId="0" borderId="21" xfId="16" applyNumberFormat="1" applyFont="1" applyBorder="1" applyAlignment="1">
      <alignment horizontal="center" vertical="center"/>
    </xf>
    <xf numFmtId="17" fontId="15" fillId="0" borderId="12" xfId="16" applyNumberFormat="1" applyFont="1" applyBorder="1" applyAlignment="1">
      <alignment horizontal="center" vertical="center"/>
    </xf>
    <xf numFmtId="0" fontId="4" fillId="0" borderId="12" xfId="16" applyBorder="1" applyAlignment="1">
      <alignment horizontal="center" vertical="center"/>
    </xf>
    <xf numFmtId="168" fontId="46" fillId="0" borderId="25" xfId="16" applyNumberFormat="1" applyFont="1" applyBorder="1" applyAlignment="1">
      <alignment horizontal="center" vertical="center"/>
    </xf>
    <xf numFmtId="17" fontId="15" fillId="0" borderId="23" xfId="16" applyNumberFormat="1" applyFont="1" applyBorder="1" applyAlignment="1">
      <alignment horizontal="center" vertical="center"/>
    </xf>
    <xf numFmtId="168" fontId="46" fillId="0" borderId="24" xfId="16" applyNumberFormat="1" applyFont="1" applyBorder="1" applyAlignment="1">
      <alignment horizontal="center" vertical="center"/>
    </xf>
    <xf numFmtId="0" fontId="47" fillId="0" borderId="0" xfId="16" applyFont="1" applyAlignment="1">
      <alignment horizontal="left" vertical="center"/>
    </xf>
    <xf numFmtId="0" fontId="47" fillId="0" borderId="0" xfId="16" applyFont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52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66" fillId="0" borderId="0" xfId="0" applyFont="1" applyAlignment="1">
      <alignment vertical="center"/>
    </xf>
    <xf numFmtId="0" fontId="67" fillId="5" borderId="1" xfId="0" applyFont="1" applyFill="1" applyBorder="1" applyAlignment="1">
      <alignment horizontal="center" vertical="center" wrapText="1"/>
    </xf>
    <xf numFmtId="0" fontId="66" fillId="0" borderId="0" xfId="0" applyFont="1" applyAlignment="1">
      <alignment horizontal="center" vertical="center"/>
    </xf>
    <xf numFmtId="9" fontId="16" fillId="0" borderId="0" xfId="0" applyNumberFormat="1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9" fontId="16" fillId="0" borderId="0" xfId="13" applyFont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0" xfId="0" applyFont="1" applyAlignment="1">
      <alignment horizontal="left" vertical="center"/>
    </xf>
    <xf numFmtId="10" fontId="67" fillId="0" borderId="0" xfId="0" applyNumberFormat="1" applyFont="1" applyAlignment="1">
      <alignment horizontal="left" vertical="center"/>
    </xf>
    <xf numFmtId="172" fontId="67" fillId="0" borderId="0" xfId="13" applyNumberFormat="1" applyFont="1" applyAlignment="1">
      <alignment horizontal="left" vertical="center"/>
    </xf>
    <xf numFmtId="0" fontId="67" fillId="5" borderId="45" xfId="0" applyFont="1" applyFill="1" applyBorder="1" applyAlignment="1">
      <alignment horizontal="center" vertical="center"/>
    </xf>
    <xf numFmtId="0" fontId="67" fillId="5" borderId="46" xfId="0" applyFont="1" applyFill="1" applyBorder="1" applyAlignment="1">
      <alignment horizontal="center" vertical="center"/>
    </xf>
    <xf numFmtId="0" fontId="67" fillId="5" borderId="47" xfId="0" applyFont="1" applyFill="1" applyBorder="1" applyAlignment="1">
      <alignment horizontal="center" vertical="center" wrapText="1"/>
    </xf>
    <xf numFmtId="0" fontId="67" fillId="16" borderId="48" xfId="0" applyFont="1" applyFill="1" applyBorder="1" applyAlignment="1">
      <alignment horizontal="center" vertical="center"/>
    </xf>
    <xf numFmtId="0" fontId="67" fillId="16" borderId="14" xfId="0" applyFont="1" applyFill="1" applyBorder="1" applyAlignment="1">
      <alignment horizontal="left" vertical="center" wrapText="1"/>
    </xf>
    <xf numFmtId="0" fontId="67" fillId="9" borderId="49" xfId="0" applyFont="1" applyFill="1" applyBorder="1" applyAlignment="1">
      <alignment horizontal="center" vertical="center"/>
    </xf>
    <xf numFmtId="0" fontId="67" fillId="9" borderId="1" xfId="0" applyFont="1" applyFill="1" applyBorder="1" applyAlignment="1">
      <alignment horizontal="left" vertical="center" wrapText="1"/>
    </xf>
    <xf numFmtId="0" fontId="16" fillId="0" borderId="49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justify" vertical="center" wrapText="1"/>
    </xf>
    <xf numFmtId="0" fontId="67" fillId="16" borderId="49" xfId="0" applyFont="1" applyFill="1" applyBorder="1" applyAlignment="1">
      <alignment horizontal="center" vertical="center"/>
    </xf>
    <xf numFmtId="0" fontId="67" fillId="16" borderId="1" xfId="0" applyFont="1" applyFill="1" applyBorder="1" applyAlignment="1">
      <alignment horizontal="left" vertical="center" wrapText="1"/>
    </xf>
    <xf numFmtId="0" fontId="16" fillId="0" borderId="50" xfId="0" applyFont="1" applyBorder="1" applyAlignment="1">
      <alignment horizontal="center" vertical="center"/>
    </xf>
    <xf numFmtId="0" fontId="16" fillId="0" borderId="51" xfId="0" applyFont="1" applyBorder="1" applyAlignment="1">
      <alignment horizontal="left" vertical="center" wrapText="1"/>
    </xf>
    <xf numFmtId="0" fontId="69" fillId="2" borderId="0" xfId="0" applyFont="1" applyFill="1" applyBorder="1" applyAlignment="1">
      <alignment horizontal="center" vertical="center" wrapText="1"/>
    </xf>
    <xf numFmtId="0" fontId="70" fillId="2" borderId="0" xfId="0" applyFont="1" applyFill="1" applyBorder="1" applyAlignment="1">
      <alignment horizontal="center" vertical="center" wrapText="1"/>
    </xf>
    <xf numFmtId="43" fontId="70" fillId="2" borderId="0" xfId="1" applyFont="1" applyFill="1" applyBorder="1" applyAlignment="1">
      <alignment horizontal="left" vertical="center"/>
    </xf>
    <xf numFmtId="173" fontId="70" fillId="2" borderId="0" xfId="0" applyNumberFormat="1" applyFont="1" applyFill="1" applyBorder="1" applyAlignment="1">
      <alignment horizontal="center" vertical="center"/>
    </xf>
    <xf numFmtId="43" fontId="70" fillId="2" borderId="0" xfId="0" applyNumberFormat="1" applyFont="1" applyFill="1" applyBorder="1" applyAlignment="1">
      <alignment horizontal="left" vertical="center"/>
    </xf>
    <xf numFmtId="43" fontId="70" fillId="0" borderId="0" xfId="0" applyNumberFormat="1" applyFont="1" applyFill="1" applyBorder="1" applyAlignment="1">
      <alignment horizontal="left" vertical="center"/>
    </xf>
    <xf numFmtId="173" fontId="70" fillId="0" borderId="0" xfId="0" applyNumberFormat="1" applyFont="1" applyFill="1" applyBorder="1" applyAlignment="1">
      <alignment horizontal="center" vertical="center"/>
    </xf>
    <xf numFmtId="0" fontId="12" fillId="0" borderId="0" xfId="0" quotePrefix="1" applyFont="1" applyAlignment="1"/>
    <xf numFmtId="43" fontId="68" fillId="0" borderId="0" xfId="0" applyNumberFormat="1" applyFont="1" applyBorder="1" applyAlignment="1">
      <alignment vertical="center"/>
    </xf>
    <xf numFmtId="0" fontId="68" fillId="0" borderId="0" xfId="0" applyFont="1" applyBorder="1" applyAlignment="1">
      <alignment vertical="center"/>
    </xf>
    <xf numFmtId="43" fontId="0" fillId="0" borderId="0" xfId="0" applyNumberFormat="1" applyFont="1" applyAlignment="1"/>
    <xf numFmtId="43" fontId="68" fillId="2" borderId="0" xfId="0" applyNumberFormat="1" applyFont="1" applyFill="1" applyBorder="1" applyAlignment="1">
      <alignment vertical="center"/>
    </xf>
    <xf numFmtId="9" fontId="0" fillId="0" borderId="0" xfId="13" applyFont="1" applyAlignment="1"/>
    <xf numFmtId="173" fontId="0" fillId="0" borderId="0" xfId="13" applyNumberFormat="1" applyFont="1" applyAlignment="1"/>
    <xf numFmtId="173" fontId="68" fillId="0" borderId="52" xfId="13" applyNumberFormat="1" applyFont="1" applyBorder="1" applyAlignment="1">
      <alignment vertical="center"/>
    </xf>
    <xf numFmtId="173" fontId="68" fillId="0" borderId="52" xfId="0" applyNumberFormat="1" applyFont="1" applyBorder="1" applyAlignment="1">
      <alignment vertical="center"/>
    </xf>
    <xf numFmtId="4" fontId="67" fillId="0" borderId="1" xfId="0" applyNumberFormat="1" applyFont="1" applyBorder="1" applyAlignment="1">
      <alignment horizontal="center" vertical="center" wrapText="1"/>
    </xf>
    <xf numFmtId="4" fontId="69" fillId="2" borderId="0" xfId="0" applyNumberFormat="1" applyFont="1" applyFill="1" applyBorder="1" applyAlignment="1">
      <alignment horizontal="center" vertical="center" wrapText="1"/>
    </xf>
    <xf numFmtId="0" fontId="71" fillId="0" borderId="0" xfId="0" applyFont="1" applyAlignment="1">
      <alignment horizontal="center" vertical="center"/>
    </xf>
    <xf numFmtId="0" fontId="72" fillId="0" borderId="0" xfId="0" applyFont="1" applyBorder="1" applyAlignment="1">
      <alignment vertical="center"/>
    </xf>
    <xf numFmtId="10" fontId="0" fillId="0" borderId="1" xfId="0" applyNumberFormat="1" applyBorder="1" applyAlignment="1">
      <alignment horizontal="center" vertical="center"/>
    </xf>
    <xf numFmtId="10" fontId="67" fillId="16" borderId="24" xfId="13" applyNumberFormat="1" applyFont="1" applyFill="1" applyBorder="1" applyAlignment="1">
      <alignment horizontal="center" vertical="center"/>
    </xf>
    <xf numFmtId="10" fontId="67" fillId="9" borderId="3" xfId="0" applyNumberFormat="1" applyFont="1" applyFill="1" applyBorder="1" applyAlignment="1">
      <alignment horizontal="center" vertical="center"/>
    </xf>
    <xf numFmtId="10" fontId="16" fillId="0" borderId="3" xfId="13" applyNumberFormat="1" applyFont="1" applyBorder="1" applyAlignment="1">
      <alignment horizontal="center" vertical="center"/>
    </xf>
    <xf numFmtId="10" fontId="16" fillId="0" borderId="3" xfId="13" applyNumberFormat="1" applyFont="1" applyBorder="1" applyAlignment="1">
      <alignment horizontal="center" vertical="center" wrapText="1"/>
    </xf>
    <xf numFmtId="10" fontId="16" fillId="0" borderId="1" xfId="13" applyNumberFormat="1" applyFont="1" applyBorder="1" applyAlignment="1">
      <alignment horizontal="center" vertical="center"/>
    </xf>
    <xf numFmtId="10" fontId="16" fillId="0" borderId="1" xfId="13" applyNumberFormat="1" applyFont="1" applyBorder="1" applyAlignment="1">
      <alignment horizontal="center" vertical="center" wrapText="1"/>
    </xf>
    <xf numFmtId="10" fontId="16" fillId="0" borderId="1" xfId="0" applyNumberFormat="1" applyFont="1" applyBorder="1" applyAlignment="1">
      <alignment horizontal="center" vertical="center"/>
    </xf>
    <xf numFmtId="10" fontId="16" fillId="0" borderId="51" xfId="0" applyNumberFormat="1" applyFont="1" applyBorder="1" applyAlignment="1">
      <alignment horizontal="center" vertical="center"/>
    </xf>
    <xf numFmtId="10" fontId="0" fillId="0" borderId="0" xfId="0" applyNumberFormat="1" applyFont="1" applyAlignment="1"/>
    <xf numFmtId="10" fontId="0" fillId="0" borderId="0" xfId="13" applyNumberFormat="1" applyFont="1" applyAlignment="1"/>
    <xf numFmtId="10" fontId="70" fillId="0" borderId="0" xfId="13" applyNumberFormat="1" applyFont="1" applyFill="1" applyBorder="1" applyAlignment="1">
      <alignment horizontal="left" vertical="center"/>
    </xf>
    <xf numFmtId="10" fontId="70" fillId="0" borderId="0" xfId="13" applyNumberFormat="1" applyFont="1" applyFill="1" applyBorder="1" applyAlignment="1">
      <alignment horizontal="right" vertical="center"/>
    </xf>
    <xf numFmtId="43" fontId="70" fillId="0" borderId="0" xfId="1" applyFont="1" applyFill="1" applyBorder="1" applyAlignment="1">
      <alignment horizontal="right" vertical="center"/>
    </xf>
    <xf numFmtId="0" fontId="73" fillId="0" borderId="0" xfId="0" applyFont="1" applyAlignment="1"/>
    <xf numFmtId="43" fontId="73" fillId="0" borderId="0" xfId="0" applyNumberFormat="1" applyFont="1" applyAlignment="1"/>
    <xf numFmtId="43" fontId="0" fillId="0" borderId="0" xfId="0" applyNumberFormat="1" applyFont="1" applyAlignment="1">
      <alignment horizontal="center" vertical="center"/>
    </xf>
    <xf numFmtId="10" fontId="0" fillId="0" borderId="0" xfId="0" applyNumberFormat="1" applyFont="1" applyAlignment="1">
      <alignment horizontal="center" vertical="center"/>
    </xf>
    <xf numFmtId="4" fontId="25" fillId="0" borderId="1" xfId="0" applyNumberFormat="1" applyFont="1" applyFill="1" applyBorder="1" applyAlignment="1">
      <alignment horizontal="center" vertical="center"/>
    </xf>
    <xf numFmtId="10" fontId="70" fillId="0" borderId="0" xfId="0" applyNumberFormat="1" applyFont="1" applyFill="1" applyBorder="1" applyAlignment="1">
      <alignment horizontal="center" vertical="center"/>
    </xf>
    <xf numFmtId="43" fontId="68" fillId="0" borderId="0" xfId="0" applyNumberFormat="1" applyFont="1" applyFill="1" applyBorder="1" applyAlignment="1">
      <alignment vertical="center"/>
    </xf>
    <xf numFmtId="10" fontId="73" fillId="0" borderId="0" xfId="13" applyNumberFormat="1" applyFont="1" applyAlignment="1"/>
    <xf numFmtId="10" fontId="0" fillId="0" borderId="0" xfId="13" applyNumberFormat="1" applyFont="1" applyAlignment="1">
      <alignment horizontal="left"/>
    </xf>
    <xf numFmtId="43" fontId="0" fillId="0" borderId="0" xfId="0" applyNumberFormat="1" applyFont="1" applyFill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left" indent="3"/>
    </xf>
    <xf numFmtId="0" fontId="0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70" fillId="0" borderId="0" xfId="0" applyFont="1" applyFill="1" applyBorder="1" applyAlignment="1">
      <alignment horizontal="center" vertical="center"/>
    </xf>
    <xf numFmtId="0" fontId="74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174" fontId="12" fillId="0" borderId="1" xfId="1" applyNumberFormat="1" applyFont="1" applyFill="1" applyBorder="1" applyAlignment="1">
      <alignment horizontal="center" vertical="center" wrapText="1"/>
    </xf>
    <xf numFmtId="175" fontId="0" fillId="0" borderId="1" xfId="0" applyNumberFormat="1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43" fontId="0" fillId="0" borderId="1" xfId="6" applyFont="1" applyBorder="1" applyAlignment="1">
      <alignment horizontal="center" vertical="center"/>
    </xf>
    <xf numFmtId="43" fontId="0" fillId="0" borderId="1" xfId="17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2" fillId="0" borderId="0" xfId="0" applyFont="1"/>
    <xf numFmtId="0" fontId="13" fillId="0" borderId="0" xfId="0" applyFont="1" applyAlignment="1">
      <alignment horizontal="center"/>
    </xf>
    <xf numFmtId="0" fontId="13" fillId="0" borderId="0" xfId="0" applyFont="1"/>
    <xf numFmtId="0" fontId="0" fillId="0" borderId="0" xfId="0" applyAlignment="1">
      <alignment horizontal="center"/>
    </xf>
    <xf numFmtId="8" fontId="0" fillId="0" borderId="0" xfId="0" applyNumberFormat="1"/>
    <xf numFmtId="0" fontId="12" fillId="0" borderId="0" xfId="0" applyFont="1" applyAlignment="1">
      <alignment horizontal="center"/>
    </xf>
    <xf numFmtId="0" fontId="3" fillId="0" borderId="11" xfId="2" applyFont="1" applyBorder="1"/>
    <xf numFmtId="0" fontId="3" fillId="0" borderId="0" xfId="2" applyFont="1"/>
    <xf numFmtId="0" fontId="0" fillId="0" borderId="0" xfId="0" applyAlignment="1">
      <alignment vertical="center"/>
    </xf>
    <xf numFmtId="0" fontId="12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4" fontId="13" fillId="0" borderId="0" xfId="0" applyNumberFormat="1" applyFont="1" applyAlignment="1">
      <alignment horizontal="center" vertical="center"/>
    </xf>
    <xf numFmtId="43" fontId="13" fillId="0" borderId="1" xfId="0" applyNumberFormat="1" applyFont="1" applyBorder="1" applyAlignment="1">
      <alignment vertical="center"/>
    </xf>
    <xf numFmtId="0" fontId="36" fillId="3" borderId="0" xfId="0" applyFont="1" applyFill="1" applyAlignment="1">
      <alignment vertical="center"/>
    </xf>
    <xf numFmtId="0" fontId="43" fillId="3" borderId="0" xfId="0" applyFont="1" applyFill="1" applyAlignment="1">
      <alignment vertical="center"/>
    </xf>
    <xf numFmtId="43" fontId="25" fillId="3" borderId="0" xfId="0" applyNumberFormat="1" applyFont="1" applyFill="1" applyAlignment="1">
      <alignment vertical="center"/>
    </xf>
    <xf numFmtId="43" fontId="31" fillId="3" borderId="0" xfId="0" applyNumberFormat="1" applyFont="1" applyFill="1" applyAlignment="1">
      <alignment vertical="center"/>
    </xf>
    <xf numFmtId="43" fontId="31" fillId="0" borderId="0" xfId="0" applyNumberFormat="1" applyFont="1" applyFill="1" applyAlignment="1">
      <alignment vertical="center"/>
    </xf>
    <xf numFmtId="0" fontId="37" fillId="3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25" fillId="0" borderId="0" xfId="0" applyFont="1" applyFill="1" applyAlignment="1">
      <alignment vertical="center"/>
    </xf>
    <xf numFmtId="0" fontId="30" fillId="7" borderId="1" xfId="0" applyFont="1" applyFill="1" applyBorder="1" applyAlignment="1">
      <alignment vertical="center"/>
    </xf>
    <xf numFmtId="0" fontId="30" fillId="7" borderId="1" xfId="0" applyFont="1" applyFill="1" applyBorder="1" applyAlignment="1">
      <alignment horizontal="left" vertical="center"/>
    </xf>
    <xf numFmtId="43" fontId="30" fillId="7" borderId="1" xfId="0" applyNumberFormat="1" applyFont="1" applyFill="1" applyBorder="1" applyAlignment="1">
      <alignment vertical="center"/>
    </xf>
    <xf numFmtId="3" fontId="30" fillId="7" borderId="1" xfId="0" applyNumberFormat="1" applyFont="1" applyFill="1" applyBorder="1" applyAlignment="1">
      <alignment horizontal="center" vertical="center"/>
    </xf>
    <xf numFmtId="43" fontId="27" fillId="7" borderId="1" xfId="0" applyNumberFormat="1" applyFont="1" applyFill="1" applyBorder="1" applyAlignment="1">
      <alignment vertical="center"/>
    </xf>
    <xf numFmtId="0" fontId="26" fillId="0" borderId="0" xfId="0" applyFont="1" applyFill="1" applyAlignment="1">
      <alignment vertical="center"/>
    </xf>
    <xf numFmtId="0" fontId="30" fillId="5" borderId="1" xfId="0" applyFont="1" applyFill="1" applyBorder="1" applyAlignment="1">
      <alignment horizontal="left" vertical="center"/>
    </xf>
    <xf numFmtId="0" fontId="30" fillId="5" borderId="1" xfId="0" applyFont="1" applyFill="1" applyBorder="1" applyAlignment="1">
      <alignment vertical="center"/>
    </xf>
    <xf numFmtId="43" fontId="30" fillId="5" borderId="1" xfId="0" applyNumberFormat="1" applyFont="1" applyFill="1" applyBorder="1" applyAlignment="1">
      <alignment vertical="center"/>
    </xf>
    <xf numFmtId="3" fontId="30" fillId="5" borderId="1" xfId="0" applyNumberFormat="1" applyFont="1" applyFill="1" applyBorder="1" applyAlignment="1">
      <alignment horizontal="center" vertical="center"/>
    </xf>
    <xf numFmtId="43" fontId="27" fillId="5" borderId="1" xfId="0" applyNumberFormat="1" applyFont="1" applyFill="1" applyBorder="1" applyAlignment="1">
      <alignment vertical="center"/>
    </xf>
    <xf numFmtId="43" fontId="31" fillId="5" borderId="1" xfId="0" applyNumberFormat="1" applyFont="1" applyFill="1" applyBorder="1" applyAlignment="1">
      <alignment vertical="center"/>
    </xf>
    <xf numFmtId="3" fontId="25" fillId="0" borderId="1" xfId="0" applyNumberFormat="1" applyFont="1" applyBorder="1" applyAlignment="1">
      <alignment horizontal="center" vertical="center"/>
    </xf>
    <xf numFmtId="0" fontId="25" fillId="7" borderId="1" xfId="0" applyFont="1" applyFill="1" applyBorder="1" applyAlignment="1">
      <alignment vertical="center"/>
    </xf>
    <xf numFmtId="0" fontId="25" fillId="5" borderId="1" xfId="0" applyFont="1" applyFill="1" applyBorder="1" applyAlignment="1">
      <alignment vertical="center"/>
    </xf>
    <xf numFmtId="43" fontId="25" fillId="0" borderId="1" xfId="0" applyNumberFormat="1" applyFont="1" applyBorder="1" applyAlignment="1">
      <alignment horizontal="right" vertical="center"/>
    </xf>
    <xf numFmtId="43" fontId="31" fillId="7" borderId="1" xfId="0" applyNumberFormat="1" applyFont="1" applyFill="1" applyBorder="1" applyAlignment="1">
      <alignment vertical="center"/>
    </xf>
    <xf numFmtId="0" fontId="25" fillId="7" borderId="1" xfId="0" applyFont="1" applyFill="1" applyBorder="1" applyAlignment="1">
      <alignment horizontal="left" vertical="center"/>
    </xf>
    <xf numFmtId="43" fontId="25" fillId="7" borderId="1" xfId="0" applyNumberFormat="1" applyFont="1" applyFill="1" applyBorder="1" applyAlignment="1">
      <alignment vertical="center"/>
    </xf>
    <xf numFmtId="3" fontId="25" fillId="7" borderId="1" xfId="0" applyNumberFormat="1" applyFont="1" applyFill="1" applyBorder="1" applyAlignment="1">
      <alignment horizontal="center" vertical="center"/>
    </xf>
    <xf numFmtId="171" fontId="25" fillId="0" borderId="1" xfId="0" applyNumberFormat="1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8" fillId="0" borderId="1" xfId="0" applyFont="1" applyBorder="1" applyAlignment="1">
      <alignment vertical="center"/>
    </xf>
    <xf numFmtId="43" fontId="28" fillId="0" borderId="1" xfId="0" applyNumberFormat="1" applyFont="1" applyBorder="1" applyAlignment="1">
      <alignment horizontal="center" vertical="center"/>
    </xf>
    <xf numFmtId="0" fontId="28" fillId="0" borderId="0" xfId="0" applyFont="1" applyAlignment="1">
      <alignment vertical="center"/>
    </xf>
    <xf numFmtId="43" fontId="25" fillId="0" borderId="0" xfId="0" applyNumberFormat="1" applyFont="1" applyAlignment="1">
      <alignment vertical="center"/>
    </xf>
    <xf numFmtId="43" fontId="25" fillId="0" borderId="0" xfId="1" applyFont="1" applyAlignment="1">
      <alignment vertical="center"/>
    </xf>
    <xf numFmtId="0" fontId="3" fillId="0" borderId="0" xfId="18"/>
    <xf numFmtId="0" fontId="13" fillId="2" borderId="4" xfId="0" applyFont="1" applyFill="1" applyBorder="1" applyAlignment="1">
      <alignment horizontal="left" vertical="center"/>
    </xf>
    <xf numFmtId="0" fontId="12" fillId="9" borderId="1" xfId="0" applyFont="1" applyFill="1" applyBorder="1" applyAlignment="1">
      <alignment horizontal="center" vertical="center" wrapText="1"/>
    </xf>
    <xf numFmtId="0" fontId="52" fillId="9" borderId="1" xfId="0" applyFont="1" applyFill="1" applyBorder="1" applyAlignment="1">
      <alignment horizontal="center" vertical="center" wrapText="1"/>
    </xf>
    <xf numFmtId="174" fontId="12" fillId="9" borderId="1" xfId="1" applyNumberFormat="1" applyFont="1" applyFill="1" applyBorder="1" applyAlignment="1">
      <alignment horizontal="center" vertical="center" wrapText="1"/>
    </xf>
    <xf numFmtId="175" fontId="0" fillId="9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52" fillId="0" borderId="1" xfId="0" applyFont="1" applyFill="1" applyBorder="1" applyAlignment="1">
      <alignment horizontal="center" vertical="center" wrapText="1"/>
    </xf>
    <xf numFmtId="175" fontId="0" fillId="0" borderId="1" xfId="0" applyNumberFormat="1" applyFont="1" applyFill="1" applyBorder="1" applyAlignment="1">
      <alignment horizontal="center" vertical="center"/>
    </xf>
    <xf numFmtId="175" fontId="12" fillId="0" borderId="1" xfId="0" applyNumberFormat="1" applyFont="1" applyFill="1" applyBorder="1" applyAlignment="1">
      <alignment horizontal="center" vertical="center"/>
    </xf>
    <xf numFmtId="175" fontId="0" fillId="0" borderId="1" xfId="0" applyNumberFormat="1" applyFont="1" applyFill="1" applyBorder="1" applyAlignment="1"/>
    <xf numFmtId="0" fontId="12" fillId="9" borderId="55" xfId="0" applyFont="1" applyFill="1" applyBorder="1" applyAlignment="1">
      <alignment horizontal="center" vertical="center"/>
    </xf>
    <xf numFmtId="0" fontId="0" fillId="9" borderId="0" xfId="0" applyNumberFormat="1" applyFont="1" applyFill="1" applyBorder="1" applyAlignment="1">
      <alignment horizontal="center" vertical="center"/>
    </xf>
    <xf numFmtId="167" fontId="0" fillId="9" borderId="0" xfId="0" applyNumberFormat="1" applyFont="1" applyFill="1" applyBorder="1" applyAlignment="1">
      <alignment horizontal="center" vertical="center"/>
    </xf>
    <xf numFmtId="1" fontId="13" fillId="9" borderId="56" xfId="0" applyNumberFormat="1" applyFont="1" applyFill="1" applyBorder="1" applyAlignment="1">
      <alignment horizontal="center" vertical="center"/>
    </xf>
    <xf numFmtId="0" fontId="12" fillId="9" borderId="9" xfId="0" applyNumberFormat="1" applyFont="1" applyFill="1" applyBorder="1" applyAlignment="1">
      <alignment horizontal="center" vertical="center"/>
    </xf>
    <xf numFmtId="43" fontId="0" fillId="0" borderId="1" xfId="0" applyNumberFormat="1" applyBorder="1" applyAlignment="1">
      <alignment horizontal="center" vertical="center"/>
    </xf>
    <xf numFmtId="9" fontId="0" fillId="0" borderId="0" xfId="13" applyFont="1" applyAlignment="1">
      <alignment horizontal="center" vertical="center"/>
    </xf>
    <xf numFmtId="0" fontId="2" fillId="0" borderId="0" xfId="19"/>
    <xf numFmtId="0" fontId="15" fillId="4" borderId="16" xfId="19" applyFont="1" applyFill="1" applyBorder="1" applyAlignment="1">
      <alignment vertical="center"/>
    </xf>
    <xf numFmtId="0" fontId="15" fillId="4" borderId="16" xfId="19" applyFont="1" applyFill="1" applyBorder="1" applyAlignment="1">
      <alignment horizontal="center" vertical="center" wrapText="1"/>
    </xf>
    <xf numFmtId="0" fontId="15" fillId="18" borderId="16" xfId="19" applyFont="1" applyFill="1" applyBorder="1" applyAlignment="1">
      <alignment horizontal="center" vertical="center" wrapText="1"/>
    </xf>
    <xf numFmtId="0" fontId="15" fillId="4" borderId="0" xfId="19" applyFont="1" applyFill="1" applyAlignment="1">
      <alignment horizontal="center" vertical="center" wrapText="1"/>
    </xf>
    <xf numFmtId="0" fontId="15" fillId="4" borderId="0" xfId="19" applyFont="1" applyFill="1"/>
    <xf numFmtId="0" fontId="15" fillId="4" borderId="0" xfId="19" applyFont="1" applyFill="1" applyAlignment="1">
      <alignment vertical="center"/>
    </xf>
    <xf numFmtId="41" fontId="15" fillId="0" borderId="16" xfId="19" applyNumberFormat="1" applyFont="1" applyBorder="1" applyAlignment="1">
      <alignment horizontal="left"/>
    </xf>
    <xf numFmtId="41" fontId="15" fillId="0" borderId="0" xfId="19" applyNumberFormat="1" applyFont="1" applyAlignment="1">
      <alignment horizontal="left"/>
    </xf>
    <xf numFmtId="41" fontId="2" fillId="0" borderId="0" xfId="19" applyNumberFormat="1" applyAlignment="1">
      <alignment horizontal="left"/>
    </xf>
    <xf numFmtId="4" fontId="2" fillId="0" borderId="0" xfId="19" applyNumberFormat="1" applyAlignment="1">
      <alignment horizontal="center"/>
    </xf>
    <xf numFmtId="4" fontId="15" fillId="0" borderId="16" xfId="19" applyNumberFormat="1" applyFont="1" applyBorder="1" applyAlignment="1">
      <alignment horizontal="center"/>
    </xf>
    <xf numFmtId="4" fontId="15" fillId="0" borderId="0" xfId="19" applyNumberFormat="1" applyFont="1" applyAlignment="1">
      <alignment horizontal="center"/>
    </xf>
    <xf numFmtId="0" fontId="2" fillId="0" borderId="0" xfId="19" applyAlignment="1">
      <alignment horizontal="left" indent="2"/>
    </xf>
    <xf numFmtId="0" fontId="2" fillId="0" borderId="0" xfId="19" applyAlignment="1">
      <alignment horizontal="left" indent="1"/>
    </xf>
    <xf numFmtId="0" fontId="2" fillId="0" borderId="0" xfId="19" applyAlignment="1">
      <alignment horizontal="left"/>
    </xf>
    <xf numFmtId="41" fontId="15" fillId="4" borderId="57" xfId="19" applyNumberFormat="1" applyFont="1" applyFill="1" applyBorder="1" applyAlignment="1">
      <alignment horizontal="left"/>
    </xf>
    <xf numFmtId="41" fontId="15" fillId="4" borderId="0" xfId="19" applyNumberFormat="1" applyFont="1" applyFill="1" applyAlignment="1">
      <alignment horizontal="left"/>
    </xf>
    <xf numFmtId="4" fontId="15" fillId="4" borderId="57" xfId="19" applyNumberFormat="1" applyFont="1" applyFill="1" applyBorder="1" applyAlignment="1">
      <alignment horizontal="center"/>
    </xf>
    <xf numFmtId="4" fontId="15" fillId="4" borderId="0" xfId="19" applyNumberFormat="1" applyFont="1" applyFill="1" applyAlignment="1">
      <alignment horizontal="center"/>
    </xf>
    <xf numFmtId="171" fontId="2" fillId="0" borderId="0" xfId="19" applyNumberFormat="1"/>
    <xf numFmtId="4" fontId="2" fillId="0" borderId="0" xfId="19" applyNumberFormat="1"/>
    <xf numFmtId="0" fontId="2" fillId="0" borderId="0" xfId="19" applyAlignment="1">
      <alignment horizontal="center"/>
    </xf>
    <xf numFmtId="3" fontId="2" fillId="0" borderId="0" xfId="19" applyNumberFormat="1"/>
    <xf numFmtId="0" fontId="15" fillId="4" borderId="16" xfId="19" applyFont="1" applyFill="1" applyBorder="1" applyAlignment="1">
      <alignment horizontal="left" vertical="center" indent="1"/>
    </xf>
    <xf numFmtId="0" fontId="15" fillId="19" borderId="16" xfId="19" applyFont="1" applyFill="1" applyBorder="1" applyAlignment="1">
      <alignment horizontal="center" vertical="center" wrapText="1"/>
    </xf>
    <xf numFmtId="0" fontId="76" fillId="20" borderId="0" xfId="19" applyFont="1" applyFill="1" applyAlignment="1">
      <alignment horizontal="center" vertical="center" wrapText="1"/>
    </xf>
    <xf numFmtId="4" fontId="15" fillId="5" borderId="16" xfId="19" applyNumberFormat="1" applyFont="1" applyFill="1" applyBorder="1" applyAlignment="1">
      <alignment horizontal="center"/>
    </xf>
    <xf numFmtId="41" fontId="2" fillId="0" borderId="0" xfId="19" applyNumberFormat="1"/>
    <xf numFmtId="4" fontId="77" fillId="17" borderId="0" xfId="19" applyNumberFormat="1" applyFont="1" applyFill="1" applyAlignment="1">
      <alignment horizontal="center"/>
    </xf>
    <xf numFmtId="3" fontId="2" fillId="0" borderId="16" xfId="19" applyNumberFormat="1" applyBorder="1" applyAlignment="1">
      <alignment horizontal="center"/>
    </xf>
    <xf numFmtId="43" fontId="0" fillId="0" borderId="0" xfId="20" applyFont="1"/>
    <xf numFmtId="4" fontId="2" fillId="5" borderId="0" xfId="19" applyNumberFormat="1" applyFill="1" applyAlignment="1">
      <alignment horizontal="center"/>
    </xf>
    <xf numFmtId="176" fontId="2" fillId="0" borderId="0" xfId="19" applyNumberFormat="1" applyAlignment="1">
      <alignment horizontal="center" vertical="center"/>
    </xf>
    <xf numFmtId="41" fontId="78" fillId="4" borderId="57" xfId="19" applyNumberFormat="1" applyFont="1" applyFill="1" applyBorder="1" applyAlignment="1">
      <alignment horizontal="left"/>
    </xf>
    <xf numFmtId="4" fontId="78" fillId="4" borderId="57" xfId="19" applyNumberFormat="1" applyFont="1" applyFill="1" applyBorder="1" applyAlignment="1">
      <alignment horizontal="center"/>
    </xf>
    <xf numFmtId="4" fontId="78" fillId="19" borderId="57" xfId="19" applyNumberFormat="1" applyFont="1" applyFill="1" applyBorder="1" applyAlignment="1">
      <alignment horizontal="center"/>
    </xf>
    <xf numFmtId="4" fontId="78" fillId="4" borderId="0" xfId="19" applyNumberFormat="1" applyFont="1" applyFill="1" applyAlignment="1">
      <alignment horizontal="center"/>
    </xf>
    <xf numFmtId="0" fontId="79" fillId="0" borderId="0" xfId="19" applyFont="1"/>
    <xf numFmtId="4" fontId="80" fillId="17" borderId="0" xfId="19" applyNumberFormat="1" applyFont="1" applyFill="1" applyAlignment="1">
      <alignment horizontal="center"/>
    </xf>
    <xf numFmtId="3" fontId="67" fillId="4" borderId="57" xfId="19" applyNumberFormat="1" applyFont="1" applyFill="1" applyBorder="1" applyAlignment="1">
      <alignment horizontal="center"/>
    </xf>
    <xf numFmtId="43" fontId="2" fillId="0" borderId="0" xfId="19" applyNumberFormat="1"/>
    <xf numFmtId="0" fontId="40" fillId="0" borderId="1" xfId="8" applyFont="1" applyFill="1" applyBorder="1" applyAlignment="1">
      <alignment horizontal="center" vertical="top"/>
    </xf>
    <xf numFmtId="178" fontId="32" fillId="0" borderId="1" xfId="0" applyNumberFormat="1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left" vertical="center"/>
    </xf>
    <xf numFmtId="43" fontId="25" fillId="0" borderId="1" xfId="0" applyNumberFormat="1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wrapText="1"/>
    </xf>
    <xf numFmtId="179" fontId="41" fillId="0" borderId="0" xfId="0" applyNumberFormat="1" applyFont="1" applyAlignment="1">
      <alignment horizontal="left"/>
    </xf>
    <xf numFmtId="0" fontId="41" fillId="0" borderId="0" xfId="0" applyFont="1" applyAlignment="1">
      <alignment horizontal="right"/>
    </xf>
    <xf numFmtId="0" fontId="61" fillId="0" borderId="19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4" fontId="10" fillId="0" borderId="0" xfId="0" applyNumberFormat="1" applyFont="1"/>
    <xf numFmtId="0" fontId="61" fillId="0" borderId="18" xfId="0" applyFont="1" applyBorder="1" applyAlignment="1">
      <alignment horizontal="center"/>
    </xf>
    <xf numFmtId="0" fontId="60" fillId="0" borderId="35" xfId="0" applyFont="1" applyBorder="1" applyAlignment="1">
      <alignment horizontal="centerContinuous" vertical="top"/>
    </xf>
    <xf numFmtId="0" fontId="60" fillId="0" borderId="36" xfId="0" applyFont="1" applyBorder="1" applyAlignment="1">
      <alignment horizontal="centerContinuous" vertical="top"/>
    </xf>
    <xf numFmtId="0" fontId="60" fillId="0" borderId="35" xfId="0" applyFont="1" applyBorder="1" applyAlignment="1">
      <alignment horizontal="right" vertical="top"/>
    </xf>
    <xf numFmtId="17" fontId="15" fillId="0" borderId="22" xfId="16" applyNumberFormat="1" applyFont="1" applyBorder="1" applyAlignment="1">
      <alignment horizontal="center"/>
    </xf>
    <xf numFmtId="0" fontId="74" fillId="0" borderId="0" xfId="16" applyFont="1" applyAlignment="1">
      <alignment vertical="center"/>
    </xf>
    <xf numFmtId="0" fontId="4" fillId="0" borderId="0" xfId="16" applyAlignment="1"/>
    <xf numFmtId="0" fontId="81" fillId="22" borderId="59" xfId="0" applyFont="1" applyFill="1" applyBorder="1" applyAlignment="1">
      <alignment horizontal="left" vertical="center"/>
    </xf>
    <xf numFmtId="0" fontId="81" fillId="22" borderId="59" xfId="0" applyFont="1" applyFill="1" applyBorder="1" applyAlignment="1">
      <alignment horizontal="right" vertical="center"/>
    </xf>
    <xf numFmtId="175" fontId="82" fillId="22" borderId="59" xfId="0" applyNumberFormat="1" applyFont="1" applyFill="1" applyBorder="1" applyAlignment="1">
      <alignment horizontal="right" vertical="center" shrinkToFit="1"/>
    </xf>
    <xf numFmtId="175" fontId="82" fillId="22" borderId="59" xfId="0" applyNumberFormat="1" applyFont="1" applyFill="1" applyBorder="1" applyAlignment="1">
      <alignment horizontal="center" vertical="center" shrinkToFit="1"/>
    </xf>
    <xf numFmtId="0" fontId="81" fillId="0" borderId="0" xfId="0" applyFont="1" applyAlignment="1">
      <alignment horizontal="left" vertical="center"/>
    </xf>
    <xf numFmtId="0" fontId="81" fillId="0" borderId="0" xfId="0" applyFont="1" applyAlignment="1">
      <alignment horizontal="right" vertical="center"/>
    </xf>
    <xf numFmtId="175" fontId="82" fillId="0" borderId="0" xfId="0" applyNumberFormat="1" applyFont="1" applyAlignment="1">
      <alignment horizontal="right" vertical="center" shrinkToFit="1"/>
    </xf>
    <xf numFmtId="175" fontId="82" fillId="0" borderId="0" xfId="0" applyNumberFormat="1" applyFont="1" applyAlignment="1">
      <alignment horizontal="center" vertical="center" shrinkToFit="1"/>
    </xf>
    <xf numFmtId="0" fontId="81" fillId="22" borderId="0" xfId="0" applyFont="1" applyFill="1" applyAlignment="1">
      <alignment horizontal="left" vertical="center"/>
    </xf>
    <xf numFmtId="0" fontId="81" fillId="22" borderId="0" xfId="0" applyFont="1" applyFill="1" applyAlignment="1">
      <alignment horizontal="right" vertical="center"/>
    </xf>
    <xf numFmtId="175" fontId="82" fillId="22" borderId="0" xfId="0" applyNumberFormat="1" applyFont="1" applyFill="1" applyAlignment="1">
      <alignment horizontal="right" vertical="center" shrinkToFit="1"/>
    </xf>
    <xf numFmtId="175" fontId="82" fillId="22" borderId="0" xfId="0" applyNumberFormat="1" applyFont="1" applyFill="1" applyAlignment="1">
      <alignment horizontal="center" vertical="center" shrinkToFit="1"/>
    </xf>
    <xf numFmtId="0" fontId="0" fillId="22" borderId="0" xfId="0" applyFill="1" applyAlignment="1">
      <alignment horizontal="left" vertical="center"/>
    </xf>
    <xf numFmtId="0" fontId="83" fillId="21" borderId="58" xfId="0" applyFont="1" applyFill="1" applyBorder="1" applyAlignment="1">
      <alignment horizontal="left" vertical="center"/>
    </xf>
    <xf numFmtId="0" fontId="75" fillId="21" borderId="58" xfId="0" applyFont="1" applyFill="1" applyBorder="1" applyAlignment="1">
      <alignment horizontal="left" vertical="center"/>
    </xf>
    <xf numFmtId="17" fontId="83" fillId="21" borderId="58" xfId="0" applyNumberFormat="1" applyFont="1" applyFill="1" applyBorder="1" applyAlignment="1">
      <alignment horizontal="right" vertical="center"/>
    </xf>
    <xf numFmtId="17" fontId="83" fillId="21" borderId="58" xfId="0" applyNumberFormat="1" applyFont="1" applyFill="1" applyBorder="1" applyAlignment="1">
      <alignment horizontal="center" vertical="center"/>
    </xf>
    <xf numFmtId="0" fontId="4" fillId="17" borderId="23" xfId="16" applyFill="1" applyBorder="1" applyAlignment="1">
      <alignment horizontal="center" vertical="center"/>
    </xf>
    <xf numFmtId="0" fontId="9" fillId="0" borderId="0" xfId="0" applyFont="1" applyAlignment="1"/>
    <xf numFmtId="4" fontId="13" fillId="0" borderId="0" xfId="0" applyNumberFormat="1" applyFont="1" applyAlignment="1">
      <alignment horizont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  <xf numFmtId="0" fontId="84" fillId="0" borderId="0" xfId="0" applyFont="1" applyBorder="1" applyAlignment="1">
      <alignment vertical="center"/>
    </xf>
    <xf numFmtId="0" fontId="84" fillId="0" borderId="0" xfId="0" applyFont="1" applyAlignment="1">
      <alignment vertical="center"/>
    </xf>
    <xf numFmtId="0" fontId="85" fillId="0" borderId="0" xfId="0" applyFont="1" applyAlignment="1">
      <alignment vertical="center"/>
    </xf>
    <xf numFmtId="0" fontId="84" fillId="0" borderId="0" xfId="0" applyFont="1" applyAlignment="1">
      <alignment horizontal="right" vertical="center"/>
    </xf>
    <xf numFmtId="0" fontId="12" fillId="0" borderId="0" xfId="0" applyFont="1" applyBorder="1" applyAlignment="1">
      <alignment horizontal="left" vertical="center"/>
    </xf>
    <xf numFmtId="0" fontId="9" fillId="0" borderId="15" xfId="0" applyFont="1" applyBorder="1" applyAlignment="1">
      <alignment horizontal="center" vertical="center"/>
    </xf>
    <xf numFmtId="0" fontId="65" fillId="0" borderId="0" xfId="0" applyFont="1" applyAlignment="1"/>
    <xf numFmtId="0" fontId="68" fillId="0" borderId="60" xfId="0" applyFont="1" applyBorder="1" applyAlignment="1">
      <alignment vertical="center"/>
    </xf>
    <xf numFmtId="0" fontId="0" fillId="0" borderId="0" xfId="0" applyFont="1" applyBorder="1" applyAlignment="1"/>
    <xf numFmtId="0" fontId="68" fillId="0" borderId="52" xfId="0" applyFont="1" applyBorder="1" applyAlignment="1">
      <alignment horizontal="left" vertical="center" indent="1"/>
    </xf>
    <xf numFmtId="0" fontId="67" fillId="5" borderId="61" xfId="0" applyFont="1" applyFill="1" applyBorder="1" applyAlignment="1">
      <alignment horizontal="center" vertical="center" wrapText="1"/>
    </xf>
    <xf numFmtId="43" fontId="67" fillId="16" borderId="62" xfId="1" applyFont="1" applyFill="1" applyBorder="1" applyAlignment="1">
      <alignment horizontal="left" vertical="center"/>
    </xf>
    <xf numFmtId="43" fontId="67" fillId="9" borderId="63" xfId="0" applyNumberFormat="1" applyFont="1" applyFill="1" applyBorder="1" applyAlignment="1">
      <alignment horizontal="left" vertical="center"/>
    </xf>
    <xf numFmtId="43" fontId="16" fillId="0" borderId="63" xfId="0" applyNumberFormat="1" applyFont="1" applyBorder="1" applyAlignment="1">
      <alignment horizontal="left" vertical="center" wrapText="1"/>
    </xf>
    <xf numFmtId="43" fontId="67" fillId="16" borderId="63" xfId="1" applyFont="1" applyFill="1" applyBorder="1" applyAlignment="1">
      <alignment horizontal="left" vertical="center"/>
    </xf>
    <xf numFmtId="43" fontId="16" fillId="0" borderId="64" xfId="0" applyNumberFormat="1" applyFont="1" applyBorder="1" applyAlignment="1">
      <alignment horizontal="left" vertical="center"/>
    </xf>
    <xf numFmtId="0" fontId="87" fillId="0" borderId="0" xfId="21" applyFont="1" applyAlignment="1">
      <alignment horizontal="center" vertical="center"/>
    </xf>
    <xf numFmtId="0" fontId="52" fillId="0" borderId="0" xfId="21" applyFont="1" applyAlignment="1">
      <alignment horizontal="left" vertical="center"/>
    </xf>
    <xf numFmtId="0" fontId="52" fillId="0" borderId="0" xfId="21" applyFont="1" applyAlignment="1">
      <alignment horizontal="center" vertical="center"/>
    </xf>
    <xf numFmtId="0" fontId="1" fillId="0" borderId="0" xfId="21" applyAlignment="1">
      <alignment horizontal="center" vertical="center"/>
    </xf>
    <xf numFmtId="0" fontId="16" fillId="0" borderId="0" xfId="21" applyFont="1" applyAlignment="1">
      <alignment horizontal="left" vertical="center"/>
    </xf>
    <xf numFmtId="0" fontId="16" fillId="0" borderId="0" xfId="21" applyFont="1" applyAlignment="1">
      <alignment horizontal="center" vertical="center"/>
    </xf>
    <xf numFmtId="0" fontId="16" fillId="0" borderId="64" xfId="21" applyFont="1" applyBorder="1" applyAlignment="1">
      <alignment horizontal="center" vertical="center"/>
    </xf>
    <xf numFmtId="43" fontId="16" fillId="0" borderId="51" xfId="21" applyNumberFormat="1" applyFont="1" applyBorder="1" applyAlignment="1">
      <alignment horizontal="left" vertical="center" wrapText="1"/>
    </xf>
    <xf numFmtId="10" fontId="16" fillId="0" borderId="51" xfId="21" applyNumberFormat="1" applyFont="1" applyBorder="1" applyAlignment="1">
      <alignment horizontal="center" vertical="center"/>
    </xf>
    <xf numFmtId="0" fontId="16" fillId="0" borderId="51" xfId="21" applyFont="1" applyBorder="1" applyAlignment="1">
      <alignment horizontal="left" vertical="center" wrapText="1"/>
    </xf>
    <xf numFmtId="0" fontId="16" fillId="0" borderId="50" xfId="21" applyFont="1" applyBorder="1" applyAlignment="1">
      <alignment horizontal="left" vertical="center"/>
    </xf>
    <xf numFmtId="0" fontId="16" fillId="0" borderId="70" xfId="21" applyFont="1" applyBorder="1" applyAlignment="1">
      <alignment horizontal="center" vertical="center"/>
    </xf>
    <xf numFmtId="43" fontId="16" fillId="0" borderId="1" xfId="21" applyNumberFormat="1" applyFont="1" applyBorder="1" applyAlignment="1">
      <alignment horizontal="left" vertical="center" wrapText="1"/>
    </xf>
    <xf numFmtId="10" fontId="1" fillId="0" borderId="1" xfId="21" applyNumberFormat="1" applyBorder="1" applyAlignment="1">
      <alignment horizontal="center" vertical="center"/>
    </xf>
    <xf numFmtId="0" fontId="16" fillId="0" borderId="1" xfId="21" applyFont="1" applyBorder="1" applyAlignment="1">
      <alignment horizontal="left" vertical="center" wrapText="1"/>
    </xf>
    <xf numFmtId="0" fontId="16" fillId="0" borderId="49" xfId="21" applyFont="1" applyBorder="1" applyAlignment="1">
      <alignment horizontal="left" vertical="center"/>
    </xf>
    <xf numFmtId="0" fontId="67" fillId="24" borderId="62" xfId="21" applyFont="1" applyFill="1" applyBorder="1" applyAlignment="1">
      <alignment horizontal="left" vertical="center"/>
    </xf>
    <xf numFmtId="43" fontId="67" fillId="24" borderId="17" xfId="22" applyFont="1" applyFill="1" applyBorder="1" applyAlignment="1">
      <alignment horizontal="left" vertical="center"/>
    </xf>
    <xf numFmtId="0" fontId="67" fillId="24" borderId="17" xfId="21" applyFont="1" applyFill="1" applyBorder="1" applyAlignment="1">
      <alignment horizontal="left" vertical="center"/>
    </xf>
    <xf numFmtId="0" fontId="67" fillId="9" borderId="70" xfId="21" applyFont="1" applyFill="1" applyBorder="1" applyAlignment="1">
      <alignment horizontal="left" vertical="center"/>
    </xf>
    <xf numFmtId="43" fontId="67" fillId="9" borderId="1" xfId="21" applyNumberFormat="1" applyFont="1" applyFill="1" applyBorder="1" applyAlignment="1">
      <alignment horizontal="left" vertical="center"/>
    </xf>
    <xf numFmtId="10" fontId="67" fillId="9" borderId="3" xfId="21" applyNumberFormat="1" applyFont="1" applyFill="1" applyBorder="1" applyAlignment="1">
      <alignment horizontal="center" vertical="center"/>
    </xf>
    <xf numFmtId="0" fontId="67" fillId="9" borderId="1" xfId="21" applyFont="1" applyFill="1" applyBorder="1" applyAlignment="1">
      <alignment horizontal="left" vertical="center" wrapText="1"/>
    </xf>
    <xf numFmtId="0" fontId="67" fillId="9" borderId="49" xfId="21" applyFont="1" applyFill="1" applyBorder="1" applyAlignment="1">
      <alignment horizontal="left" vertical="center"/>
    </xf>
    <xf numFmtId="0" fontId="74" fillId="0" borderId="0" xfId="21" applyFont="1" applyAlignment="1">
      <alignment horizontal="center" vertical="center"/>
    </xf>
    <xf numFmtId="0" fontId="67" fillId="16" borderId="70" xfId="21" applyFont="1" applyFill="1" applyBorder="1" applyAlignment="1">
      <alignment horizontal="left" vertical="center"/>
    </xf>
    <xf numFmtId="43" fontId="67" fillId="16" borderId="4" xfId="22" applyFont="1" applyFill="1" applyBorder="1" applyAlignment="1">
      <alignment horizontal="left" vertical="center"/>
    </xf>
    <xf numFmtId="0" fontId="67" fillId="16" borderId="4" xfId="21" applyFont="1" applyFill="1" applyBorder="1" applyAlignment="1">
      <alignment horizontal="left" vertical="center"/>
    </xf>
    <xf numFmtId="43" fontId="67" fillId="16" borderId="71" xfId="22" applyFont="1" applyFill="1" applyBorder="1" applyAlignment="1">
      <alignment horizontal="left" vertical="center"/>
    </xf>
    <xf numFmtId="43" fontId="67" fillId="16" borderId="17" xfId="22" applyFont="1" applyFill="1" applyBorder="1" applyAlignment="1">
      <alignment horizontal="left" vertical="center"/>
    </xf>
    <xf numFmtId="10" fontId="67" fillId="16" borderId="1" xfId="23" applyNumberFormat="1" applyFont="1" applyFill="1" applyBorder="1" applyAlignment="1">
      <alignment horizontal="center" vertical="center"/>
    </xf>
    <xf numFmtId="0" fontId="67" fillId="16" borderId="1" xfId="21" applyFont="1" applyFill="1" applyBorder="1" applyAlignment="1">
      <alignment horizontal="left" vertical="center" wrapText="1"/>
    </xf>
    <xf numFmtId="0" fontId="67" fillId="16" borderId="49" xfId="21" applyFont="1" applyFill="1" applyBorder="1" applyAlignment="1">
      <alignment horizontal="left" vertical="center"/>
    </xf>
    <xf numFmtId="0" fontId="88" fillId="0" borderId="3" xfId="21" applyFont="1" applyBorder="1" applyAlignment="1">
      <alignment horizontal="center" vertical="center"/>
    </xf>
    <xf numFmtId="0" fontId="16" fillId="0" borderId="70" xfId="21" applyFont="1" applyBorder="1" applyAlignment="1">
      <alignment horizontal="center" vertical="center" wrapText="1"/>
    </xf>
    <xf numFmtId="0" fontId="16" fillId="0" borderId="2" xfId="21" applyFont="1" applyBorder="1" applyAlignment="1">
      <alignment horizontal="left" vertical="center" wrapText="1"/>
    </xf>
    <xf numFmtId="0" fontId="16" fillId="0" borderId="63" xfId="21" applyFont="1" applyBorder="1" applyAlignment="1">
      <alignment horizontal="center" vertical="center" wrapText="1"/>
    </xf>
    <xf numFmtId="172" fontId="1" fillId="0" borderId="1" xfId="21" applyNumberFormat="1" applyBorder="1" applyAlignment="1">
      <alignment horizontal="center" vertical="center"/>
    </xf>
    <xf numFmtId="172" fontId="67" fillId="9" borderId="3" xfId="21" applyNumberFormat="1" applyFont="1" applyFill="1" applyBorder="1" applyAlignment="1">
      <alignment horizontal="center" vertical="center"/>
    </xf>
    <xf numFmtId="10" fontId="67" fillId="9" borderId="1" xfId="21" applyNumberFormat="1" applyFont="1" applyFill="1" applyBorder="1" applyAlignment="1">
      <alignment horizontal="center" vertical="center"/>
    </xf>
    <xf numFmtId="10" fontId="67" fillId="16" borderId="24" xfId="23" applyNumberFormat="1" applyFont="1" applyFill="1" applyBorder="1" applyAlignment="1">
      <alignment horizontal="center" vertical="center"/>
    </xf>
    <xf numFmtId="43" fontId="67" fillId="16" borderId="1" xfId="22" applyFont="1" applyFill="1" applyBorder="1" applyAlignment="1">
      <alignment horizontal="left" vertical="center"/>
    </xf>
    <xf numFmtId="0" fontId="88" fillId="0" borderId="21" xfId="21" applyFont="1" applyBorder="1" applyAlignment="1">
      <alignment horizontal="center" vertical="center"/>
    </xf>
    <xf numFmtId="0" fontId="16" fillId="0" borderId="1" xfId="21" applyFont="1" applyBorder="1" applyAlignment="1">
      <alignment horizontal="justify" vertical="center" wrapText="1"/>
    </xf>
    <xf numFmtId="0" fontId="67" fillId="16" borderId="62" xfId="21" applyFont="1" applyFill="1" applyBorder="1" applyAlignment="1">
      <alignment horizontal="left" vertical="center"/>
    </xf>
    <xf numFmtId="0" fontId="67" fillId="16" borderId="17" xfId="21" applyFont="1" applyFill="1" applyBorder="1" applyAlignment="1">
      <alignment horizontal="left" vertical="center"/>
    </xf>
    <xf numFmtId="0" fontId="67" fillId="16" borderId="81" xfId="21" applyFont="1" applyFill="1" applyBorder="1" applyAlignment="1">
      <alignment horizontal="left" vertical="center"/>
    </xf>
    <xf numFmtId="0" fontId="67" fillId="16" borderId="14" xfId="21" applyFont="1" applyFill="1" applyBorder="1" applyAlignment="1">
      <alignment horizontal="left" vertical="center" wrapText="1"/>
    </xf>
    <xf numFmtId="0" fontId="67" fillId="16" borderId="48" xfId="21" applyFont="1" applyFill="1" applyBorder="1" applyAlignment="1">
      <alignment horizontal="left" vertical="center"/>
    </xf>
    <xf numFmtId="0" fontId="15" fillId="25" borderId="82" xfId="21" applyFont="1" applyFill="1" applyBorder="1" applyAlignment="1">
      <alignment horizontal="center" vertical="center"/>
    </xf>
    <xf numFmtId="0" fontId="15" fillId="25" borderId="46" xfId="21" applyFont="1" applyFill="1" applyBorder="1" applyAlignment="1">
      <alignment horizontal="center" vertical="center"/>
    </xf>
    <xf numFmtId="0" fontId="15" fillId="25" borderId="45" xfId="21" applyFont="1" applyFill="1" applyBorder="1" applyAlignment="1">
      <alignment horizontal="center" vertical="center"/>
    </xf>
    <xf numFmtId="0" fontId="15" fillId="25" borderId="47" xfId="21" applyFont="1" applyFill="1" applyBorder="1" applyAlignment="1">
      <alignment horizontal="center" vertical="center"/>
    </xf>
    <xf numFmtId="0" fontId="67" fillId="5" borderId="61" xfId="21" applyFont="1" applyFill="1" applyBorder="1" applyAlignment="1">
      <alignment horizontal="center" vertical="center" wrapText="1"/>
    </xf>
    <xf numFmtId="0" fontId="67" fillId="5" borderId="47" xfId="21" applyFont="1" applyFill="1" applyBorder="1" applyAlignment="1">
      <alignment horizontal="center" vertical="center" wrapText="1"/>
    </xf>
    <xf numFmtId="0" fontId="67" fillId="5" borderId="46" xfId="21" applyFont="1" applyFill="1" applyBorder="1" applyAlignment="1">
      <alignment horizontal="center" vertical="center"/>
    </xf>
    <xf numFmtId="0" fontId="67" fillId="5" borderId="45" xfId="21" applyFont="1" applyFill="1" applyBorder="1" applyAlignment="1">
      <alignment horizontal="center" vertical="center"/>
    </xf>
    <xf numFmtId="0" fontId="15" fillId="25" borderId="83" xfId="21" applyFont="1" applyFill="1" applyBorder="1" applyAlignment="1">
      <alignment horizontal="center" vertical="center" wrapText="1"/>
    </xf>
    <xf numFmtId="0" fontId="15" fillId="25" borderId="5" xfId="21" applyFont="1" applyFill="1" applyBorder="1" applyAlignment="1">
      <alignment horizontal="center" vertical="center" wrapText="1"/>
    </xf>
    <xf numFmtId="0" fontId="67" fillId="0" borderId="0" xfId="21" applyFont="1" applyAlignment="1">
      <alignment horizontal="left" vertical="center"/>
    </xf>
    <xf numFmtId="172" fontId="67" fillId="0" borderId="0" xfId="23" applyNumberFormat="1" applyFont="1" applyAlignment="1">
      <alignment horizontal="left" vertical="center"/>
    </xf>
    <xf numFmtId="10" fontId="67" fillId="0" borderId="0" xfId="21" applyNumberFormat="1" applyFont="1" applyAlignment="1">
      <alignment horizontal="left" vertical="center"/>
    </xf>
    <xf numFmtId="0" fontId="67" fillId="0" borderId="0" xfId="21" applyFont="1" applyAlignment="1">
      <alignment horizontal="center" vertical="center"/>
    </xf>
    <xf numFmtId="0" fontId="15" fillId="0" borderId="0" xfId="21" applyFont="1" applyAlignment="1">
      <alignment horizontal="left" vertical="center"/>
    </xf>
    <xf numFmtId="0" fontId="66" fillId="0" borderId="0" xfId="21" applyFont="1" applyAlignment="1">
      <alignment vertical="center"/>
    </xf>
    <xf numFmtId="9" fontId="16" fillId="0" borderId="0" xfId="21" applyNumberFormat="1" applyFont="1" applyAlignment="1">
      <alignment horizontal="left" vertical="center"/>
    </xf>
    <xf numFmtId="10" fontId="87" fillId="0" borderId="1" xfId="21" applyNumberFormat="1" applyFont="1" applyBorder="1" applyAlignment="1">
      <alignment horizontal="center" vertical="center"/>
    </xf>
    <xf numFmtId="0" fontId="66" fillId="0" borderId="0" xfId="21" applyFont="1" applyAlignment="1">
      <alignment horizontal="center" vertical="center"/>
    </xf>
    <xf numFmtId="10" fontId="87" fillId="0" borderId="1" xfId="23" applyNumberFormat="1" applyFont="1" applyBorder="1" applyAlignment="1">
      <alignment horizontal="center" vertical="center"/>
    </xf>
    <xf numFmtId="9" fontId="52" fillId="0" borderId="14" xfId="21" applyNumberFormat="1" applyFont="1" applyBorder="1" applyAlignment="1">
      <alignment horizontal="center" vertical="center"/>
    </xf>
    <xf numFmtId="0" fontId="52" fillId="0" borderId="14" xfId="21" applyFont="1" applyBorder="1" applyAlignment="1">
      <alignment horizontal="left" vertical="center" wrapText="1"/>
    </xf>
    <xf numFmtId="9" fontId="52" fillId="0" borderId="13" xfId="21" applyNumberFormat="1" applyFont="1" applyBorder="1" applyAlignment="1">
      <alignment horizontal="center" vertical="center"/>
    </xf>
    <xf numFmtId="0" fontId="52" fillId="0" borderId="13" xfId="21" applyFont="1" applyBorder="1" applyAlignment="1">
      <alignment horizontal="left" vertical="center" wrapText="1"/>
    </xf>
    <xf numFmtId="17" fontId="15" fillId="0" borderId="0" xfId="21" applyNumberFormat="1" applyFont="1" applyAlignment="1">
      <alignment vertical="center"/>
    </xf>
    <xf numFmtId="9" fontId="52" fillId="0" borderId="11" xfId="21" applyNumberFormat="1" applyFont="1" applyBorder="1" applyAlignment="1">
      <alignment horizontal="center" vertical="center"/>
    </xf>
    <xf numFmtId="0" fontId="52" fillId="0" borderId="13" xfId="21" applyFont="1" applyBorder="1" applyAlignment="1">
      <alignment horizontal="center" vertical="center"/>
    </xf>
    <xf numFmtId="0" fontId="15" fillId="0" borderId="2" xfId="21" applyFont="1" applyBorder="1" applyAlignment="1">
      <alignment vertical="center"/>
    </xf>
    <xf numFmtId="0" fontId="15" fillId="0" borderId="4" xfId="21" applyFont="1" applyBorder="1" applyAlignment="1">
      <alignment vertical="center"/>
    </xf>
    <xf numFmtId="173" fontId="15" fillId="25" borderId="2" xfId="23" applyNumberFormat="1" applyFont="1" applyFill="1" applyBorder="1" applyAlignment="1">
      <alignment vertical="center"/>
    </xf>
    <xf numFmtId="173" fontId="15" fillId="25" borderId="4" xfId="23" applyNumberFormat="1" applyFont="1" applyFill="1" applyBorder="1" applyAlignment="1">
      <alignment vertical="center"/>
    </xf>
    <xf numFmtId="173" fontId="15" fillId="25" borderId="3" xfId="23" applyNumberFormat="1" applyFont="1" applyFill="1" applyBorder="1" applyAlignment="1">
      <alignment vertical="center"/>
    </xf>
    <xf numFmtId="181" fontId="87" fillId="0" borderId="3" xfId="21" applyNumberFormat="1" applyFont="1" applyBorder="1" applyAlignment="1">
      <alignment horizontal="center" vertical="center"/>
    </xf>
    <xf numFmtId="4" fontId="67" fillId="0" borderId="1" xfId="21" applyNumberFormat="1" applyFont="1" applyBorder="1" applyAlignment="1">
      <alignment horizontal="center" vertical="center"/>
    </xf>
    <xf numFmtId="0" fontId="67" fillId="5" borderId="1" xfId="21" applyFont="1" applyFill="1" applyBorder="1" applyAlignment="1">
      <alignment horizontal="center" vertical="center"/>
    </xf>
    <xf numFmtId="0" fontId="49" fillId="0" borderId="1" xfId="21" applyFont="1" applyBorder="1" applyAlignment="1">
      <alignment horizontal="center" vertical="center"/>
    </xf>
    <xf numFmtId="9" fontId="52" fillId="0" borderId="13" xfId="21" applyNumberFormat="1" applyFont="1" applyBorder="1" applyAlignment="1">
      <alignment horizontal="center" vertical="center"/>
    </xf>
    <xf numFmtId="0" fontId="52" fillId="0" borderId="11" xfId="21" applyFont="1" applyBorder="1" applyAlignment="1">
      <alignment horizontal="left" vertical="center"/>
    </xf>
    <xf numFmtId="0" fontId="52" fillId="0" borderId="13" xfId="21" applyFont="1" applyBorder="1" applyAlignment="1">
      <alignment horizontal="left" vertical="center"/>
    </xf>
    <xf numFmtId="0" fontId="52" fillId="0" borderId="14" xfId="21" applyFont="1" applyBorder="1" applyAlignment="1">
      <alignment horizontal="left" vertical="center"/>
    </xf>
    <xf numFmtId="0" fontId="49" fillId="0" borderId="1" xfId="21" applyFont="1" applyBorder="1" applyAlignment="1">
      <alignment vertical="center"/>
    </xf>
    <xf numFmtId="1" fontId="52" fillId="0" borderId="13" xfId="21" applyNumberFormat="1" applyFont="1" applyBorder="1" applyAlignment="1">
      <alignment horizontal="center" vertical="center"/>
    </xf>
    <xf numFmtId="1" fontId="52" fillId="0" borderId="11" xfId="21" applyNumberFormat="1" applyFont="1" applyBorder="1" applyAlignment="1">
      <alignment horizontal="center" vertical="center"/>
    </xf>
    <xf numFmtId="1" fontId="52" fillId="0" borderId="14" xfId="21" applyNumberFormat="1" applyFont="1" applyBorder="1" applyAlignment="1">
      <alignment horizontal="center" vertical="center"/>
    </xf>
    <xf numFmtId="182" fontId="49" fillId="16" borderId="80" xfId="22" applyNumberFormat="1" applyFont="1" applyFill="1" applyBorder="1" applyAlignment="1">
      <alignment horizontal="left" vertical="center"/>
    </xf>
    <xf numFmtId="182" fontId="49" fillId="16" borderId="80" xfId="21" applyNumberFormat="1" applyFont="1" applyFill="1" applyBorder="1" applyAlignment="1">
      <alignment horizontal="left" vertical="center"/>
    </xf>
    <xf numFmtId="182" fontId="49" fillId="16" borderId="79" xfId="21" applyNumberFormat="1" applyFont="1" applyFill="1" applyBorder="1" applyAlignment="1">
      <alignment horizontal="left" vertical="center"/>
    </xf>
    <xf numFmtId="182" fontId="49" fillId="24" borderId="17" xfId="22" applyNumberFormat="1" applyFont="1" applyFill="1" applyBorder="1" applyAlignment="1">
      <alignment horizontal="left" vertical="center"/>
    </xf>
    <xf numFmtId="182" fontId="49" fillId="24" borderId="17" xfId="21" applyNumberFormat="1" applyFont="1" applyFill="1" applyBorder="1" applyAlignment="1">
      <alignment horizontal="left" vertical="center"/>
    </xf>
    <xf numFmtId="182" fontId="49" fillId="24" borderId="62" xfId="21" applyNumberFormat="1" applyFont="1" applyFill="1" applyBorder="1" applyAlignment="1">
      <alignment horizontal="left" vertical="center"/>
    </xf>
    <xf numFmtId="182" fontId="87" fillId="0" borderId="55" xfId="21" applyNumberFormat="1" applyFont="1" applyBorder="1" applyAlignment="1">
      <alignment horizontal="right" vertical="center"/>
    </xf>
    <xf numFmtId="182" fontId="87" fillId="0" borderId="0" xfId="21" applyNumberFormat="1" applyFont="1" applyAlignment="1">
      <alignment horizontal="right" vertical="center"/>
    </xf>
    <xf numFmtId="182" fontId="87" fillId="0" borderId="69" xfId="21" applyNumberFormat="1" applyFont="1" applyBorder="1" applyAlignment="1">
      <alignment horizontal="center" vertical="center"/>
    </xf>
    <xf numFmtId="182" fontId="87" fillId="0" borderId="0" xfId="21" applyNumberFormat="1" applyFont="1" applyAlignment="1">
      <alignment horizontal="center" vertical="center"/>
    </xf>
    <xf numFmtId="182" fontId="87" fillId="0" borderId="68" xfId="21" applyNumberFormat="1" applyFont="1" applyBorder="1" applyAlignment="1">
      <alignment horizontal="center" vertical="center"/>
    </xf>
    <xf numFmtId="182" fontId="87" fillId="0" borderId="56" xfId="21" applyNumberFormat="1" applyFont="1" applyBorder="1" applyAlignment="1">
      <alignment horizontal="center" vertical="center"/>
    </xf>
    <xf numFmtId="182" fontId="74" fillId="0" borderId="0" xfId="21" applyNumberFormat="1" applyFont="1" applyAlignment="1">
      <alignment horizontal="center" vertical="center"/>
    </xf>
    <xf numFmtId="182" fontId="74" fillId="0" borderId="68" xfId="21" applyNumberFormat="1" applyFont="1" applyBorder="1" applyAlignment="1">
      <alignment horizontal="center" vertical="center"/>
    </xf>
    <xf numFmtId="182" fontId="74" fillId="0" borderId="69" xfId="21" applyNumberFormat="1" applyFont="1" applyBorder="1" applyAlignment="1">
      <alignment horizontal="center" vertical="center"/>
    </xf>
    <xf numFmtId="182" fontId="87" fillId="0" borderId="78" xfId="21" applyNumberFormat="1" applyFont="1" applyBorder="1" applyAlignment="1">
      <alignment horizontal="right" vertical="center"/>
    </xf>
    <xf numFmtId="182" fontId="87" fillId="0" borderId="17" xfId="21" applyNumberFormat="1" applyFont="1" applyBorder="1" applyAlignment="1">
      <alignment horizontal="right" vertical="center"/>
    </xf>
    <xf numFmtId="182" fontId="87" fillId="0" borderId="77" xfId="21" applyNumberFormat="1" applyFont="1" applyBorder="1" applyAlignment="1">
      <alignment horizontal="center" vertical="center"/>
    </xf>
    <xf numFmtId="182" fontId="87" fillId="0" borderId="17" xfId="21" applyNumberFormat="1" applyFont="1" applyBorder="1" applyAlignment="1">
      <alignment horizontal="center" vertical="center"/>
    </xf>
    <xf numFmtId="182" fontId="87" fillId="0" borderId="76" xfId="21" applyNumberFormat="1" applyFont="1" applyBorder="1" applyAlignment="1">
      <alignment horizontal="center" vertical="center"/>
    </xf>
    <xf numFmtId="182" fontId="87" fillId="0" borderId="62" xfId="21" applyNumberFormat="1" applyFont="1" applyBorder="1" applyAlignment="1">
      <alignment horizontal="center" vertical="center"/>
    </xf>
    <xf numFmtId="182" fontId="87" fillId="0" borderId="55" xfId="21" applyNumberFormat="1" applyFont="1" applyBorder="1" applyAlignment="1">
      <alignment horizontal="center" vertical="center"/>
    </xf>
    <xf numFmtId="182" fontId="49" fillId="16" borderId="4" xfId="22" applyNumberFormat="1" applyFont="1" applyFill="1" applyBorder="1" applyAlignment="1">
      <alignment horizontal="left" vertical="center"/>
    </xf>
    <xf numFmtId="182" fontId="49" fillId="16" borderId="4" xfId="21" applyNumberFormat="1" applyFont="1" applyFill="1" applyBorder="1" applyAlignment="1">
      <alignment horizontal="left" vertical="center"/>
    </xf>
    <xf numFmtId="182" fontId="49" fillId="16" borderId="70" xfId="21" applyNumberFormat="1" applyFont="1" applyFill="1" applyBorder="1" applyAlignment="1">
      <alignment horizontal="left" vertical="center"/>
    </xf>
    <xf numFmtId="182" fontId="87" fillId="0" borderId="75" xfId="21" applyNumberFormat="1" applyFont="1" applyBorder="1" applyAlignment="1">
      <alignment horizontal="center" vertical="center"/>
    </xf>
    <xf numFmtId="182" fontId="87" fillId="0" borderId="34" xfId="21" applyNumberFormat="1" applyFont="1" applyBorder="1" applyAlignment="1">
      <alignment horizontal="center" vertical="center"/>
    </xf>
    <xf numFmtId="182" fontId="87" fillId="0" borderId="72" xfId="21" applyNumberFormat="1" applyFont="1" applyBorder="1" applyAlignment="1">
      <alignment horizontal="center" vertical="center"/>
    </xf>
    <xf numFmtId="182" fontId="87" fillId="0" borderId="74" xfId="21" applyNumberFormat="1" applyFont="1" applyBorder="1" applyAlignment="1">
      <alignment horizontal="center" vertical="center"/>
    </xf>
    <xf numFmtId="182" fontId="87" fillId="0" borderId="73" xfId="21" applyNumberFormat="1" applyFont="1" applyBorder="1" applyAlignment="1">
      <alignment horizontal="center" vertical="center"/>
    </xf>
    <xf numFmtId="182" fontId="87" fillId="0" borderId="8" xfId="21" applyNumberFormat="1" applyFont="1" applyBorder="1" applyAlignment="1">
      <alignment horizontal="center" vertical="center"/>
    </xf>
    <xf numFmtId="182" fontId="87" fillId="0" borderId="9" xfId="21" applyNumberFormat="1" applyFont="1" applyBorder="1" applyAlignment="1">
      <alignment horizontal="center" vertical="center"/>
    </xf>
    <xf numFmtId="182" fontId="87" fillId="0" borderId="66" xfId="21" applyNumberFormat="1" applyFont="1" applyBorder="1" applyAlignment="1">
      <alignment horizontal="center" vertical="center"/>
    </xf>
    <xf numFmtId="182" fontId="87" fillId="0" borderId="65" xfId="21" applyNumberFormat="1" applyFont="1" applyBorder="1" applyAlignment="1">
      <alignment horizontal="center" vertical="center"/>
    </xf>
    <xf numFmtId="182" fontId="87" fillId="0" borderId="10" xfId="21" applyNumberFormat="1" applyFont="1" applyBorder="1" applyAlignment="1">
      <alignment horizontal="center" vertical="center"/>
    </xf>
    <xf numFmtId="4" fontId="89" fillId="0" borderId="0" xfId="21" applyNumberFormat="1" applyFont="1" applyAlignment="1">
      <alignment horizontal="left" vertical="center"/>
    </xf>
    <xf numFmtId="0" fontId="89" fillId="0" borderId="0" xfId="21" applyFont="1" applyAlignment="1">
      <alignment horizontal="left" vertical="center"/>
    </xf>
    <xf numFmtId="0" fontId="90" fillId="0" borderId="0" xfId="21" applyFont="1" applyAlignment="1">
      <alignment horizontal="left" vertical="center"/>
    </xf>
    <xf numFmtId="9" fontId="52" fillId="0" borderId="13" xfId="21" applyNumberFormat="1" applyFont="1" applyBorder="1" applyAlignment="1">
      <alignment horizontal="center" vertical="center"/>
    </xf>
    <xf numFmtId="9" fontId="52" fillId="0" borderId="11" xfId="21" applyNumberFormat="1" applyFont="1" applyBorder="1" applyAlignment="1">
      <alignment horizontal="center" vertical="center"/>
    </xf>
    <xf numFmtId="9" fontId="52" fillId="0" borderId="14" xfId="21" applyNumberFormat="1" applyFont="1" applyBorder="1" applyAlignment="1">
      <alignment horizontal="center" vertical="center"/>
    </xf>
    <xf numFmtId="9" fontId="52" fillId="0" borderId="1" xfId="21" applyNumberFormat="1" applyFont="1" applyBorder="1" applyAlignment="1">
      <alignment horizontal="center" vertical="center"/>
    </xf>
    <xf numFmtId="0" fontId="15" fillId="25" borderId="85" xfId="21" applyFont="1" applyFill="1" applyBorder="1" applyAlignment="1">
      <alignment horizontal="center" vertical="center"/>
    </xf>
    <xf numFmtId="0" fontId="15" fillId="25" borderId="84" xfId="21" applyFont="1" applyFill="1" applyBorder="1" applyAlignment="1">
      <alignment horizontal="center" vertical="center"/>
    </xf>
    <xf numFmtId="0" fontId="15" fillId="25" borderId="61" xfId="21" applyFont="1" applyFill="1" applyBorder="1" applyAlignment="1">
      <alignment horizontal="center" vertical="center"/>
    </xf>
    <xf numFmtId="0" fontId="15" fillId="25" borderId="5" xfId="21" applyFont="1" applyFill="1" applyBorder="1" applyAlignment="1">
      <alignment horizontal="center" vertical="center" wrapText="1"/>
    </xf>
    <xf numFmtId="0" fontId="15" fillId="25" borderId="6" xfId="21" applyFont="1" applyFill="1" applyBorder="1" applyAlignment="1">
      <alignment horizontal="center" vertical="center" wrapText="1"/>
    </xf>
    <xf numFmtId="0" fontId="15" fillId="25" borderId="7" xfId="21" applyFont="1" applyFill="1" applyBorder="1" applyAlignment="1">
      <alignment horizontal="center" vertical="center" wrapText="1"/>
    </xf>
    <xf numFmtId="17" fontId="15" fillId="0" borderId="4" xfId="21" applyNumberFormat="1" applyFont="1" applyBorder="1" applyAlignment="1">
      <alignment horizontal="center"/>
    </xf>
    <xf numFmtId="17" fontId="15" fillId="0" borderId="3" xfId="21" applyNumberFormat="1" applyFont="1" applyBorder="1" applyAlignment="1">
      <alignment horizontal="center"/>
    </xf>
    <xf numFmtId="0" fontId="15" fillId="25" borderId="5" xfId="21" applyFont="1" applyFill="1" applyBorder="1" applyAlignment="1">
      <alignment horizontal="center" vertical="center"/>
    </xf>
    <xf numFmtId="0" fontId="15" fillId="25" borderId="7" xfId="21" applyFont="1" applyFill="1" applyBorder="1" applyAlignment="1">
      <alignment horizontal="center" vertical="center"/>
    </xf>
    <xf numFmtId="0" fontId="15" fillId="25" borderId="6" xfId="21" applyFont="1" applyFill="1" applyBorder="1" applyAlignment="1">
      <alignment horizontal="center" vertical="center"/>
    </xf>
    <xf numFmtId="0" fontId="15" fillId="23" borderId="3" xfId="21" applyFont="1" applyFill="1" applyBorder="1" applyAlignment="1">
      <alignment horizontal="center" vertical="center"/>
    </xf>
    <xf numFmtId="0" fontId="15" fillId="23" borderId="1" xfId="21" applyFont="1" applyFill="1" applyBorder="1" applyAlignment="1">
      <alignment horizontal="center" vertical="center"/>
    </xf>
    <xf numFmtId="0" fontId="15" fillId="23" borderId="63" xfId="21" applyFont="1" applyFill="1" applyBorder="1" applyAlignment="1">
      <alignment horizontal="center" vertical="center"/>
    </xf>
    <xf numFmtId="0" fontId="15" fillId="23" borderId="67" xfId="21" applyFont="1" applyFill="1" applyBorder="1" applyAlignment="1">
      <alignment horizontal="center" vertical="center"/>
    </xf>
    <xf numFmtId="0" fontId="15" fillId="23" borderId="51" xfId="21" applyFont="1" applyFill="1" applyBorder="1" applyAlignment="1">
      <alignment horizontal="center" vertical="center"/>
    </xf>
    <xf numFmtId="0" fontId="15" fillId="23" borderId="64" xfId="21" applyFont="1" applyFill="1" applyBorder="1" applyAlignment="1">
      <alignment horizontal="center" vertical="center"/>
    </xf>
    <xf numFmtId="0" fontId="86" fillId="0" borderId="53" xfId="0" applyFont="1" applyBorder="1" applyAlignment="1">
      <alignment horizontal="center" vertical="center"/>
    </xf>
    <xf numFmtId="0" fontId="86" fillId="0" borderId="54" xfId="0" applyFont="1" applyBorder="1" applyAlignment="1">
      <alignment horizontal="center" vertical="center"/>
    </xf>
    <xf numFmtId="0" fontId="37" fillId="3" borderId="0" xfId="0" applyFont="1" applyFill="1" applyAlignment="1">
      <alignment horizontal="left" wrapText="1"/>
    </xf>
    <xf numFmtId="0" fontId="13" fillId="7" borderId="2" xfId="0" applyFont="1" applyFill="1" applyBorder="1" applyAlignment="1">
      <alignment horizontal="center" vertical="center" wrapText="1"/>
    </xf>
    <xf numFmtId="0" fontId="13" fillId="7" borderId="3" xfId="0" applyFont="1" applyFill="1" applyBorder="1" applyAlignment="1">
      <alignment horizontal="center" vertical="center" wrapText="1"/>
    </xf>
    <xf numFmtId="0" fontId="36" fillId="3" borderId="0" xfId="0" applyFont="1" applyFill="1" applyAlignment="1">
      <alignment horizontal="left"/>
    </xf>
    <xf numFmtId="0" fontId="37" fillId="3" borderId="0" xfId="0" applyFont="1" applyFill="1" applyAlignment="1">
      <alignment horizontal="left"/>
    </xf>
    <xf numFmtId="0" fontId="30" fillId="5" borderId="2" xfId="0" applyFont="1" applyFill="1" applyBorder="1" applyAlignment="1">
      <alignment horizontal="left" vertical="center"/>
    </xf>
    <xf numFmtId="0" fontId="30" fillId="5" borderId="4" xfId="0" applyFont="1" applyFill="1" applyBorder="1" applyAlignment="1">
      <alignment horizontal="left" vertical="center"/>
    </xf>
    <xf numFmtId="0" fontId="30" fillId="5" borderId="3" xfId="0" applyFont="1" applyFill="1" applyBorder="1" applyAlignment="1">
      <alignment horizontal="left" vertical="center"/>
    </xf>
    <xf numFmtId="0" fontId="33" fillId="2" borderId="2" xfId="0" applyFont="1" applyFill="1" applyBorder="1" applyAlignment="1">
      <alignment horizontal="left" vertical="center"/>
    </xf>
    <xf numFmtId="0" fontId="33" fillId="2" borderId="4" xfId="0" applyFont="1" applyFill="1" applyBorder="1" applyAlignment="1">
      <alignment horizontal="left" vertical="center"/>
    </xf>
    <xf numFmtId="0" fontId="33" fillId="2" borderId="3" xfId="0" applyFont="1" applyFill="1" applyBorder="1" applyAlignment="1">
      <alignment horizontal="left" vertical="center"/>
    </xf>
    <xf numFmtId="0" fontId="27" fillId="2" borderId="1" xfId="0" applyFont="1" applyFill="1" applyBorder="1" applyAlignment="1">
      <alignment horizontal="left" vertical="center"/>
    </xf>
    <xf numFmtId="0" fontId="33" fillId="2" borderId="1" xfId="0" applyFont="1" applyFill="1" applyBorder="1" applyAlignment="1">
      <alignment horizontal="left" vertical="center"/>
    </xf>
    <xf numFmtId="0" fontId="27" fillId="2" borderId="1" xfId="0" applyFont="1" applyFill="1" applyBorder="1" applyAlignment="1">
      <alignment horizontal="left" vertical="center" wrapText="1"/>
    </xf>
    <xf numFmtId="0" fontId="33" fillId="0" borderId="1" xfId="0" applyFont="1" applyFill="1" applyBorder="1" applyAlignment="1">
      <alignment horizontal="left" vertical="center"/>
    </xf>
    <xf numFmtId="0" fontId="13" fillId="0" borderId="25" xfId="0" applyFont="1" applyBorder="1" applyAlignment="1">
      <alignment horizontal="center" vertical="center" textRotation="90"/>
    </xf>
    <xf numFmtId="0" fontId="13" fillId="0" borderId="25" xfId="0" applyFont="1" applyBorder="1" applyAlignment="1">
      <alignment vertical="center" textRotation="90"/>
    </xf>
    <xf numFmtId="0" fontId="13" fillId="0" borderId="25" xfId="0" applyFont="1" applyBorder="1" applyAlignment="1">
      <alignment horizontal="center" vertical="center" textRotation="90" wrapText="1"/>
    </xf>
    <xf numFmtId="0" fontId="18" fillId="0" borderId="11" xfId="2" applyFont="1" applyBorder="1" applyAlignment="1">
      <alignment horizontal="center" vertical="top" wrapText="1"/>
    </xf>
    <xf numFmtId="0" fontId="18" fillId="0" borderId="14" xfId="2" applyFont="1" applyBorder="1" applyAlignment="1">
      <alignment horizontal="center" vertical="top" wrapText="1"/>
    </xf>
    <xf numFmtId="0" fontId="2" fillId="0" borderId="0" xfId="19" applyAlignment="1">
      <alignment horizontal="center"/>
    </xf>
    <xf numFmtId="0" fontId="2" fillId="0" borderId="2" xfId="19" applyBorder="1" applyAlignment="1">
      <alignment horizontal="center"/>
    </xf>
    <xf numFmtId="0" fontId="2" fillId="0" borderId="4" xfId="19" applyBorder="1" applyAlignment="1">
      <alignment horizontal="center"/>
    </xf>
    <xf numFmtId="0" fontId="2" fillId="0" borderId="3" xfId="19" applyBorder="1" applyAlignment="1">
      <alignment horizontal="center"/>
    </xf>
  </cellXfs>
  <cellStyles count="24">
    <cellStyle name="Hiperlink" xfId="4" builtinId="8"/>
    <cellStyle name="Moeda 2" xfId="10" xr:uid="{00000000-0005-0000-0000-000001000000}"/>
    <cellStyle name="Moeda 3" xfId="12" xr:uid="{00000000-0005-0000-0000-000002000000}"/>
    <cellStyle name="Normal" xfId="0" builtinId="0"/>
    <cellStyle name="Normal 2" xfId="2" xr:uid="{00000000-0005-0000-0000-000004000000}"/>
    <cellStyle name="Normal 3" xfId="5" xr:uid="{00000000-0005-0000-0000-000005000000}"/>
    <cellStyle name="Normal 4" xfId="8" xr:uid="{00000000-0005-0000-0000-000006000000}"/>
    <cellStyle name="Normal 4 2" xfId="15" xr:uid="{00000000-0005-0000-0000-000007000000}"/>
    <cellStyle name="Normal 5" xfId="9" xr:uid="{00000000-0005-0000-0000-000008000000}"/>
    <cellStyle name="Normal 5 2" xfId="16" xr:uid="{00000000-0005-0000-0000-000009000000}"/>
    <cellStyle name="Normal 6" xfId="11" xr:uid="{00000000-0005-0000-0000-00000A000000}"/>
    <cellStyle name="Normal 7" xfId="18" xr:uid="{00000000-0005-0000-0000-00000B000000}"/>
    <cellStyle name="Normal 8" xfId="19" xr:uid="{00000000-0005-0000-0000-00000C000000}"/>
    <cellStyle name="Normal 9" xfId="21" xr:uid="{DF048A38-9A11-4D73-BC62-AC130D74078B}"/>
    <cellStyle name="Porcentagem" xfId="13" builtinId="5"/>
    <cellStyle name="Porcentagem 2" xfId="14" xr:uid="{00000000-0005-0000-0000-00000E000000}"/>
    <cellStyle name="Porcentagem 3" xfId="23" xr:uid="{C69B54BD-EFDE-4D82-90F5-D0B816C5904E}"/>
    <cellStyle name="Vírgula" xfId="1" builtinId="3"/>
    <cellStyle name="Vírgula 2" xfId="3" xr:uid="{00000000-0005-0000-0000-000010000000}"/>
    <cellStyle name="Vírgula 2 2" xfId="7" xr:uid="{00000000-0005-0000-0000-000011000000}"/>
    <cellStyle name="Vírgula 3" xfId="6" xr:uid="{00000000-0005-0000-0000-000012000000}"/>
    <cellStyle name="Vírgula 4" xfId="17" xr:uid="{00000000-0005-0000-0000-000013000000}"/>
    <cellStyle name="Vírgula 5" xfId="20" xr:uid="{00000000-0005-0000-0000-000014000000}"/>
    <cellStyle name="Vírgula 6" xfId="22" xr:uid="{0D681E91-9920-4475-A4F9-D3263F37031F}"/>
  </cellStyles>
  <dxfs count="187">
    <dxf>
      <numFmt numFmtId="4" formatCode="#,##0.00"/>
    </dxf>
    <dxf>
      <alignment horizontal="center" readingOrder="0"/>
    </dxf>
    <dxf>
      <alignment horizontal="left" readingOrder="0"/>
    </dxf>
    <dxf>
      <fill>
        <patternFill>
          <bgColor theme="4" tint="0.79998168889431442"/>
        </patternFill>
      </fill>
    </dxf>
    <dxf>
      <fill>
        <patternFill>
          <bgColor rgb="FFFF9999"/>
        </patternFill>
      </fill>
    </dxf>
    <dxf>
      <fill>
        <patternFill>
          <bgColor theme="7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rgb="FFFF9999"/>
        </patternFill>
      </fill>
    </dxf>
    <dxf>
      <fill>
        <patternFill>
          <bgColor theme="7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rgb="FFFF9999"/>
        </patternFill>
      </fill>
    </dxf>
    <dxf>
      <fill>
        <patternFill>
          <bgColor theme="7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rgb="FFFF9999"/>
        </patternFill>
      </fill>
    </dxf>
    <dxf>
      <fill>
        <patternFill>
          <bgColor theme="7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rgb="FFFF9999"/>
        </patternFill>
      </fill>
    </dxf>
    <dxf>
      <fill>
        <patternFill>
          <bgColor theme="7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rgb="FFFF9999"/>
        </patternFill>
      </fill>
    </dxf>
    <dxf>
      <fill>
        <patternFill>
          <bgColor theme="7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rgb="FFFF9999"/>
        </patternFill>
      </fill>
    </dxf>
    <dxf>
      <fill>
        <patternFill>
          <bgColor theme="7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rgb="FFFF9999"/>
        </patternFill>
      </fill>
    </dxf>
    <dxf>
      <fill>
        <patternFill>
          <bgColor theme="7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rgb="FFFF9999"/>
        </patternFill>
      </fill>
    </dxf>
    <dxf>
      <fill>
        <patternFill>
          <bgColor theme="7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rgb="FFFF9999"/>
        </patternFill>
      </fill>
    </dxf>
    <dxf>
      <fill>
        <patternFill>
          <bgColor theme="7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rgb="FFFF9999"/>
        </patternFill>
      </fill>
    </dxf>
    <dxf>
      <fill>
        <patternFill>
          <bgColor theme="7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rgb="FFFF9999"/>
        </patternFill>
      </fill>
    </dxf>
    <dxf>
      <fill>
        <patternFill>
          <bgColor theme="7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rgb="FFFF9999"/>
        </patternFill>
      </fill>
    </dxf>
    <dxf>
      <fill>
        <patternFill>
          <bgColor theme="7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rgb="FFFF9999"/>
        </patternFill>
      </fill>
    </dxf>
    <dxf>
      <fill>
        <patternFill>
          <bgColor theme="7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rgb="FFFF9999"/>
        </patternFill>
      </fill>
    </dxf>
    <dxf>
      <fill>
        <patternFill>
          <bgColor theme="7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rgb="FFFF9999"/>
        </patternFill>
      </fill>
    </dxf>
    <dxf>
      <fill>
        <patternFill>
          <bgColor theme="7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rgb="FFFF9999"/>
        </patternFill>
      </fill>
    </dxf>
    <dxf>
      <fill>
        <patternFill>
          <bgColor theme="7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rgb="FFFF9999"/>
        </patternFill>
      </fill>
    </dxf>
    <dxf>
      <fill>
        <patternFill>
          <bgColor theme="7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rgb="FFFF9999"/>
        </patternFill>
      </fill>
    </dxf>
    <dxf>
      <fill>
        <patternFill>
          <bgColor theme="7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rgb="FFFF9999"/>
        </patternFill>
      </fill>
    </dxf>
    <dxf>
      <fill>
        <patternFill>
          <bgColor theme="7" tint="0.79998168889431442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  <dxf>
      <font>
        <color theme="9" tint="0.59996337778862885"/>
      </font>
      <fill>
        <patternFill>
          <bgColor theme="9" tint="0.59996337778862885"/>
        </patternFill>
      </fill>
    </dxf>
  </dxfs>
  <tableStyles count="0" defaultTableStyle="TableStyleMedium2" defaultPivotStyle="PivotStyleLight16"/>
  <colors>
    <mruColors>
      <color rgb="FF007F1B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pivotCacheDefinition" Target="pivotCache/pivotCacheDefinition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190500</xdr:rowOff>
    </xdr:from>
    <xdr:to>
      <xdr:col>1</xdr:col>
      <xdr:colOff>1182813</xdr:colOff>
      <xdr:row>2</xdr:row>
      <xdr:rowOff>152400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90500"/>
          <a:ext cx="1411413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142875</xdr:rowOff>
    </xdr:from>
    <xdr:to>
      <xdr:col>11</xdr:col>
      <xdr:colOff>406081</xdr:colOff>
      <xdr:row>57</xdr:row>
      <xdr:rowOff>66675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0E94A87-D998-480E-8138-E577F396E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33375"/>
          <a:ext cx="7111681" cy="10058400"/>
        </a:xfrm>
        <a:prstGeom prst="rect">
          <a:avLst/>
        </a:prstGeom>
      </xdr:spPr>
    </xdr:pic>
    <xdr:clientData/>
  </xdr:twoCellAnchor>
  <xdr:twoCellAnchor editAs="oneCell">
    <xdr:from>
      <xdr:col>11</xdr:col>
      <xdr:colOff>104775</xdr:colOff>
      <xdr:row>0</xdr:row>
      <xdr:rowOff>57150</xdr:rowOff>
    </xdr:from>
    <xdr:to>
      <xdr:col>22</xdr:col>
      <xdr:colOff>510856</xdr:colOff>
      <xdr:row>55</xdr:row>
      <xdr:rowOff>161925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496FC575-4329-430E-B86B-DD6B9DE496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57150"/>
          <a:ext cx="7111681" cy="100584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Viviane Riveli de Carvalho" id="{52F1CF87-4E3A-4AD3-8A6D-71DEB5C16A5B}" userId="S::viviane.carvalho@epl.gov.br::90447179-1919-4e8a-895e-e7e3453e70ee" providerId="AD"/>
</personList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GEINF/_RODOVIAS/TR_LOTES%20NOVOS/Malha/20200908_SNVS%20Extens&#245;es%20Lotes_LH_R02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/GEINF/_RODOVIAS/TR_LOTES%20NOVOS/Malha/20200908_SNVS%20Extens&#245;es%20Lotes_LH_R02.xlsx" TargetMode="External"/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andro Haiek" refreshedDate="44078.657183680552" createdVersion="5" refreshedVersion="5" minRefreshableVersion="3" recordCount="7178" xr:uid="{00000000-000A-0000-FFFF-FFFF00000000}">
  <cacheSource type="worksheet">
    <worksheetSource ref="A3:AC7181" sheet="SNV_Rodovias Federais" r:id="rId2"/>
  </cacheSource>
  <cacheFields count="29">
    <cacheField name="Índice do Lote" numFmtId="41">
      <sharedItems containsSemiMixedTypes="0" containsString="0" containsNumber="1" containsInteger="1" minValue="0" maxValue="6" count="7">
        <n v="0"/>
        <n v="5"/>
        <n v="4"/>
        <n v="2"/>
        <n v="6"/>
        <n v="1"/>
        <n v="3"/>
      </sharedItems>
    </cacheField>
    <cacheField name="Cód" numFmtId="41">
      <sharedItems/>
    </cacheField>
    <cacheField name="Nome do Projeto /_x000a_Lote de Concessão" numFmtId="41">
      <sharedItems containsMixedTypes="1" containsNumber="1" containsInteger="1" minValue="0" maxValue="0"/>
    </cacheField>
    <cacheField name="Rodovia" numFmtId="0">
      <sharedItems count="494">
        <s v="010BDF"/>
        <s v="010BGO"/>
        <s v="010BMA"/>
        <s v="010BPA"/>
        <s v="010BTO"/>
        <s v="020API"/>
        <s v="020BBA"/>
        <s v="020BCE"/>
        <s v="020BDF"/>
        <s v="020BGO"/>
        <s v="020BPI"/>
        <s v="030ABA"/>
        <s v="030BBA"/>
        <s v="030BDF"/>
        <s v="030BGO"/>
        <s v="040ARJ"/>
        <s v="040BDF"/>
        <s v="040BGO"/>
        <s v="040BMG"/>
        <s v="040BRJ"/>
        <s v="040CMG"/>
        <s v="040UMG"/>
        <s v="040VRJ"/>
        <s v="050AMG"/>
        <s v="050BDF"/>
        <s v="050BGO"/>
        <s v="050BMG"/>
        <s v="050BSP"/>
        <s v="050NMG"/>
        <s v="050VSP"/>
        <s v="060AGO"/>
        <s v="060BDF"/>
        <s v="060BGO"/>
        <s v="060BMS"/>
        <s v="060CGO"/>
        <s v="060NGO"/>
        <s v="070BDF"/>
        <s v="070BGO"/>
        <s v="070BMT"/>
        <s v="070CGO"/>
        <s v="070CMT"/>
        <s v="070VMT"/>
        <s v="080BDF"/>
        <s v="080BGO"/>
        <s v="080BMT"/>
        <s v="080CGO"/>
        <s v="101AES"/>
        <s v="101ARJ"/>
        <s v="101ARN"/>
        <s v="101ASC"/>
        <s v="101BAL"/>
        <s v="101BBA"/>
        <s v="101BES"/>
        <s v="101BPB"/>
        <s v="101BPE"/>
        <s v="101BPR"/>
        <s v="101BRJ"/>
        <s v="101BRN"/>
        <s v="101BRS"/>
        <s v="101BSC"/>
        <s v="101BSE"/>
        <s v="101BSP"/>
        <s v="101CES"/>
        <s v="101CPE"/>
        <s v="101CRS"/>
        <s v="101CSE"/>
        <s v="101UAL"/>
        <s v="101UES"/>
        <s v="101VRS"/>
        <s v="104BAL"/>
        <s v="104BPB"/>
        <s v="104BPE"/>
        <s v="104BRN"/>
        <s v="104CPE"/>
        <s v="110BAL"/>
        <s v="110BBA"/>
        <s v="110BPB"/>
        <s v="110BPE"/>
        <s v="110BRN"/>
        <s v="110CRN"/>
        <s v="116ACE"/>
        <s v="116APR"/>
        <s v="116ARJ"/>
        <s v="116ARS"/>
        <s v="116ASC"/>
        <s v="116ASP"/>
        <s v="116BBA"/>
        <s v="116BCE"/>
        <s v="116BMG"/>
        <s v="116BPB"/>
        <s v="116BPE"/>
        <s v="116BPR"/>
        <s v="116BRJ"/>
        <s v="116BRS"/>
        <s v="116BSC"/>
        <s v="116BSP"/>
        <s v="116CBA"/>
        <s v="116CPR"/>
        <s v="116CRS"/>
        <s v="116NBA"/>
        <s v="116UCE"/>
        <s v="116VPR"/>
        <s v="116VRJ"/>
        <s v="120BMG"/>
        <s v="120BRJ"/>
        <s v="122BBA"/>
        <s v="122BCE"/>
        <s v="122BMG"/>
        <s v="122BPE"/>
        <s v="135ABA"/>
        <s v="135AMA"/>
        <s v="135BBA"/>
        <s v="135BMA"/>
        <s v="135BMG"/>
        <s v="135BPI"/>
        <s v="135CBA"/>
        <s v="135CMG"/>
        <s v="146BMG"/>
        <s v="146BSP"/>
        <s v="153APR"/>
        <s v="153ARS"/>
        <s v="153ASP"/>
        <s v="153BGO"/>
        <s v="153BMG"/>
        <s v="153BPA"/>
        <s v="153BPR"/>
        <s v="153BRS"/>
        <s v="153BSC"/>
        <s v="153BSP"/>
        <s v="153BTO"/>
        <s v="153CPR"/>
        <s v="153UTO"/>
        <s v="154BGO"/>
        <s v="154BMG"/>
        <s v="154BSP"/>
        <s v="155BPA"/>
        <s v="156BAP"/>
        <s v="158APR"/>
        <s v="158ARS"/>
        <s v="158BGO"/>
        <s v="158BMS"/>
        <s v="158BMT"/>
        <s v="158BPA"/>
        <s v="158BPR"/>
        <s v="158BRS"/>
        <s v="158BSC"/>
        <s v="158BSP"/>
        <s v="158CMT"/>
        <s v="163AMS"/>
        <s v="163APR"/>
        <s v="163ASC"/>
        <s v="163BMS"/>
        <s v="163BMT"/>
        <s v="163BPA"/>
        <s v="163BPR"/>
        <s v="163BRS"/>
        <s v="163BSC"/>
        <s v="163CMT"/>
        <s v="163CPR"/>
        <s v="163UPR"/>
        <s v="163VMT"/>
        <s v="174AMT"/>
        <s v="174BAM"/>
        <s v="174BMT"/>
        <s v="174BRO"/>
        <s v="174BRR"/>
        <s v="174CRR"/>
        <s v="210BAM"/>
        <s v="210BAP"/>
        <s v="210BPA"/>
        <s v="210BRR"/>
        <s v="222ACE"/>
        <s v="222AMA"/>
        <s v="222BCE"/>
        <s v="222BMA"/>
        <s v="222BPA"/>
        <s v="222BPI"/>
        <s v="222UPI"/>
        <s v="226BCE"/>
        <s v="226BMA"/>
        <s v="226BPI"/>
        <s v="226BRN"/>
        <s v="226BTO"/>
        <s v="230ACE"/>
        <s v="230APA"/>
        <s v="230APB"/>
        <s v="230BAM"/>
        <s v="230BCE"/>
        <s v="230BMA"/>
        <s v="230BPA"/>
        <s v="230BPB"/>
        <s v="230BPI"/>
        <s v="230BTO"/>
        <s v="230CMA"/>
        <s v="230CPA"/>
        <s v="230CPB"/>
        <s v="230CPI"/>
        <s v="230UPA"/>
        <s v="232APE"/>
        <s v="232BPE"/>
        <s v="235ABA"/>
        <s v="235ATO"/>
        <s v="235BBA"/>
        <s v="235BMA"/>
        <s v="235BPA"/>
        <s v="235BPE"/>
        <s v="235BPI"/>
        <s v="235BSE"/>
        <s v="235BTO"/>
        <s v="242ATO"/>
        <s v="242BBA"/>
        <s v="242BMT"/>
        <s v="242BTO"/>
        <s v="242CBA"/>
        <s v="251BBA"/>
        <s v="251BDF"/>
        <s v="251BGO"/>
        <s v="251BMG"/>
        <s v="251BMT"/>
        <s v="251NMG"/>
        <s v="259AES"/>
        <s v="259AMG"/>
        <s v="259BES"/>
        <s v="259BMG"/>
        <s v="262AMG"/>
        <s v="262BES"/>
        <s v="262BMG"/>
        <s v="262BMS"/>
        <s v="262BSP"/>
        <s v="262NMG"/>
        <s v="265AMG"/>
        <s v="265BMG"/>
        <s v="265BSP"/>
        <s v="267AMS"/>
        <s v="267BMG"/>
        <s v="267BMS"/>
        <s v="267BSP"/>
        <s v="272BPR"/>
        <s v="272BSP"/>
        <s v="277APR"/>
        <s v="277BPR"/>
        <s v="277VPR"/>
        <s v="280BPR"/>
        <s v="280BSC"/>
        <s v="280CSC"/>
        <s v="282ASC"/>
        <s v="282BSC"/>
        <s v="283BSC"/>
        <s v="285ARS"/>
        <s v="285BRS"/>
        <s v="285BSC"/>
        <s v="287ARS"/>
        <s v="287BRS"/>
        <s v="290ARS"/>
        <s v="290BRS"/>
        <s v="293ARS"/>
        <s v="293BRS"/>
        <s v="304BCE"/>
        <s v="304BRN"/>
        <s v="307BAC"/>
        <s v="307BAM"/>
        <s v="308BMA"/>
        <s v="308BPA"/>
        <s v="316AAL"/>
        <s v="316API"/>
        <s v="316BAL"/>
        <s v="316BMA"/>
        <s v="316BPA"/>
        <s v="316BPE"/>
        <s v="316BPI"/>
        <s v="316CMA"/>
        <s v="316UMA"/>
        <s v="317BAC"/>
        <s v="317BAM"/>
        <s v="317CAC"/>
        <s v="319BAM"/>
        <s v="319BRO"/>
        <s v="319CRO"/>
        <s v="324ABA"/>
        <s v="324BBA"/>
        <s v="324BMA"/>
        <s v="324BPI"/>
        <s v="330ABA"/>
        <s v="330BBA"/>
        <s v="330BMA"/>
        <s v="330BPI"/>
        <s v="342BBA"/>
        <s v="342BES"/>
        <s v="342BMG"/>
        <s v="343API"/>
        <s v="343BPI"/>
        <s v="349BBA"/>
        <s v="349BGO"/>
        <s v="349BSE"/>
        <s v="352BGO"/>
        <s v="352BMG"/>
        <s v="354BGO"/>
        <s v="354BMG"/>
        <s v="354BRJ"/>
        <s v="356BMG"/>
        <s v="356BRJ"/>
        <s v="356CRJ"/>
        <s v="359BGO"/>
        <s v="359BMS"/>
        <s v="361BPB"/>
        <s v="361BPE"/>
        <s v="363BPE"/>
        <s v="364AAC"/>
        <s v="364ARO"/>
        <s v="364BAC"/>
        <s v="364BGO"/>
        <s v="364BMG"/>
        <s v="364BMT"/>
        <s v="364BRO"/>
        <s v="364BSP"/>
        <s v="364CAC"/>
        <s v="364CRO"/>
        <s v="364NRO"/>
        <s v="364VMT"/>
        <s v="365BMG"/>
        <s v="367BBA"/>
        <s v="367BMG"/>
        <s v="369APR"/>
        <s v="369BMG"/>
        <s v="369BPR"/>
        <s v="369BSP"/>
        <s v="373BPR"/>
        <s v="373BSP"/>
        <s v="374BSP"/>
        <s v="376APR"/>
        <s v="376BMS"/>
        <s v="376BPR"/>
        <s v="376BSC"/>
        <s v="376BSP"/>
        <s v="376CPR"/>
        <s v="376UPR"/>
        <s v="376VPR"/>
        <s v="377BRS"/>
        <s v="381AMG"/>
        <s v="381BES"/>
        <s v="381BMG"/>
        <s v="381BSP"/>
        <s v="381CMG"/>
        <s v="381UMG"/>
        <s v="383BMG"/>
        <s v="383BSP"/>
        <s v="386BRS"/>
        <s v="386BSC"/>
        <s v="392ARS"/>
        <s v="392BRS"/>
        <s v="393ARJ"/>
        <s v="393BES"/>
        <s v="393BMG"/>
        <s v="393BRJ"/>
        <s v="393VRJ"/>
        <s v="401ARR"/>
        <s v="401BRR"/>
        <s v="402BCE"/>
        <s v="402BMA"/>
        <s v="402BPI"/>
        <s v="403ACE"/>
        <s v="403BCE"/>
        <s v="404BCE"/>
        <s v="404BPI"/>
        <s v="405BPB"/>
        <s v="405BRN"/>
        <s v="405CPB"/>
        <s v="406BRN"/>
        <s v="407BBA"/>
        <s v="407BPE"/>
        <s v="407BPI"/>
        <s v="408BPB"/>
        <s v="408BPE"/>
        <s v="409BAC"/>
        <s v="410BBA"/>
        <s v="411BAM"/>
        <s v="412BPB"/>
        <s v="413BAM"/>
        <s v="414BGO"/>
        <s v="415BBA"/>
        <s v="416BAL"/>
        <s v="417BPA"/>
        <s v="418BBA"/>
        <s v="418BMG"/>
        <s v="419BMS"/>
        <s v="420BBA"/>
        <s v="421ARO"/>
        <s v="421BRO"/>
        <s v="422BPA"/>
        <s v="423BAL"/>
        <s v="423BBA"/>
        <s v="423BPE"/>
        <s v="423CPE"/>
        <s v="424APE"/>
        <s v="424BAL"/>
        <s v="424BPE"/>
        <s v="425BRO"/>
        <s v="426BPB"/>
        <s v="426BPE"/>
        <s v="427BPB"/>
        <s v="427BRN"/>
        <s v="427CRN"/>
        <s v="427URN"/>
        <s v="428BPE"/>
        <s v="429BRO"/>
        <s v="430BBA"/>
        <s v="431BRR"/>
        <s v="432BRR"/>
        <s v="433BRR"/>
        <s v="434APB"/>
        <s v="434BCE"/>
        <s v="434BPB"/>
        <s v="435BRO"/>
        <s v="436BMS"/>
        <s v="437BCE"/>
        <s v="437BRN"/>
        <s v="438BRS"/>
        <s v="438BSC"/>
        <s v="439BBA"/>
        <s v="439BES"/>
        <s v="439BMG"/>
        <s v="440BMG"/>
        <s v="447BES"/>
        <s v="448BRS"/>
        <s v="450BDF"/>
        <s v="451BMG"/>
        <s v="452BGO"/>
        <s v="452BMG"/>
        <s v="453BRS"/>
        <s v="454BMS"/>
        <s v="455BMG"/>
        <s v="456BSP"/>
        <s v="457BGO"/>
        <s v="458BMG"/>
        <s v="459BMG"/>
        <s v="459BRJ"/>
        <s v="459BSP"/>
        <s v="460BMG"/>
        <s v="461BMG"/>
        <s v="462BMG"/>
        <s v="463BMS"/>
        <s v="464BMG"/>
        <s v="465BRJ"/>
        <s v="466BPR"/>
        <s v="467BPR"/>
        <s v="468BRS"/>
        <s v="469APR"/>
        <s v="469BPR"/>
        <s v="470ASC"/>
        <s v="470BRS"/>
        <s v="470BSC"/>
        <s v="471BRS"/>
        <s v="472BRS"/>
        <s v="473BRS"/>
        <s v="474BMG"/>
        <s v="475BSC"/>
        <s v="476APR"/>
        <s v="476BPR"/>
        <s v="476BSP"/>
        <s v="477BSC"/>
        <s v="478BSP"/>
        <s v="479BDF"/>
        <s v="479BGO"/>
        <s v="479BMG"/>
        <s v="480BPR"/>
        <s v="480BRS"/>
        <s v="480BSC"/>
        <s v="481BRS"/>
        <s v="482BES"/>
        <s v="482BMG"/>
        <s v="483BGO"/>
        <s v="483BMS"/>
        <s v="484BES"/>
        <s v="484BRJ"/>
        <s v="485BMG"/>
        <s v="485BRJ"/>
        <s v="486BSC"/>
        <s v="487BMS"/>
        <s v="487BPR"/>
        <s v="488BSP"/>
        <s v="489BBA"/>
        <s v="490BGO"/>
        <s v="491BMG"/>
        <s v="492BRJ"/>
        <s v="493BRJ"/>
        <s v="494BMG"/>
        <s v="494BRJ"/>
        <s v="495BRJ"/>
        <s v="496BMG"/>
        <s v="497BMG"/>
        <s v="497BMS"/>
        <s v="498BBA"/>
        <s v="499AMG"/>
        <s v="499BMG"/>
      </sharedItems>
    </cacheField>
    <cacheField name="Segmento" numFmtId="180">
      <sharedItems/>
    </cacheField>
    <cacheField name="LONG_INICIO" numFmtId="179">
      <sharedItems containsSemiMixedTypes="0" containsString="0" containsNumber="1" minValue="-73.095336469702204" maxValue="-32.400220310418902"/>
    </cacheField>
    <cacheField name="LAT_INICIO" numFmtId="179">
      <sharedItems containsSemiMixedTypes="0" containsString="0" containsNumber="1" minValue="-33.530626169861797" maxValue="4.4451153603856097"/>
    </cacheField>
    <cacheField name="LONG_FIM" numFmtId="179">
      <sharedItems containsSemiMixedTypes="0" containsString="0" containsNumber="1" minValue="-73.705073600066498" maxValue="-32.426431320349103"/>
    </cacheField>
    <cacheField name="LAT_FIM" numFmtId="179">
      <sharedItems containsSemiMixedTypes="0" containsString="0" containsNumber="1" minValue="-33.693081359916697" maxValue="4.4836340196942999"/>
    </cacheField>
    <cacheField name="BR" numFmtId="0">
      <sharedItems/>
    </cacheField>
    <cacheField name="UF " numFmtId="0">
      <sharedItems/>
    </cacheField>
    <cacheField name="Tipo de trecho" numFmtId="0">
      <sharedItems/>
    </cacheField>
    <cacheField name="Desc Coinc" numFmtId="0">
      <sharedItems/>
    </cacheField>
    <cacheField name="Código" numFmtId="0">
      <sharedItems/>
    </cacheField>
    <cacheField name="Local de Início" numFmtId="0">
      <sharedItems/>
    </cacheField>
    <cacheField name="Local de Fim" numFmtId="0">
      <sharedItems/>
    </cacheField>
    <cacheField name="km inicial" numFmtId="0">
      <sharedItems containsSemiMixedTypes="0" containsString="0" containsNumber="1" minValue="0" maxValue="1905.2"/>
    </cacheField>
    <cacheField name="km final" numFmtId="0">
      <sharedItems containsSemiMixedTypes="0" containsString="0" containsNumber="1" minValue="0.1" maxValue="1963.2"/>
    </cacheField>
    <cacheField name="Extensão" numFmtId="0">
      <sharedItems containsSemiMixedTypes="0" containsString="0" containsNumber="1" minValue="0.1" maxValue="191.5"/>
    </cacheField>
    <cacheField name="Superfície Federal" numFmtId="0">
      <sharedItems count="6">
        <s v="DUP"/>
        <s v="PLA"/>
        <s v="PAV"/>
        <s v="LEN"/>
        <s v="TRV"/>
        <s v="IMP"/>
      </sharedItems>
    </cacheField>
    <cacheField name="OBRAS" numFmtId="0">
      <sharedItems containsBlank="1"/>
    </cacheField>
    <cacheField name="Federal Coincidente" numFmtId="0">
      <sharedItems containsBlank="1"/>
    </cacheField>
    <cacheField name="Administração" numFmtId="0">
      <sharedItems containsBlank="1"/>
    </cacheField>
    <cacheField name="Ato legal" numFmtId="0">
      <sharedItems containsBlank="1"/>
    </cacheField>
    <cacheField name="Estadual Coincidente" numFmtId="0">
      <sharedItems containsBlank="1"/>
    </cacheField>
    <cacheField name="Superfície Est. Coincidente" numFmtId="0">
      <sharedItems containsBlank="1"/>
    </cacheField>
    <cacheField name="Jurisdição" numFmtId="0">
      <sharedItems containsBlank="1"/>
    </cacheField>
    <cacheField name="Superfície" numFmtId="0">
      <sharedItems/>
    </cacheField>
    <cacheField name="Unidade Local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andro Haiek" refreshedDate="44078.668291203707" createdVersion="5" refreshedVersion="5" minRefreshableVersion="3" recordCount="37" xr:uid="{00000000-000A-0000-FFFF-FFFF01000000}">
  <cacheSource type="worksheet">
    <worksheetSource ref="A1:V1048576" sheet="Lote 5" r:id="rId2"/>
  </cacheSource>
  <cacheFields count="22">
    <cacheField name="Índice do Lote" numFmtId="0">
      <sharedItems containsBlank="1" containsMixedTypes="1" containsNumber="1" containsInteger="1" minValue="5" maxValue="5" count="3">
        <n v="5"/>
        <s v="5-CONCER"/>
        <m/>
      </sharedItems>
    </cacheField>
    <cacheField name="Cód" numFmtId="0">
      <sharedItems containsBlank="1"/>
    </cacheField>
    <cacheField name="Nome do Projeto /_x000a_Lote de Concessão" numFmtId="0">
      <sharedItems containsBlank="1"/>
    </cacheField>
    <cacheField name="Rodovia" numFmtId="0">
      <sharedItems containsBlank="1"/>
    </cacheField>
    <cacheField name="Segmento" numFmtId="0">
      <sharedItems containsBlank="1"/>
    </cacheField>
    <cacheField name="BR" numFmtId="0">
      <sharedItems containsBlank="1"/>
    </cacheField>
    <cacheField name="UF " numFmtId="0">
      <sharedItems containsBlank="1"/>
    </cacheField>
    <cacheField name="Tipo de trecho" numFmtId="0">
      <sharedItems containsBlank="1"/>
    </cacheField>
    <cacheField name="Desc Coinc" numFmtId="0">
      <sharedItems containsBlank="1"/>
    </cacheField>
    <cacheField name="Código" numFmtId="0">
      <sharedItems containsBlank="1"/>
    </cacheField>
    <cacheField name="km inicial" numFmtId="0">
      <sharedItems containsString="0" containsBlank="1" containsNumber="1" minValue="0" maxValue="744.4"/>
    </cacheField>
    <cacheField name="km final" numFmtId="0">
      <sharedItems containsString="0" containsBlank="1" containsNumber="1" minValue="44.1" maxValue="776.1"/>
    </cacheField>
    <cacheField name="Extensão" numFmtId="0">
      <sharedItems containsString="0" containsBlank="1" containsNumber="1" minValue="1.8" maxValue="79.5"/>
    </cacheField>
    <cacheField name="Superfície Federal" numFmtId="0">
      <sharedItems containsBlank="1" count="3">
        <s v="PAV"/>
        <s v="DUP"/>
        <m/>
      </sharedItems>
    </cacheField>
    <cacheField name="OBRAS" numFmtId="0">
      <sharedItems containsNonDate="0" containsString="0" containsBlank="1"/>
    </cacheField>
    <cacheField name="Federal Coincidente" numFmtId="0">
      <sharedItems containsBlank="1"/>
    </cacheField>
    <cacheField name="Administração" numFmtId="0">
      <sharedItems containsBlank="1"/>
    </cacheField>
    <cacheField name="Ato legal" numFmtId="0">
      <sharedItems containsNonDate="0" containsString="0" containsBlank="1"/>
    </cacheField>
    <cacheField name="Estadual Coincidente" numFmtId="0">
      <sharedItems containsNonDate="0" containsString="0" containsBlank="1"/>
    </cacheField>
    <cacheField name="Superfície Est. Coincidente" numFmtId="0">
      <sharedItems containsNonDate="0" containsString="0" containsBlank="1"/>
    </cacheField>
    <cacheField name="Jurisdição" numFmtId="0">
      <sharedItems containsBlank="1"/>
    </cacheField>
    <cacheField name="Unidade Local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178">
  <r>
    <x v="0"/>
    <s v="010BDF0010"/>
    <n v="0"/>
    <x v="0"/>
    <s v="0010"/>
    <n v="-47.858851780085502"/>
    <n v="-15.6881578900745"/>
    <n v="-47.837345729921402"/>
    <n v="-15.681803040377901"/>
    <s v="010"/>
    <s v="DF"/>
    <s v="Eixo Principal"/>
    <s v="-"/>
    <s v="010BDF0010"/>
    <s v="ENTR BR-020(A)/030(A)/450/DF-001 (BRASÍLIA)"/>
    <s v="ENTR DF-440"/>
    <n v="0"/>
    <n v="2.4"/>
    <n v="2.4"/>
    <x v="0"/>
    <m/>
    <s v="030BDF0010;020BDF0010"/>
    <s v="Convênio de Administração"/>
    <m/>
    <m/>
    <m/>
    <s v="Federal"/>
    <s v="PAV"/>
    <s v="Brasília"/>
  </r>
  <r>
    <x v="0"/>
    <s v="010BDF0015"/>
    <n v="0"/>
    <x v="0"/>
    <s v="0015"/>
    <n v="-47.837345729921402"/>
    <n v="-15.681803040377901"/>
    <n v="-47.807596359884002"/>
    <n v="-15.665864839590601"/>
    <s v="010"/>
    <s v="DF"/>
    <s v="Eixo Principal"/>
    <s v="-"/>
    <s v="010BDF0015"/>
    <s v="ENTR DF-440"/>
    <s v="ACESSO I SOBRADINHO"/>
    <n v="2.4"/>
    <n v="6"/>
    <n v="3.6"/>
    <x v="0"/>
    <m/>
    <s v="030BDF0015;020BDF0015"/>
    <s v="Convênio de Administração"/>
    <m/>
    <m/>
    <m/>
    <s v="Federal"/>
    <s v="PAV"/>
    <s v="Brasília"/>
  </r>
  <r>
    <x v="0"/>
    <s v="010BDF0016"/>
    <n v="0"/>
    <x v="0"/>
    <s v="0016"/>
    <n v="-47.807596359884002"/>
    <n v="-15.665864839590601"/>
    <n v="-47.787738640225903"/>
    <n v="-15.6566409700047"/>
    <s v="010"/>
    <s v="DF"/>
    <s v="Eixo Principal"/>
    <s v="-"/>
    <s v="010BDF0016"/>
    <s v="ACESSO I SOBRADINHO"/>
    <s v="ACESSO II SOBRADINHO"/>
    <n v="6"/>
    <n v="8.3000000000000007"/>
    <n v="2.2999999999999998"/>
    <x v="0"/>
    <m/>
    <s v="030BDF0016;020BDF0016"/>
    <s v="Convênio de Administração"/>
    <m/>
    <m/>
    <m/>
    <s v="Federal"/>
    <s v="PAV"/>
    <s v="Brasília"/>
  </r>
  <r>
    <x v="0"/>
    <s v="010BDF0018"/>
    <n v="0"/>
    <x v="0"/>
    <s v="0018"/>
    <n v="-47.787738640225903"/>
    <n v="-15.6566409700047"/>
    <n v="-47.7059894397607"/>
    <n v="-15.615206749991501"/>
    <s v="010"/>
    <s v="DF"/>
    <s v="Eixo Principal"/>
    <s v="-"/>
    <s v="010BDF0018"/>
    <s v="ACESSO II SOBRADINHO"/>
    <s v="ENTR DF-230"/>
    <n v="8.3000000000000007"/>
    <n v="18.2"/>
    <n v="9.9"/>
    <x v="0"/>
    <m/>
    <s v="030BDF0018;020BDF0018"/>
    <s v="Convênio de Administração"/>
    <m/>
    <m/>
    <m/>
    <s v="Federal"/>
    <s v="PAV"/>
    <s v="Brasília"/>
  </r>
  <r>
    <x v="0"/>
    <s v="010BDF0020"/>
    <n v="0"/>
    <x v="0"/>
    <s v="0020"/>
    <n v="-47.7059894397607"/>
    <n v="-15.615206749991501"/>
    <n v="-47.6749888402626"/>
    <n v="-15.5981009701835"/>
    <s v="010"/>
    <s v="DF"/>
    <s v="Eixo Principal"/>
    <s v="-"/>
    <s v="010BDF0020"/>
    <s v="ENTR DF-230"/>
    <s v="ENTR DF-128"/>
    <n v="18.2"/>
    <n v="22"/>
    <n v="3.8"/>
    <x v="0"/>
    <m/>
    <s v="030BDF0020;020BDF0020"/>
    <s v="Convênio de Administração"/>
    <m/>
    <m/>
    <m/>
    <s v="Federal"/>
    <s v="PAV"/>
    <s v="Brasília"/>
  </r>
  <r>
    <x v="0"/>
    <s v="010BDF0022"/>
    <n v="0"/>
    <x v="0"/>
    <s v="0022"/>
    <n v="-47.6749888402626"/>
    <n v="-15.5981009701835"/>
    <n v="-47.653832829621301"/>
    <n v="-15.595250130089299"/>
    <s v="010"/>
    <s v="DF"/>
    <s v="Eixo Principal"/>
    <s v="-"/>
    <s v="010BDF0022"/>
    <s v="ENTR DF-128"/>
    <s v="P/PLANALTINA"/>
    <n v="22"/>
    <n v="25"/>
    <n v="3"/>
    <x v="0"/>
    <m/>
    <s v="030BDF0022;020BDF0022"/>
    <s v="Convênio de Administração"/>
    <m/>
    <m/>
    <m/>
    <s v="Federal"/>
    <s v="PAV"/>
    <s v="Brasília"/>
  </r>
  <r>
    <x v="0"/>
    <s v="010BDF0030"/>
    <n v="0"/>
    <x v="0"/>
    <s v="0030"/>
    <n v="-47.653832829621301"/>
    <n v="-15.595250130089299"/>
    <n v="-47.571755169765197"/>
    <n v="-15.586163100446599"/>
    <s v="010"/>
    <s v="DF"/>
    <s v="Eixo Principal"/>
    <s v="-"/>
    <s v="010BDF0030"/>
    <s v="P/PLANALTINA"/>
    <s v="ENTR BR-020(B)/030(B)/DF-345(A)"/>
    <n v="25"/>
    <n v="34"/>
    <n v="9"/>
    <x v="0"/>
    <m/>
    <s v="030BDF0030;020BDF0030"/>
    <s v="Federal"/>
    <m/>
    <m/>
    <m/>
    <s v="Federal"/>
    <s v="PAV"/>
    <s v="Brasília"/>
  </r>
  <r>
    <x v="0"/>
    <s v="010BDF0050"/>
    <n v="0"/>
    <x v="0"/>
    <s v="0050"/>
    <n v="-47.571755169765197"/>
    <n v="-15.586163100446599"/>
    <n v="-47.551170770014998"/>
    <n v="-15.555267139766601"/>
    <s v="010"/>
    <s v="DF"/>
    <s v="Eixo Principal"/>
    <s v="-"/>
    <s v="010BDF0050"/>
    <s v="ENTR BR-020(B)/030(B)/DF-345(A)"/>
    <s v="ENTR VICINAL-111"/>
    <n v="34"/>
    <n v="38.1"/>
    <n v="4.0999999999999996"/>
    <x v="1"/>
    <m/>
    <m/>
    <s v="Distrital"/>
    <m/>
    <s v="DF-345"/>
    <s v="PAV"/>
    <s v="Distrital"/>
    <s v="PLA"/>
    <s v="Brasília"/>
  </r>
  <r>
    <x v="0"/>
    <s v="010BDF0052"/>
    <n v="0"/>
    <x v="0"/>
    <s v="0052"/>
    <n v="-47.551170770014998"/>
    <n v="-15.555267139766601"/>
    <n v="-47.529763739704698"/>
    <n v="-15.519330050041701"/>
    <s v="010"/>
    <s v="DF"/>
    <s v="Eixo Principal"/>
    <s v="-"/>
    <s v="010BDF0052"/>
    <s v="ENTR VICINAL-111"/>
    <s v="ENTR DF-205"/>
    <n v="38.1"/>
    <n v="42.7"/>
    <n v="4.5999999999999996"/>
    <x v="1"/>
    <m/>
    <m/>
    <s v="Distrital"/>
    <m/>
    <s v="DF-345"/>
    <s v="PAV"/>
    <s v="Distrital"/>
    <s v="PLA"/>
    <s v="Brasília"/>
  </r>
  <r>
    <x v="0"/>
    <s v="010BDF0070"/>
    <n v="0"/>
    <x v="0"/>
    <s v="0070"/>
    <n v="-47.529763739704698"/>
    <n v="-15.519330050041701"/>
    <n v="-47.523349569826699"/>
    <n v="-15.500196620077899"/>
    <s v="010"/>
    <s v="DF"/>
    <s v="Eixo Principal"/>
    <s v="-"/>
    <s v="010BDF0070"/>
    <s v="ENTR DF-205"/>
    <s v="ENTR DF-345(B) (DIV DF/GO)"/>
    <n v="42.7"/>
    <n v="45"/>
    <n v="2.2999999999999998"/>
    <x v="1"/>
    <m/>
    <m/>
    <s v="Distrital"/>
    <m/>
    <s v="DF-345"/>
    <s v="PAV"/>
    <s v="Distrital"/>
    <s v="PLA"/>
    <s v="Brasília"/>
  </r>
  <r>
    <x v="0"/>
    <s v="010BGO0090"/>
    <n v="0"/>
    <x v="1"/>
    <s v="0090"/>
    <n v="-47.523349569826699"/>
    <n v="-15.500196620077899"/>
    <n v="-47.502203719725799"/>
    <n v="-15.4562279495601"/>
    <s v="010"/>
    <s v="GO"/>
    <s v="Eixo Principal"/>
    <s v="-"/>
    <s v="010BGO0090"/>
    <s v="ENTR GO-118(A) (DIV DF/GO)"/>
    <s v="ENTR GO-430(A)"/>
    <n v="0"/>
    <n v="5.0999999999999996"/>
    <n v="5.0999999999999996"/>
    <x v="1"/>
    <m/>
    <m/>
    <s v="Estadual"/>
    <m/>
    <s v="GO-118"/>
    <s v="PAV"/>
    <s v="Estadual"/>
    <s v="PLA"/>
    <s v="Brasília"/>
  </r>
  <r>
    <x v="0"/>
    <s v="010BGO0095"/>
    <n v="0"/>
    <x v="1"/>
    <s v="0095"/>
    <n v="-47.502203719725799"/>
    <n v="-15.4562279495601"/>
    <n v="-47.516504440327502"/>
    <n v="-15.427383609565799"/>
    <s v="010"/>
    <s v="GO"/>
    <s v="Eixo Principal"/>
    <s v="-"/>
    <s v="010BGO0095"/>
    <s v="ENTR GO-430(A)"/>
    <s v="ENTR GO-430(B) (P/PLANALTINA)"/>
    <n v="5.0999999999999996"/>
    <n v="8.6"/>
    <n v="3.5"/>
    <x v="1"/>
    <m/>
    <m/>
    <s v="Estadual"/>
    <m/>
    <s v="GO-118"/>
    <s v="PAV"/>
    <s v="Estadual"/>
    <s v="PLA"/>
    <s v="Brasília"/>
  </r>
  <r>
    <x v="0"/>
    <s v="010BGO0110"/>
    <n v="0"/>
    <x v="1"/>
    <s v="0110"/>
    <n v="-47.516504440327502"/>
    <n v="-15.427383609565799"/>
    <n v="-47.574366679578503"/>
    <n v="-15.233538919885101"/>
    <s v="010"/>
    <s v="GO"/>
    <s v="Eixo Principal"/>
    <s v="-"/>
    <s v="010BGO0110"/>
    <s v="ENTR GO-430(B) (P/PLANALTINA)"/>
    <s v="SÃO GABRIEL DE GOIÁS"/>
    <n v="8.6"/>
    <n v="31.6"/>
    <n v="23"/>
    <x v="1"/>
    <m/>
    <m/>
    <s v="Estadual"/>
    <m/>
    <s v="GO-118"/>
    <s v="PAV"/>
    <s v="Estadual"/>
    <s v="PLA"/>
    <s v="Brasília"/>
  </r>
  <r>
    <x v="0"/>
    <s v="010BGO0120"/>
    <n v="0"/>
    <x v="1"/>
    <s v="0120"/>
    <n v="-47.574366679578503"/>
    <n v="-15.233538919885101"/>
    <n v="-47.590356880065897"/>
    <n v="-15.1774057603674"/>
    <s v="010"/>
    <s v="GO"/>
    <s v="Eixo Principal"/>
    <s v="-"/>
    <s v="010BGO0120"/>
    <s v="SÃO GABRIEL DE GOIÁS"/>
    <s v="ENTR GO-230"/>
    <n v="31.6"/>
    <n v="37.799999999999997"/>
    <n v="6.2"/>
    <x v="1"/>
    <m/>
    <m/>
    <s v="Estadual"/>
    <m/>
    <s v="GO-118"/>
    <s v="PAV"/>
    <s v="Estadual"/>
    <s v="PLA"/>
    <s v="Brasília"/>
  </r>
  <r>
    <x v="0"/>
    <s v="010BGO0125"/>
    <n v="0"/>
    <x v="1"/>
    <s v="0125"/>
    <n v="-47.590356880065897"/>
    <n v="-15.1774057603674"/>
    <n v="-47.593569039879199"/>
    <n v="-14.931768569963401"/>
    <s v="010"/>
    <s v="GO"/>
    <s v="Eixo Principal"/>
    <s v="-"/>
    <s v="010BGO0125"/>
    <s v="ENTR GO-230"/>
    <s v="ENTR GO-237"/>
    <n v="37.799999999999997"/>
    <n v="66.400000000000006"/>
    <n v="28.6"/>
    <x v="1"/>
    <m/>
    <m/>
    <s v="Estadual"/>
    <m/>
    <s v="GO-118"/>
    <s v="PAV"/>
    <s v="Estadual"/>
    <s v="PLA"/>
    <s v="Brasília"/>
  </r>
  <r>
    <x v="0"/>
    <s v="010BGO0130"/>
    <n v="0"/>
    <x v="1"/>
    <s v="0130"/>
    <n v="-47.593569039879199"/>
    <n v="-14.931768569963401"/>
    <n v="-47.528476989721199"/>
    <n v="-14.7195695797722"/>
    <s v="010"/>
    <s v="GO"/>
    <s v="Eixo Principal"/>
    <s v="-"/>
    <s v="010BGO0130"/>
    <s v="ENTR GO-237"/>
    <s v="INÍCIO PERÍMETRO URB SÃO JOÃO D ALIANÇA"/>
    <n v="66.400000000000006"/>
    <n v="92.5"/>
    <n v="26.1"/>
    <x v="1"/>
    <m/>
    <m/>
    <s v="Estadual"/>
    <m/>
    <s v="GO-118"/>
    <s v="PAV"/>
    <s v="Estadual"/>
    <s v="PLA"/>
    <s v="Brasília"/>
  </r>
  <r>
    <x v="0"/>
    <s v="010BGO0135"/>
    <n v="0"/>
    <x v="1"/>
    <s v="0135"/>
    <n v="-47.528476989721199"/>
    <n v="-14.7195695797722"/>
    <n v="-47.522055219672602"/>
    <n v="-14.6949804503874"/>
    <s v="010"/>
    <s v="GO"/>
    <s v="Eixo Principal"/>
    <s v="-"/>
    <s v="010BGO0135"/>
    <s v="INÍCIO PERÍMETRO URB SÃO JOÃO D ALIANÇA"/>
    <s v="FIM PERÍMETRO URB SÃO JOÃO D ALIANÇA"/>
    <n v="92.5"/>
    <n v="94.1"/>
    <n v="1.6"/>
    <x v="1"/>
    <m/>
    <m/>
    <s v="Estadual"/>
    <m/>
    <s v="GO-118"/>
    <s v="DUP"/>
    <s v="Estadual"/>
    <s v="PLA"/>
    <s v="Brasília"/>
  </r>
  <r>
    <x v="0"/>
    <s v="010BGO0140"/>
    <n v="0"/>
    <x v="1"/>
    <s v="0140"/>
    <n v="-47.522055219672602"/>
    <n v="-14.6949804503874"/>
    <n v="-47.4955270404405"/>
    <n v="-14.605713420338001"/>
    <s v="010"/>
    <s v="GO"/>
    <s v="Eixo Principal"/>
    <s v="-"/>
    <s v="010BGO0140"/>
    <s v="FIM PERÍMETRO URB SÃO JOÃO D ALIANÇA"/>
    <s v="ENTR GO-236"/>
    <n v="94.1"/>
    <n v="105.5"/>
    <n v="11.4"/>
    <x v="1"/>
    <m/>
    <m/>
    <s v="Estadual"/>
    <m/>
    <s v="GO-118"/>
    <s v="PAV"/>
    <s v="Estadual"/>
    <s v="PLA"/>
    <s v="Brasília"/>
  </r>
  <r>
    <x v="0"/>
    <s v="010BGO0150"/>
    <n v="0"/>
    <x v="1"/>
    <s v="0150"/>
    <n v="-47.4955270404405"/>
    <n v="-14.605713420338001"/>
    <n v="-47.521669760351102"/>
    <n v="-14.142293479560401"/>
    <s v="010"/>
    <s v="GO"/>
    <s v="Eixo Principal"/>
    <s v="-"/>
    <s v="010BGO0150"/>
    <s v="ENTR GO-236"/>
    <s v="ENTR GO-239(A) (ALTO PARAÍSO DE GOIÁS)"/>
    <n v="105.5"/>
    <n v="160.9"/>
    <n v="55.4"/>
    <x v="1"/>
    <m/>
    <m/>
    <s v="Estadual"/>
    <m/>
    <s v="GO-118"/>
    <s v="PAV"/>
    <s v="Estadual"/>
    <s v="PLA"/>
    <s v="Brasília"/>
  </r>
  <r>
    <x v="0"/>
    <s v="010BGO0160"/>
    <n v="0"/>
    <x v="1"/>
    <s v="0160"/>
    <n v="-47.521669760351102"/>
    <n v="-14.142293479560401"/>
    <n v="-47.522462219555699"/>
    <n v="-14.1335506897125"/>
    <s v="010"/>
    <s v="GO"/>
    <s v="Eixo Principal"/>
    <s v="-"/>
    <s v="010BGO0160"/>
    <s v="ENTR GO-239(A) (ALTO PARAÍSO DE GOIÁS)"/>
    <s v="ENTR GO-239(B) (ALTO PARAÍSO DE GOIÁS)"/>
    <n v="160.9"/>
    <n v="161.9"/>
    <n v="1"/>
    <x v="1"/>
    <m/>
    <m/>
    <s v="Estadual"/>
    <m/>
    <s v="GO-118"/>
    <s v="PAV"/>
    <s v="Estadual"/>
    <s v="PLA"/>
    <s v="Brasília"/>
  </r>
  <r>
    <x v="0"/>
    <s v="010BGO0170"/>
    <n v="0"/>
    <x v="1"/>
    <s v="0170"/>
    <n v="-47.522462219555699"/>
    <n v="-14.1335506897125"/>
    <n v="-47.2685074999211"/>
    <n v="-13.7794155797651"/>
    <s v="010"/>
    <s v="GO"/>
    <s v="Eixo Principal"/>
    <s v="-"/>
    <s v="010BGO0170"/>
    <s v="ENTR GO-239(B) (ALTO PARAÍSO DE GOIÁS)"/>
    <s v="ENTR GO-118(B)/241 (TERESINA DE GOIÁS)"/>
    <n v="161.9"/>
    <n v="227"/>
    <n v="65.099999999999994"/>
    <x v="1"/>
    <m/>
    <m/>
    <s v="Estadual"/>
    <m/>
    <s v="GO-118"/>
    <s v="PAV"/>
    <s v="Estadual"/>
    <s v="PLA"/>
    <s v="Brasília"/>
  </r>
  <r>
    <x v="0"/>
    <s v="010BGO0180"/>
    <n v="0"/>
    <x v="1"/>
    <s v="0180"/>
    <n v="-47.2685074999211"/>
    <n v="-13.7794155797651"/>
    <n v="-47.6094402402748"/>
    <n v="-13.1078581301485"/>
    <s v="010"/>
    <s v="GO"/>
    <s v="Eixo Principal"/>
    <s v="-"/>
    <s v="010BGO0180"/>
    <s v="ENTR GO-118(B)/241 (TERESINA DE GOIÁS)"/>
    <s v="DIV GO/TO (RIO PARANÃ)"/>
    <n v="227"/>
    <n v="289"/>
    <n v="62"/>
    <x v="1"/>
    <m/>
    <m/>
    <s v="Federal"/>
    <m/>
    <m/>
    <m/>
    <s v="Federal"/>
    <s v="PLA"/>
    <s v="Brasília"/>
  </r>
  <r>
    <x v="0"/>
    <s v="010BMA0360"/>
    <n v="0"/>
    <x v="2"/>
    <s v="0360"/>
    <n v="-47.353147550419003"/>
    <n v="-7.6182655698001396"/>
    <n v="-47.453672390068697"/>
    <n v="-7.3403322903029098"/>
    <s v="010"/>
    <s v="MA"/>
    <s v="Eixo Principal"/>
    <s v="-"/>
    <s v="010BMA0360"/>
    <s v="DIV TO/MA"/>
    <s v="ENTR BR-230(A) (CAROLINA)"/>
    <n v="0"/>
    <n v="34"/>
    <n v="34"/>
    <x v="1"/>
    <m/>
    <m/>
    <s v="Federal"/>
    <m/>
    <m/>
    <m/>
    <s v="Federal"/>
    <s v="PLA"/>
    <s v="Imperatriz"/>
  </r>
  <r>
    <x v="0"/>
    <s v="010BMA0370"/>
    <n v="0"/>
    <x v="2"/>
    <s v="0370"/>
    <n v="-47.453672390068697"/>
    <n v="-7.3403322903029098"/>
    <n v="-47.450543029936803"/>
    <n v="-6.5579729902612396"/>
    <s v="010"/>
    <s v="MA"/>
    <s v="Eixo Principal"/>
    <s v="-"/>
    <s v="010BMA0370"/>
    <s v="ENTR BR-230(A) (CAROLINA)"/>
    <s v="ENTR BR-226(A)/230(B)/MA-138 (ESTREITO)"/>
    <n v="34"/>
    <n v="128.80000000000001"/>
    <n v="94.8"/>
    <x v="2"/>
    <m/>
    <s v="230BMA1070"/>
    <s v="Federal"/>
    <m/>
    <m/>
    <m/>
    <s v="Federal"/>
    <s v="PAV"/>
    <s v="Imperatriz"/>
  </r>
  <r>
    <x v="0"/>
    <s v="010BMA0390"/>
    <n v="0"/>
    <x v="2"/>
    <s v="0390"/>
    <n v="-47.450543029936803"/>
    <n v="-6.5579729902612396"/>
    <n v="-47.3761021296095"/>
    <n v="-6.35271884010234"/>
    <s v="010"/>
    <s v="MA"/>
    <s v="Eixo Principal"/>
    <s v="-"/>
    <s v="010BMA0390"/>
    <s v="ENTR BR-226(A)/230(B)/MA-138 (ESTREITO)"/>
    <s v="ENTR BR-226(B) (PORTO FRANCO)"/>
    <n v="128.80000000000001"/>
    <n v="156.4"/>
    <n v="27.6"/>
    <x v="2"/>
    <m/>
    <s v="226BMA0930"/>
    <s v="Federal"/>
    <m/>
    <m/>
    <m/>
    <s v="Federal"/>
    <s v="PAV"/>
    <s v="Imperatriz"/>
  </r>
  <r>
    <x v="0"/>
    <s v="010BMA0400"/>
    <n v="0"/>
    <x v="2"/>
    <s v="0400"/>
    <n v="-47.3761021296095"/>
    <n v="-6.35271884010234"/>
    <n v="-47.365365700166798"/>
    <n v="-6.1691270000109704"/>
    <s v="010"/>
    <s v="MA"/>
    <s v="Eixo Principal"/>
    <s v="-"/>
    <s v="010BMA0400"/>
    <s v="ENTR BR-226(B) (PORTO FRANCO)"/>
    <s v="CAMPESTRE DO MARANHÃO"/>
    <n v="156.4"/>
    <n v="176.8"/>
    <n v="20.399999999999999"/>
    <x v="2"/>
    <m/>
    <m/>
    <s v="Federal"/>
    <m/>
    <m/>
    <m/>
    <s v="Federal"/>
    <s v="PAV"/>
    <s v="Imperatriz"/>
  </r>
  <r>
    <x v="0"/>
    <s v="010BMA0410"/>
    <n v="0"/>
    <x v="2"/>
    <s v="0410"/>
    <n v="-47.365365700166798"/>
    <n v="-6.1691270000109704"/>
    <n v="-47.383835790189501"/>
    <n v="-5.9345649399199898"/>
    <s v="010"/>
    <s v="MA"/>
    <s v="Eixo Principal"/>
    <s v="-"/>
    <s v="010BMA0410"/>
    <s v="CAMPESTRE DO MARANHÃO"/>
    <s v="RIBAMAR FIQUENE"/>
    <n v="176.8"/>
    <n v="203.5"/>
    <n v="26.7"/>
    <x v="2"/>
    <m/>
    <m/>
    <s v="Federal"/>
    <m/>
    <m/>
    <m/>
    <s v="Federal"/>
    <s v="PAV"/>
    <s v="Imperatriz"/>
  </r>
  <r>
    <x v="0"/>
    <s v="010BMA0420"/>
    <n v="0"/>
    <x v="2"/>
    <s v="0420"/>
    <n v="-47.383835790189501"/>
    <n v="-5.9345649399199898"/>
    <n v="-47.359415260305902"/>
    <n v="-5.7626178103636203"/>
    <s v="010"/>
    <s v="MA"/>
    <s v="Eixo Principal"/>
    <s v="-"/>
    <s v="010BMA0420"/>
    <s v="RIBAMAR FIQUENE"/>
    <s v="ENTR MA-280 (GOVERNADOR ÉDSON LOBÃO)"/>
    <n v="203.5"/>
    <n v="223.1"/>
    <n v="19.600000000000001"/>
    <x v="2"/>
    <m/>
    <m/>
    <s v="Federal"/>
    <m/>
    <m/>
    <m/>
    <s v="Federal"/>
    <s v="PAV"/>
    <s v="Imperatriz"/>
  </r>
  <r>
    <x v="0"/>
    <s v="010BMA0425"/>
    <n v="0"/>
    <x v="2"/>
    <s v="0425"/>
    <n v="-47.359415260305902"/>
    <n v="-5.7626178103636203"/>
    <n v="-47.440826670014701"/>
    <n v="-5.57833946019786"/>
    <s v="010"/>
    <s v="MA"/>
    <s v="Eixo Principal"/>
    <s v="-"/>
    <s v="010BMA0425"/>
    <s v="ENTR MA-280 (GOVERNADOR ÉDSON LOBÃO)"/>
    <s v="INÍCIO TRAV URB IMPERATRIZ"/>
    <n v="223.1"/>
    <n v="246.4"/>
    <n v="23.3"/>
    <x v="2"/>
    <m/>
    <m/>
    <s v="Federal"/>
    <m/>
    <m/>
    <m/>
    <s v="Federal"/>
    <s v="PAV"/>
    <s v="Imperatriz"/>
  </r>
  <r>
    <x v="0"/>
    <s v="010BMA0430"/>
    <n v="0"/>
    <x v="2"/>
    <s v="0430"/>
    <n v="-47.440826670014701"/>
    <n v="-5.57833946019786"/>
    <n v="-47.471526549710397"/>
    <n v="-5.5215094600934496"/>
    <s v="010"/>
    <s v="MA"/>
    <s v="Eixo Principal"/>
    <s v="-"/>
    <s v="010BMA0430"/>
    <s v="INÍCIO TRAV URB IMPERATRIZ"/>
    <s v="ENTR MA-122 (IMPERATRIZ)"/>
    <n v="246.4"/>
    <n v="253.6"/>
    <n v="7.2"/>
    <x v="2"/>
    <s v="EOD"/>
    <m/>
    <s v="Federal"/>
    <m/>
    <m/>
    <m/>
    <s v="Federal"/>
    <s v="PAV"/>
    <s v="Imperatriz"/>
  </r>
  <r>
    <x v="0"/>
    <s v="010BMA0440"/>
    <n v="0"/>
    <x v="2"/>
    <s v="0440"/>
    <n v="-47.471526549710397"/>
    <n v="-5.5215094600934496"/>
    <n v="-47.472420699755403"/>
    <n v="-5.4561554401213899"/>
    <s v="010"/>
    <s v="MA"/>
    <s v="Eixo Principal"/>
    <s v="-"/>
    <s v="010BMA0440"/>
    <s v="ENTR MA-122 (IMPERATRIZ)"/>
    <s v="FIM TRAV URB IMPERATRIZ"/>
    <n v="253.6"/>
    <n v="260.8"/>
    <n v="7.2"/>
    <x v="2"/>
    <s v="EOD"/>
    <m/>
    <s v="Federal"/>
    <m/>
    <m/>
    <m/>
    <s v="Federal"/>
    <s v="PAV"/>
    <s v="Imperatriz"/>
  </r>
  <r>
    <x v="0"/>
    <s v="010BMA0450"/>
    <n v="0"/>
    <x v="2"/>
    <s v="0450"/>
    <n v="-47.472420699755403"/>
    <n v="-5.4561554401213899"/>
    <n v="-47.538847910402602"/>
    <n v="-5.1557687196506601"/>
    <s v="010"/>
    <s v="MA"/>
    <s v="Eixo Principal"/>
    <s v="-"/>
    <s v="010BMA0450"/>
    <s v="FIM TRAV URB IMPERATRIZ"/>
    <s v="ENTR MA-125 (P/CIDELÂNDIA)"/>
    <n v="260.8"/>
    <n v="295.2"/>
    <n v="34.4"/>
    <x v="2"/>
    <m/>
    <m/>
    <s v="Federal"/>
    <m/>
    <m/>
    <m/>
    <s v="Federal"/>
    <s v="PAV"/>
    <s v="Imperatriz"/>
  </r>
  <r>
    <x v="0"/>
    <s v="010BMA0460"/>
    <n v="0"/>
    <x v="2"/>
    <s v="0460"/>
    <n v="-47.538847910402602"/>
    <n v="-5.1557687196506601"/>
    <n v="-47.503507320306497"/>
    <n v="-4.9541285203148897"/>
    <s v="010"/>
    <s v="MA"/>
    <s v="Eixo Principal"/>
    <s v="-"/>
    <s v="010BMA0460"/>
    <s v="ENTR MA-125 (P/CIDELÂNDIA)"/>
    <s v="ENTR BR-222(A) (AÇAILÂNDIA)"/>
    <n v="295.2"/>
    <n v="319.8"/>
    <n v="24.6"/>
    <x v="2"/>
    <m/>
    <m/>
    <s v="Federal"/>
    <m/>
    <m/>
    <m/>
    <s v="Federal"/>
    <s v="PAV"/>
    <s v="Imperatriz"/>
  </r>
  <r>
    <x v="0"/>
    <s v="010BMA0470"/>
    <n v="0"/>
    <x v="2"/>
    <s v="0470"/>
    <n v="-47.503507320306497"/>
    <n v="-4.9541285203148897"/>
    <n v="-47.531781400191399"/>
    <n v="-4.4438006700648298"/>
    <s v="010"/>
    <s v="MA"/>
    <s v="Eixo Principal"/>
    <s v="-"/>
    <s v="010BMA0470"/>
    <s v="ENTR BR-222(A) (AÇAILÂNDIA)"/>
    <s v="DIV MA/PA (RIO ITINGA)"/>
    <n v="319.8"/>
    <n v="378.7"/>
    <n v="58.9"/>
    <x v="2"/>
    <m/>
    <s v="222BMA0690"/>
    <s v="Federal"/>
    <m/>
    <m/>
    <m/>
    <s v="Federal"/>
    <s v="PAV"/>
    <s v="Imperatriz"/>
  </r>
  <r>
    <x v="0"/>
    <s v="010BPA0490"/>
    <n v="0"/>
    <x v="3"/>
    <s v="0490"/>
    <n v="-47.531781400191399"/>
    <n v="-4.4438006700648298"/>
    <n v="-47.556904180083698"/>
    <n v="-4.2930949004093"/>
    <s v="010"/>
    <s v="PA"/>
    <s v="Eixo Principal"/>
    <s v="-"/>
    <s v="010BPA0490"/>
    <s v="DIV MA/PA (RIO ITINGA)"/>
    <s v="ENTR BR-222(B)/PA-332 (DOM ELISEU)"/>
    <n v="0"/>
    <n v="18"/>
    <n v="18"/>
    <x v="2"/>
    <m/>
    <s v="222BPA0710"/>
    <s v="Federal"/>
    <m/>
    <m/>
    <m/>
    <s v="Federal"/>
    <s v="PAV"/>
    <s v="São Miguel do Guamá"/>
  </r>
  <r>
    <x v="0"/>
    <s v="010BPA0510"/>
    <n v="0"/>
    <x v="3"/>
    <s v="0510"/>
    <n v="-47.556904180083698"/>
    <n v="-4.2930949004093"/>
    <n v="-47.488566420004197"/>
    <n v="-3.7170201595526402"/>
    <s v="010"/>
    <s v="PA"/>
    <s v="Eixo Principal"/>
    <s v="-"/>
    <s v="010BPA0510"/>
    <s v="ENTR BR-222(B)/PA-332 (DOM ELISEU)"/>
    <s v="ENTR PA-125/263 (GURUPIZINHO)"/>
    <n v="18"/>
    <n v="83.5"/>
    <n v="65.5"/>
    <x v="2"/>
    <m/>
    <m/>
    <s v="Federal"/>
    <m/>
    <m/>
    <m/>
    <s v="Federal"/>
    <s v="PAV"/>
    <s v="São Miguel do Guamá"/>
  </r>
  <r>
    <x v="0"/>
    <s v="010BPA0530"/>
    <n v="0"/>
    <x v="3"/>
    <s v="0530"/>
    <n v="-47.488566420004197"/>
    <n v="-3.7170201595526402"/>
    <n v="-47.4551433302004"/>
    <n v="-2.9847697700088198"/>
    <s v="010"/>
    <s v="PA"/>
    <s v="Eixo Principal"/>
    <s v="-"/>
    <s v="010BPA0530"/>
    <s v="ENTR PA-125/263 (GURUPIZINHO)"/>
    <s v="ENTR PA-256 (P/PARAGOMINAS)"/>
    <n v="83.5"/>
    <n v="165.8"/>
    <n v="82.3"/>
    <x v="2"/>
    <m/>
    <m/>
    <s v="Federal"/>
    <m/>
    <m/>
    <m/>
    <s v="Federal"/>
    <s v="PAV"/>
    <s v="São Miguel do Guamá"/>
  </r>
  <r>
    <x v="0"/>
    <s v="010BPA0550"/>
    <n v="0"/>
    <x v="3"/>
    <s v="0550"/>
    <n v="-47.4551433302004"/>
    <n v="-2.9847697700088198"/>
    <n v="-47.433505520363397"/>
    <n v="-2.8934236296967102"/>
    <s v="010"/>
    <s v="PA"/>
    <s v="Eixo Principal"/>
    <s v="-"/>
    <s v="010BPA0550"/>
    <s v="ENTR PA-256 (P/PARAGOMINAS)"/>
    <s v="ENTR PA-125"/>
    <n v="165.8"/>
    <n v="176.1"/>
    <n v="10.3"/>
    <x v="2"/>
    <m/>
    <m/>
    <s v="Federal"/>
    <m/>
    <m/>
    <m/>
    <s v="Federal"/>
    <s v="PAV"/>
    <s v="São Miguel do Guamá"/>
  </r>
  <r>
    <x v="0"/>
    <s v="010BPA0570"/>
    <n v="0"/>
    <x v="3"/>
    <s v="0570"/>
    <n v="-47.433505520363397"/>
    <n v="-2.8934236296967102"/>
    <n v="-47.552584739893803"/>
    <n v="-2.0523890996771499"/>
    <s v="010"/>
    <s v="PA"/>
    <s v="Eixo Principal"/>
    <s v="-"/>
    <s v="010BPA0570"/>
    <s v="ENTR PA-125"/>
    <s v="ENTR PA-252 (MÃE DO RIO)"/>
    <n v="176.1"/>
    <n v="272"/>
    <n v="95.9"/>
    <x v="2"/>
    <m/>
    <m/>
    <s v="Federal"/>
    <m/>
    <m/>
    <m/>
    <s v="Federal"/>
    <s v="PAV"/>
    <s v="São Miguel do Guamá"/>
  </r>
  <r>
    <x v="0"/>
    <s v="010BPA0590"/>
    <n v="0"/>
    <x v="3"/>
    <s v="0590"/>
    <n v="-47.552584739893803"/>
    <n v="-2.0523890996771499"/>
    <n v="-47.514523230262697"/>
    <n v="-1.8119629598226601"/>
    <s v="010"/>
    <s v="PA"/>
    <s v="Eixo Principal"/>
    <s v="-"/>
    <s v="010BPA0590"/>
    <s v="ENTR PA-252 (MÃE DO RIO)"/>
    <s v="ENTR PA-253(A) (P/SÃO DOMINGOS DO CAPIM)"/>
    <n v="272"/>
    <n v="299.60000000000002"/>
    <n v="27.6"/>
    <x v="2"/>
    <m/>
    <m/>
    <s v="Federal"/>
    <m/>
    <m/>
    <m/>
    <s v="Federal"/>
    <s v="PAV"/>
    <s v="São Miguel do Guamá"/>
  </r>
  <r>
    <x v="0"/>
    <s v="010BPA0610"/>
    <n v="0"/>
    <x v="3"/>
    <s v="0610"/>
    <n v="-47.514523230262697"/>
    <n v="-1.8119629598226601"/>
    <n v="-47.503519720158899"/>
    <n v="-1.74403256025442"/>
    <s v="010"/>
    <s v="PA"/>
    <s v="Eixo Principal"/>
    <s v="-"/>
    <s v="010BPA0610"/>
    <s v="ENTR PA-253(A) (P/SÃO DOMINGOS DO CAPIM)"/>
    <s v="ENTR PA-253(B) (P/IRITUIA)"/>
    <n v="299.60000000000002"/>
    <n v="307.39999999999998"/>
    <n v="7.8"/>
    <x v="2"/>
    <m/>
    <m/>
    <s v="Federal"/>
    <m/>
    <m/>
    <m/>
    <s v="Federal"/>
    <s v="PAV"/>
    <s v="São Miguel do Guamá"/>
  </r>
  <r>
    <x v="0"/>
    <s v="010BPA0630"/>
    <n v="0"/>
    <x v="3"/>
    <s v="0630"/>
    <n v="-47.503519720158899"/>
    <n v="-1.74403256025442"/>
    <n v="-47.502145049754098"/>
    <n v="-1.69218803015343"/>
    <s v="010"/>
    <s v="PA"/>
    <s v="Eixo Principal"/>
    <s v="-"/>
    <s v="010BPA0630"/>
    <s v="ENTR PA-253(B) (P/IRITUIA)"/>
    <s v="ENTR PA-432 (P/VILA CONCEIÇÃO)"/>
    <n v="307.39999999999998"/>
    <n v="313.10000000000002"/>
    <n v="5.7"/>
    <x v="2"/>
    <m/>
    <m/>
    <s v="Federal"/>
    <m/>
    <m/>
    <m/>
    <s v="Federal"/>
    <s v="PAV"/>
    <s v="São Miguel do Guamá"/>
  </r>
  <r>
    <x v="0"/>
    <s v="010BPA0650"/>
    <n v="0"/>
    <x v="3"/>
    <s v="0650"/>
    <n v="-47.502145049754098"/>
    <n v="-1.69218803015343"/>
    <n v="-47.478770860386803"/>
    <n v="-1.6219454304372201"/>
    <s v="010"/>
    <s v="PA"/>
    <s v="Eixo Principal"/>
    <s v="-"/>
    <s v="010BPA0650"/>
    <s v="ENTR PA-432 (P/VILA CONCEIÇÃO)"/>
    <s v="ENTR PA-251/322 (SÃO MIGUEL DO GUAMA)"/>
    <n v="313.10000000000002"/>
    <n v="321.7"/>
    <n v="8.6"/>
    <x v="2"/>
    <m/>
    <m/>
    <s v="Federal"/>
    <m/>
    <m/>
    <m/>
    <s v="Federal"/>
    <s v="PAV"/>
    <s v="São Miguel do Guamá"/>
  </r>
  <r>
    <x v="0"/>
    <s v="010BPA0670"/>
    <n v="0"/>
    <x v="3"/>
    <s v="0670"/>
    <n v="-47.478770860386803"/>
    <n v="-1.6219454304372201"/>
    <n v="-47.57636685005"/>
    <n v="-1.35049274024771"/>
    <s v="010"/>
    <s v="PA"/>
    <s v="Eixo Principal"/>
    <s v="-"/>
    <s v="010BPA0670"/>
    <s v="ENTR PA-251/322 (SÃO MIGUEL DO GUAMA)"/>
    <s v="SANTA MARIA DO PARÁ"/>
    <n v="321.7"/>
    <n v="353.7"/>
    <n v="32"/>
    <x v="2"/>
    <m/>
    <m/>
    <s v="Federal"/>
    <m/>
    <m/>
    <m/>
    <s v="Federal"/>
    <s v="PAV"/>
    <s v="São Miguel do Guamá"/>
  </r>
  <r>
    <x v="0"/>
    <s v="010BPA0690"/>
    <n v="0"/>
    <x v="3"/>
    <s v="0690"/>
    <n v="-47.57636685005"/>
    <n v="-1.35049274024771"/>
    <n v="-47.5821997296337"/>
    <n v="-1.33893420005324"/>
    <s v="010"/>
    <s v="PA"/>
    <s v="Eixo Principal"/>
    <s v="-"/>
    <s v="010BPA0690"/>
    <s v="SANTA MARIA DO PARÁ"/>
    <s v="ENTR BR-316(A)/308(A)"/>
    <n v="353.7"/>
    <n v="355"/>
    <n v="1.3"/>
    <x v="2"/>
    <m/>
    <m/>
    <s v="Federal"/>
    <m/>
    <m/>
    <m/>
    <s v="Federal"/>
    <s v="PAV"/>
    <s v="São Miguel do Guamá"/>
  </r>
  <r>
    <x v="0"/>
    <s v="010BPA0710"/>
    <n v="0"/>
    <x v="3"/>
    <s v="0710"/>
    <n v="-47.5821997296337"/>
    <n v="-1.33893420005324"/>
    <n v="-47.645253690305502"/>
    <n v="-1.32770564989579"/>
    <s v="010"/>
    <s v="PA"/>
    <s v="Eixo Principal"/>
    <s v="-"/>
    <s v="010BPA0710"/>
    <s v="ENTR BR-316(A)/308(A)"/>
    <s v="ENTR PA-424 (P/COLÔNIA DO PRATA)"/>
    <n v="355"/>
    <n v="362.2"/>
    <n v="7.2"/>
    <x v="2"/>
    <m/>
    <s v="308BPA0140;316BPA0140"/>
    <s v="Federal"/>
    <m/>
    <m/>
    <m/>
    <s v="Federal"/>
    <s v="PAV"/>
    <s v="Capanema"/>
  </r>
  <r>
    <x v="0"/>
    <s v="010BPA0730"/>
    <n v="0"/>
    <x v="3"/>
    <s v="0730"/>
    <n v="-47.645253690305502"/>
    <n v="-1.32770564989579"/>
    <n v="-47.728935620182703"/>
    <n v="-1.31296585958671"/>
    <s v="010"/>
    <s v="PA"/>
    <s v="Eixo Principal"/>
    <s v="-"/>
    <s v="010BPA0730"/>
    <s v="ENTR PA-424 (P/COLÔNIA DO PRATA)"/>
    <s v="ENTR PA-127(A) (P/IGARAPÉ AÇU)"/>
    <n v="362.2"/>
    <n v="371.7"/>
    <n v="9.5"/>
    <x v="2"/>
    <m/>
    <s v="308BPA0130;316BPA0130"/>
    <s v="Federal"/>
    <m/>
    <m/>
    <m/>
    <s v="Federal"/>
    <s v="PAV"/>
    <s v="Capanema"/>
  </r>
  <r>
    <x v="0"/>
    <s v="010BPA0750"/>
    <n v="0"/>
    <x v="3"/>
    <s v="0750"/>
    <n v="-47.728935620182703"/>
    <n v="-1.31296585958671"/>
    <n v="-47.779755430368702"/>
    <n v="-1.3040598796596901"/>
    <s v="010"/>
    <s v="PA"/>
    <s v="Eixo Principal"/>
    <s v="-"/>
    <s v="010BPA0750"/>
    <s v="ENTR PA-127(A) (P/IGARAPÉ AÇU)"/>
    <s v="ENTR PA-127(B) (BARRO BRANCO)"/>
    <n v="371.7"/>
    <n v="377.5"/>
    <n v="5.8"/>
    <x v="2"/>
    <m/>
    <s v="316BPA0120;308BPA0120"/>
    <s v="Federal"/>
    <m/>
    <m/>
    <m/>
    <s v="Federal"/>
    <s v="PAV"/>
    <s v="Capanema"/>
  </r>
  <r>
    <x v="0"/>
    <s v="010BPA0770"/>
    <n v="0"/>
    <x v="3"/>
    <s v="0770"/>
    <n v="-47.779755430368702"/>
    <n v="-1.3040598796596901"/>
    <n v="-47.887399129765903"/>
    <n v="-1.29461574991688"/>
    <s v="010"/>
    <s v="PA"/>
    <s v="Eixo Principal"/>
    <s v="-"/>
    <s v="010BPA0770"/>
    <s v="ENTR PA-127(B) (BARRO BRANCO)"/>
    <s v="INÍCIO PISTA DUPLA"/>
    <n v="377.5"/>
    <n v="389.9"/>
    <n v="12.4"/>
    <x v="2"/>
    <m/>
    <s v="308BPA0110;316BPA0110"/>
    <s v="Federal"/>
    <m/>
    <m/>
    <m/>
    <s v="Federal"/>
    <s v="PAV"/>
    <s v="Capanema"/>
  </r>
  <r>
    <x v="0"/>
    <s v="010BPA0780"/>
    <n v="0"/>
    <x v="3"/>
    <s v="0780"/>
    <n v="-47.887399129765903"/>
    <n v="-1.29461574991688"/>
    <n v="-47.918950810431497"/>
    <n v="-1.2962455696772399"/>
    <s v="010"/>
    <s v="PA"/>
    <s v="Eixo Principal"/>
    <s v="-"/>
    <s v="010BPA0780"/>
    <s v="INÍCIO PISTA DUPLA"/>
    <s v="ENTR PA-136/320 (CASTANHAL)"/>
    <n v="389.9"/>
    <n v="393.4"/>
    <n v="3.5"/>
    <x v="0"/>
    <m/>
    <s v="316BPA0105;308BPA0105"/>
    <s v="Federal"/>
    <m/>
    <m/>
    <m/>
    <s v="Federal"/>
    <s v="PAV"/>
    <s v="Capanema"/>
  </r>
  <r>
    <x v="0"/>
    <s v="010BPA0790"/>
    <n v="0"/>
    <x v="3"/>
    <s v="0790"/>
    <n v="-47.918950810431497"/>
    <n v="-1.2962455696772399"/>
    <n v="-48.039251259837698"/>
    <n v="-1.30695194017982"/>
    <s v="010"/>
    <s v="PA"/>
    <s v="Eixo Principal"/>
    <s v="-"/>
    <s v="010BPA0790"/>
    <s v="ENTR PA-136/320 (CASTANHAL)"/>
    <s v="ACESSO AMERICANO I"/>
    <n v="393.4"/>
    <n v="407"/>
    <n v="13.6"/>
    <x v="0"/>
    <m/>
    <s v="316BPA0100;308BPA0100"/>
    <s v="Federal"/>
    <m/>
    <m/>
    <m/>
    <s v="Federal"/>
    <s v="PAV"/>
    <s v="Capanema"/>
  </r>
  <r>
    <x v="0"/>
    <s v="010BPA0810"/>
    <n v="0"/>
    <x v="3"/>
    <s v="0810"/>
    <n v="-48.039251259837698"/>
    <n v="-1.30695194017982"/>
    <n v="-48.057498989786403"/>
    <n v="-1.29031798968344"/>
    <s v="010"/>
    <s v="PA"/>
    <s v="Eixo Principal"/>
    <s v="-"/>
    <s v="010BPA0810"/>
    <s v="ACESSO AMERICANO I"/>
    <s v="ACESSO AMERICANO II"/>
    <n v="407"/>
    <n v="409.7"/>
    <n v="2.7"/>
    <x v="0"/>
    <m/>
    <s v="316BPA0090;308BPA0090"/>
    <s v="Federal"/>
    <m/>
    <m/>
    <m/>
    <s v="Federal"/>
    <s v="PAV"/>
    <s v="Capanema"/>
  </r>
  <r>
    <x v="0"/>
    <s v="010BPA0830"/>
    <n v="0"/>
    <x v="3"/>
    <s v="0830"/>
    <n v="-48.057498989786403"/>
    <n v="-1.29031798968344"/>
    <n v="-48.155209490125699"/>
    <n v="-1.2897627401582601"/>
    <s v="010"/>
    <s v="PA"/>
    <s v="Eixo Principal"/>
    <s v="-"/>
    <s v="010BPA0830"/>
    <s v="ACESSO AMERICANO II"/>
    <s v="ENTR PA-140 (SANTA IZABEL DO PARÁ)"/>
    <n v="409.7"/>
    <n v="421.4"/>
    <n v="11.7"/>
    <x v="0"/>
    <m/>
    <s v="316BPA0080;308BPA0080"/>
    <s v="Federal"/>
    <m/>
    <m/>
    <m/>
    <s v="Federal"/>
    <s v="PAV"/>
    <s v="Capanema"/>
  </r>
  <r>
    <x v="0"/>
    <s v="010BPA0850"/>
    <n v="0"/>
    <x v="3"/>
    <s v="0850"/>
    <n v="-48.155209490125699"/>
    <n v="-1.2897627401582601"/>
    <n v="-48.233221350085202"/>
    <n v="-1.3264817301476901"/>
    <s v="010"/>
    <s v="PA"/>
    <s v="Eixo Principal"/>
    <s v="-"/>
    <s v="010BPA0850"/>
    <s v="ENTR PA-140 (SANTA IZABEL DO PARÁ)"/>
    <s v="ENTR PA-406 (CAJUEIRO)"/>
    <n v="421.4"/>
    <n v="431.6"/>
    <n v="10.199999999999999"/>
    <x v="0"/>
    <m/>
    <s v="308BPA0070;316BPA0070"/>
    <s v="Federal"/>
    <m/>
    <m/>
    <m/>
    <s v="Federal"/>
    <s v="PAV"/>
    <s v="Capanema"/>
  </r>
  <r>
    <x v="0"/>
    <s v="010BPA0870"/>
    <n v="0"/>
    <x v="3"/>
    <s v="0870"/>
    <n v="-48.233221350085202"/>
    <n v="-1.3264817301476901"/>
    <n v="-48.244883660352599"/>
    <n v="-1.34114699993404"/>
    <s v="010"/>
    <s v="PA"/>
    <s v="Eixo Principal"/>
    <s v="-"/>
    <s v="010BPA0870"/>
    <s v="ENTR PA-406 (CAJUEIRO)"/>
    <s v="ENTR PA-391 (P/BENEVIDES)"/>
    <n v="431.6"/>
    <n v="433.6"/>
    <n v="2"/>
    <x v="0"/>
    <m/>
    <s v="316BPA0060;308BPA0060"/>
    <s v="Federal"/>
    <m/>
    <m/>
    <m/>
    <s v="Federal"/>
    <s v="PAV"/>
    <s v="Capanema"/>
  </r>
  <r>
    <x v="0"/>
    <s v="010BPA0890"/>
    <n v="0"/>
    <x v="3"/>
    <s v="0890"/>
    <n v="-48.244883660352599"/>
    <n v="-1.34114699993404"/>
    <n v="-48.266670639838097"/>
    <n v="-1.3642523999282601"/>
    <s v="010"/>
    <s v="PA"/>
    <s v="Eixo Principal"/>
    <s v="-"/>
    <s v="010BPA0890"/>
    <s v="ENTR PA-391 (P/BENEVIDES)"/>
    <s v="ENTR PA-406 (CANUTAMA)"/>
    <n v="433.6"/>
    <n v="437.1"/>
    <n v="3.5"/>
    <x v="0"/>
    <m/>
    <s v="308BPA0050;316BPA0050"/>
    <s v="Federal"/>
    <m/>
    <m/>
    <m/>
    <s v="Federal"/>
    <s v="PAV"/>
    <s v="Capanema"/>
  </r>
  <r>
    <x v="0"/>
    <s v="010BPA0910"/>
    <n v="0"/>
    <x v="3"/>
    <s v="0910"/>
    <n v="-48.266670639838097"/>
    <n v="-1.3642523999282601"/>
    <n v="-48.287546890276701"/>
    <n v="-1.3646369401426399"/>
    <s v="010"/>
    <s v="PA"/>
    <s v="Eixo Principal"/>
    <s v="-"/>
    <s v="010BPA0910"/>
    <s v="ENTR PA-406 (CANUTAMA)"/>
    <s v="ENTR PA-404 (P/BENFICA)"/>
    <n v="437.1"/>
    <n v="439.5"/>
    <n v="2.4"/>
    <x v="0"/>
    <m/>
    <s v="316BPA0040;308BPA0040"/>
    <s v="Federal"/>
    <m/>
    <m/>
    <m/>
    <s v="Federal"/>
    <s v="PAV"/>
    <s v="Capanema"/>
  </r>
  <r>
    <x v="0"/>
    <s v="010BPA0930"/>
    <n v="0"/>
    <x v="3"/>
    <s v="0930"/>
    <n v="-48.287546890276701"/>
    <n v="-1.3646369401426399"/>
    <n v="-48.362370050137599"/>
    <n v="-1.3658630398473399"/>
    <s v="010"/>
    <s v="PA"/>
    <s v="Eixo Principal"/>
    <s v="-"/>
    <s v="010BPA0930"/>
    <s v="ENTR PA-404 (P/BENFICA)"/>
    <s v="ACESSO ALÇA VIÁRIA"/>
    <n v="439.5"/>
    <n v="447.9"/>
    <n v="8.4"/>
    <x v="0"/>
    <m/>
    <s v="308BPA0030;316BPA0030"/>
    <s v="Convênio de Administração"/>
    <m/>
    <m/>
    <m/>
    <s v="Federal"/>
    <s v="PAV"/>
    <s v="Capanema"/>
  </r>
  <r>
    <x v="0"/>
    <s v="010BPA0940"/>
    <n v="0"/>
    <x v="3"/>
    <s v="0940"/>
    <n v="-48.362370050137599"/>
    <n v="-1.3658630398473399"/>
    <n v="-48.424841869756399"/>
    <n v="-1.39873005994428"/>
    <s v="010"/>
    <s v="PA"/>
    <s v="Eixo Principal"/>
    <s v="-"/>
    <s v="010BPA0940"/>
    <s v="ACESSO ALÇA VIÁRIA"/>
    <s v="DIV MUN BELÉM/ANANINDEUA (ALAM M BONITA)"/>
    <n v="447.9"/>
    <n v="455.8"/>
    <n v="7.9"/>
    <x v="0"/>
    <m/>
    <s v="308BPA0020;316BPA0020"/>
    <s v="Convênio de Administração"/>
    <m/>
    <m/>
    <m/>
    <s v="Federal"/>
    <s v="PAV"/>
    <s v="Capanema"/>
  </r>
  <r>
    <x v="0"/>
    <s v="010BPA0970"/>
    <n v="0"/>
    <x v="3"/>
    <s v="0970"/>
    <n v="-48.424841869756399"/>
    <n v="-1.39873005994428"/>
    <n v="-48.4358404299917"/>
    <n v="-1.4073436999517499"/>
    <s v="010"/>
    <s v="PA"/>
    <s v="Eixo Principal"/>
    <s v="-"/>
    <s v="010BPA0970"/>
    <s v="DIV MUN BELÉM/ANANINDEUA (ALAM M BONITA)"/>
    <s v="ENTR BR-308(B)/316(B) (2º UNIT BELÉM)"/>
    <n v="455.8"/>
    <n v="457.5"/>
    <n v="1.7"/>
    <x v="0"/>
    <m/>
    <s v="316BPA0010;308BPA0010"/>
    <s v="Convênio de Administração"/>
    <m/>
    <m/>
    <m/>
    <s v="Federal"/>
    <s v="PAV"/>
    <s v="Capanema"/>
  </r>
  <r>
    <x v="0"/>
    <s v="010BTO0185"/>
    <n v="0"/>
    <x v="4"/>
    <s v="0185"/>
    <n v="-47.6094402402748"/>
    <n v="-13.1078581301485"/>
    <n v="-47.862553789825398"/>
    <n v="-12.624262080030899"/>
    <s v="010"/>
    <s v="TO"/>
    <s v="Eixo Principal"/>
    <s v="-"/>
    <s v="010BTO0185"/>
    <s v="DIV GO/TO (RIO PARANÃ)"/>
    <s v="ENTR BR-242(A)/TO-130/296/387(A) (PARANÃ)"/>
    <n v="0"/>
    <n v="92.1"/>
    <n v="92.1"/>
    <x v="1"/>
    <m/>
    <m/>
    <s v="Federal"/>
    <m/>
    <m/>
    <m/>
    <s v="Federal"/>
    <s v="PLA"/>
    <s v="Gurupi"/>
  </r>
  <r>
    <x v="0"/>
    <s v="010BTO0190"/>
    <n v="0"/>
    <x v="4"/>
    <s v="0190"/>
    <n v="-47.862553789825398"/>
    <n v="-12.624262080030899"/>
    <n v="-47.8700224930435"/>
    <n v="-12.620802377327699"/>
    <s v="010"/>
    <s v="TO"/>
    <s v="Eixo Principal"/>
    <s v="-"/>
    <s v="010BTO0190"/>
    <s v="ENTR BR-242(A)/TO-130/296/387(A) (PARANÃ)"/>
    <s v="ACESSO A PARANÃ"/>
    <n v="92.1"/>
    <n v="93"/>
    <n v="0.9"/>
    <x v="2"/>
    <m/>
    <s v="242BTO0400"/>
    <s v="Federal"/>
    <m/>
    <m/>
    <m/>
    <s v="Federal"/>
    <s v="PAV"/>
    <s v="Gurupi"/>
  </r>
  <r>
    <x v="0"/>
    <s v="010BTO0195"/>
    <n v="0"/>
    <x v="4"/>
    <s v="0195"/>
    <n v="-47.8700224930435"/>
    <n v="-12.620802377327699"/>
    <n v="-47.8553409895949"/>
    <n v="-12.5898868797756"/>
    <s v="010"/>
    <s v="TO"/>
    <s v="Eixo Principal"/>
    <s v="-"/>
    <s v="010BTO0195"/>
    <s v="ACESSO A PARANÃ"/>
    <s v="ENTR BR-242(B)"/>
    <n v="93"/>
    <n v="96.8"/>
    <n v="3.8"/>
    <x v="2"/>
    <m/>
    <s v="242BTO0410"/>
    <s v="Federal"/>
    <m/>
    <m/>
    <m/>
    <s v="Federal"/>
    <s v="PAV"/>
    <s v="Gurupi"/>
  </r>
  <r>
    <x v="0"/>
    <s v="010BTO0200"/>
    <n v="0"/>
    <x v="4"/>
    <s v="0200"/>
    <n v="-47.8553409895949"/>
    <n v="-12.5898868797756"/>
    <n v="-47.715426079949502"/>
    <n v="-12.283367270383099"/>
    <s v="010"/>
    <s v="TO"/>
    <s v="Eixo Principal"/>
    <s v="-"/>
    <s v="010BTO0200"/>
    <s v="ENTR BR-242(B)"/>
    <s v="FIM DA PAVIMENTAÇÃO"/>
    <n v="96.8"/>
    <n v="134.6"/>
    <n v="37.799999999999997"/>
    <x v="2"/>
    <m/>
    <m/>
    <m/>
    <s v="MP082/2004"/>
    <m/>
    <m/>
    <m/>
    <s v="PAV"/>
    <s v="Gurupi"/>
  </r>
  <r>
    <x v="0"/>
    <s v="010BTO0205"/>
    <n v="0"/>
    <x v="4"/>
    <s v="0205"/>
    <n v="-47.715426079949502"/>
    <n v="-12.283367270383099"/>
    <n v="-47.7131212704302"/>
    <n v="-12.2766820196594"/>
    <s v="010"/>
    <s v="TO"/>
    <s v="Eixo Principal"/>
    <s v="-"/>
    <s v="010BTO0205"/>
    <s v="FIM DA PAVIMENTAÇÃO"/>
    <s v="ENTR TO-387(B)"/>
    <n v="134.6"/>
    <n v="135.30000000000001"/>
    <n v="0.7"/>
    <x v="3"/>
    <m/>
    <m/>
    <m/>
    <s v="MP082/2004"/>
    <m/>
    <m/>
    <m/>
    <s v="N_PAV"/>
    <s v="Gurupi"/>
  </r>
  <r>
    <x v="0"/>
    <s v="010BTO0210"/>
    <n v="0"/>
    <x v="4"/>
    <s v="0210"/>
    <n v="-47.7131212704302"/>
    <n v="-12.2766820196594"/>
    <n v="-47.730064569724"/>
    <n v="-12.222292079915499"/>
    <s v="010"/>
    <s v="TO"/>
    <s v="Eixo Principal"/>
    <s v="-"/>
    <s v="010BTO0210"/>
    <s v="ENTR TO-387(B)"/>
    <s v="INÍCIO DA PAVIMENTAÇÃO"/>
    <n v="135.30000000000001"/>
    <n v="141.69999999999999"/>
    <n v="6.4"/>
    <x v="3"/>
    <m/>
    <m/>
    <m/>
    <s v="MP082/2004"/>
    <m/>
    <m/>
    <m/>
    <s v="N_PAV"/>
    <s v="Gurupi"/>
  </r>
  <r>
    <x v="0"/>
    <s v="010BTO0215"/>
    <n v="0"/>
    <x v="4"/>
    <s v="0215"/>
    <n v="-47.730064569724"/>
    <n v="-12.222292079915499"/>
    <n v="-47.609645800113498"/>
    <n v="-11.942471090168601"/>
    <s v="010"/>
    <s v="TO"/>
    <s v="Eixo Principal"/>
    <s v="-"/>
    <s v="010BTO0215"/>
    <s v="INÍCIO DA PAVIMENTAÇÃO"/>
    <s v="ENTR TO-050(A) (PRÍNCIPE)"/>
    <n v="141.69999999999999"/>
    <n v="181.4"/>
    <n v="39.700000000000003"/>
    <x v="2"/>
    <m/>
    <m/>
    <m/>
    <s v="MP082/2004"/>
    <m/>
    <m/>
    <m/>
    <s v="PAV"/>
    <s v="Gurupi"/>
  </r>
  <r>
    <x v="0"/>
    <s v="010BTO0220"/>
    <n v="0"/>
    <x v="4"/>
    <s v="0220"/>
    <n v="-47.609645800113498"/>
    <n v="-11.942471090168601"/>
    <n v="-47.6165714297276"/>
    <n v="-11.833861669979999"/>
    <s v="010"/>
    <s v="TO"/>
    <s v="Eixo Principal"/>
    <s v="-"/>
    <s v="010BTO0220"/>
    <s v="ENTR TO-050(A) (PRÍNCIPE)"/>
    <s v="BONFIM"/>
    <n v="181.4"/>
    <n v="194.3"/>
    <n v="12.9"/>
    <x v="2"/>
    <m/>
    <m/>
    <m/>
    <s v="MP082/2003"/>
    <m/>
    <m/>
    <m/>
    <s v="PAV"/>
    <s v="Gurupi"/>
  </r>
  <r>
    <x v="0"/>
    <s v="010BTO0225"/>
    <n v="0"/>
    <x v="4"/>
    <s v="0225"/>
    <n v="-47.6165714297276"/>
    <n v="-11.833861669979999"/>
    <n v="-47.731979259634997"/>
    <n v="-11.712500189631999"/>
    <s v="010"/>
    <s v="TO"/>
    <s v="Eixo Principal"/>
    <s v="-"/>
    <s v="010BTO0225"/>
    <s v="BONFIM"/>
    <s v="ENTR TO-280(A) (NATIVIDADE) (P/ S VALÉRIO DA NATIVIDADE)"/>
    <n v="194.3"/>
    <n v="216.6"/>
    <n v="22.3"/>
    <x v="2"/>
    <m/>
    <m/>
    <m/>
    <s v="MP082/2003"/>
    <m/>
    <m/>
    <m/>
    <s v="PAV"/>
    <s v="Gurupi"/>
  </r>
  <r>
    <x v="0"/>
    <s v="010BTO0230"/>
    <n v="0"/>
    <x v="4"/>
    <s v="0230"/>
    <n v="-47.731979259634997"/>
    <n v="-11.712500189631999"/>
    <n v="-47.722705369756902"/>
    <n v="-11.687609590410201"/>
    <s v="010"/>
    <s v="TO"/>
    <s v="Eixo Principal"/>
    <s v="-"/>
    <s v="010BTO0230"/>
    <s v="ENTR TO-280(A) (NATIVIDADE) (P/ S VALÉRIO DA NATIVIDADE)"/>
    <s v="ENTR TO-280(B) (NATIVIDADE) (P/ ALMAS)"/>
    <n v="216.6"/>
    <n v="219.6"/>
    <n v="3"/>
    <x v="1"/>
    <m/>
    <m/>
    <m/>
    <s v="MP082/2003"/>
    <s v="TO-280"/>
    <s v="PAV"/>
    <m/>
    <s v="PLA"/>
    <s v="Gurupi"/>
  </r>
  <r>
    <x v="0"/>
    <s v="010BTO0235"/>
    <n v="0"/>
    <x v="4"/>
    <s v="0235"/>
    <n v="-47.722705369756902"/>
    <n v="-11.687609590410201"/>
    <n v="-47.7550158695866"/>
    <n v="-11.6188749703035"/>
    <s v="010"/>
    <s v="TO"/>
    <s v="Eixo Principal"/>
    <s v="-"/>
    <s v="010BTO0235"/>
    <s v="ENTR TO-280(B) (NATIVIDADE) (P/ ALMAS)"/>
    <s v="CHAPADA DA NATIVIDADE"/>
    <n v="219.6"/>
    <n v="228.3"/>
    <n v="8.6999999999999993"/>
    <x v="2"/>
    <m/>
    <m/>
    <m/>
    <s v="MP082/2003"/>
    <m/>
    <m/>
    <m/>
    <s v="PAV"/>
    <s v="Gurupi"/>
  </r>
  <r>
    <x v="0"/>
    <s v="010BTO0240"/>
    <n v="0"/>
    <x v="4"/>
    <s v="0240"/>
    <n v="-47.7550158695866"/>
    <n v="-11.6188749703035"/>
    <n v="-47.801291849739002"/>
    <n v="-11.543657550355499"/>
    <s v="010"/>
    <s v="TO"/>
    <s v="Eixo Principal"/>
    <s v="-"/>
    <s v="010BTO0240"/>
    <s v="CHAPADA DA NATIVIDADE"/>
    <s v="ENTR TO-130(B)"/>
    <n v="228.3"/>
    <n v="238.3"/>
    <n v="10"/>
    <x v="2"/>
    <m/>
    <m/>
    <m/>
    <s v="MP082/2003"/>
    <m/>
    <m/>
    <m/>
    <s v="PAV"/>
    <s v="Gurupi"/>
  </r>
  <r>
    <x v="0"/>
    <s v="010BTO0245"/>
    <n v="0"/>
    <x v="4"/>
    <s v="0245"/>
    <n v="-47.801291849739002"/>
    <n v="-11.543657550355499"/>
    <n v="-48.112461019760097"/>
    <n v="-11.4466612196395"/>
    <s v="010"/>
    <s v="TO"/>
    <s v="Eixo Principal"/>
    <s v="-"/>
    <s v="010BTO0245"/>
    <s v="ENTR TO-130(B)"/>
    <s v="ENTR TO-373 (SANTA ROSA DO TOCANTINS)"/>
    <n v="238.3"/>
    <n v="279.89999999999998"/>
    <n v="41.6"/>
    <x v="2"/>
    <m/>
    <m/>
    <m/>
    <s v="MP082/2003"/>
    <m/>
    <m/>
    <m/>
    <s v="PAV"/>
    <s v="Gurupi"/>
  </r>
  <r>
    <x v="0"/>
    <s v="010BTO0250"/>
    <n v="0"/>
    <x v="4"/>
    <s v="0250"/>
    <n v="-48.112461019760097"/>
    <n v="-11.4466612196395"/>
    <n v="-48.176868929557401"/>
    <n v="-11.4064072500944"/>
    <s v="010"/>
    <s v="TO"/>
    <s v="Eixo Principal"/>
    <s v="-"/>
    <s v="010BTO0250"/>
    <s v="ENTR TO-373 (SANTA ROSA DO TOCANTINS)"/>
    <s v="ENTR TO-458 (P/IPUEIRAS)"/>
    <n v="279.89999999999998"/>
    <n v="288.2"/>
    <n v="8.3000000000000007"/>
    <x v="2"/>
    <m/>
    <m/>
    <m/>
    <s v="MP082/2003"/>
    <m/>
    <m/>
    <m/>
    <s v="PAV"/>
    <s v="Gurupi"/>
  </r>
  <r>
    <x v="0"/>
    <s v="010BTO0255"/>
    <n v="0"/>
    <x v="4"/>
    <s v="0255"/>
    <n v="-48.176868929557401"/>
    <n v="-11.4064072500944"/>
    <n v="-48.165873460291799"/>
    <n v="-11.1755154096084"/>
    <s v="010"/>
    <s v="TO"/>
    <s v="Eixo Principal"/>
    <s v="-"/>
    <s v="010BTO0255"/>
    <s v="ENTR TO-458 (P/IPUEIRAS)"/>
    <s v="ENTR TO-262(A)"/>
    <n v="288.2"/>
    <n v="318.39999999999998"/>
    <n v="30.2"/>
    <x v="2"/>
    <m/>
    <m/>
    <m/>
    <s v="MP082/2004"/>
    <m/>
    <m/>
    <m/>
    <s v="PAV"/>
    <s v="Gurupi"/>
  </r>
  <r>
    <x v="0"/>
    <s v="010BTO0260"/>
    <n v="0"/>
    <x v="4"/>
    <s v="0260"/>
    <n v="-48.165873460291799"/>
    <n v="-11.1755154096084"/>
    <n v="-48.182052289981101"/>
    <n v="-11.150781580205701"/>
    <s v="010"/>
    <s v="TO"/>
    <s v="Eixo Principal"/>
    <s v="-"/>
    <s v="010BTO0260"/>
    <s v="ENTR TO-262(A)"/>
    <s v="ENTR TO-262(B)/365(A) (SILVANÓPOLIS)"/>
    <n v="318.39999999999998"/>
    <n v="321.8"/>
    <n v="3.4"/>
    <x v="2"/>
    <m/>
    <m/>
    <m/>
    <s v="MP082/2004"/>
    <m/>
    <m/>
    <m/>
    <s v="PAV"/>
    <s v="Gurupi"/>
  </r>
  <r>
    <x v="0"/>
    <s v="010BTO0262"/>
    <n v="0"/>
    <x v="4"/>
    <s v="0262"/>
    <n v="-48.182052289981101"/>
    <n v="-11.150781580205701"/>
    <n v="-48.227865350405501"/>
    <n v="-11.074061070262101"/>
    <s v="010"/>
    <s v="TO"/>
    <s v="Eixo Principal"/>
    <s v="-"/>
    <s v="010BTO0262"/>
    <s v="ENTR TO-262(B)/365(A) (SILVANÓPOLIS)"/>
    <s v="ENTR TO-365(B) (P/MONTE DO CARMO)"/>
    <n v="321.8"/>
    <n v="332.3"/>
    <n v="10.5"/>
    <x v="1"/>
    <m/>
    <m/>
    <s v="Estadual"/>
    <m/>
    <s v="TO-050"/>
    <s v="PAV"/>
    <s v="Estadual"/>
    <s v="PLA"/>
    <s v="Paraíso de Tocantins"/>
  </r>
  <r>
    <x v="0"/>
    <s v="010BTO0264"/>
    <n v="0"/>
    <x v="4"/>
    <s v="0264"/>
    <n v="-48.227865350405501"/>
    <n v="-11.074061070262101"/>
    <n v="-48.351700559932802"/>
    <n v="-10.9044823997429"/>
    <s v="010"/>
    <s v="TO"/>
    <s v="Eixo Principal"/>
    <s v="-"/>
    <s v="010BTO0264"/>
    <s v="ENTR TO-365(B) (P/MONTE DO CARMO)"/>
    <s v="ENTR TO-458"/>
    <n v="332.3"/>
    <n v="356.1"/>
    <n v="23.8"/>
    <x v="1"/>
    <m/>
    <m/>
    <s v="Estadual"/>
    <m/>
    <s v="TO-050"/>
    <s v="PAV"/>
    <s v="Estadual"/>
    <s v="PLA"/>
    <s v="Paraíso de Tocantins"/>
  </r>
  <r>
    <x v="0"/>
    <s v="010BTO0268"/>
    <n v="0"/>
    <x v="4"/>
    <s v="0268"/>
    <n v="-48.351700559932802"/>
    <n v="-10.9044823997429"/>
    <n v="-48.403057269877003"/>
    <n v="-10.740953670075699"/>
    <s v="010"/>
    <s v="TO"/>
    <s v="Eixo Principal"/>
    <s v="-"/>
    <s v="010BTO0268"/>
    <s v="ENTR TO-458"/>
    <s v="INÍCIO PISTA DUPLA PORTO NACIONAL"/>
    <n v="356.1"/>
    <n v="376.1"/>
    <n v="20"/>
    <x v="1"/>
    <m/>
    <m/>
    <s v="Estadual"/>
    <m/>
    <s v="TO-050"/>
    <s v="PAV"/>
    <s v="Estadual"/>
    <s v="PLA"/>
    <s v="Paraíso de Tocantins"/>
  </r>
  <r>
    <x v="0"/>
    <s v="010BTO0270"/>
    <n v="0"/>
    <x v="4"/>
    <s v="0270"/>
    <n v="-48.403057269877003"/>
    <n v="-10.740953670075699"/>
    <n v="-48.406587340033603"/>
    <n v="-10.736047110185901"/>
    <s v="010"/>
    <s v="TO"/>
    <s v="Eixo Principal"/>
    <s v="-"/>
    <s v="010BTO0270"/>
    <s v="INÍCIO PISTA DUPLA PORTO NACIONAL"/>
    <s v="ENTR TO-070(A)/255(A) (P/ BREJINHO DE NAZARÉ)"/>
    <n v="376.1"/>
    <n v="376.7"/>
    <n v="0.6"/>
    <x v="1"/>
    <m/>
    <m/>
    <s v="Estadual"/>
    <m/>
    <s v="TO-050"/>
    <s v="DUP"/>
    <s v="Estadual"/>
    <s v="PLA"/>
    <s v="Paraíso de Tocantins"/>
  </r>
  <r>
    <x v="0"/>
    <s v="010BTO0272"/>
    <n v="0"/>
    <x v="4"/>
    <s v="0272"/>
    <n v="-48.406587340033603"/>
    <n v="-10.736047110185901"/>
    <n v="-48.391025490234099"/>
    <n v="-10.6885946198457"/>
    <s v="010"/>
    <s v="TO"/>
    <s v="Eixo Principal"/>
    <s v="-"/>
    <s v="010BTO0272"/>
    <s v="ENTR TO-070(A)/255(A) (P/ BREJINHO DE NAZARÉ)"/>
    <s v="ENTR TO-255(B) (P/ MONTE DO CARMO)"/>
    <n v="376.7"/>
    <n v="383.2"/>
    <n v="6.5"/>
    <x v="1"/>
    <m/>
    <m/>
    <s v="Estadual"/>
    <m/>
    <s v="TO-050"/>
    <s v="DUP"/>
    <s v="Estadual"/>
    <s v="PLA"/>
    <s v="Paraíso de Tocantins"/>
  </r>
  <r>
    <x v="0"/>
    <s v="010BTO0274"/>
    <n v="0"/>
    <x v="4"/>
    <s v="0274"/>
    <n v="-48.391025490234099"/>
    <n v="-10.6885946198457"/>
    <n v="-48.3930405004186"/>
    <n v="-10.6818269498538"/>
    <s v="010"/>
    <s v="TO"/>
    <s v="Eixo Principal"/>
    <s v="-"/>
    <s v="010BTO0274"/>
    <s v="ENTR TO-255(B) (P/ MONTE DO CARMO)"/>
    <s v="FIM PISTA DUPLA PORTO NACIONAL"/>
    <n v="383.2"/>
    <n v="383.9"/>
    <n v="0.7"/>
    <x v="1"/>
    <m/>
    <m/>
    <s v="Estadual"/>
    <m/>
    <s v="TO-050"/>
    <s v="DUP"/>
    <s v="Estadual"/>
    <s v="PLA"/>
    <s v="Paraíso de Tocantins"/>
  </r>
  <r>
    <x v="0"/>
    <s v="010BTO0276"/>
    <n v="0"/>
    <x v="4"/>
    <s v="0276"/>
    <n v="-48.3930405004186"/>
    <n v="-10.6818269498538"/>
    <n v="-48.302234920105398"/>
    <n v="-10.3618360798711"/>
    <s v="010"/>
    <s v="TO"/>
    <s v="Eixo Principal"/>
    <s v="-"/>
    <s v="010BTO0276"/>
    <s v="FIM PISTA DUPLA PORTO NACIONAL"/>
    <s v="ENTR AV. IPANEMA (PALMAS)"/>
    <n v="383.9"/>
    <n v="423.4"/>
    <n v="39.5"/>
    <x v="1"/>
    <m/>
    <m/>
    <s v="Estadual"/>
    <m/>
    <s v="TO-050"/>
    <s v="PAV"/>
    <s v="Estadual"/>
    <s v="PLA"/>
    <s v="Paraíso de Tocantins"/>
  </r>
  <r>
    <x v="0"/>
    <s v="010BTO0278"/>
    <n v="0"/>
    <x v="4"/>
    <s v="0278"/>
    <n v="-48.302234920105398"/>
    <n v="-10.3618360798711"/>
    <n v="-48.2978374196611"/>
    <n v="-10.3283537301404"/>
    <s v="010"/>
    <s v="TO"/>
    <s v="Eixo Principal"/>
    <s v="-"/>
    <s v="010BTO0278"/>
    <s v="ENTR AV. IPANEMA (PALMAS)"/>
    <s v="ENTR AV TOCANTINS (PALMAS)"/>
    <n v="423.4"/>
    <n v="427.1"/>
    <n v="3.7"/>
    <x v="1"/>
    <m/>
    <m/>
    <s v="Estadual"/>
    <m/>
    <s v="TO-050"/>
    <s v="PAV"/>
    <s v="Estadual"/>
    <s v="PLA"/>
    <s v="Paraíso de Tocantins"/>
  </r>
  <r>
    <x v="0"/>
    <s v="010BTO0280"/>
    <n v="0"/>
    <x v="4"/>
    <s v="0280"/>
    <n v="-48.2978374196611"/>
    <n v="-10.3283537301404"/>
    <n v="-48.311312479887"/>
    <n v="-10.230262750025799"/>
    <s v="010"/>
    <s v="TO"/>
    <s v="Eixo Principal"/>
    <s v="-"/>
    <s v="010BTO0280"/>
    <s v="ENTR AV TOCANTINS (PALMAS)"/>
    <s v="ENTR TO-020(A)/050(B)/070(B) (PALMAS)"/>
    <n v="427.1"/>
    <n v="438.6"/>
    <n v="11.5"/>
    <x v="0"/>
    <m/>
    <m/>
    <m/>
    <s v="MP082/2004"/>
    <m/>
    <m/>
    <m/>
    <s v="PAV"/>
    <s v="Paraíso de Tocantins"/>
  </r>
  <r>
    <x v="0"/>
    <s v="010BTO0285"/>
    <n v="0"/>
    <x v="4"/>
    <s v="0285"/>
    <n v="-48.311312479887"/>
    <n v="-10.230262750025799"/>
    <n v="-48.294441950135798"/>
    <n v="-10.241778499578"/>
    <s v="010"/>
    <s v="TO"/>
    <s v="Eixo Principal"/>
    <s v="-"/>
    <s v="010BTO0285"/>
    <s v="ENTR TO-020(A)/050(B)/070(B) (PALMAS)"/>
    <s v="FIM PISTA DUPLA (PALMAS) *TRECHO URBANO*"/>
    <n v="438.6"/>
    <n v="441"/>
    <n v="2.4"/>
    <x v="1"/>
    <m/>
    <m/>
    <s v="Estadual"/>
    <m/>
    <s v="TO-020"/>
    <s v="DUP"/>
    <s v="Estadual"/>
    <s v="PLA"/>
    <s v="Paraíso de Tocantins"/>
  </r>
  <r>
    <x v="0"/>
    <s v="010BTO0290"/>
    <n v="0"/>
    <x v="4"/>
    <s v="0290"/>
    <n v="-48.294441950135798"/>
    <n v="-10.241778499578"/>
    <n v="-47.988221250210401"/>
    <n v="-9.9482106600938192"/>
    <s v="010"/>
    <s v="TO"/>
    <s v="Eixo Principal"/>
    <s v="-"/>
    <s v="010BTO0290"/>
    <s v="FIM PISTA DUPLA (PALMAS)"/>
    <s v="ENTR TO-020(B) (APARECIDA DO RIO NEGRO)"/>
    <n v="441"/>
    <n v="505.2"/>
    <n v="64.2"/>
    <x v="1"/>
    <m/>
    <m/>
    <s v="Estadual"/>
    <m/>
    <s v="TO-020"/>
    <s v="PAV"/>
    <s v="Estadual"/>
    <s v="PLA"/>
    <s v="Paraíso de Tocantins"/>
  </r>
  <r>
    <x v="0"/>
    <s v="010BTO0295"/>
    <n v="0"/>
    <x v="4"/>
    <s v="0295"/>
    <n v="-47.988221250210401"/>
    <n v="-9.9482106600938192"/>
    <n v="-47.883880140156201"/>
    <n v="-9.8084144996294"/>
    <s v="010"/>
    <s v="TO"/>
    <s v="Eixo Principal"/>
    <s v="-"/>
    <s v="010BTO0295"/>
    <s v="ENTR TO-020(B) (APARECIDA DO RIO NEGRO)"/>
    <s v="FIM DA PAVIMENTAÇÃO"/>
    <n v="505.2"/>
    <n v="528.20000000000005"/>
    <n v="23"/>
    <x v="2"/>
    <m/>
    <m/>
    <s v="Federal"/>
    <m/>
    <m/>
    <m/>
    <s v="Federal"/>
    <s v="PAV"/>
    <s v="Paraíso de Tocantins"/>
  </r>
  <r>
    <x v="0"/>
    <s v="010BTO0300"/>
    <n v="0"/>
    <x v="4"/>
    <s v="0300"/>
    <n v="-47.883880140156201"/>
    <n v="-9.8084144996294"/>
    <n v="-47.826308509629897"/>
    <n v="-9.7606121999929698"/>
    <s v="010"/>
    <s v="TO"/>
    <s v="Eixo Principal"/>
    <s v="-"/>
    <s v="010BTO0300"/>
    <s v="FIM DA PAVIMENTAÇÃO"/>
    <s v="CÓRREGO ALDEIA"/>
    <n v="528.20000000000005"/>
    <n v="540.6"/>
    <n v="12.4"/>
    <x v="3"/>
    <m/>
    <m/>
    <s v="Federal"/>
    <m/>
    <m/>
    <m/>
    <s v="Federal"/>
    <s v="N_PAV"/>
    <s v="Paraíso de Tocantins"/>
  </r>
  <r>
    <x v="0"/>
    <s v="010BTO0305"/>
    <n v="0"/>
    <x v="4"/>
    <s v="0305"/>
    <n v="-47.826308509629897"/>
    <n v="-9.7606121999929698"/>
    <n v="-47.798241600269499"/>
    <n v="-9.5039417103416195"/>
    <s v="010"/>
    <s v="TO"/>
    <s v="Eixo Principal"/>
    <s v="-"/>
    <s v="010BTO0305"/>
    <s v="CÓRREGO ALDEIA"/>
    <s v="INÍCIO DA PAVIMENTAÇÃO"/>
    <n v="540.6"/>
    <n v="580.9"/>
    <n v="40.299999999999997"/>
    <x v="3"/>
    <m/>
    <m/>
    <s v="Federal"/>
    <m/>
    <m/>
    <m/>
    <s v="Federal"/>
    <s v="N_PAV"/>
    <s v="Paraíso de Tocantins"/>
  </r>
  <r>
    <x v="0"/>
    <s v="010BTO0310"/>
    <n v="0"/>
    <x v="4"/>
    <s v="0310"/>
    <n v="-47.798241600269499"/>
    <n v="-9.5039417103416195"/>
    <n v="-47.877284720013698"/>
    <n v="-9.3491470497964393"/>
    <s v="010"/>
    <s v="TO"/>
    <s v="Eixo Principal"/>
    <s v="-"/>
    <s v="010BTO0310"/>
    <s v="INÍCIO DA PAVIMENTAÇÃO"/>
    <s v="ENTR TO-245(B) (RIO SONO)"/>
    <n v="580.9"/>
    <n v="608"/>
    <n v="27.1"/>
    <x v="2"/>
    <m/>
    <m/>
    <s v="Federal"/>
    <m/>
    <m/>
    <m/>
    <s v="Federal"/>
    <s v="PAV"/>
    <s v="Paraíso de Tocantins"/>
  </r>
  <r>
    <x v="0"/>
    <s v="010BTO0313"/>
    <n v="0"/>
    <x v="4"/>
    <s v="0313"/>
    <n v="-47.877284720013698"/>
    <n v="-9.3491470497964393"/>
    <n v="-47.881312410239502"/>
    <n v="-9.3357554295693603"/>
    <s v="010"/>
    <s v="TO"/>
    <s v="Eixo Principal"/>
    <s v="-"/>
    <s v="010BTO0313"/>
    <s v="ENTR TO-245(B) (RIO SONO)"/>
    <s v="INÍCIO TRAVESSIA RIO PERDIDA"/>
    <n v="608"/>
    <n v="609.6"/>
    <n v="1.6"/>
    <x v="2"/>
    <m/>
    <m/>
    <s v="Federal"/>
    <m/>
    <m/>
    <m/>
    <s v="Federal"/>
    <s v="PAV"/>
    <s v="Paraíso de Tocantins"/>
  </r>
  <r>
    <x v="0"/>
    <s v="010BTO0315"/>
    <n v="0"/>
    <x v="4"/>
    <s v="0315"/>
    <n v="-47.881312410239502"/>
    <n v="-9.3357554295693603"/>
    <n v="-47.881986669748898"/>
    <n v="-9.3331517402605702"/>
    <s v="010"/>
    <s v="TO"/>
    <s v="Eixo Principal"/>
    <s v="-"/>
    <s v="010BTO0315"/>
    <s v="INÍCIO TRAVESSIA RIO PERDIDA"/>
    <s v="FIM TRAVESSIA RIO PERDIDA"/>
    <n v="609.6"/>
    <n v="609.79999999999995"/>
    <n v="0.2"/>
    <x v="4"/>
    <m/>
    <m/>
    <s v="Federal"/>
    <m/>
    <m/>
    <m/>
    <s v="Federal"/>
    <s v="N_PAV"/>
    <s v="Paraíso de Tocantins"/>
  </r>
  <r>
    <x v="0"/>
    <s v="010BTO0318"/>
    <n v="0"/>
    <x v="4"/>
    <s v="0318"/>
    <n v="-47.881986669748898"/>
    <n v="-9.3331517402605702"/>
    <n v="-47.859178650374297"/>
    <n v="-9.2905611998394306"/>
    <s v="010"/>
    <s v="TO"/>
    <s v="Eixo Principal"/>
    <s v="-"/>
    <s v="010BTO0318"/>
    <s v="FIM TRAVESSIA RIO PERDIDA"/>
    <s v="FIM DA PAVIMENTAÇÃO"/>
    <n v="609.79999999999995"/>
    <n v="615.4"/>
    <n v="5.6"/>
    <x v="2"/>
    <m/>
    <m/>
    <s v="Federal"/>
    <m/>
    <m/>
    <m/>
    <s v="Federal"/>
    <s v="PAV"/>
    <s v="Paraíso de Tocantins"/>
  </r>
  <r>
    <x v="0"/>
    <s v="010BTO0320"/>
    <n v="0"/>
    <x v="4"/>
    <s v="0320"/>
    <n v="-47.859178650374297"/>
    <n v="-9.2905611998394306"/>
    <n v="-47.7031987202447"/>
    <n v="-9.0966239195581604"/>
    <s v="010"/>
    <s v="TO"/>
    <s v="Eixo Principal"/>
    <s v="-"/>
    <s v="010BTO0320"/>
    <s v="FIM DA PAVIMENTAÇÃO"/>
    <s v="ENTR BR-235"/>
    <n v="615.4"/>
    <n v="635.1"/>
    <n v="19.7"/>
    <x v="1"/>
    <m/>
    <m/>
    <s v="Federal"/>
    <m/>
    <m/>
    <m/>
    <s v="Federal"/>
    <s v="PLA"/>
    <s v="Paraíso de Tocantins"/>
  </r>
  <r>
    <x v="0"/>
    <s v="010BTO0325"/>
    <n v="0"/>
    <x v="4"/>
    <s v="0325"/>
    <n v="-47.7031987202447"/>
    <n v="-9.0966239195581604"/>
    <n v="-47.748808470034803"/>
    <n v="-8.7731680696506302"/>
    <s v="010"/>
    <s v="TO"/>
    <s v="Eixo Principal"/>
    <s v="-"/>
    <s v="010BTO0325"/>
    <s v="ENTR BR-235"/>
    <s v="ENTR TO-010(A)/428 (SANTA MARIA DO TOCANTINS)"/>
    <n v="635.1"/>
    <n v="673.9"/>
    <n v="38.799999999999997"/>
    <x v="1"/>
    <m/>
    <m/>
    <s v="Federal"/>
    <m/>
    <m/>
    <m/>
    <s v="Federal"/>
    <s v="PLA"/>
    <s v="Araguaína"/>
  </r>
  <r>
    <x v="0"/>
    <s v="010BTO0330"/>
    <n v="0"/>
    <x v="4"/>
    <s v="0330"/>
    <n v="-47.748808470034803"/>
    <n v="-8.7731680696506302"/>
    <n v="-47.776829389864403"/>
    <n v="-8.4082995798616391"/>
    <s v="010"/>
    <s v="TO"/>
    <s v="Eixo Principal"/>
    <s v="-"/>
    <s v="010BTO0330"/>
    <s v="ENTR TO-010(A)/428 (SANTA MARIA DO TOCANTINS)"/>
    <s v="ENTR TO-239 (ITACAJÁ)"/>
    <n v="673.9"/>
    <n v="722.1"/>
    <n v="48.2"/>
    <x v="3"/>
    <m/>
    <m/>
    <s v="Federal"/>
    <m/>
    <m/>
    <m/>
    <s v="Federal"/>
    <s v="N_PAV"/>
    <s v="Araguaína"/>
  </r>
  <r>
    <x v="0"/>
    <s v="010BTO0335"/>
    <n v="0"/>
    <x v="4"/>
    <s v="0335"/>
    <n v="-47.776829389864403"/>
    <n v="-8.4082995798616391"/>
    <n v="-47.540407080322403"/>
    <n v="-7.9171596503974797"/>
    <s v="010"/>
    <s v="TO"/>
    <s v="Eixo Principal"/>
    <s v="-"/>
    <s v="010BTO0335"/>
    <s v="ENTR TO-239 (ITACAJÁ)"/>
    <s v="INÍCIO DE PAVIMENTAÇÃO"/>
    <n v="722.1"/>
    <n v="790.5"/>
    <n v="68.400000000000006"/>
    <x v="3"/>
    <m/>
    <m/>
    <s v="Federal"/>
    <m/>
    <m/>
    <m/>
    <s v="Federal"/>
    <s v="N_PAV"/>
    <s v="Araguaína"/>
  </r>
  <r>
    <x v="0"/>
    <s v="010BTO0350"/>
    <n v="0"/>
    <x v="4"/>
    <s v="0350"/>
    <n v="-47.540407080322403"/>
    <n v="-7.9171596503974797"/>
    <n v="-47.533890500146398"/>
    <n v="-7.8498054599539797"/>
    <s v="010"/>
    <s v="TO"/>
    <s v="Eixo Principal"/>
    <s v="-"/>
    <s v="010BTO0350"/>
    <s v="INÍCIO DE PAVIMENTAÇÃO"/>
    <s v="MORRO GRANDE"/>
    <n v="790.5"/>
    <n v="798.6"/>
    <n v="8.1"/>
    <x v="2"/>
    <m/>
    <m/>
    <s v="Federal"/>
    <m/>
    <m/>
    <m/>
    <s v="Federal"/>
    <s v="PAV"/>
    <s v="Araguaína"/>
  </r>
  <r>
    <x v="0"/>
    <s v="010BTO0355"/>
    <n v="0"/>
    <x v="4"/>
    <s v="0355"/>
    <n v="-47.533890500146398"/>
    <n v="-7.8498054599539797"/>
    <n v="-47.324275870135203"/>
    <n v="-7.7142107000636804"/>
    <s v="010"/>
    <s v="TO"/>
    <s v="Eixo Principal"/>
    <s v="-"/>
    <s v="010BTO0355"/>
    <s v="MORRO GRANDE"/>
    <s v="GOIATINS"/>
    <n v="798.6"/>
    <n v="830.9"/>
    <n v="32.299999999999997"/>
    <x v="2"/>
    <m/>
    <m/>
    <s v="Federal"/>
    <m/>
    <m/>
    <m/>
    <s v="Federal"/>
    <s v="PAV"/>
    <s v="Araguaína"/>
  </r>
  <r>
    <x v="0"/>
    <s v="010BTO0357"/>
    <n v="0"/>
    <x v="4"/>
    <s v="0357"/>
    <n v="-47.324275870135203"/>
    <n v="-7.7142107000636804"/>
    <n v="-47.353147550419003"/>
    <n v="-7.6182655698001396"/>
    <s v="010"/>
    <s v="TO"/>
    <s v="Eixo Principal"/>
    <s v="-"/>
    <s v="010BTO0357"/>
    <s v="GOIATINS"/>
    <s v="DIV TO/MA"/>
    <n v="830.9"/>
    <n v="831.9"/>
    <n v="1"/>
    <x v="1"/>
    <m/>
    <m/>
    <s v="Federal"/>
    <m/>
    <m/>
    <m/>
    <s v="Federal"/>
    <s v="PLA"/>
    <s v="Araguaína"/>
  </r>
  <r>
    <x v="0"/>
    <s v="020API1005"/>
    <n v="0"/>
    <x v="5"/>
    <s v="1005"/>
    <n v="-42.682000390305703"/>
    <n v="-9.0072526400971906"/>
    <n v="-42.684301990144597"/>
    <n v="-9.0131319597720605"/>
    <s v="020"/>
    <s v="PI"/>
    <s v="Acesso"/>
    <s v="-"/>
    <s v="020API1005"/>
    <s v="ENTR BR-020"/>
    <s v="ACS SUL S RAIMUNDO NONATO - ACESSO NORTE"/>
    <n v="0"/>
    <n v="4.5999999999999996"/>
    <n v="4.5999999999999996"/>
    <x v="2"/>
    <m/>
    <m/>
    <s v="Federal"/>
    <m/>
    <m/>
    <m/>
    <s v="Federal"/>
    <s v="PAV"/>
    <s v="Picos"/>
  </r>
  <r>
    <x v="0"/>
    <s v="020API2005"/>
    <n v="0"/>
    <x v="5"/>
    <s v="2005"/>
    <n v="-42.682296019945298"/>
    <n v="-8.9964813700191808"/>
    <n v="-42.698388670300801"/>
    <n v="-8.9918957700737092"/>
    <s v="020"/>
    <s v="PI"/>
    <s v="Acesso"/>
    <s v="-"/>
    <s v="020API2005"/>
    <s v="ENTR BR-020"/>
    <s v="ENTR BR-324/PI-040 (S RAIMUNDO NONATO - ACESSO SUL)"/>
    <n v="0"/>
    <n v="5.8"/>
    <n v="5.8"/>
    <x v="2"/>
    <m/>
    <m/>
    <s v="Federal"/>
    <m/>
    <m/>
    <m/>
    <s v="Federal"/>
    <s v="PAV"/>
    <s v="Picos"/>
  </r>
  <r>
    <x v="0"/>
    <s v="020BBA0220"/>
    <n v="0"/>
    <x v="6"/>
    <s v="0220"/>
    <n v="-46.197733060232501"/>
    <n v="-13.9564905599913"/>
    <n v="-46.164115260011201"/>
    <n v="-13.7986405697064"/>
    <s v="020"/>
    <s v="BA"/>
    <s v="Eixo Principal"/>
    <s v="-"/>
    <s v="020BBA0220"/>
    <s v="ENTR BR-349(A) (DIV GO/BA)"/>
    <s v="ENTR BR-349(B) (P/ CORRENTINA)"/>
    <n v="0"/>
    <n v="18.100000000000001"/>
    <n v="18.100000000000001"/>
    <x v="2"/>
    <m/>
    <s v="349BBA0501"/>
    <s v="Federal"/>
    <m/>
    <m/>
    <m/>
    <s v="Federal"/>
    <s v="PAV"/>
    <s v="Barreiras"/>
  </r>
  <r>
    <x v="0"/>
    <s v="020BBA0225"/>
    <n v="0"/>
    <x v="6"/>
    <s v="0225"/>
    <n v="-46.164115260011201"/>
    <n v="-13.7986405697064"/>
    <n v="-46.0573736399814"/>
    <n v="-13.2905216099842"/>
    <s v="020"/>
    <s v="BA"/>
    <s v="Eixo Principal"/>
    <s v="-"/>
    <s v="020BBA0225"/>
    <s v="ENTR BR-349(B) (P/ CORRENTINA)"/>
    <s v="P/ SÃO DOMINGOS"/>
    <n v="18.100000000000001"/>
    <n v="77.099999999999994"/>
    <n v="59"/>
    <x v="2"/>
    <m/>
    <m/>
    <s v="Federal"/>
    <m/>
    <m/>
    <m/>
    <s v="Federal"/>
    <s v="PAV"/>
    <s v="Barreiras"/>
  </r>
  <r>
    <x v="0"/>
    <s v="020BBA0230"/>
    <n v="0"/>
    <x v="6"/>
    <s v="0230"/>
    <n v="-46.0573736399814"/>
    <n v="-13.2905216099842"/>
    <n v="-45.957086250130303"/>
    <n v="-12.817038429979499"/>
    <s v="020"/>
    <s v="BA"/>
    <s v="Eixo Principal"/>
    <s v="-"/>
    <s v="020BBA0230"/>
    <s v="P/ SÃO DOMINGOS"/>
    <s v="ENTR BA-463 (P/SÃO DESIDÉRIO)"/>
    <n v="77.099999999999994"/>
    <n v="131.30000000000001"/>
    <n v="54.2"/>
    <x v="2"/>
    <m/>
    <m/>
    <s v="Federal"/>
    <m/>
    <m/>
    <m/>
    <s v="Federal"/>
    <s v="PAV"/>
    <s v="Barreiras"/>
  </r>
  <r>
    <x v="0"/>
    <s v="020BBA0235"/>
    <n v="0"/>
    <x v="6"/>
    <s v="0235"/>
    <n v="-45.957086250130303"/>
    <n v="-12.817038429979499"/>
    <n v="-45.9458903399671"/>
    <n v="-12.7642528196118"/>
    <s v="020"/>
    <s v="BA"/>
    <s v="Eixo Principal"/>
    <s v="-"/>
    <s v="020BBA0235"/>
    <s v="ENTR BA-463 (P/SÃO DESIDÉRIO)"/>
    <s v="RODA VELHA"/>
    <n v="131.30000000000001"/>
    <n v="137.30000000000001"/>
    <n v="6"/>
    <x v="2"/>
    <m/>
    <m/>
    <s v="Federal"/>
    <m/>
    <m/>
    <m/>
    <s v="Federal"/>
    <s v="PAV"/>
    <s v="Barreiras"/>
  </r>
  <r>
    <x v="0"/>
    <s v="020BBA0240"/>
    <n v="0"/>
    <x v="6"/>
    <s v="0240"/>
    <n v="-45.9458903399671"/>
    <n v="-12.7642528196118"/>
    <n v="-45.8035331900046"/>
    <n v="-12.092231690340199"/>
    <s v="020"/>
    <s v="BA"/>
    <s v="Eixo Principal"/>
    <s v="-"/>
    <s v="020BBA0240"/>
    <s v="RODA VELHA"/>
    <s v="ENTR BR-242(A) (LUIS EDUARDO MAGALHÃES)"/>
    <n v="137.30000000000001"/>
    <n v="213.5"/>
    <n v="76.2"/>
    <x v="2"/>
    <m/>
    <m/>
    <s v="Federal"/>
    <m/>
    <m/>
    <m/>
    <s v="Federal"/>
    <s v="PAV"/>
    <s v="Barreiras"/>
  </r>
  <r>
    <x v="0"/>
    <s v="020BBA0250"/>
    <n v="0"/>
    <x v="6"/>
    <s v="0250"/>
    <n v="-45.8035331900046"/>
    <n v="-12.092231690340199"/>
    <n v="-45.752598620030199"/>
    <n v="-12.085579870114801"/>
    <s v="020"/>
    <s v="BA"/>
    <s v="Eixo Principal"/>
    <s v="-"/>
    <s v="020BBA0250"/>
    <s v="ENTR BR-242(A) (LUIS EDUARDO MAGALHÃES)"/>
    <s v="FIM DUPLICAÇÃO"/>
    <n v="213.5"/>
    <n v="219.2"/>
    <n v="5.7"/>
    <x v="0"/>
    <m/>
    <s v="242BBA0335"/>
    <s v="Federal"/>
    <m/>
    <m/>
    <m/>
    <s v="Federal"/>
    <s v="PAV"/>
    <s v="Barreiras"/>
  </r>
  <r>
    <x v="0"/>
    <s v="020BBA0255"/>
    <n v="0"/>
    <x v="6"/>
    <s v="0255"/>
    <n v="-45.752598620030199"/>
    <n v="-12.085579870114801"/>
    <n v="-45.016794230269397"/>
    <n v="-12.129366509756499"/>
    <s v="020"/>
    <s v="BA"/>
    <s v="Eixo Principal"/>
    <s v="-"/>
    <s v="020BBA0255"/>
    <s v="FIM DUPLICAÇÃO"/>
    <s v="ENTR BR-135(A)/242(B) (BARREIRAS)"/>
    <n v="219.2"/>
    <n v="302.10000000000002"/>
    <n v="82.9"/>
    <x v="2"/>
    <m/>
    <s v="242BBA0330"/>
    <s v="Federal"/>
    <m/>
    <m/>
    <m/>
    <s v="Federal"/>
    <s v="PAV"/>
    <s v="Barreiras"/>
  </r>
  <r>
    <x v="0"/>
    <s v="020BBA0260"/>
    <n v="0"/>
    <x v="6"/>
    <s v="0260"/>
    <n v="-45.016794230269397"/>
    <n v="-12.129366509756499"/>
    <n v="-44.9773127100135"/>
    <n v="-12.100610959827801"/>
    <s v="020"/>
    <s v="BA"/>
    <s v="Eixo Principal"/>
    <s v="-"/>
    <s v="020BBA0260"/>
    <s v="ENTR BR-135(A)/242(B) (BARREIRAS)"/>
    <s v="CONTORNO DE BARREIRAS"/>
    <n v="302.10000000000002"/>
    <n v="307.8"/>
    <n v="5.7"/>
    <x v="2"/>
    <m/>
    <s v="135BBA0575"/>
    <s v="Federal"/>
    <m/>
    <m/>
    <m/>
    <s v="Federal"/>
    <s v="PAV"/>
    <s v="Barreiras"/>
  </r>
  <r>
    <x v="0"/>
    <s v="020BBA0265"/>
    <n v="0"/>
    <x v="6"/>
    <s v="0265"/>
    <n v="-44.9773127100135"/>
    <n v="-12.100610959827801"/>
    <n v="-44.908234180163198"/>
    <n v="-11.761238089965801"/>
    <s v="020"/>
    <s v="BA"/>
    <s v="Eixo Principal"/>
    <s v="-"/>
    <s v="020BBA0265"/>
    <s v="CONTORNO DE BARREIRAS"/>
    <s v="P/ RIACHÃO DAS NEVES"/>
    <n v="307.8"/>
    <n v="354.6"/>
    <n v="46.8"/>
    <x v="2"/>
    <m/>
    <s v="135BBA0570"/>
    <s v="Federal"/>
    <m/>
    <m/>
    <m/>
    <s v="Federal"/>
    <s v="PAV"/>
    <s v="Barreiras"/>
  </r>
  <r>
    <x v="0"/>
    <s v="020BBA0270"/>
    <n v="0"/>
    <x v="6"/>
    <s v="0270"/>
    <n v="-44.908234180163198"/>
    <n v="-11.761238089965801"/>
    <n v="-44.920344940066897"/>
    <n v="-11.373866329567401"/>
    <s v="020"/>
    <s v="BA"/>
    <s v="Eixo Principal"/>
    <s v="-"/>
    <s v="020BBA0270"/>
    <s v="P/ RIACHÃO DAS NEVES"/>
    <s v="ENTR BR-135(B)/BA-451 (MONTE ALEGRE)"/>
    <n v="354.6"/>
    <n v="401.3"/>
    <n v="46.7"/>
    <x v="2"/>
    <m/>
    <s v="135BBA0550"/>
    <s v="Federal"/>
    <m/>
    <m/>
    <m/>
    <s v="Federal"/>
    <s v="PAV"/>
    <s v="Barreiras"/>
  </r>
  <r>
    <x v="0"/>
    <s v="020BBA0280"/>
    <n v="0"/>
    <x v="6"/>
    <s v="0280"/>
    <n v="-44.920344940066897"/>
    <n v="-11.373866329567401"/>
    <n v="-44.508949999942502"/>
    <n v="-10.9950600001188"/>
    <s v="020"/>
    <s v="BA"/>
    <s v="Eixo Principal"/>
    <s v="-"/>
    <s v="020BBA0280"/>
    <s v="ENTR BR-135(B)/BA-451 (MONTE ALEGRE)"/>
    <s v="ACESSO A SANTA RITA DE CÁSSIA"/>
    <n v="401.3"/>
    <n v="467.8"/>
    <n v="66.5"/>
    <x v="1"/>
    <m/>
    <m/>
    <s v="Estadual"/>
    <m/>
    <s v="BA-451"/>
    <s v="PAV"/>
    <s v="Estadual"/>
    <s v="PLA"/>
    <s v="Barreiras"/>
  </r>
  <r>
    <x v="0"/>
    <s v="020BBA0290"/>
    <n v="0"/>
    <x v="6"/>
    <s v="0290"/>
    <n v="-44.508949999942502"/>
    <n v="-10.9950600001188"/>
    <n v="-44.035420010225202"/>
    <n v="-10.7179600000538"/>
    <s v="020"/>
    <s v="BA"/>
    <s v="Eixo Principal"/>
    <s v="-"/>
    <s v="020BBA0290"/>
    <s v="ACESSO A SANTA RITA DE CÁSSIA"/>
    <s v="ACESSO A MANSIDÃO"/>
    <n v="467.8"/>
    <n v="549.9"/>
    <n v="82.1"/>
    <x v="1"/>
    <m/>
    <m/>
    <s v="Federal"/>
    <m/>
    <m/>
    <m/>
    <s v="Federal"/>
    <s v="PLA"/>
    <s v="Barreiras"/>
  </r>
  <r>
    <x v="0"/>
    <s v="020BBA0300"/>
    <n v="0"/>
    <x v="6"/>
    <s v="0300"/>
    <n v="-44.035420010225202"/>
    <n v="-10.7179600000538"/>
    <n v="-43.630950009934899"/>
    <n v="-10.714100000114801"/>
    <s v="020"/>
    <s v="BA"/>
    <s v="Eixo Principal"/>
    <s v="-"/>
    <s v="020BBA0300"/>
    <s v="ACESSO A MANSIDÃO"/>
    <s v="ENTR BR-330 (ACESSO A BURITIRAMA)"/>
    <n v="549.9"/>
    <n v="605.6"/>
    <n v="55.7"/>
    <x v="1"/>
    <m/>
    <m/>
    <s v="Federal"/>
    <m/>
    <m/>
    <m/>
    <s v="Federal"/>
    <s v="PLA"/>
    <s v="Barreiras"/>
  </r>
  <r>
    <x v="0"/>
    <s v="020BBA0310"/>
    <n v="0"/>
    <x v="6"/>
    <s v="0310"/>
    <n v="-43.630950009934899"/>
    <n v="-10.714100000114801"/>
    <n v="-43.495317939870901"/>
    <n v="-10.4846321497538"/>
    <s v="020"/>
    <s v="BA"/>
    <s v="Eixo Principal"/>
    <s v="-"/>
    <s v="020BBA0310"/>
    <s v="ENTR BR-330 (ACESSO A BURITIRAMA)"/>
    <s v="ACESSO A ALTAMIRA"/>
    <n v="605.6"/>
    <n v="645.6"/>
    <n v="40"/>
    <x v="1"/>
    <m/>
    <m/>
    <s v="Federal"/>
    <m/>
    <m/>
    <m/>
    <s v="Federal"/>
    <s v="PLA"/>
    <s v="Barreiras"/>
  </r>
  <r>
    <x v="0"/>
    <s v="020BBA0320"/>
    <n v="0"/>
    <x v="6"/>
    <s v="0320"/>
    <n v="-43.495317939870901"/>
    <n v="-10.4846321497538"/>
    <n v="-43.486693769701603"/>
    <n v="-10.119608960385101"/>
    <s v="020"/>
    <s v="BA"/>
    <s v="Eixo Principal"/>
    <s v="-"/>
    <s v="020BBA0320"/>
    <s v="ACESSO A ALTAMIRA"/>
    <s v="ACESSO A NOVA HOLANDA"/>
    <n v="645.6"/>
    <n v="690.3"/>
    <n v="44.7"/>
    <x v="1"/>
    <m/>
    <m/>
    <s v="Federal"/>
    <m/>
    <m/>
    <m/>
    <s v="Federal"/>
    <s v="PLA"/>
    <s v="Barreiras"/>
  </r>
  <r>
    <x v="0"/>
    <s v="020BBA0350"/>
    <n v="0"/>
    <x v="6"/>
    <s v="0350"/>
    <n v="-43.486693769701603"/>
    <n v="-10.119608960385101"/>
    <n v="-43.0068360502434"/>
    <n v="-9.5166221997546891"/>
    <s v="020"/>
    <s v="BA"/>
    <s v="Eixo Principal"/>
    <s v="-"/>
    <s v="020BBA0350"/>
    <s v="ACESSO A NOVA HOLANDA"/>
    <s v="ENTR BR-235 (CAMPO ALEGRE DE LOURDES)"/>
    <n v="690.3"/>
    <n v="775.5"/>
    <n v="85.2"/>
    <x v="1"/>
    <m/>
    <m/>
    <s v="Federal"/>
    <m/>
    <m/>
    <m/>
    <s v="Federal"/>
    <s v="PLA"/>
    <s v="Senhor do Bonfim"/>
  </r>
  <r>
    <x v="0"/>
    <s v="020BBA0360"/>
    <n v="0"/>
    <x v="6"/>
    <s v="0360"/>
    <n v="-43.0068360502434"/>
    <n v="-9.5166221997546891"/>
    <n v="-42.960301300064799"/>
    <n v="-9.4309503696637709"/>
    <s v="020"/>
    <s v="BA"/>
    <s v="Eixo Principal"/>
    <s v="-"/>
    <s v="020BBA0360"/>
    <s v="ENTR BR-235 (CAMPO ALEGRE DE LOURDES)"/>
    <s v="DIV BA/PI"/>
    <n v="775.5"/>
    <n v="787.3"/>
    <n v="11.8"/>
    <x v="3"/>
    <m/>
    <m/>
    <s v="Federal"/>
    <m/>
    <m/>
    <m/>
    <s v="Federal"/>
    <s v="N_PAV"/>
    <s v="Senhor do Bonfim"/>
  </r>
  <r>
    <x v="0"/>
    <s v="020BCE0510"/>
    <n v="0"/>
    <x v="7"/>
    <s v="0510"/>
    <n v="-40.788678130091498"/>
    <n v="-6.5247301299914398"/>
    <n v="-40.600383320433799"/>
    <n v="-6.2884898000641503"/>
    <s v="020"/>
    <s v="CE"/>
    <s v="Eixo Principal"/>
    <s v="-"/>
    <s v="020BCE0510"/>
    <s v="DIV PI/CE"/>
    <s v="ENTR CE-277 (P/PARAMBU)"/>
    <n v="0"/>
    <n v="34.700000000000003"/>
    <n v="34.700000000000003"/>
    <x v="2"/>
    <m/>
    <m/>
    <s v="Federal"/>
    <m/>
    <m/>
    <m/>
    <s v="Federal"/>
    <s v="PAV"/>
    <s v="Boa Viagem"/>
  </r>
  <r>
    <x v="0"/>
    <s v="020BCE0520"/>
    <n v="0"/>
    <x v="7"/>
    <s v="0520"/>
    <n v="-40.600383320433799"/>
    <n v="-6.2884898000641503"/>
    <n v="-40.415535030317301"/>
    <n v="-6.0994594699785099"/>
    <s v="020"/>
    <s v="CE"/>
    <s v="Eixo Principal"/>
    <s v="-"/>
    <s v="020BCE0520"/>
    <s v="ENTR CE-277 (P/PARAMBU)"/>
    <s v="ENTR CE-187 (P/MARRECOS)"/>
    <n v="34.700000000000003"/>
    <n v="65.3"/>
    <n v="30.6"/>
    <x v="2"/>
    <m/>
    <m/>
    <s v="Federal"/>
    <m/>
    <m/>
    <m/>
    <s v="Federal"/>
    <s v="PAV"/>
    <s v="Boa Viagem"/>
  </r>
  <r>
    <x v="0"/>
    <s v="020BCE0530"/>
    <n v="0"/>
    <x v="7"/>
    <s v="0530"/>
    <n v="-40.415535030317301"/>
    <n v="-6.0994594699785099"/>
    <n v="-40.286083599578397"/>
    <n v="-6.0069930801664597"/>
    <s v="020"/>
    <s v="CE"/>
    <s v="Eixo Principal"/>
    <s v="-"/>
    <s v="020BCE0530"/>
    <s v="ENTR CE-187 (P/MARRECOS)"/>
    <s v="ENTR BR-404/CE-176/187/363 (P/TAUÁ)"/>
    <n v="65.3"/>
    <n v="83.1"/>
    <n v="17.8"/>
    <x v="2"/>
    <m/>
    <m/>
    <s v="Federal"/>
    <m/>
    <m/>
    <m/>
    <s v="Federal"/>
    <s v="PAV"/>
    <s v="Boa Viagem"/>
  </r>
  <r>
    <x v="0"/>
    <s v="020BCE0540"/>
    <n v="0"/>
    <x v="7"/>
    <s v="0540"/>
    <n v="-40.286083599578397"/>
    <n v="-6.0069930801664597"/>
    <n v="-40.003626349776098"/>
    <n v="-5.4397001597345103"/>
    <s v="020"/>
    <s v="CE"/>
    <s v="Eixo Principal"/>
    <s v="-"/>
    <s v="020BCE0540"/>
    <s v="ENTR BR-404/CE-176/187/363 (P/TAUÁ)"/>
    <s v="ENTR BR-226 (SANTA CRUZ DO BANABUIÚ)"/>
    <n v="83.1"/>
    <n v="155.80000000000001"/>
    <n v="72.7"/>
    <x v="2"/>
    <m/>
    <m/>
    <s v="Federal"/>
    <m/>
    <m/>
    <m/>
    <s v="Federal"/>
    <s v="PAV"/>
    <s v="Boa Viagem"/>
  </r>
  <r>
    <x v="0"/>
    <s v="020BCE0550"/>
    <n v="0"/>
    <x v="7"/>
    <s v="0550"/>
    <n v="-40.003626349776098"/>
    <n v="-5.4397001597345103"/>
    <n v="-39.737373439832297"/>
    <n v="-5.1269439201257603"/>
    <s v="020"/>
    <s v="CE"/>
    <s v="Eixo Principal"/>
    <s v="-"/>
    <s v="020BCE0550"/>
    <s v="ENTR BR-226 (SANTA CRUZ DO BANABUIÚ)"/>
    <s v="ENTR CE-168/266 (BOA VIAGEM)"/>
    <n v="155.80000000000001"/>
    <n v="203.2"/>
    <n v="47.4"/>
    <x v="2"/>
    <m/>
    <m/>
    <s v="Federal"/>
    <m/>
    <m/>
    <m/>
    <s v="Federal"/>
    <s v="PAV"/>
    <s v="Boa Viagem"/>
  </r>
  <r>
    <x v="0"/>
    <s v="020BCE0560"/>
    <n v="0"/>
    <x v="7"/>
    <s v="0560"/>
    <n v="-39.737373439832297"/>
    <n v="-5.1269439201257603"/>
    <n v="-39.5734679598784"/>
    <n v="-4.8551080198192196"/>
    <s v="020"/>
    <s v="CE"/>
    <s v="Eixo Principal"/>
    <s v="-"/>
    <s v="020BCE0560"/>
    <s v="ENTR CE-168/266 (BOA VIAGEM)"/>
    <s v="ENTR CE-265 (MADALENA)"/>
    <n v="203.2"/>
    <n v="239.1"/>
    <n v="35.9"/>
    <x v="2"/>
    <m/>
    <m/>
    <s v="Federal"/>
    <m/>
    <m/>
    <m/>
    <s v="Federal"/>
    <s v="PAV"/>
    <s v="Boa Viagem"/>
  </r>
  <r>
    <x v="0"/>
    <s v="020BCE0570"/>
    <n v="0"/>
    <x v="7"/>
    <s v="0570"/>
    <n v="-39.5734679598784"/>
    <n v="-4.8551080198192196"/>
    <n v="-39.484945240230601"/>
    <n v="-4.7618114496386204"/>
    <s v="020"/>
    <s v="CE"/>
    <s v="Eixo Principal"/>
    <s v="-"/>
    <s v="020BCE0570"/>
    <s v="ENTR CE-265 (MADALENA)"/>
    <s v="ENTR CE-366 (P/LAGOA DO MATO)"/>
    <n v="239.1"/>
    <n v="253.6"/>
    <n v="14.5"/>
    <x v="2"/>
    <m/>
    <m/>
    <s v="Federal"/>
    <m/>
    <m/>
    <m/>
    <s v="Federal"/>
    <s v="PAV"/>
    <s v="Boa Viagem"/>
  </r>
  <r>
    <x v="0"/>
    <s v="020BCE0580"/>
    <n v="0"/>
    <x v="7"/>
    <s v="0580"/>
    <n v="-39.484945240230601"/>
    <n v="-4.7618114496386204"/>
    <n v="-39.358857200199502"/>
    <n v="-4.5817765604398897"/>
    <s v="020"/>
    <s v="CE"/>
    <s v="Eixo Principal"/>
    <s v="-"/>
    <s v="020BCE0580"/>
    <s v="ENTR CE-366 (P/LAGOA DO MATO)"/>
    <s v="ENTR CE-456 (P/TARGINOS)"/>
    <n v="253.6"/>
    <n v="279.89999999999998"/>
    <n v="26.3"/>
    <x v="2"/>
    <m/>
    <m/>
    <s v="Federal"/>
    <m/>
    <m/>
    <m/>
    <s v="Federal"/>
    <s v="PAV"/>
    <s v="Boa Viagem"/>
  </r>
  <r>
    <x v="0"/>
    <s v="020BCE0590"/>
    <n v="0"/>
    <x v="7"/>
    <s v="0590"/>
    <n v="-39.358857200199502"/>
    <n v="-4.5817765604398897"/>
    <n v="-39.294959099882497"/>
    <n v="-4.3436971600958101"/>
    <s v="020"/>
    <s v="CE"/>
    <s v="Eixo Principal"/>
    <s v="-"/>
    <s v="020BCE0590"/>
    <s v="ENTR CE-456 (P/TARGINOS)"/>
    <s v="ENTR CE-257 (CANINDÉ)"/>
    <n v="279.89999999999998"/>
    <n v="308.8"/>
    <n v="28.9"/>
    <x v="2"/>
    <m/>
    <m/>
    <s v="Federal"/>
    <m/>
    <m/>
    <m/>
    <s v="Federal"/>
    <s v="PAV"/>
    <s v="Boa Viagem"/>
  </r>
  <r>
    <x v="0"/>
    <s v="020BCE0600"/>
    <n v="0"/>
    <x v="7"/>
    <s v="0600"/>
    <n v="-39.294959099882497"/>
    <n v="-4.3436971600958101"/>
    <n v="-39.197926319643798"/>
    <n v="-4.2287939298959101"/>
    <s v="020"/>
    <s v="CE"/>
    <s v="Eixo Principal"/>
    <s v="-"/>
    <s v="020BCE0600"/>
    <s v="ENTR CE-257 (CANINDÉ)"/>
    <s v="CARIDADE"/>
    <n v="308.8"/>
    <n v="326.2"/>
    <n v="17.399999999999999"/>
    <x v="2"/>
    <m/>
    <m/>
    <s v="Federal"/>
    <m/>
    <m/>
    <m/>
    <s v="Federal"/>
    <s v="PAV"/>
    <s v="Fortaleza"/>
  </r>
  <r>
    <x v="0"/>
    <s v="020BCE0610"/>
    <n v="0"/>
    <x v="7"/>
    <s v="0610"/>
    <n v="-39.197926319643798"/>
    <n v="-4.2287939298959101"/>
    <n v="-39.149434999925198"/>
    <n v="-4.1620987203796096"/>
    <s v="020"/>
    <s v="CE"/>
    <s v="Eixo Principal"/>
    <s v="-"/>
    <s v="020BCE0610"/>
    <s v="CARIDADE"/>
    <s v="ENTR CE-162"/>
    <n v="326.2"/>
    <n v="335.5"/>
    <n v="9.3000000000000007"/>
    <x v="2"/>
    <m/>
    <m/>
    <s v="Federal"/>
    <m/>
    <m/>
    <m/>
    <s v="Federal"/>
    <s v="PAV"/>
    <s v="Fortaleza"/>
  </r>
  <r>
    <x v="0"/>
    <s v="020BCE0630"/>
    <n v="0"/>
    <x v="7"/>
    <s v="0630"/>
    <n v="-39.149434999925198"/>
    <n v="-4.1620987203796096"/>
    <n v="-39.057635759582503"/>
    <n v="-4.0993042401984701"/>
    <s v="020"/>
    <s v="CE"/>
    <s v="Eixo Principal"/>
    <s v="-"/>
    <s v="020BCE0630"/>
    <s v="ENTR CE-162"/>
    <s v="ENTR CE-253 (CAMPOS BELOS)"/>
    <n v="335.5"/>
    <n v="348.5"/>
    <n v="13"/>
    <x v="2"/>
    <m/>
    <m/>
    <s v="Federal"/>
    <m/>
    <m/>
    <m/>
    <s v="Federal"/>
    <s v="PAV"/>
    <s v="Fortaleza"/>
  </r>
  <r>
    <x v="0"/>
    <s v="020BCE0640"/>
    <n v="0"/>
    <x v="7"/>
    <s v="0640"/>
    <n v="-39.057635759582503"/>
    <n v="-4.0993042401984701"/>
    <n v="-38.9932710999812"/>
    <n v="-4.0331995498193001"/>
    <s v="020"/>
    <s v="CE"/>
    <s v="Eixo Principal"/>
    <s v="-"/>
    <s v="020BCE0640"/>
    <s v="ENTR CE-253 (CAMPOS BELOS)"/>
    <s v="ENTR CE-354 (P/ITAPEBUSSÚ)"/>
    <n v="348.5"/>
    <n v="358.9"/>
    <n v="10.4"/>
    <x v="2"/>
    <m/>
    <m/>
    <s v="Federal"/>
    <m/>
    <m/>
    <m/>
    <s v="Federal"/>
    <s v="PAV"/>
    <s v="Fortaleza"/>
  </r>
  <r>
    <x v="0"/>
    <s v="020BCE0650"/>
    <n v="0"/>
    <x v="7"/>
    <s v="0650"/>
    <n v="-38.9932710999812"/>
    <n v="-4.0331995498193001"/>
    <n v="-38.665159190044498"/>
    <n v="-3.76795457034711"/>
    <s v="020"/>
    <s v="CE"/>
    <s v="Eixo Principal"/>
    <s v="-"/>
    <s v="020BCE0650"/>
    <s v="ENTR CE-354 (P/ITAPEBUSSÚ)"/>
    <s v="ENTR BR-222"/>
    <n v="358.9"/>
    <n v="406.6"/>
    <n v="47.7"/>
    <x v="2"/>
    <m/>
    <m/>
    <s v="Federal"/>
    <m/>
    <m/>
    <m/>
    <s v="Federal"/>
    <s v="PAV"/>
    <s v="Fortaleza"/>
  </r>
  <r>
    <x v="0"/>
    <s v="020BCE0660"/>
    <n v="0"/>
    <x v="7"/>
    <s v="0660"/>
    <n v="-38.665159190044498"/>
    <n v="-3.76795457034711"/>
    <n v="-38.624313230071401"/>
    <n v="-3.8275158996390202"/>
    <s v="020"/>
    <s v="CE"/>
    <s v="Eixo Principal"/>
    <s v="-"/>
    <s v="020BCE0660"/>
    <s v="ENTR BR-222"/>
    <s v="ENTR CE-065"/>
    <n v="406.6"/>
    <n v="414.6"/>
    <n v="8"/>
    <x v="2"/>
    <s v="EOD"/>
    <m/>
    <s v="Federal"/>
    <m/>
    <m/>
    <m/>
    <s v="Federal"/>
    <s v="PAV"/>
    <s v="Fortaleza"/>
  </r>
  <r>
    <x v="0"/>
    <s v="020BCE0661"/>
    <n v="0"/>
    <x v="7"/>
    <s v="0661"/>
    <n v="-38.624313230071401"/>
    <n v="-3.8275158996390202"/>
    <n v="-38.585128879993697"/>
    <n v="-3.84369958027139"/>
    <s v="020"/>
    <s v="CE"/>
    <s v="Eixo Principal"/>
    <s v="-"/>
    <s v="020BCE0661"/>
    <s v="ENTR CE-065"/>
    <s v="ENTR CE-060"/>
    <n v="414.6"/>
    <n v="419.3"/>
    <n v="4.7"/>
    <x v="2"/>
    <s v="EOD"/>
    <m/>
    <s v="Federal"/>
    <m/>
    <m/>
    <m/>
    <s v="Federal"/>
    <s v="PAV"/>
    <s v="Fortaleza"/>
  </r>
  <r>
    <x v="0"/>
    <s v="020BCE0662"/>
    <n v="0"/>
    <x v="7"/>
    <s v="0662"/>
    <n v="-38.585128879993697"/>
    <n v="-3.84369958027139"/>
    <n v="-38.498760280362603"/>
    <n v="-3.8714592596370401"/>
    <s v="020"/>
    <s v="CE"/>
    <s v="Eixo Principal"/>
    <s v="-"/>
    <s v="020BCE0662"/>
    <s v="ENTR CE-060"/>
    <s v="ENTR BR-116"/>
    <n v="419.3"/>
    <n v="429.4"/>
    <n v="10.1"/>
    <x v="2"/>
    <s v="EOD"/>
    <m/>
    <s v="Federal"/>
    <m/>
    <m/>
    <m/>
    <s v="Federal"/>
    <s v="PAV"/>
    <s v="Fortaleza"/>
  </r>
  <r>
    <x v="0"/>
    <s v="020BCE0665"/>
    <n v="0"/>
    <x v="7"/>
    <s v="0665"/>
    <n v="-38.498760280362603"/>
    <n v="-3.8714592596370401"/>
    <n v="-38.469931840382003"/>
    <n v="-3.8628276997384798"/>
    <s v="020"/>
    <s v="CE"/>
    <s v="Eixo Principal"/>
    <s v="-"/>
    <s v="020BCE0665"/>
    <s v="ENTR BR-116"/>
    <s v="ENTR CE-040 (P/MESSEJANA)(CONTORNO DE FORTALEZA)"/>
    <n v="429.4"/>
    <n v="432.9"/>
    <n v="3.5"/>
    <x v="2"/>
    <s v="EOD"/>
    <m/>
    <s v="Federal"/>
    <m/>
    <m/>
    <m/>
    <s v="Federal"/>
    <s v="PAV"/>
    <s v="Fortaleza"/>
  </r>
  <r>
    <x v="0"/>
    <s v="020BCE0670"/>
    <n v="0"/>
    <x v="7"/>
    <s v="0670"/>
    <n v="-38.469931840382003"/>
    <n v="-3.8628276997384798"/>
    <n v="-38.429147680021302"/>
    <n v="-3.8106728297872201"/>
    <s v="020"/>
    <s v="CE"/>
    <s v="Eixo Principal"/>
    <s v="-"/>
    <s v="020BCE0670"/>
    <s v="ENTR CE-040 (P/MESSEJANA)(CONTORNO DE FORTALEZA)"/>
    <s v="ENTR CE-025"/>
    <n v="432.9"/>
    <n v="441.8"/>
    <n v="8.9"/>
    <x v="1"/>
    <m/>
    <m/>
    <s v="Estadual"/>
    <m/>
    <s v="CE-010"/>
    <s v="DUP"/>
    <s v="Estadual"/>
    <s v="PLA"/>
    <s v="Fortaleza"/>
  </r>
  <r>
    <x v="0"/>
    <s v="020BCE0672"/>
    <n v="0"/>
    <x v="7"/>
    <s v="0672"/>
    <n v="-38.429147680021302"/>
    <n v="-3.8106728297872201"/>
    <n v="-38.433403780060303"/>
    <n v="-3.7797620698635801"/>
    <s v="020"/>
    <s v="CE"/>
    <s v="Eixo Principal"/>
    <s v="-"/>
    <s v="020BCE0672"/>
    <s v="ENTR CE-025"/>
    <s v="ENTR R. SABIAGUABA"/>
    <n v="441.8"/>
    <n v="446.4"/>
    <n v="4.5999999999999996"/>
    <x v="1"/>
    <m/>
    <m/>
    <s v="Estadual"/>
    <m/>
    <s v="CE-010"/>
    <s v="DUP"/>
    <s v="Estadual"/>
    <s v="PLA"/>
    <s v="Fortaleza"/>
  </r>
  <r>
    <x v="0"/>
    <s v="020BCE0675"/>
    <n v="0"/>
    <x v="7"/>
    <s v="0675"/>
    <n v="-38.433403780060303"/>
    <n v="-3.7797620698635801"/>
    <n v="-38.435620859814698"/>
    <n v="-3.7763489295593899"/>
    <s v="020"/>
    <s v="CE"/>
    <s v="Eixo Principal"/>
    <s v="-"/>
    <s v="020BCE0675"/>
    <s v="ENTR R. SABIAGUABA"/>
    <s v="INÍCIO PONTE SOBRE O RIO COCÓ *TRECHO URBANO*"/>
    <n v="446.4"/>
    <n v="446.9"/>
    <n v="0.5"/>
    <x v="0"/>
    <m/>
    <m/>
    <s v="Federal"/>
    <m/>
    <m/>
    <m/>
    <s v="Federal"/>
    <s v="PAV"/>
    <s v="Fortaleza"/>
  </r>
  <r>
    <x v="0"/>
    <s v="020BCE0680"/>
    <n v="0"/>
    <x v="7"/>
    <s v="0680"/>
    <n v="-38.435620859814698"/>
    <n v="-3.7763489295593899"/>
    <n v="-38.438606949850701"/>
    <n v="-3.7744572595947798"/>
    <s v="020"/>
    <s v="CE"/>
    <s v="Eixo Principal"/>
    <s v="-"/>
    <s v="020BCE0680"/>
    <s v="INÍCIO PONTE SOBRE O RIO COCÓ"/>
    <s v="FIM PONTE SOBRE O RIO COCÓ *TRECHO URBANO*"/>
    <n v="446.9"/>
    <n v="447.2"/>
    <n v="0.3"/>
    <x v="0"/>
    <m/>
    <m/>
    <s v="Federal"/>
    <m/>
    <m/>
    <m/>
    <s v="Federal"/>
    <s v="PAV"/>
    <s v="Fortaleza"/>
  </r>
  <r>
    <x v="0"/>
    <s v="020BCE0690"/>
    <n v="0"/>
    <x v="7"/>
    <s v="0690"/>
    <n v="-38.438606949850701"/>
    <n v="-3.7744572595947798"/>
    <n v="-38.4396286300572"/>
    <n v="-3.7688795500511598"/>
    <s v="020"/>
    <s v="CE"/>
    <s v="Eixo Principal"/>
    <s v="-"/>
    <s v="020BCE0690"/>
    <s v="FIM PONTE SOBRE O RIO COCÓ"/>
    <s v="ENT. R. GERMINIANO JUREMA"/>
    <n v="447.2"/>
    <n v="448"/>
    <n v="0.8"/>
    <x v="0"/>
    <m/>
    <m/>
    <s v="Federal"/>
    <m/>
    <m/>
    <m/>
    <s v="Federal"/>
    <s v="PAV"/>
    <s v="Fortaleza"/>
  </r>
  <r>
    <x v="0"/>
    <s v="020BCE0700"/>
    <n v="0"/>
    <x v="7"/>
    <s v="0700"/>
    <n v="-38.4396286300572"/>
    <n v="-3.7688795500511598"/>
    <n v="-38.473253800222601"/>
    <n v="-3.7137951700110499"/>
    <s v="020"/>
    <s v="CE"/>
    <s v="Eixo Principal"/>
    <s v="-"/>
    <s v="020BCE0700"/>
    <s v="ENT. R. GERMINIANO JUREMA"/>
    <s v="PORTO DE MUCURIPE (CONT. DE FORTALEZA) *TRECHO MUNICIPAL*"/>
    <n v="448"/>
    <n v="455.2"/>
    <n v="7.2"/>
    <x v="1"/>
    <m/>
    <m/>
    <s v="Federal"/>
    <m/>
    <m/>
    <m/>
    <s v="Federal"/>
    <s v="PLA"/>
    <s v="Fortaleza"/>
  </r>
  <r>
    <x v="0"/>
    <s v="020BDF0010"/>
    <n v="0"/>
    <x v="8"/>
    <s v="0010"/>
    <n v="-47.858851780085502"/>
    <n v="-15.6881578900745"/>
    <n v="-47.837345729921402"/>
    <n v="-15.681803040377901"/>
    <s v="020"/>
    <s v="DF"/>
    <s v="Eixo Principal"/>
    <s v="Coinc"/>
    <s v="020BDF0010"/>
    <s v="ENTR BR-010(A)/030(A)/450/DF-001 (BRASÍLIA)"/>
    <s v="ENTR DF-440"/>
    <n v="0"/>
    <n v="2.4"/>
    <n v="2.4"/>
    <x v="0"/>
    <m/>
    <s v="010BDF0010;030BDF0010"/>
    <s v="Convênio de Administração"/>
    <m/>
    <m/>
    <m/>
    <s v="Federal"/>
    <s v="PAV"/>
    <s v="Brasília"/>
  </r>
  <r>
    <x v="0"/>
    <s v="020BDF0015"/>
    <n v="0"/>
    <x v="8"/>
    <s v="0015"/>
    <n v="-47.837345729921402"/>
    <n v="-15.681803040377901"/>
    <n v="-47.807596359884002"/>
    <n v="-15.665864839590601"/>
    <s v="020"/>
    <s v="DF"/>
    <s v="Eixo Principal"/>
    <s v="Coinc"/>
    <s v="020BDF0015"/>
    <s v="ENTR DF-440"/>
    <s v="ACESSO I SOBRADINHO"/>
    <n v="2.4"/>
    <n v="6"/>
    <n v="3.6"/>
    <x v="0"/>
    <m/>
    <s v="010BDF0015;030BDF0015"/>
    <s v="Convênio de Administração"/>
    <m/>
    <m/>
    <m/>
    <s v="Federal"/>
    <s v="PAV"/>
    <s v="Brasília"/>
  </r>
  <r>
    <x v="0"/>
    <s v="020BDF0016"/>
    <n v="0"/>
    <x v="8"/>
    <s v="0016"/>
    <n v="-47.807596359884002"/>
    <n v="-15.665864839590601"/>
    <n v="-47.787738640225903"/>
    <n v="-15.6566409700047"/>
    <s v="020"/>
    <s v="DF"/>
    <s v="Eixo Principal"/>
    <s v="Coinc"/>
    <s v="020BDF0016"/>
    <s v="ACESSO I SOBRADINHO"/>
    <s v="ACESSO II SOBRADINHO"/>
    <n v="6"/>
    <n v="8.3000000000000007"/>
    <n v="2.2999999999999998"/>
    <x v="0"/>
    <m/>
    <s v="030BDF0016;010BDF0016"/>
    <s v="Convênio de Administração"/>
    <m/>
    <m/>
    <m/>
    <s v="Federal"/>
    <s v="PAV"/>
    <s v="Brasília"/>
  </r>
  <r>
    <x v="0"/>
    <s v="020BDF0018"/>
    <n v="0"/>
    <x v="8"/>
    <s v="0018"/>
    <n v="-47.787738640225903"/>
    <n v="-15.6566409700047"/>
    <n v="-47.7059894397607"/>
    <n v="-15.615206749991501"/>
    <s v="020"/>
    <s v="DF"/>
    <s v="Eixo Principal"/>
    <s v="Coinc"/>
    <s v="020BDF0018"/>
    <s v="ACESSO II SOBRADINHO"/>
    <s v="ENTR DF-230"/>
    <n v="8.3000000000000007"/>
    <n v="18.2"/>
    <n v="9.9"/>
    <x v="0"/>
    <m/>
    <s v="030BDF0018;010BDF0018"/>
    <s v="Convênio de Administração"/>
    <m/>
    <m/>
    <m/>
    <s v="Federal"/>
    <s v="PAV"/>
    <s v="Brasília"/>
  </r>
  <r>
    <x v="0"/>
    <s v="020BDF0020"/>
    <n v="0"/>
    <x v="8"/>
    <s v="0020"/>
    <n v="-47.7059894397607"/>
    <n v="-15.615206749991501"/>
    <n v="-47.6749888402626"/>
    <n v="-15.5981009701835"/>
    <s v="020"/>
    <s v="DF"/>
    <s v="Eixo Principal"/>
    <s v="Coinc"/>
    <s v="020BDF0020"/>
    <s v="ENTR DF-230"/>
    <s v="ENTR DF-128"/>
    <n v="18.2"/>
    <n v="22"/>
    <n v="3.8"/>
    <x v="0"/>
    <m/>
    <s v="030BDF0020;010BDF0020"/>
    <s v="Convênio de Administração"/>
    <m/>
    <m/>
    <m/>
    <s v="Federal"/>
    <s v="PAV"/>
    <s v="Brasília"/>
  </r>
  <r>
    <x v="0"/>
    <s v="020BDF0022"/>
    <n v="0"/>
    <x v="8"/>
    <s v="0022"/>
    <n v="-47.6749888402626"/>
    <n v="-15.5981009701835"/>
    <n v="-47.653832829621301"/>
    <n v="-15.595250130089299"/>
    <s v="020"/>
    <s v="DF"/>
    <s v="Eixo Principal"/>
    <s v="Coinc"/>
    <s v="020BDF0022"/>
    <s v="ENTR DF-128"/>
    <s v="ENTR DF-128 (P/PLANALTINA)"/>
    <n v="22"/>
    <n v="25"/>
    <n v="3"/>
    <x v="0"/>
    <m/>
    <s v="030BDF0022;010BDF0022"/>
    <s v="Convênio de Administração"/>
    <m/>
    <m/>
    <m/>
    <s v="Federal"/>
    <s v="PAV"/>
    <s v="Brasília"/>
  </r>
  <r>
    <x v="0"/>
    <s v="020BDF0030"/>
    <n v="0"/>
    <x v="8"/>
    <s v="0030"/>
    <n v="-47.653832829621301"/>
    <n v="-15.595250130089299"/>
    <n v="-47.571755169765197"/>
    <n v="-15.586163100446599"/>
    <s v="020"/>
    <s v="DF"/>
    <s v="Eixo Principal"/>
    <s v="Coinc"/>
    <s v="020BDF0030"/>
    <s v="ENTR DF-128 (P/PLANALTINA)"/>
    <s v="ENTR BR-010(B)/DF-345"/>
    <n v="25"/>
    <n v="34"/>
    <n v="9"/>
    <x v="0"/>
    <m/>
    <s v="030BDF0030;010BDF0030"/>
    <s v="Federal"/>
    <m/>
    <m/>
    <m/>
    <s v="Federal"/>
    <s v="PAV"/>
    <s v="Brasília"/>
  </r>
  <r>
    <x v="0"/>
    <s v="020BDF0050"/>
    <n v="0"/>
    <x v="8"/>
    <s v="0050"/>
    <n v="-47.571755169765197"/>
    <n v="-15.586163100446599"/>
    <n v="-47.553753899922498"/>
    <n v="-15.5817179701081"/>
    <s v="020"/>
    <s v="DF"/>
    <s v="Eixo Principal"/>
    <s v="-"/>
    <s v="020BDF0050"/>
    <s v="ENTR BR-010(B)/DF-345"/>
    <s v="ENTR DF-405"/>
    <n v="34"/>
    <n v="36"/>
    <n v="2"/>
    <x v="0"/>
    <m/>
    <s v="030BDF0050"/>
    <s v="Federal"/>
    <m/>
    <m/>
    <m/>
    <s v="Federal"/>
    <s v="PAV"/>
    <s v="Brasília"/>
  </r>
  <r>
    <x v="0"/>
    <s v="020BDF0051"/>
    <n v="0"/>
    <x v="8"/>
    <s v="0051"/>
    <n v="-47.553753899922498"/>
    <n v="-15.5817179701081"/>
    <n v="-47.550651860294998"/>
    <n v="-15.581711389768699"/>
    <s v="020"/>
    <s v="DF"/>
    <s v="Eixo Principal"/>
    <s v="-"/>
    <s v="020BDF0051"/>
    <s v="ENTR DF-405"/>
    <s v="ENTR DF-410"/>
    <n v="36"/>
    <n v="36.299999999999997"/>
    <n v="0.3"/>
    <x v="0"/>
    <m/>
    <s v="030BDF0051"/>
    <s v="Federal"/>
    <m/>
    <m/>
    <m/>
    <s v="Federal"/>
    <s v="PAV"/>
    <s v="Brasília"/>
  </r>
  <r>
    <x v="0"/>
    <s v="020BDF0052"/>
    <n v="0"/>
    <x v="8"/>
    <s v="0052"/>
    <n v="-47.550651860294998"/>
    <n v="-15.581711389768699"/>
    <n v="-47.4970216498292"/>
    <n v="-15.579482060348701"/>
    <s v="020"/>
    <s v="DF"/>
    <s v="Eixo Principal"/>
    <s v="-"/>
    <s v="020BDF0052"/>
    <s v="ENTR DF-410"/>
    <s v="ENTR DF-110"/>
    <n v="36.299999999999997"/>
    <n v="42"/>
    <n v="5.7"/>
    <x v="0"/>
    <m/>
    <s v="030BDF0052"/>
    <s v="Federal"/>
    <m/>
    <m/>
    <m/>
    <s v="Federal"/>
    <s v="PAV"/>
    <s v="Brasília"/>
  </r>
  <r>
    <x v="0"/>
    <s v="020BDF0053"/>
    <n v="0"/>
    <x v="8"/>
    <s v="0053"/>
    <n v="-47.4970216498292"/>
    <n v="-15.579482060348701"/>
    <n v="-47.429872360021299"/>
    <n v="-15.5818908602749"/>
    <s v="020"/>
    <s v="DF"/>
    <s v="Eixo Principal"/>
    <s v="-"/>
    <s v="020BDF0053"/>
    <s v="ENTR DF-110"/>
    <s v="ENTR VICINAL-107"/>
    <n v="42"/>
    <n v="49.4"/>
    <n v="7.4"/>
    <x v="0"/>
    <m/>
    <s v="030BDF0053"/>
    <s v="Federal"/>
    <m/>
    <m/>
    <m/>
    <s v="Federal"/>
    <s v="PAV"/>
    <s v="Brasília"/>
  </r>
  <r>
    <x v="0"/>
    <s v="020BDF0054"/>
    <n v="0"/>
    <x v="8"/>
    <s v="0054"/>
    <n v="-47.429872360021299"/>
    <n v="-15.5818908602749"/>
    <n v="-47.402557399903998"/>
    <n v="-15.579663180211501"/>
    <s v="020"/>
    <s v="DF"/>
    <s v="Eixo Principal"/>
    <s v="-"/>
    <s v="020BDF0054"/>
    <s v="ENTR VICINAL-107"/>
    <s v="ENTR DF-105"/>
    <n v="49.4"/>
    <n v="52.3"/>
    <n v="2.9"/>
    <x v="0"/>
    <m/>
    <s v="030BDF0054"/>
    <s v="Federal"/>
    <m/>
    <m/>
    <m/>
    <s v="Federal"/>
    <s v="PAV"/>
    <s v="Brasília"/>
  </r>
  <r>
    <x v="0"/>
    <s v="020BDF0060"/>
    <n v="0"/>
    <x v="8"/>
    <s v="0060"/>
    <n v="-47.402557399903998"/>
    <n v="-15.579663180211501"/>
    <n v="-47.352157709810299"/>
    <n v="-15.583539070271801"/>
    <s v="020"/>
    <s v="DF"/>
    <s v="Eixo Principal"/>
    <s v="-"/>
    <s v="020BDF0060"/>
    <s v="ENTR DF-105"/>
    <s v="ENTR DF-100"/>
    <n v="52.3"/>
    <n v="57.9"/>
    <n v="5.6"/>
    <x v="0"/>
    <m/>
    <s v="030BDF0060"/>
    <s v="Federal"/>
    <m/>
    <m/>
    <m/>
    <s v="Federal"/>
    <s v="PAV"/>
    <s v="Brasília"/>
  </r>
  <r>
    <x v="0"/>
    <s v="020BDF0070"/>
    <n v="0"/>
    <x v="8"/>
    <s v="0070"/>
    <n v="-47.352157709810299"/>
    <n v="-15.583539070271801"/>
    <n v="-47.343387770329201"/>
    <n v="-15.5815257903828"/>
    <s v="020"/>
    <s v="DF"/>
    <s v="Eixo Principal"/>
    <s v="-"/>
    <s v="020BDF0070"/>
    <s v="ENTR DF-100"/>
    <s v="ENTR BR-030(B) (DIV DF/GO)"/>
    <n v="57.9"/>
    <n v="58.8"/>
    <n v="0.9"/>
    <x v="0"/>
    <m/>
    <s v="030BDF0070"/>
    <s v="Federal"/>
    <m/>
    <m/>
    <m/>
    <s v="Federal"/>
    <s v="PAV"/>
    <s v="Brasília"/>
  </r>
  <r>
    <x v="0"/>
    <s v="020BGO0090"/>
    <n v="0"/>
    <x v="9"/>
    <s v="0090"/>
    <n v="-47.343387770329201"/>
    <n v="-15.5815257903828"/>
    <n v="-47.3156038299527"/>
    <n v="-15.563147450094601"/>
    <s v="020"/>
    <s v="GO"/>
    <s v="Eixo Principal"/>
    <s v="-"/>
    <s v="020BGO0090"/>
    <s v="ENTR BR-030(A) (DIV DF/GO)"/>
    <s v="ACESSO A FORMOSA"/>
    <n v="0"/>
    <n v="3.7"/>
    <n v="3.7"/>
    <x v="2"/>
    <m/>
    <s v="030BGO0090"/>
    <s v="Federal"/>
    <m/>
    <m/>
    <m/>
    <s v="Federal"/>
    <s v="PAV"/>
    <s v="Brasília"/>
  </r>
  <r>
    <x v="0"/>
    <s v="020BGO0110"/>
    <n v="0"/>
    <x v="9"/>
    <s v="0110"/>
    <n v="-47.3156038299527"/>
    <n v="-15.563147450094601"/>
    <n v="-47.164690959919803"/>
    <n v="-15.546948890178999"/>
    <s v="020"/>
    <s v="GO"/>
    <s v="Eixo Principal"/>
    <s v="-"/>
    <s v="020BGO0110"/>
    <s v="ACESSO A FORMOSA"/>
    <s v="ENTR GO-346 (P/CABEÇEIRAS)"/>
    <n v="3.7"/>
    <n v="22"/>
    <n v="18.3"/>
    <x v="2"/>
    <m/>
    <s v="030BGO0110"/>
    <s v="Federal"/>
    <m/>
    <m/>
    <m/>
    <s v="Federal"/>
    <s v="PAV"/>
    <s v="Brasília"/>
  </r>
  <r>
    <x v="0"/>
    <s v="020BGO0120"/>
    <n v="0"/>
    <x v="9"/>
    <s v="0120"/>
    <n v="-47.164690959919803"/>
    <n v="-15.546948890178999"/>
    <n v="-47.106674200054201"/>
    <n v="-15.493394579795901"/>
    <s v="020"/>
    <s v="GO"/>
    <s v="Eixo Principal"/>
    <s v="-"/>
    <s v="020BGO0120"/>
    <s v="ENTR GO-346 (P/CABEÇEIRAS)"/>
    <s v="ENTR GO-468(A) (DISTRITO DE BEZERRA)"/>
    <n v="22"/>
    <n v="31"/>
    <n v="9"/>
    <x v="2"/>
    <m/>
    <s v="030BGO0120"/>
    <s v="Federal"/>
    <m/>
    <m/>
    <m/>
    <s v="Federal"/>
    <s v="PAV"/>
    <s v="Brasília"/>
  </r>
  <r>
    <x v="0"/>
    <s v="020BGO0130"/>
    <n v="0"/>
    <x v="9"/>
    <s v="0130"/>
    <n v="-47.106674200054201"/>
    <n v="-15.493394579795901"/>
    <n v="-47.135450920023899"/>
    <n v="-15.148480090183901"/>
    <s v="020"/>
    <s v="GO"/>
    <s v="Eixo Principal"/>
    <s v="-"/>
    <s v="020BGO0130"/>
    <s v="ENTR GO-468 (DISTRITO DE BEZERRA)"/>
    <s v="ENTR GO-458 (P/SANTA ROSA)"/>
    <n v="31"/>
    <n v="72.8"/>
    <n v="41.8"/>
    <x v="2"/>
    <m/>
    <s v="030BGO0157"/>
    <s v="Federal"/>
    <m/>
    <m/>
    <m/>
    <s v="Federal"/>
    <s v="PAV"/>
    <s v="Brasília"/>
  </r>
  <r>
    <x v="0"/>
    <s v="020BGO0150"/>
    <n v="0"/>
    <x v="9"/>
    <s v="0150"/>
    <n v="-47.135450920023899"/>
    <n v="-15.148480090183901"/>
    <n v="-46.9588046897845"/>
    <n v="-14.9185806003143"/>
    <s v="020"/>
    <s v="GO"/>
    <s v="Eixo Principal"/>
    <s v="-"/>
    <s v="020BGO0150"/>
    <s v="ENTR GO-458 (P/SANTA ROSA)"/>
    <s v="ENTR GO-114 (P/FLORES DE GOIÁS)"/>
    <n v="72.8"/>
    <n v="105.3"/>
    <n v="32.5"/>
    <x v="2"/>
    <m/>
    <s v="030BGO0160"/>
    <s v="Federal"/>
    <m/>
    <m/>
    <m/>
    <s v="Federal"/>
    <s v="PAV"/>
    <s v="Brasília"/>
  </r>
  <r>
    <x v="0"/>
    <s v="020BGO0160"/>
    <n v="0"/>
    <x v="9"/>
    <s v="0160"/>
    <n v="-46.9588046897845"/>
    <n v="-14.9185806003143"/>
    <n v="-46.674182180063397"/>
    <n v="-14.76035572044"/>
    <s v="020"/>
    <s v="GO"/>
    <s v="Eixo Principal"/>
    <s v="-"/>
    <s v="020BGO0160"/>
    <s v="ENTR GO-114 (P/FLORES DE GOIÁS)"/>
    <s v="SANTA MARIA"/>
    <n v="105.3"/>
    <n v="143.30000000000001"/>
    <n v="38"/>
    <x v="2"/>
    <m/>
    <s v="030BGO0165"/>
    <s v="Federal"/>
    <m/>
    <m/>
    <m/>
    <s v="Federal"/>
    <s v="PAV"/>
    <s v="Brasília"/>
  </r>
  <r>
    <x v="0"/>
    <s v="020BGO0170"/>
    <n v="0"/>
    <x v="9"/>
    <s v="0170"/>
    <n v="-46.674182180063397"/>
    <n v="-14.76035572044"/>
    <n v="-46.517672499785903"/>
    <n v="-14.5073674797253"/>
    <s v="020"/>
    <s v="GO"/>
    <s v="Eixo Principal"/>
    <s v="-"/>
    <s v="020BGO0170"/>
    <s v="SANTA MARIA"/>
    <s v="ENTR GO-112/236(A) (ALVORADA DO NORTE)"/>
    <n v="143.30000000000001"/>
    <n v="180.7"/>
    <n v="37.4"/>
    <x v="2"/>
    <m/>
    <s v="030BGO0170"/>
    <s v="Federal"/>
    <m/>
    <m/>
    <m/>
    <s v="Federal"/>
    <s v="PAV"/>
    <s v="Brasília"/>
  </r>
  <r>
    <x v="0"/>
    <s v="020BGO0190"/>
    <n v="0"/>
    <x v="9"/>
    <s v="0190"/>
    <n v="-46.517672499785903"/>
    <n v="-14.5073674797253"/>
    <n v="-46.460901819862997"/>
    <n v="-14.441142389909301"/>
    <s v="020"/>
    <s v="GO"/>
    <s v="Eixo Principal"/>
    <s v="-"/>
    <s v="020BGO0190"/>
    <s v="ENTR GO-112/236(A) (ALVORADA DO NORTE)"/>
    <s v="ENTR GO-236(B) (P/MAMBAÍ)"/>
    <n v="180.7"/>
    <n v="185.7"/>
    <n v="5"/>
    <x v="2"/>
    <m/>
    <s v="030BGO0175"/>
    <s v="Federal"/>
    <m/>
    <m/>
    <m/>
    <s v="Federal"/>
    <s v="PAV"/>
    <s v="Brasília"/>
  </r>
  <r>
    <x v="0"/>
    <s v="020BGO0195"/>
    <n v="0"/>
    <x v="9"/>
    <s v="0195"/>
    <n v="-46.460901819862997"/>
    <n v="-14.441142389909301"/>
    <n v="-46.352688040220798"/>
    <n v="-14.2393515001715"/>
    <s v="020"/>
    <s v="GO"/>
    <s v="Eixo Principal"/>
    <s v="-"/>
    <s v="020BGO0195"/>
    <s v="ENTR GO-236(B) (P/MAMBAÍ)"/>
    <s v="ENTR GO-108(A)"/>
    <n v="185.7"/>
    <n v="214.7"/>
    <n v="29"/>
    <x v="2"/>
    <m/>
    <m/>
    <s v="Federal"/>
    <m/>
    <m/>
    <m/>
    <s v="Federal"/>
    <s v="PAV"/>
    <s v="Brasília"/>
  </r>
  <r>
    <x v="0"/>
    <s v="020BGO0200"/>
    <n v="0"/>
    <x v="9"/>
    <s v="0200"/>
    <n v="-46.352688040220798"/>
    <n v="-14.2393515001715"/>
    <n v="-46.309380849846299"/>
    <n v="-14.1149769798037"/>
    <s v="020"/>
    <s v="GO"/>
    <s v="Eixo Principal"/>
    <s v="-"/>
    <s v="020BGO0200"/>
    <s v="ENTR GO-108(A)"/>
    <s v="ENTR BR-349(A)/GO-108(B) (P/POSSE)"/>
    <n v="214.7"/>
    <n v="229.7"/>
    <n v="15"/>
    <x v="2"/>
    <m/>
    <m/>
    <s v="Federal"/>
    <m/>
    <m/>
    <m/>
    <s v="Federal"/>
    <s v="PAV"/>
    <s v="Brasília"/>
  </r>
  <r>
    <x v="0"/>
    <s v="020BGO0210"/>
    <n v="0"/>
    <x v="9"/>
    <s v="0210"/>
    <n v="-46.309380849846299"/>
    <n v="-14.1149769798037"/>
    <n v="-46.197733060232501"/>
    <n v="-13.9564905599913"/>
    <s v="020"/>
    <s v="GO"/>
    <s v="Eixo Principal"/>
    <s v="-"/>
    <s v="020BGO0210"/>
    <s v="ENTR BR-349(A)/GO-108(B) (P/POSSE)"/>
    <s v="ENTR BR-349(B) (DIV GO/BA)"/>
    <n v="229.7"/>
    <n v="252.5"/>
    <n v="22.8"/>
    <x v="2"/>
    <m/>
    <s v="349BGO0510"/>
    <s v="Federal"/>
    <m/>
    <m/>
    <m/>
    <s v="Federal"/>
    <s v="PAV"/>
    <s v="Brasília"/>
  </r>
  <r>
    <x v="0"/>
    <s v="020BPI0370"/>
    <n v="0"/>
    <x v="10"/>
    <s v="0370"/>
    <n v="-42.960301300064799"/>
    <n v="-9.4309503696637709"/>
    <n v="-42.687403789653096"/>
    <n v="-9.0330348101083402"/>
    <s v="020"/>
    <s v="PI"/>
    <s v="Eixo Principal"/>
    <s v="-"/>
    <s v="020BPI0370"/>
    <s v="DIV BA/PI"/>
    <s v="ENTR BR-324/PI-140/144 (SÃO RAIMUNDO NONATO)"/>
    <n v="0"/>
    <n v="54.3"/>
    <n v="54.3"/>
    <x v="2"/>
    <m/>
    <m/>
    <m/>
    <s v="MP082/2004"/>
    <m/>
    <m/>
    <m/>
    <s v="PAV"/>
    <s v="Picos"/>
  </r>
  <r>
    <x v="0"/>
    <s v="020BPI0380"/>
    <n v="0"/>
    <x v="10"/>
    <s v="0380"/>
    <n v="-42.687403789653096"/>
    <n v="-9.0330348101083402"/>
    <n v="-42.465834090370898"/>
    <n v="-8.7980851404168394"/>
    <s v="020"/>
    <s v="PI"/>
    <s v="Eixo Principal"/>
    <s v="-"/>
    <s v="020BPI0380"/>
    <s v="ENTR BR-324/PI-140/144 (SÃO RAIMUNDO NONATO)"/>
    <s v="PARQUE NACIONAL SERRA DA CAPIVARA (CORONEL JOSÉ DIAS)"/>
    <n v="54.3"/>
    <n v="85.3"/>
    <n v="31"/>
    <x v="2"/>
    <m/>
    <m/>
    <m/>
    <s v="MP082/2004"/>
    <m/>
    <m/>
    <m/>
    <s v="PAV"/>
    <s v="Picos"/>
  </r>
  <r>
    <x v="0"/>
    <s v="020BPI0390"/>
    <n v="0"/>
    <x v="10"/>
    <s v="0390"/>
    <n v="-42.465834090370898"/>
    <n v="-8.7980851404168394"/>
    <n v="-42.232971659914099"/>
    <n v="-8.3622210701462301"/>
    <s v="020"/>
    <s v="PI"/>
    <s v="Eixo Principal"/>
    <s v="-"/>
    <s v="020BPI0390"/>
    <s v="PARQUE NACIONAL SERRA DA CAPIVARA (CORONEL JOSÉ DIAS)"/>
    <s v="ENTR PI-141/465 (SÃO JOÃO DO PIAUÍ)"/>
    <n v="85.3"/>
    <n v="148.30000000000001"/>
    <n v="63"/>
    <x v="2"/>
    <m/>
    <m/>
    <m/>
    <s v="MP082/2005"/>
    <m/>
    <m/>
    <m/>
    <s v="PAV"/>
    <s v="Picos"/>
  </r>
  <r>
    <x v="0"/>
    <s v="020BPI0400"/>
    <n v="0"/>
    <x v="10"/>
    <s v="0400"/>
    <n v="-42.232971659914099"/>
    <n v="-8.3622210701462301"/>
    <n v="-42.051422699997502"/>
    <n v="-8.0758049696236096"/>
    <s v="020"/>
    <s v="PI"/>
    <s v="Eixo Principal"/>
    <s v="-"/>
    <s v="020BPI0400"/>
    <s v="ENTR PI-141/465 (SÃO JOÃO DO PIAUÍ)"/>
    <s v="NOVA SANTA RITA"/>
    <n v="148.30000000000001"/>
    <n v="189.3"/>
    <n v="41"/>
    <x v="2"/>
    <m/>
    <m/>
    <m/>
    <s v="MP082/2005"/>
    <m/>
    <m/>
    <m/>
    <s v="PAV"/>
    <s v="Picos"/>
  </r>
  <r>
    <x v="0"/>
    <s v="020BPI0410"/>
    <n v="0"/>
    <x v="10"/>
    <s v="0410"/>
    <n v="-42.051422699997502"/>
    <n v="-8.0758049696236096"/>
    <n v="-41.924039450060498"/>
    <n v="-7.8877633802757101"/>
    <s v="020"/>
    <s v="PI"/>
    <s v="Eixo Principal"/>
    <s v="-"/>
    <s v="020BPI0410"/>
    <s v="NOVA SANTA RITA"/>
    <s v="ENTR PI-245(A)"/>
    <n v="189.3"/>
    <n v="215.3"/>
    <n v="26"/>
    <x v="2"/>
    <m/>
    <m/>
    <m/>
    <s v="MP082/2006"/>
    <m/>
    <m/>
    <m/>
    <s v="PAV"/>
    <s v="Picos"/>
  </r>
  <r>
    <x v="0"/>
    <s v="020BPI0415"/>
    <n v="0"/>
    <x v="10"/>
    <s v="0415"/>
    <n v="-41.924039450060498"/>
    <n v="-7.8877633802757101"/>
    <n v="-41.913963349628801"/>
    <n v="-7.8755766600347599"/>
    <s v="020"/>
    <s v="PI"/>
    <s v="Eixo Principal"/>
    <s v="-"/>
    <s v="020BPI0415"/>
    <s v="ENTR PI-245(A)"/>
    <s v="ENTR PI-143(A)"/>
    <n v="215.3"/>
    <n v="217.1"/>
    <n v="1.8"/>
    <x v="2"/>
    <m/>
    <m/>
    <s v="Federal"/>
    <m/>
    <m/>
    <m/>
    <s v="Federal"/>
    <s v="PAV"/>
    <s v="Picos"/>
  </r>
  <r>
    <x v="0"/>
    <s v="020BPI0420"/>
    <n v="0"/>
    <x v="10"/>
    <s v="0420"/>
    <n v="-41.913963349628801"/>
    <n v="-7.8755766600347599"/>
    <n v="-41.908741990150702"/>
    <n v="-7.8651349600103204"/>
    <s v="020"/>
    <s v="PI"/>
    <s v="Eixo Principal"/>
    <s v="-"/>
    <s v="020BPI0420"/>
    <s v="ENTR PI-143(A)"/>
    <s v="INÍCIO PISTA DUPLA (SIMPLÍCIO MENDES)"/>
    <n v="217.1"/>
    <n v="218.4"/>
    <n v="1.3"/>
    <x v="2"/>
    <m/>
    <m/>
    <s v="Federal"/>
    <m/>
    <m/>
    <m/>
    <s v="Federal"/>
    <s v="PAV"/>
    <s v="Picos"/>
  </r>
  <r>
    <x v="0"/>
    <s v="020BPI0425"/>
    <n v="0"/>
    <x v="10"/>
    <s v="0425"/>
    <n v="-41.908741990150702"/>
    <n v="-7.8651349600103204"/>
    <n v="-41.908312640315998"/>
    <n v="-7.8603128500579302"/>
    <s v="020"/>
    <s v="PI"/>
    <s v="Eixo Principal"/>
    <s v="-"/>
    <s v="020BPI0425"/>
    <s v="INÍCIO PISTA DUPLA (SIMPLÍCIO MENDES)"/>
    <s v="ENTR PI-143(B)/249 (SIMPLÍCIO MENDES)"/>
    <n v="218.4"/>
    <n v="218.9"/>
    <n v="0.5"/>
    <x v="0"/>
    <m/>
    <m/>
    <s v="Federal"/>
    <m/>
    <m/>
    <m/>
    <s v="Federal"/>
    <s v="PAV"/>
    <s v="Picos"/>
  </r>
  <r>
    <x v="0"/>
    <s v="020BPI0430"/>
    <n v="0"/>
    <x v="10"/>
    <s v="0430"/>
    <n v="-41.908312640315998"/>
    <n v="-7.8603128500579302"/>
    <n v="-41.904840019750999"/>
    <n v="-7.8531427802150802"/>
    <s v="020"/>
    <s v="PI"/>
    <s v="Eixo Principal"/>
    <s v="-"/>
    <s v="020BPI0430"/>
    <s v="ENTR PI-143(B)/249 (SIMPLÍCIO MENDES)"/>
    <s v="FIM PISTA DUPLA (SIMPLÍCIO MENDES)"/>
    <n v="218.9"/>
    <n v="219.7"/>
    <n v="0.8"/>
    <x v="0"/>
    <m/>
    <m/>
    <s v="Federal"/>
    <m/>
    <m/>
    <m/>
    <s v="Federal"/>
    <s v="PAV"/>
    <s v="Picos"/>
  </r>
  <r>
    <x v="0"/>
    <s v="020BPI0435"/>
    <n v="0"/>
    <x v="10"/>
    <s v="0435"/>
    <n v="-41.904840019750999"/>
    <n v="-7.8531427802150802"/>
    <n v="-41.870828140206399"/>
    <n v="-7.8145868601953898"/>
    <s v="020"/>
    <s v="PI"/>
    <s v="Eixo Principal"/>
    <s v="-"/>
    <s v="020BPI0435"/>
    <s v="FIM PISTA DUPLA (SIMPLÍCIO MENDES)"/>
    <s v="ENTR PI-249 (FIM DA PAVIMENTAÇÃO)"/>
    <n v="219.7"/>
    <n v="225.4"/>
    <n v="5.7"/>
    <x v="2"/>
    <m/>
    <m/>
    <s v="Federal"/>
    <m/>
    <m/>
    <m/>
    <s v="Federal"/>
    <s v="PAV"/>
    <s v="Picos"/>
  </r>
  <r>
    <x v="0"/>
    <s v="020BPI0440"/>
    <n v="0"/>
    <x v="10"/>
    <s v="0440"/>
    <n v="-41.870828140206399"/>
    <n v="-7.8145868601953898"/>
    <n v="-41.768099980429703"/>
    <n v="-7.7135944998861898"/>
    <s v="020"/>
    <s v="PI"/>
    <s v="Eixo Principal"/>
    <s v="-"/>
    <s v="020BPI0440"/>
    <s v="ENTR PI-249 (FIM DA PAVIMENTAÇÃO)"/>
    <s v="ENTR PI-245(B) (RIO CANINDÉ)"/>
    <n v="225.4"/>
    <n v="241.8"/>
    <n v="16.399999999999999"/>
    <x v="3"/>
    <m/>
    <m/>
    <s v="Federal"/>
    <m/>
    <m/>
    <m/>
    <s v="Federal"/>
    <s v="N_PAV"/>
    <s v="Picos"/>
  </r>
  <r>
    <x v="0"/>
    <s v="020BPI0450"/>
    <n v="0"/>
    <x v="10"/>
    <s v="0450"/>
    <n v="-41.768099980429703"/>
    <n v="-7.7135944998861898"/>
    <n v="-41.477359190374202"/>
    <n v="-7.4505576204377899"/>
    <s v="020"/>
    <s v="PI"/>
    <s v="Eixo Principal"/>
    <s v="-"/>
    <s v="020BPI0450"/>
    <s v="ENTR PI-245(B) (RIO CANINDÉ)"/>
    <s v="ENTR PI-379"/>
    <n v="241.8"/>
    <n v="287.3"/>
    <n v="45.5"/>
    <x v="1"/>
    <m/>
    <m/>
    <s v="Federal"/>
    <m/>
    <m/>
    <m/>
    <s v="Federal"/>
    <s v="PLA"/>
    <s v="Picos"/>
  </r>
  <r>
    <x v="0"/>
    <s v="020BPI0460"/>
    <n v="0"/>
    <x v="10"/>
    <s v="0460"/>
    <n v="-41.477359190374202"/>
    <n v="-7.4505576204377899"/>
    <n v="-41.3937531300028"/>
    <n v="-7.2619202895896198"/>
    <s v="020"/>
    <s v="PI"/>
    <s v="Eixo Principal"/>
    <s v="-"/>
    <s v="020BPI0460"/>
    <s v="ENTR PI-379"/>
    <s v="ENTR PI-245"/>
    <n v="287.3"/>
    <n v="306.3"/>
    <n v="19"/>
    <x v="1"/>
    <m/>
    <m/>
    <s v="Federal"/>
    <m/>
    <m/>
    <m/>
    <s v="Federal"/>
    <s v="PLA"/>
    <s v="Picos"/>
  </r>
  <r>
    <x v="0"/>
    <s v="020BPI0470"/>
    <n v="0"/>
    <x v="10"/>
    <s v="0470"/>
    <n v="-41.3937531300028"/>
    <n v="-7.2619202895896198"/>
    <n v="-41.329405800337298"/>
    <n v="-7.1816939696009801"/>
    <s v="020"/>
    <s v="PI"/>
    <s v="Eixo Principal"/>
    <s v="-"/>
    <s v="020BPI0470"/>
    <s v="ENTR PI-245"/>
    <s v="ENTR BR-407"/>
    <n v="306.3"/>
    <n v="318"/>
    <n v="11.7"/>
    <x v="1"/>
    <m/>
    <m/>
    <s v="Federal"/>
    <m/>
    <m/>
    <m/>
    <s v="Federal"/>
    <s v="PLA"/>
    <s v="Picos"/>
  </r>
  <r>
    <x v="0"/>
    <s v="020BPI0490"/>
    <n v="0"/>
    <x v="10"/>
    <s v="0490"/>
    <n v="-41.329405800337298"/>
    <n v="-7.1816939696009801"/>
    <n v="-41.270149409567502"/>
    <n v="-7.1068711703681497"/>
    <s v="020"/>
    <s v="PI"/>
    <s v="Eixo Principal"/>
    <s v="-"/>
    <s v="020BPI0490"/>
    <s v="ENTR BR-407"/>
    <s v="ENTR BR-230/316"/>
    <n v="318"/>
    <n v="328.6"/>
    <n v="10.6"/>
    <x v="1"/>
    <m/>
    <m/>
    <s v="Federal"/>
    <m/>
    <m/>
    <m/>
    <s v="Federal"/>
    <s v="PLA"/>
    <s v="Picos"/>
  </r>
  <r>
    <x v="0"/>
    <s v="020BPI0493"/>
    <n v="0"/>
    <x v="10"/>
    <s v="0493"/>
    <n v="-41.270149409567502"/>
    <n v="-7.1068711703681497"/>
    <n v="-41.156577819910403"/>
    <n v="-6.94069599042757"/>
    <s v="020"/>
    <s v="PI"/>
    <s v="Eixo Principal"/>
    <s v="-"/>
    <s v="020BPI0493"/>
    <s v="ENTR BR-230/316"/>
    <s v="ENTR PI-228 (P/FRANCISCO SANTOS)"/>
    <n v="328.6"/>
    <n v="343.6"/>
    <n v="15"/>
    <x v="2"/>
    <m/>
    <m/>
    <s v="Federal"/>
    <m/>
    <m/>
    <m/>
    <s v="Federal"/>
    <s v="PAV"/>
    <s v="Picos"/>
  </r>
  <r>
    <x v="0"/>
    <s v="020BPI0495"/>
    <n v="0"/>
    <x v="10"/>
    <s v="0495"/>
    <n v="-41.156577819910403"/>
    <n v="-6.94069599042757"/>
    <n v="-40.788678130091498"/>
    <n v="-6.5247301299914398"/>
    <s v="020"/>
    <s v="PI"/>
    <s v="Eixo Principal"/>
    <s v="-"/>
    <s v="020BPI0495"/>
    <s v="ENTR PI-228 (P/FRANCISCO SANTOS)"/>
    <s v="DIV PI/CE"/>
    <n v="343.6"/>
    <n v="413"/>
    <n v="69.400000000000006"/>
    <x v="2"/>
    <m/>
    <m/>
    <s v="Federal"/>
    <m/>
    <m/>
    <m/>
    <s v="Federal"/>
    <s v="PAV"/>
    <s v="Picos"/>
  </r>
  <r>
    <x v="0"/>
    <s v="030ABA1005"/>
    <n v="0"/>
    <x v="11"/>
    <s v="1005"/>
    <n v="-43.783331290306698"/>
    <n v="-14.2876560702713"/>
    <n v="-43.775469100418597"/>
    <n v="-14.294215579585201"/>
    <s v="030"/>
    <s v="BA"/>
    <s v="Acesso"/>
    <s v="-"/>
    <s v="030ABA1005"/>
    <s v="ENTR BR-030 (KM 106,4)"/>
    <s v="CARINHANHA"/>
    <n v="0"/>
    <n v="1.1000000000000001"/>
    <n v="1.1000000000000001"/>
    <x v="2"/>
    <m/>
    <m/>
    <s v="Federal"/>
    <m/>
    <m/>
    <m/>
    <s v="Federal"/>
    <s v="PAV"/>
    <s v="Vitória da Conquista"/>
  </r>
  <r>
    <x v="0"/>
    <s v="030ABA2005"/>
    <n v="0"/>
    <x v="11"/>
    <s v="2005"/>
    <n v="-43.764455540390799"/>
    <n v="-14.328193919813399"/>
    <n v="-43.770362120315497"/>
    <n v="-14.3331410499194"/>
    <s v="030"/>
    <s v="BA"/>
    <s v="Acesso"/>
    <s v="-"/>
    <s v="030ABA2005"/>
    <s v="ENTR BR-030 (KM 112,3)"/>
    <s v="MALHADA"/>
    <n v="0"/>
    <n v="0.7"/>
    <n v="0.7"/>
    <x v="2"/>
    <m/>
    <m/>
    <s v="Federal"/>
    <m/>
    <m/>
    <m/>
    <s v="Federal"/>
    <s v="PAV"/>
    <s v="Vitória da Conquista"/>
  </r>
  <r>
    <x v="0"/>
    <s v="030ABA3005"/>
    <n v="0"/>
    <x v="11"/>
    <s v="3005"/>
    <n v="-41.714543300332899"/>
    <n v="-14.2378306602567"/>
    <n v="-41.688472720439599"/>
    <n v="-14.219818340444"/>
    <s v="030"/>
    <s v="BA"/>
    <s v="Acesso"/>
    <s v="-"/>
    <s v="030ABA3005"/>
    <s v="ENTR BR-030"/>
    <s v="INÍCIO TRAVESSIA URBANA BRUMADO"/>
    <n v="0"/>
    <n v="3.9"/>
    <n v="3.9"/>
    <x v="2"/>
    <m/>
    <m/>
    <m/>
    <s v="MP082/2003"/>
    <m/>
    <m/>
    <m/>
    <s v="PAV"/>
    <s v="Vitória da Conquista"/>
  </r>
  <r>
    <x v="0"/>
    <s v="030ABA3010"/>
    <n v="0"/>
    <x v="11"/>
    <s v="3010"/>
    <n v="-41.688472720439599"/>
    <n v="-14.219818340444"/>
    <n v="-41.661308439932398"/>
    <n v="-14.203349750090799"/>
    <s v="030"/>
    <s v="BA"/>
    <s v="Acesso"/>
    <s v="-"/>
    <s v="030ABA3010"/>
    <s v="INÍCIO TRAVESSIA URBANA BRUMADO"/>
    <s v="FIM TRAVESSIA URBANA BRUMADO *TRECHO MUNICIPAL*"/>
    <n v="3.9"/>
    <n v="7.3"/>
    <n v="3.4"/>
    <x v="2"/>
    <m/>
    <m/>
    <m/>
    <s v="MP082/2003"/>
    <m/>
    <m/>
    <m/>
    <s v="PAV"/>
    <s v="Vitória da Conquista"/>
  </r>
  <r>
    <x v="0"/>
    <s v="030BBA0227"/>
    <n v="0"/>
    <x v="12"/>
    <s v="0227"/>
    <n v="-46.015643620356698"/>
    <n v="-14.4751321299438"/>
    <n v="-44.531272249614503"/>
    <n v="-14.1784244604204"/>
    <s v="030"/>
    <s v="BA"/>
    <s v="Eixo Principal"/>
    <s v="-"/>
    <s v="030BBA0227"/>
    <s v="DIV GO/BA"/>
    <s v="ENTR BR-135 (COCOS)"/>
    <n v="0"/>
    <n v="191.5"/>
    <n v="191.5"/>
    <x v="1"/>
    <m/>
    <m/>
    <s v="Federal"/>
    <m/>
    <m/>
    <m/>
    <s v="Federal"/>
    <s v="PLA"/>
    <s v="Vitória da Conquista"/>
  </r>
  <r>
    <x v="0"/>
    <s v="030BBA0230"/>
    <n v="0"/>
    <x v="12"/>
    <s v="0230"/>
    <n v="-44.531272249614503"/>
    <n v="-14.1784244604204"/>
    <n v="-44.2829194501724"/>
    <n v="-14.2126127204006"/>
    <s v="030"/>
    <s v="BA"/>
    <s v="Eixo Principal"/>
    <s v="-"/>
    <s v="030BBA0230"/>
    <s v="ENTR BR-135 (COCOS)"/>
    <s v="ENTR BA-601(A) (FEIRA DA MATA)"/>
    <n v="191.5"/>
    <n v="223.1"/>
    <n v="31.6"/>
    <x v="3"/>
    <m/>
    <m/>
    <s v="Federal"/>
    <m/>
    <m/>
    <m/>
    <s v="Federal"/>
    <s v="N_PAV"/>
    <s v="Vitória da Conquista"/>
  </r>
  <r>
    <x v="0"/>
    <s v="030BBA0235"/>
    <n v="0"/>
    <x v="12"/>
    <s v="0235"/>
    <n v="-44.2829194501724"/>
    <n v="-14.2126127204006"/>
    <n v="-44.153280740113999"/>
    <n v="-14.2305307400015"/>
    <s v="030"/>
    <s v="BA"/>
    <s v="Eixo Principal"/>
    <s v="-"/>
    <s v="030BBA0235"/>
    <s v="ENTR BA-601(A) (FEIRA DA MATA)"/>
    <s v="ACESSO À JUVENÍLIA/MG"/>
    <n v="223.1"/>
    <n v="238.4"/>
    <n v="15.3"/>
    <x v="3"/>
    <m/>
    <m/>
    <s v="Federal"/>
    <m/>
    <m/>
    <m/>
    <s v="Federal"/>
    <s v="N_PAV"/>
    <s v="Vitória da Conquista"/>
  </r>
  <r>
    <x v="0"/>
    <s v="030BBA0236"/>
    <n v="0"/>
    <x v="12"/>
    <s v="0236"/>
    <n v="-44.153280740113999"/>
    <n v="-14.2305307400015"/>
    <n v="-43.783331290306698"/>
    <n v="-14.2876560702713"/>
    <s v="030"/>
    <s v="BA"/>
    <s v="Eixo Principal"/>
    <s v="-"/>
    <s v="030BBA0236"/>
    <s v="ACESSO À JUVENÍLIA/MG"/>
    <s v="ACESSO A CARINHANHA"/>
    <n v="238.4"/>
    <n v="281.7"/>
    <n v="43.3"/>
    <x v="3"/>
    <m/>
    <m/>
    <s v="Federal"/>
    <m/>
    <m/>
    <m/>
    <s v="Federal"/>
    <s v="N_PAV"/>
    <s v="Vitória da Conquista"/>
  </r>
  <r>
    <x v="0"/>
    <s v="030BBA0237"/>
    <n v="0"/>
    <x v="12"/>
    <s v="0237"/>
    <n v="-43.783331290306698"/>
    <n v="-14.2876560702713"/>
    <n v="-43.774920399756503"/>
    <n v="-14.3221427100179"/>
    <s v="030"/>
    <s v="BA"/>
    <s v="Eixo Principal"/>
    <s v="-"/>
    <s v="030BBA0237"/>
    <s v="ACESSO A CARINHANHA"/>
    <s v="INÍCIO PONTE R SÃO FRANCISCO"/>
    <n v="281.7"/>
    <n v="286.5"/>
    <n v="4.8"/>
    <x v="2"/>
    <m/>
    <m/>
    <s v="Federal"/>
    <m/>
    <m/>
    <m/>
    <s v="Federal"/>
    <s v="PAV"/>
    <s v="Vitória da Conquista"/>
  </r>
  <r>
    <x v="0"/>
    <s v="030BBA0240"/>
    <n v="0"/>
    <x v="12"/>
    <s v="0240"/>
    <n v="-43.774920399756503"/>
    <n v="-14.3221427100179"/>
    <n v="-43.764455540390799"/>
    <n v="-14.328193919813399"/>
    <s v="030"/>
    <s v="BA"/>
    <s v="Eixo Principal"/>
    <s v="-"/>
    <s v="030BBA0240"/>
    <s v="INÍCIO PONTE R SÃO FRANCISCO"/>
    <s v="ENTR BR-342(B) (P/ MALHADA)"/>
    <n v="286.5"/>
    <n v="287.60000000000002"/>
    <n v="1.1000000000000001"/>
    <x v="2"/>
    <m/>
    <s v="342BBA0010"/>
    <s v="Federal"/>
    <m/>
    <m/>
    <m/>
    <s v="Federal"/>
    <s v="PAV"/>
    <s v="Vitória da Conquista"/>
  </r>
  <r>
    <x v="0"/>
    <s v="030BBA0242"/>
    <n v="0"/>
    <x v="12"/>
    <s v="0242"/>
    <n v="-43.764455540390799"/>
    <n v="-14.328193919813399"/>
    <n v="-43.575346400016301"/>
    <n v="-14.283899510354001"/>
    <s v="030"/>
    <s v="BA"/>
    <s v="Eixo Principal"/>
    <s v="-"/>
    <s v="030BBA0242"/>
    <s v="ENTR BR-342(B) (P/ MALHADA)"/>
    <s v="ENTR BA-160(A)"/>
    <n v="287.60000000000002"/>
    <n v="309.7"/>
    <n v="22.1"/>
    <x v="2"/>
    <m/>
    <m/>
    <m/>
    <s v="MP082/2003"/>
    <m/>
    <m/>
    <m/>
    <s v="PAV"/>
    <s v="Vitória da Conquista"/>
  </r>
  <r>
    <x v="0"/>
    <s v="030BBA0244"/>
    <n v="0"/>
    <x v="12"/>
    <s v="0244"/>
    <n v="-43.575346400016301"/>
    <n v="-14.283899510354001"/>
    <n v="-43.555422420108499"/>
    <n v="-14.282249939682901"/>
    <s v="030"/>
    <s v="BA"/>
    <s v="Eixo Principal"/>
    <s v="-"/>
    <s v="030BBA0244"/>
    <s v="ENTR BA-160(A)"/>
    <s v="ENTR BA-160(B) (P/IUIÚ)"/>
    <n v="309.7"/>
    <n v="311.8"/>
    <n v="2.1"/>
    <x v="2"/>
    <m/>
    <m/>
    <m/>
    <s v="MP082/2003"/>
    <m/>
    <m/>
    <m/>
    <s v="PAV"/>
    <s v="Vitória da Conquista"/>
  </r>
  <r>
    <x v="0"/>
    <s v="030BBA0250"/>
    <n v="0"/>
    <x v="12"/>
    <s v="0250"/>
    <n v="-43.555422420108499"/>
    <n v="-14.282249939682901"/>
    <n v="-43.183494340391398"/>
    <n v="-14.2512015403187"/>
    <s v="030"/>
    <s v="BA"/>
    <s v="Eixo Principal"/>
    <s v="-"/>
    <s v="030BBA0250"/>
    <s v="ENTR BA-160(B) (P/IUIÚ)"/>
    <s v="ENTR BA-263"/>
    <n v="311.8"/>
    <n v="352.2"/>
    <n v="40.4"/>
    <x v="2"/>
    <m/>
    <m/>
    <m/>
    <s v="MP082/2003"/>
    <m/>
    <m/>
    <m/>
    <s v="PAV"/>
    <s v="Vitória da Conquista"/>
  </r>
  <r>
    <x v="0"/>
    <s v="030BBA0251"/>
    <n v="0"/>
    <x v="12"/>
    <s v="0251"/>
    <n v="-43.183494340391398"/>
    <n v="-14.2512015403187"/>
    <n v="-43.168567599914702"/>
    <n v="-14.250005950114399"/>
    <s v="030"/>
    <s v="BA"/>
    <s v="Eixo Principal"/>
    <s v="-"/>
    <s v="030BBA0251"/>
    <s v="ENTR BA-263"/>
    <s v="PALMAS DE MONTE ALTO"/>
    <n v="352.2"/>
    <n v="353.8"/>
    <n v="1.6"/>
    <x v="2"/>
    <m/>
    <m/>
    <m/>
    <s v="MP082/2003"/>
    <m/>
    <m/>
    <m/>
    <s v="PAV"/>
    <s v="Vitória da Conquista"/>
  </r>
  <r>
    <x v="0"/>
    <s v="030BBA0252"/>
    <n v="0"/>
    <x v="12"/>
    <s v="0252"/>
    <n v="-43.168567599914702"/>
    <n v="-14.250005950114399"/>
    <n v="-42.954310120015897"/>
    <n v="-14.2326735096746"/>
    <s v="030"/>
    <s v="BA"/>
    <s v="Eixo Principal"/>
    <s v="-"/>
    <s v="030BBA0252"/>
    <s v="PALMAS DE MONTE ALTO"/>
    <s v="ENTR BA-612 (MUTÃS)"/>
    <n v="353.8"/>
    <n v="377"/>
    <n v="23.2"/>
    <x v="2"/>
    <m/>
    <m/>
    <m/>
    <s v="MP082/2003"/>
    <m/>
    <m/>
    <m/>
    <s v="PAV"/>
    <s v="Vitória da Conquista"/>
  </r>
  <r>
    <x v="0"/>
    <s v="030BBA0254"/>
    <n v="0"/>
    <x v="12"/>
    <s v="0254"/>
    <n v="-42.954310120015897"/>
    <n v="-14.2326735096746"/>
    <n v="-42.789603739820599"/>
    <n v="-14.210702689877101"/>
    <s v="030"/>
    <s v="BA"/>
    <s v="Eixo Principal"/>
    <s v="-"/>
    <s v="030BBA0254"/>
    <s v="ENTR BA-612 (MUTÃS)"/>
    <s v="ENTR BA-573 (P/ MATINA)"/>
    <n v="377"/>
    <n v="395"/>
    <n v="18"/>
    <x v="2"/>
    <m/>
    <m/>
    <m/>
    <s v="MP082/2003"/>
    <m/>
    <m/>
    <m/>
    <s v="PAV"/>
    <s v="Vitória da Conquista"/>
  </r>
  <r>
    <x v="0"/>
    <s v="030BBA0270"/>
    <n v="0"/>
    <x v="12"/>
    <s v="0270"/>
    <n v="-42.789603739820599"/>
    <n v="-14.210702689877101"/>
    <n v="-42.764712029936099"/>
    <n v="-14.2088139499037"/>
    <s v="030"/>
    <s v="BA"/>
    <s v="Eixo Principal"/>
    <s v="-"/>
    <s v="030BBA0270"/>
    <s v="ENTR BA-573 (P/ MATINA)"/>
    <s v="ENTR BR-122(A) (GUANAMBÍ)"/>
    <n v="395"/>
    <n v="397.7"/>
    <n v="2.7"/>
    <x v="2"/>
    <m/>
    <m/>
    <m/>
    <s v="MP082/2003"/>
    <m/>
    <m/>
    <m/>
    <s v="PAV"/>
    <s v="Vitória da Conquista"/>
  </r>
  <r>
    <x v="0"/>
    <s v="030BBA0272"/>
    <n v="0"/>
    <x v="12"/>
    <s v="0272"/>
    <n v="-42.645234519557299"/>
    <n v="-14.1437633198212"/>
    <n v="-42.585422390031198"/>
    <n v="-14.102850470072999"/>
    <s v="030"/>
    <s v="BA"/>
    <s v="Eixo Principal"/>
    <s v="-"/>
    <s v="030BBA0272"/>
    <s v="ENTR BR-122(A) (GUANAMBÍ)"/>
    <s v="ENTR BA-936 (P/ MORRINHOS)"/>
    <n v="397.7"/>
    <n v="414.2"/>
    <n v="16.5"/>
    <x v="2"/>
    <m/>
    <s v="122BBA0545"/>
    <m/>
    <s v="MP082/2003"/>
    <m/>
    <m/>
    <m/>
    <s v="PAV"/>
    <s v="Vitória da Conquista"/>
  </r>
  <r>
    <x v="0"/>
    <s v="030BBA0281"/>
    <n v="0"/>
    <x v="12"/>
    <s v="0281"/>
    <n v="-42.764712029936099"/>
    <n v="-14.2088139499037"/>
    <n v="-42.645234519557299"/>
    <n v="-14.1437633198212"/>
    <s v="030"/>
    <s v="BA"/>
    <s v="Eixo Principal"/>
    <s v="-"/>
    <s v="030BBA0281"/>
    <s v="ENTR BA-936 (P/ MORRINHOS)"/>
    <s v="ENTR BA-937 (P/PAJEÚ DO VENTO)"/>
    <n v="414.2"/>
    <n v="422.7"/>
    <n v="8.5"/>
    <x v="2"/>
    <m/>
    <s v="122BBA0547"/>
    <m/>
    <s v="MP082/2003"/>
    <m/>
    <m/>
    <m/>
    <s v="PAV"/>
    <s v="Vitória da Conquista"/>
  </r>
  <r>
    <x v="0"/>
    <s v="030BBA0290"/>
    <n v="0"/>
    <x v="12"/>
    <s v="0290"/>
    <n v="-42.585422390031198"/>
    <n v="-14.102850470072999"/>
    <n v="-42.485862139825798"/>
    <n v="-14.0648607200461"/>
    <s v="030"/>
    <s v="BA"/>
    <s v="Eixo Principal"/>
    <s v="-"/>
    <s v="030BBA0290"/>
    <s v="ENTR BA-937 (P/PAJEÚ DO VENTO)"/>
    <s v="ENTR BR-122(B)/430 (CAETITÉ)"/>
    <n v="422.7"/>
    <n v="435"/>
    <n v="12.3"/>
    <x v="2"/>
    <m/>
    <s v="122BBA0530"/>
    <m/>
    <s v="MP082/2003"/>
    <m/>
    <m/>
    <m/>
    <s v="PAV"/>
    <s v="Vitória da Conquista"/>
  </r>
  <r>
    <x v="0"/>
    <s v="030BBA0310"/>
    <n v="0"/>
    <x v="12"/>
    <s v="0310"/>
    <n v="-42.485862139825798"/>
    <n v="-14.0648607200461"/>
    <n v="-42.229719660134101"/>
    <n v="-14.169836020316"/>
    <s v="030"/>
    <s v="BA"/>
    <s v="Eixo Principal"/>
    <s v="-"/>
    <s v="030BBA0310"/>
    <s v="ENTR BR-122(B)/430 (CAETITÉ)"/>
    <s v="ENTR BA-617 (P/IBIASSUCÊ)"/>
    <n v="435"/>
    <n v="469"/>
    <n v="34"/>
    <x v="2"/>
    <m/>
    <m/>
    <m/>
    <s v="MP082/2003"/>
    <m/>
    <m/>
    <m/>
    <s v="PAV"/>
    <s v="Vitória da Conquista"/>
  </r>
  <r>
    <x v="0"/>
    <s v="030BBA0320"/>
    <n v="0"/>
    <x v="12"/>
    <s v="0320"/>
    <n v="-42.229719660134101"/>
    <n v="-14.169836020316"/>
    <n v="-42.185349419839802"/>
    <n v="-14.1726714001649"/>
    <s v="030"/>
    <s v="BA"/>
    <s v="Eixo Principal"/>
    <s v="-"/>
    <s v="030BBA0320"/>
    <s v="ENTR BA-617 (P/IBIASSUCÊ)"/>
    <s v="ENTR BA-940 (P/ LAGOA REAL)"/>
    <n v="469"/>
    <n v="474"/>
    <n v="5"/>
    <x v="2"/>
    <m/>
    <m/>
    <m/>
    <s v="MP082/2003"/>
    <m/>
    <m/>
    <m/>
    <s v="PAV"/>
    <s v="Vitória da Conquista"/>
  </r>
  <r>
    <x v="0"/>
    <s v="030BBA0325"/>
    <n v="0"/>
    <x v="12"/>
    <s v="0325"/>
    <n v="-42.185349419839802"/>
    <n v="-14.1726714001649"/>
    <n v="-42.107596679742898"/>
    <n v="-14.2079667696506"/>
    <s v="030"/>
    <s v="BA"/>
    <s v="Eixo Principal"/>
    <s v="-"/>
    <s v="030BBA0325"/>
    <s v="ENTR BA-940 (P/ LAGOA REAL)"/>
    <s v="ENTR BA-614 (IBITIRA)"/>
    <n v="474"/>
    <n v="484"/>
    <n v="10"/>
    <x v="2"/>
    <m/>
    <m/>
    <m/>
    <s v="MP082/2003"/>
    <m/>
    <m/>
    <m/>
    <s v="PAV"/>
    <s v="Vitória da Conquista"/>
  </r>
  <r>
    <x v="0"/>
    <s v="030BBA0330"/>
    <n v="0"/>
    <x v="12"/>
    <s v="0330"/>
    <n v="-42.107596679742898"/>
    <n v="-14.2079667696506"/>
    <n v="-41.8642570503225"/>
    <n v="-14.2460765602849"/>
    <s v="030"/>
    <s v="BA"/>
    <s v="Eixo Principal"/>
    <s v="-"/>
    <s v="030BBA0330"/>
    <s v="ENTR BA-614 (IBITIRA)"/>
    <s v="ENTR BA-026(A)/148(A) (P/MALHADA DE PEDRAS)"/>
    <n v="484"/>
    <n v="512"/>
    <n v="28"/>
    <x v="2"/>
    <m/>
    <m/>
    <m/>
    <s v="MP082/2003"/>
    <m/>
    <m/>
    <m/>
    <s v="PAV"/>
    <s v="Vitória da Conquista"/>
  </r>
  <r>
    <x v="0"/>
    <s v="030BBA0335"/>
    <n v="0"/>
    <x v="12"/>
    <s v="0335"/>
    <n v="-41.8642570503225"/>
    <n v="-14.2460765602849"/>
    <n v="-41.714543300332899"/>
    <n v="-14.2378306602567"/>
    <s v="030"/>
    <s v="BA"/>
    <s v="Eixo Principal"/>
    <s v="-"/>
    <s v="030BBA0335"/>
    <s v="ENTR BA-026(A)/148(A) (P/MALHADA DE PEDRAS)"/>
    <s v="ENTR BA-026(B)/148(B) (P/BRUMADO - ACESSO I)"/>
    <n v="512"/>
    <n v="529.4"/>
    <n v="17.399999999999999"/>
    <x v="2"/>
    <m/>
    <m/>
    <m/>
    <s v="MP082/2003"/>
    <m/>
    <m/>
    <m/>
    <s v="PAV"/>
    <s v="Vitória da Conquista"/>
  </r>
  <r>
    <x v="0"/>
    <s v="030BBA0340"/>
    <n v="0"/>
    <x v="12"/>
    <s v="0340"/>
    <n v="-41.714543300332899"/>
    <n v="-14.2378306602567"/>
    <n v="-41.645870510415698"/>
    <n v="-14.215069789638999"/>
    <s v="030"/>
    <s v="BA"/>
    <s v="Eixo Principal"/>
    <s v="-"/>
    <s v="030BBA0340"/>
    <s v="ENTR BA-026(B)/148(B) (P/BRUMADO - ACESSO I)"/>
    <s v="ENTR BA-026(A)/262 (P/BRUMADO - ACESSO II)"/>
    <n v="529.4"/>
    <n v="537.29999999999995"/>
    <n v="7.9"/>
    <x v="2"/>
    <m/>
    <m/>
    <s v="Federal"/>
    <m/>
    <m/>
    <m/>
    <s v="Federal"/>
    <s v="PAV"/>
    <s v="Vitória da Conquista"/>
  </r>
  <r>
    <x v="0"/>
    <s v="030BBA0345"/>
    <n v="0"/>
    <x v="12"/>
    <s v="0345"/>
    <n v="-41.645870510415698"/>
    <n v="-14.215069789638999"/>
    <n v="-41.205544559933401"/>
    <n v="-14.162793340340301"/>
    <s v="030"/>
    <s v="BA"/>
    <s v="Eixo Principal"/>
    <s v="-"/>
    <s v="030BBA0345"/>
    <s v="ENTR BA-026(A)/262 (P/BRUMADO - ACESSO II)"/>
    <s v="ENTR BR-407(A) (SUSSUARANA)"/>
    <n v="537.29999999999995"/>
    <n v="587.29999999999995"/>
    <n v="50"/>
    <x v="2"/>
    <m/>
    <m/>
    <s v="Federal"/>
    <m/>
    <m/>
    <m/>
    <s v="Federal"/>
    <s v="PAV"/>
    <s v="Vitória da Conquista"/>
  </r>
  <r>
    <x v="0"/>
    <s v="030BBA0350"/>
    <n v="0"/>
    <x v="12"/>
    <s v="0350"/>
    <n v="-41.205544559933401"/>
    <n v="-14.162793340340301"/>
    <n v="-41.200836160260501"/>
    <n v="-14.1544783004331"/>
    <s v="030"/>
    <s v="BA"/>
    <s v="Eixo Principal"/>
    <s v="-"/>
    <s v="030BBA0350"/>
    <s v="ENTR BR-407(A) (SUSSUARANA)"/>
    <s v="ENTR BR-407(B)/BA-026(B) (P/CONTENDAS DO SINCORÁ)"/>
    <n v="587.29999999999995"/>
    <n v="588.4"/>
    <n v="1.1000000000000001"/>
    <x v="1"/>
    <m/>
    <s v="407BBA0540"/>
    <s v="Estadual"/>
    <m/>
    <s v="BA-026"/>
    <s v="PAV"/>
    <s v="Estadual"/>
    <s v="PLA"/>
    <s v="Vitória da Conquista"/>
  </r>
  <r>
    <x v="0"/>
    <s v="030BBA0355"/>
    <n v="0"/>
    <x v="12"/>
    <s v="0355"/>
    <n v="-41.200836160260501"/>
    <n v="-14.1544783004331"/>
    <n v="-41.015829500431003"/>
    <n v="-14.183040360324201"/>
    <s v="030"/>
    <s v="BA"/>
    <s v="Eixo Principal"/>
    <s v="-"/>
    <s v="030BBA0355"/>
    <s v="ENTR BR-407(B)/BA-026(B) (P/CONTENDAS DO SINCORÁ)"/>
    <s v="INÍCIO TRAV RIO GAVIÃO"/>
    <n v="588.4"/>
    <n v="611.6"/>
    <n v="23.2"/>
    <x v="3"/>
    <m/>
    <m/>
    <s v="Federal"/>
    <m/>
    <m/>
    <m/>
    <s v="Federal"/>
    <s v="N_PAV"/>
    <s v="Vitória da Conquista"/>
  </r>
  <r>
    <x v="0"/>
    <s v="030BBA0360"/>
    <n v="0"/>
    <x v="12"/>
    <s v="0360"/>
    <n v="-41.015829500431003"/>
    <n v="-14.183040360324201"/>
    <n v="-41.015109280169"/>
    <n v="-14.182752519712899"/>
    <s v="030"/>
    <s v="BA"/>
    <s v="Eixo Principal"/>
    <s v="-"/>
    <s v="030BBA0360"/>
    <s v="INÍCIO TRAV RIO GAVIÃO"/>
    <s v="FIM TRAV RIO GAVIÃO"/>
    <n v="611.6"/>
    <n v="612.1"/>
    <n v="0.5"/>
    <x v="4"/>
    <m/>
    <m/>
    <s v="Federal"/>
    <m/>
    <m/>
    <m/>
    <s v="Federal"/>
    <s v="N_PAV"/>
    <s v="Vitória da Conquista"/>
  </r>
  <r>
    <x v="0"/>
    <s v="030BBA0365"/>
    <n v="0"/>
    <x v="12"/>
    <s v="0365"/>
    <n v="-41.015109280169"/>
    <n v="-14.182752519712899"/>
    <n v="-40.777972009600497"/>
    <n v="-14.2413395495805"/>
    <s v="030"/>
    <s v="BA"/>
    <s v="Eixo Principal"/>
    <s v="-"/>
    <s v="030BBA0365"/>
    <s v="FIM TRAV RIO GAVIÃO"/>
    <s v="MIRANTE"/>
    <n v="612.1"/>
    <n v="643.5"/>
    <n v="31.4"/>
    <x v="3"/>
    <m/>
    <m/>
    <s v="Federal"/>
    <m/>
    <m/>
    <m/>
    <s v="Federal"/>
    <s v="N_PAV"/>
    <s v="Vitória da Conquista"/>
  </r>
  <r>
    <x v="0"/>
    <s v="030BBA0370"/>
    <n v="0"/>
    <x v="12"/>
    <s v="0370"/>
    <n v="-40.777972009600497"/>
    <n v="-14.2413395495805"/>
    <n v="-40.3474189504241"/>
    <n v="-14.375597020286101"/>
    <s v="030"/>
    <s v="BA"/>
    <s v="Eixo Principal"/>
    <s v="-"/>
    <s v="030BBA0370"/>
    <s v="MIRANTE"/>
    <s v="ENTR BR-116(A)"/>
    <n v="643.5"/>
    <n v="703.7"/>
    <n v="60.2"/>
    <x v="3"/>
    <m/>
    <m/>
    <s v="Federal"/>
    <m/>
    <m/>
    <m/>
    <s v="Federal"/>
    <s v="N_PAV"/>
    <s v="Vitória da Conquista"/>
  </r>
  <r>
    <x v="0"/>
    <s v="030BBA0380"/>
    <n v="0"/>
    <x v="12"/>
    <s v="0380"/>
    <n v="-40.3474189504241"/>
    <n v="-14.375597020286101"/>
    <n v="-40.334268030145402"/>
    <n v="-14.351218110127601"/>
    <s v="030"/>
    <s v="BA"/>
    <s v="Eixo Principal"/>
    <s v="-"/>
    <s v="030BBA0380"/>
    <s v="ENTR BR-116(A)"/>
    <s v="ENTR BR-116(B)"/>
    <n v="703.7"/>
    <n v="706.7"/>
    <n v="3"/>
    <x v="2"/>
    <m/>
    <s v="116BBA0925"/>
    <s v="Concessão Federal"/>
    <m/>
    <m/>
    <m/>
    <s v="Federal"/>
    <s v="PAV"/>
    <s v="Vitória da Conquista"/>
  </r>
  <r>
    <x v="0"/>
    <s v="030BBA0385"/>
    <n v="0"/>
    <x v="12"/>
    <s v="0385"/>
    <n v="-40.334268030145402"/>
    <n v="-14.351218110127601"/>
    <n v="-40.212369960305402"/>
    <n v="-14.367621739751399"/>
    <s v="030"/>
    <s v="BA"/>
    <s v="Eixo Principal"/>
    <s v="-"/>
    <s v="030BBA0385"/>
    <s v="ENTR BR-116(B)"/>
    <s v="BOA NOVA"/>
    <n v="706.7"/>
    <n v="723.7"/>
    <n v="17"/>
    <x v="2"/>
    <m/>
    <m/>
    <m/>
    <s v="MP082/2006"/>
    <m/>
    <m/>
    <m/>
    <s v="PAV"/>
    <s v="Itabuna"/>
  </r>
  <r>
    <x v="0"/>
    <s v="030BBA0390"/>
    <n v="0"/>
    <x v="12"/>
    <s v="0390"/>
    <n v="-40.212369960305402"/>
    <n v="-14.367621739751399"/>
    <n v="-40.196004850443401"/>
    <n v="-14.3696018202677"/>
    <s v="030"/>
    <s v="BA"/>
    <s v="Eixo Principal"/>
    <s v="-"/>
    <s v="030BBA0390"/>
    <s v="BOA NOVA"/>
    <s v="FIM DA PONTE S/ RIO TARUGO"/>
    <n v="723.7"/>
    <n v="725.6"/>
    <n v="1.9"/>
    <x v="2"/>
    <m/>
    <m/>
    <m/>
    <s v="MP082/2006"/>
    <m/>
    <m/>
    <m/>
    <s v="PAV"/>
    <s v="Itabuna"/>
  </r>
  <r>
    <x v="0"/>
    <s v="030BBA0395"/>
    <n v="0"/>
    <x v="12"/>
    <s v="0395"/>
    <n v="-40.196004850443401"/>
    <n v="-14.3696018202677"/>
    <n v="-39.943231230236997"/>
    <n v="-14.437559720204799"/>
    <s v="030"/>
    <s v="BA"/>
    <s v="Eixo Principal"/>
    <s v="-"/>
    <s v="030BBA0395"/>
    <s v="FIM DA PONTE S/ RIO TARUGO"/>
    <s v="INÍCIO PAVIMENTAÇÃO"/>
    <n v="725.6"/>
    <n v="762.7"/>
    <n v="37.1"/>
    <x v="5"/>
    <m/>
    <m/>
    <m/>
    <s v="MP082/2006"/>
    <m/>
    <m/>
    <m/>
    <s v="N_PAV"/>
    <s v="Itabuna"/>
  </r>
  <r>
    <x v="0"/>
    <s v="030BBA0400"/>
    <n v="0"/>
    <x v="12"/>
    <s v="0400"/>
    <n v="-39.943231230236997"/>
    <n v="-14.437559720204799"/>
    <n v="-39.908194180217201"/>
    <n v="-14.4361784496756"/>
    <s v="030"/>
    <s v="BA"/>
    <s v="Eixo Principal"/>
    <s v="-"/>
    <s v="030BBA0400"/>
    <s v="INÍCIO PAVIMENTAÇÃO"/>
    <s v="ENTR BA-130(A) (DÁRIO MEIRA)"/>
    <n v="762.7"/>
    <n v="767"/>
    <n v="4.3"/>
    <x v="2"/>
    <m/>
    <m/>
    <m/>
    <s v="MP082/2006"/>
    <m/>
    <m/>
    <m/>
    <s v="PAV"/>
    <s v="Itabuna"/>
  </r>
  <r>
    <x v="0"/>
    <s v="030BBA0410"/>
    <n v="0"/>
    <x v="12"/>
    <s v="0410"/>
    <n v="-39.908194180217201"/>
    <n v="-14.4361784496756"/>
    <n v="-39.863679079825602"/>
    <n v="-14.4524647303629"/>
    <s v="030"/>
    <s v="BA"/>
    <s v="Eixo Principal"/>
    <s v="-"/>
    <s v="030BBA0410"/>
    <s v="ENTR BA-130(A) (DÁRIO MEIRA)"/>
    <s v="ENTR BA-130(B) (P/ IBITUPÃ)"/>
    <n v="767"/>
    <n v="772.4"/>
    <n v="5.4"/>
    <x v="2"/>
    <m/>
    <m/>
    <m/>
    <s v="MP082/2006"/>
    <m/>
    <m/>
    <m/>
    <s v="PAV"/>
    <s v="Itabuna"/>
  </r>
  <r>
    <x v="0"/>
    <s v="030BBA0412"/>
    <n v="0"/>
    <x v="12"/>
    <s v="0412"/>
    <n v="-39.863679079825602"/>
    <n v="-14.4524647303629"/>
    <n v="-39.537428580364598"/>
    <n v="-14.352723950250001"/>
    <s v="030"/>
    <s v="BA"/>
    <s v="Eixo Principal"/>
    <s v="-"/>
    <s v="030BBA0412"/>
    <s v="ENTR BA-130(B) (P/ IBITUPÃ)"/>
    <s v="ENTR BA-651 (P/ ITAPITANGA)"/>
    <n v="772.4"/>
    <n v="795.4"/>
    <n v="23"/>
    <x v="5"/>
    <m/>
    <m/>
    <m/>
    <s v="MP082/2005"/>
    <m/>
    <m/>
    <m/>
    <s v="N_PAV"/>
    <s v="Itabuna"/>
  </r>
  <r>
    <x v="0"/>
    <s v="030BBA0414"/>
    <n v="0"/>
    <x v="12"/>
    <s v="0414"/>
    <n v="-39.537428580364598"/>
    <n v="-14.352723950250001"/>
    <n v="-39.4464402101475"/>
    <n v="-14.3407413698183"/>
    <s v="030"/>
    <s v="BA"/>
    <s v="Eixo Principal"/>
    <s v="-"/>
    <s v="030BBA0414"/>
    <s v="ENTR BA-651 (P/ ITAPITANGA)"/>
    <s v="ENTR BA-120 (P/GONGOGI)"/>
    <n v="795.4"/>
    <n v="820.4"/>
    <n v="25"/>
    <x v="5"/>
    <m/>
    <m/>
    <m/>
    <s v="MP082/2006"/>
    <m/>
    <m/>
    <m/>
    <s v="N_PAV"/>
    <s v="Itabuna"/>
  </r>
  <r>
    <x v="0"/>
    <s v="030BBA0430"/>
    <n v="0"/>
    <x v="12"/>
    <s v="0430"/>
    <n v="-39.4464402101475"/>
    <n v="-14.3407413698183"/>
    <n v="-39.3144967903945"/>
    <n v="-14.317689789751901"/>
    <s v="030"/>
    <s v="BA"/>
    <s v="Eixo Principal"/>
    <s v="-"/>
    <s v="030BBA0430"/>
    <s v="ENTR BA-120 (P/GONGOGI)"/>
    <s v="ENTR BR-101(A) (AURELINO LEAL)"/>
    <n v="820.4"/>
    <n v="843.9"/>
    <n v="23.5"/>
    <x v="3"/>
    <m/>
    <m/>
    <m/>
    <s v="MP082/2006"/>
    <m/>
    <m/>
    <m/>
    <s v="N_PAV"/>
    <s v="Itabuna"/>
  </r>
  <r>
    <x v="0"/>
    <s v="030BBA0440"/>
    <n v="0"/>
    <x v="12"/>
    <s v="0440"/>
    <n v="-39.3144967903945"/>
    <n v="-14.317689789751901"/>
    <n v="-39.322384039891404"/>
    <n v="-14.308185450398099"/>
    <s v="030"/>
    <s v="BA"/>
    <s v="Eixo Principal"/>
    <s v="-"/>
    <s v="030BBA0440"/>
    <s v="ENTR BR-101(A) (AURELINO LEAL)"/>
    <s v="ENTR BR-101(B) (UBAITABA)"/>
    <n v="843.9"/>
    <n v="845.5"/>
    <n v="1.6"/>
    <x v="2"/>
    <m/>
    <s v="101BBA1752"/>
    <s v="Federal"/>
    <m/>
    <m/>
    <m/>
    <s v="Federal"/>
    <s v="PAV"/>
    <s v="Itabuna"/>
  </r>
  <r>
    <x v="0"/>
    <s v="030BBA0450"/>
    <n v="0"/>
    <x v="12"/>
    <s v="0450"/>
    <n v="-39.322384039891404"/>
    <n v="-14.308185450398099"/>
    <n v="-39.093798650187502"/>
    <n v="-14.2272718703005"/>
    <s v="030"/>
    <s v="BA"/>
    <s v="Eixo Principal"/>
    <s v="-"/>
    <s v="030BBA0450"/>
    <s v="ENTR BR-101(B) (UBAITABA)"/>
    <s v="ENTR BA-001"/>
    <n v="845.5"/>
    <n v="879.7"/>
    <n v="34.200000000000003"/>
    <x v="5"/>
    <m/>
    <m/>
    <m/>
    <s v="MP082/2006"/>
    <m/>
    <m/>
    <m/>
    <s v="N_PAV"/>
    <s v="Itabuna"/>
  </r>
  <r>
    <x v="0"/>
    <s v="030BBA0452"/>
    <n v="0"/>
    <x v="12"/>
    <s v="0452"/>
    <n v="-39.093798650187502"/>
    <n v="-14.2272718703005"/>
    <n v="-38.997530430384899"/>
    <n v="-14.1354599603088"/>
    <s v="030"/>
    <s v="BA"/>
    <s v="Eixo Principal"/>
    <s v="-"/>
    <s v="030BBA0452"/>
    <s v="ENTR BA-001"/>
    <s v="ENTR BA-656 (P/MARAÚ)"/>
    <n v="879.7"/>
    <n v="894.4"/>
    <n v="14.7"/>
    <x v="5"/>
    <m/>
    <m/>
    <m/>
    <s v="MP082/2006"/>
    <m/>
    <m/>
    <m/>
    <s v="N_PAV"/>
    <s v="Itabuna"/>
  </r>
  <r>
    <x v="0"/>
    <s v="030BBA0460"/>
    <n v="0"/>
    <x v="12"/>
    <s v="0460"/>
    <n v="-38.997530430384899"/>
    <n v="-14.1354599603088"/>
    <n v="-38.948489579930097"/>
    <n v="-13.9438046800419"/>
    <s v="030"/>
    <s v="BA"/>
    <s v="Eixo Principal"/>
    <s v="-"/>
    <s v="030BBA0460"/>
    <s v="ENTR BA-656 (P/MARAÚ)"/>
    <s v="ACESSO P/ BARRA GRANDE"/>
    <n v="894.4"/>
    <n v="917.5"/>
    <n v="23.1"/>
    <x v="5"/>
    <m/>
    <m/>
    <m/>
    <s v="MP082/2006"/>
    <m/>
    <m/>
    <m/>
    <s v="N_PAV"/>
    <s v="Itabuna"/>
  </r>
  <r>
    <x v="0"/>
    <s v="030BBA0470"/>
    <n v="0"/>
    <x v="12"/>
    <s v="0470"/>
    <n v="-38.948489579930097"/>
    <n v="-13.9438046800419"/>
    <n v="-38.987235249706899"/>
    <n v="-13.9117647601354"/>
    <s v="030"/>
    <s v="BA"/>
    <s v="Eixo Principal"/>
    <s v="-"/>
    <s v="030BBA0470"/>
    <s v="ACESSO P/ BARRA GRANDE"/>
    <s v="CAMPINHO"/>
    <n v="917.5"/>
    <n v="923.2"/>
    <n v="5.7"/>
    <x v="5"/>
    <m/>
    <m/>
    <m/>
    <s v="MP082/2006"/>
    <m/>
    <m/>
    <m/>
    <s v="N_PAV"/>
    <s v="Itabuna"/>
  </r>
  <r>
    <x v="0"/>
    <s v="030BDF0010"/>
    <n v="0"/>
    <x v="13"/>
    <s v="0010"/>
    <n v="-47.858851780085502"/>
    <n v="-15.6881578900745"/>
    <n v="-47.837345729921402"/>
    <n v="-15.681803040377901"/>
    <s v="030"/>
    <s v="DF"/>
    <s v="Eixo Principal"/>
    <s v="Coinc"/>
    <s v="030BDF0010"/>
    <s v="ENTR BR-010(A)/020(A)/450/DF-001 (BRASILIA)"/>
    <s v="ENTR DF-440"/>
    <n v="0"/>
    <n v="2.4"/>
    <n v="2.4"/>
    <x v="0"/>
    <m/>
    <s v="010BDF0010;020BDF0010"/>
    <s v="Convênio de Administração"/>
    <m/>
    <m/>
    <m/>
    <s v="Federal"/>
    <s v="PAV"/>
    <s v="Brasília"/>
  </r>
  <r>
    <x v="0"/>
    <s v="030BDF0015"/>
    <n v="0"/>
    <x v="13"/>
    <s v="0015"/>
    <n v="-47.837345729921402"/>
    <n v="-15.681803040377901"/>
    <n v="-47.807596359884002"/>
    <n v="-15.665864839590601"/>
    <s v="030"/>
    <s v="DF"/>
    <s v="Eixo Principal"/>
    <s v="Coinc"/>
    <s v="030BDF0015"/>
    <s v="ENTR DF-440"/>
    <s v="ACESSO I SOBRADINHO"/>
    <n v="2.4"/>
    <n v="6"/>
    <n v="3.6"/>
    <x v="0"/>
    <m/>
    <s v="020BDF0015;010BDF0015"/>
    <s v="Convênio de Administração"/>
    <m/>
    <m/>
    <m/>
    <s v="Federal"/>
    <s v="PAV"/>
    <s v="Brasília"/>
  </r>
  <r>
    <x v="0"/>
    <s v="030BDF0016"/>
    <n v="0"/>
    <x v="13"/>
    <s v="0016"/>
    <n v="-47.807596359884002"/>
    <n v="-15.665864839590601"/>
    <n v="-47.787738640225903"/>
    <n v="-15.6566409700047"/>
    <s v="030"/>
    <s v="DF"/>
    <s v="Eixo Principal"/>
    <s v="Coinc"/>
    <s v="030BDF0016"/>
    <s v="ACESSO I SOBRADINHO"/>
    <s v="ACESSO II SOBRADINHO"/>
    <n v="6"/>
    <n v="8.3000000000000007"/>
    <n v="2.2999999999999998"/>
    <x v="0"/>
    <m/>
    <s v="020BDF0016;010BDF0016"/>
    <s v="Convênio de Administração"/>
    <m/>
    <m/>
    <m/>
    <s v="Federal"/>
    <s v="PAV"/>
    <s v="Brasília"/>
  </r>
  <r>
    <x v="0"/>
    <s v="030BDF0018"/>
    <n v="0"/>
    <x v="13"/>
    <s v="0018"/>
    <n v="-47.787738640225903"/>
    <n v="-15.6566409700047"/>
    <n v="-47.7059894397607"/>
    <n v="-15.615206749991501"/>
    <s v="030"/>
    <s v="DF"/>
    <s v="Eixo Principal"/>
    <s v="Coinc"/>
    <s v="030BDF0018"/>
    <s v="ACESSO II SOBRADINHO"/>
    <s v="ENTR DF-230"/>
    <n v="8.3000000000000007"/>
    <n v="18.2"/>
    <n v="9.9"/>
    <x v="0"/>
    <m/>
    <s v="020BDF0018;010BDF0018"/>
    <s v="Convênio de Administração"/>
    <m/>
    <m/>
    <m/>
    <s v="Federal"/>
    <s v="PAV"/>
    <s v="Brasília"/>
  </r>
  <r>
    <x v="0"/>
    <s v="030BDF0020"/>
    <n v="0"/>
    <x v="13"/>
    <s v="0020"/>
    <n v="-47.7059894397607"/>
    <n v="-15.615206749991501"/>
    <n v="-47.6749888402626"/>
    <n v="-15.5981009701835"/>
    <s v="030"/>
    <s v="DF"/>
    <s v="Eixo Principal"/>
    <s v="Coinc"/>
    <s v="030BDF0020"/>
    <s v="ENTR DF-230"/>
    <s v="ENTR DF-128"/>
    <n v="18.2"/>
    <n v="22"/>
    <n v="3.8"/>
    <x v="0"/>
    <m/>
    <s v="020BDF0020;010BDF0020"/>
    <s v="Convênio de Administração"/>
    <m/>
    <m/>
    <m/>
    <s v="Federal"/>
    <s v="PAV"/>
    <s v="Brasília"/>
  </r>
  <r>
    <x v="0"/>
    <s v="030BDF0022"/>
    <n v="0"/>
    <x v="13"/>
    <s v="0022"/>
    <n v="-47.6749888402626"/>
    <n v="-15.5981009701835"/>
    <n v="-47.653832829621301"/>
    <n v="-15.595250130089299"/>
    <s v="030"/>
    <s v="DF"/>
    <s v="Eixo Principal"/>
    <s v="Coinc"/>
    <s v="030BDF0022"/>
    <s v="ENTR DF-128"/>
    <s v="P/PLANALTINA"/>
    <n v="22"/>
    <n v="25"/>
    <n v="3"/>
    <x v="0"/>
    <m/>
    <s v="010BDF0022;020BDF0022"/>
    <s v="Convênio de Administração"/>
    <m/>
    <m/>
    <m/>
    <s v="Federal"/>
    <s v="PAV"/>
    <s v="Brasília"/>
  </r>
  <r>
    <x v="0"/>
    <s v="030BDF0030"/>
    <n v="0"/>
    <x v="13"/>
    <s v="0030"/>
    <n v="-47.653832829621301"/>
    <n v="-15.595250130089299"/>
    <n v="-47.571755169765197"/>
    <n v="-15.586163100446599"/>
    <s v="030"/>
    <s v="DF"/>
    <s v="Eixo Principal"/>
    <s v="Coinc"/>
    <s v="030BDF0030"/>
    <s v="P/PLANALTINA"/>
    <s v="ENTR BR-010(B)/DF-345"/>
    <n v="25"/>
    <n v="34"/>
    <n v="9"/>
    <x v="0"/>
    <m/>
    <s v="010BDF0030;020BDF0030"/>
    <s v="Federal"/>
    <m/>
    <m/>
    <m/>
    <s v="Federal"/>
    <s v="PAV"/>
    <s v="Brasília"/>
  </r>
  <r>
    <x v="0"/>
    <s v="030BDF0050"/>
    <n v="0"/>
    <x v="13"/>
    <s v="0050"/>
    <n v="-47.571755169765197"/>
    <n v="-15.586163100446599"/>
    <n v="-47.553753899922498"/>
    <n v="-15.5817179701081"/>
    <s v="030"/>
    <s v="DF"/>
    <s v="Eixo Principal"/>
    <s v="Coinc"/>
    <s v="030BDF0050"/>
    <s v="ENTR BR-010(B)/DF-345"/>
    <s v="ENTR DF-405"/>
    <n v="34"/>
    <n v="36"/>
    <n v="2"/>
    <x v="0"/>
    <m/>
    <s v="020BDF0050"/>
    <s v="Federal"/>
    <m/>
    <m/>
    <m/>
    <s v="Federal"/>
    <s v="PAV"/>
    <s v="Brasília"/>
  </r>
  <r>
    <x v="0"/>
    <s v="030BDF0051"/>
    <n v="0"/>
    <x v="13"/>
    <s v="0051"/>
    <n v="-47.553753899922498"/>
    <n v="-15.5817179701081"/>
    <n v="-47.550651860294998"/>
    <n v="-15.581711389768699"/>
    <s v="030"/>
    <s v="DF"/>
    <s v="Eixo Principal"/>
    <s v="Coinc"/>
    <s v="030BDF0051"/>
    <s v="ENTR DF-405"/>
    <s v="ENTR DF-410"/>
    <n v="36"/>
    <n v="36.299999999999997"/>
    <n v="0.3"/>
    <x v="0"/>
    <m/>
    <s v="020BDF0051"/>
    <s v="Federal"/>
    <m/>
    <m/>
    <m/>
    <s v="Federal"/>
    <s v="PAV"/>
    <s v="Brasília"/>
  </r>
  <r>
    <x v="0"/>
    <s v="030BDF0052"/>
    <n v="0"/>
    <x v="13"/>
    <s v="0052"/>
    <n v="-47.550651860294998"/>
    <n v="-15.581711389768699"/>
    <n v="-47.4970216498292"/>
    <n v="-15.579482060348701"/>
    <s v="030"/>
    <s v="DF"/>
    <s v="Eixo Principal"/>
    <s v="Coinc"/>
    <s v="030BDF0052"/>
    <s v="ENTR DF-410"/>
    <s v="ENTR DF-110"/>
    <n v="36.299999999999997"/>
    <n v="42"/>
    <n v="5.7"/>
    <x v="0"/>
    <m/>
    <s v="020BDF0052"/>
    <s v="Federal"/>
    <m/>
    <m/>
    <m/>
    <s v="Federal"/>
    <s v="PAV"/>
    <s v="Brasília"/>
  </r>
  <r>
    <x v="0"/>
    <s v="030BDF0053"/>
    <n v="0"/>
    <x v="13"/>
    <s v="0053"/>
    <n v="-47.4970216498292"/>
    <n v="-15.579482060348701"/>
    <n v="-47.429872360021299"/>
    <n v="-15.5818908602749"/>
    <s v="030"/>
    <s v="DF"/>
    <s v="Eixo Principal"/>
    <s v="Coinc"/>
    <s v="030BDF0053"/>
    <s v="ENTR DF-110"/>
    <s v="ENTR VICINAL-107"/>
    <n v="42"/>
    <n v="49.4"/>
    <n v="7.4"/>
    <x v="0"/>
    <m/>
    <s v="020BDF0053"/>
    <s v="Federal"/>
    <m/>
    <m/>
    <m/>
    <s v="Federal"/>
    <s v="PAV"/>
    <s v="Brasília"/>
  </r>
  <r>
    <x v="0"/>
    <s v="030BDF0054"/>
    <n v="0"/>
    <x v="13"/>
    <s v="0054"/>
    <n v="-47.429872360021299"/>
    <n v="-15.5818908602749"/>
    <n v="-47.402557399903998"/>
    <n v="-15.579663180211501"/>
    <s v="030"/>
    <s v="DF"/>
    <s v="Eixo Principal"/>
    <s v="Coinc"/>
    <s v="030BDF0054"/>
    <s v="ENTR VICINAL-107"/>
    <s v="ENTR DF-105"/>
    <n v="49.4"/>
    <n v="52.3"/>
    <n v="2.9"/>
    <x v="0"/>
    <m/>
    <s v="020BDF0054"/>
    <s v="Federal"/>
    <m/>
    <m/>
    <m/>
    <s v="Federal"/>
    <s v="PAV"/>
    <s v="Brasília"/>
  </r>
  <r>
    <x v="0"/>
    <s v="030BDF0060"/>
    <n v="0"/>
    <x v="13"/>
    <s v="0060"/>
    <n v="-47.402557399903998"/>
    <n v="-15.579663180211501"/>
    <n v="-47.352157709810299"/>
    <n v="-15.583539070271801"/>
    <s v="030"/>
    <s v="DF"/>
    <s v="Eixo Principal"/>
    <s v="Coinc"/>
    <s v="030BDF0060"/>
    <s v="ENTR DF-105"/>
    <s v="ENTR DF-100"/>
    <n v="52.3"/>
    <n v="57.9"/>
    <n v="5.6"/>
    <x v="0"/>
    <m/>
    <s v="020BDF0060"/>
    <s v="Federal"/>
    <m/>
    <m/>
    <m/>
    <s v="Federal"/>
    <s v="PAV"/>
    <s v="Brasília"/>
  </r>
  <r>
    <x v="0"/>
    <s v="030BDF0070"/>
    <n v="0"/>
    <x v="13"/>
    <s v="0070"/>
    <n v="-47.352157709810299"/>
    <n v="-15.583539070271801"/>
    <n v="-47.343387770329201"/>
    <n v="-15.5815257903828"/>
    <s v="030"/>
    <s v="DF"/>
    <s v="Eixo Principal"/>
    <s v="Coinc"/>
    <s v="030BDF0070"/>
    <s v="ENTR DF-100"/>
    <s v="ENTR BR-020(B) (DIV DF/GO)"/>
    <n v="57.9"/>
    <n v="58.8"/>
    <n v="0.9"/>
    <x v="0"/>
    <m/>
    <s v="020BDF0070"/>
    <s v="Federal"/>
    <m/>
    <m/>
    <m/>
    <s v="Federal"/>
    <s v="PAV"/>
    <s v="Brasília"/>
  </r>
  <r>
    <x v="0"/>
    <s v="030BGO0090"/>
    <n v="0"/>
    <x v="14"/>
    <s v="0090"/>
    <n v="-47.343387770329201"/>
    <n v="-15.5815257903828"/>
    <n v="-47.3156038299527"/>
    <n v="-15.563147450094601"/>
    <s v="030"/>
    <s v="GO"/>
    <s v="Eixo Principal"/>
    <s v="Coinc"/>
    <s v="030BGO0090"/>
    <s v="ENTR BR-020(A) (DIV DF/GO)"/>
    <s v="ACESSO A FORMOSA"/>
    <n v="0"/>
    <n v="3.7"/>
    <n v="3.7"/>
    <x v="2"/>
    <m/>
    <s v="020BGO0090"/>
    <s v="Federal"/>
    <m/>
    <m/>
    <m/>
    <s v="Federal"/>
    <s v="PAV"/>
    <s v="Brasília"/>
  </r>
  <r>
    <x v="0"/>
    <s v="030BGO0110"/>
    <n v="0"/>
    <x v="14"/>
    <s v="0110"/>
    <n v="-47.3156038299527"/>
    <n v="-15.563147450094601"/>
    <n v="-47.164690959919803"/>
    <n v="-15.546948890178999"/>
    <s v="030"/>
    <s v="GO"/>
    <s v="Eixo Principal"/>
    <s v="Coinc"/>
    <s v="030BGO0110"/>
    <s v="ACESSO A FORMOSA"/>
    <s v="ENTR GO-346"/>
    <n v="3.7"/>
    <n v="22"/>
    <n v="18.3"/>
    <x v="2"/>
    <m/>
    <s v="020BGO0110"/>
    <s v="Federal"/>
    <m/>
    <m/>
    <m/>
    <s v="Federal"/>
    <s v="PAV"/>
    <s v="Brasília"/>
  </r>
  <r>
    <x v="0"/>
    <s v="030BGO0120"/>
    <n v="0"/>
    <x v="14"/>
    <s v="0120"/>
    <n v="-47.164690959919803"/>
    <n v="-15.546948890178999"/>
    <n v="-47.106674200054201"/>
    <n v="-15.493394579795901"/>
    <s v="030"/>
    <s v="GO"/>
    <s v="Eixo Principal"/>
    <s v="Coinc"/>
    <s v="030BGO0120"/>
    <s v="ENTR GO-346 (P/CABEÇEIRAS)"/>
    <s v="ENTR GO-468(A) (DISTRITO DE BEZERRA)"/>
    <n v="22"/>
    <n v="31"/>
    <n v="9"/>
    <x v="2"/>
    <m/>
    <s v="020BGO0120"/>
    <s v="Federal"/>
    <m/>
    <m/>
    <m/>
    <s v="Federal"/>
    <s v="PAV"/>
    <s v="Brasília"/>
  </r>
  <r>
    <x v="0"/>
    <s v="030BGO0157"/>
    <n v="0"/>
    <x v="14"/>
    <s v="0157"/>
    <n v="-47.106674200054201"/>
    <n v="-15.493394579795901"/>
    <n v="-47.135450920023899"/>
    <n v="-15.148480090183901"/>
    <s v="030"/>
    <s v="GO"/>
    <s v="Eixo Principal"/>
    <s v="Coinc"/>
    <s v="030BGO0157"/>
    <s v="ENTR GO-468(A) (DISTRITO DE BEZERRA)"/>
    <s v="ENTR GO-458 (P/SANTA ROSA)"/>
    <n v="31"/>
    <n v="72.8"/>
    <n v="41.8"/>
    <x v="2"/>
    <m/>
    <s v="020BGO0130"/>
    <s v="Federal"/>
    <m/>
    <m/>
    <m/>
    <s v="Federal"/>
    <s v="PAV"/>
    <s v="Brasília"/>
  </r>
  <r>
    <x v="0"/>
    <s v="030BGO0160"/>
    <n v="0"/>
    <x v="14"/>
    <s v="0160"/>
    <n v="-47.135450920023899"/>
    <n v="-15.148480090183901"/>
    <n v="-46.9588046897845"/>
    <n v="-14.9185806003143"/>
    <s v="030"/>
    <s v="GO"/>
    <s v="Eixo Principal"/>
    <s v="Coinc"/>
    <s v="030BGO0160"/>
    <s v="ENTR GO-458 (P/SANTA ROSA)"/>
    <s v="ENTR GO-114 (P/FLORES DE GOIÁS)"/>
    <n v="72.8"/>
    <n v="105.3"/>
    <n v="32.5"/>
    <x v="2"/>
    <m/>
    <s v="020BGO0150"/>
    <s v="Federal"/>
    <m/>
    <m/>
    <m/>
    <s v="Federal"/>
    <s v="PAV"/>
    <s v="Brasília"/>
  </r>
  <r>
    <x v="0"/>
    <s v="030BGO0165"/>
    <n v="0"/>
    <x v="14"/>
    <s v="0165"/>
    <n v="-46.9588046897845"/>
    <n v="-14.9185806003143"/>
    <n v="-46.674182180063397"/>
    <n v="-14.76035572044"/>
    <s v="030"/>
    <s v="GO"/>
    <s v="Eixo Principal"/>
    <s v="Coinc"/>
    <s v="030BGO0165"/>
    <s v="ENTR GO-114 (P/FLORES DE GOIÁS)"/>
    <s v="SANTA MARIA"/>
    <n v="105.3"/>
    <n v="143.30000000000001"/>
    <n v="38"/>
    <x v="2"/>
    <m/>
    <s v="020BGO0160"/>
    <s v="Federal"/>
    <m/>
    <m/>
    <m/>
    <s v="Federal"/>
    <s v="PAV"/>
    <s v="Brasília"/>
  </r>
  <r>
    <x v="0"/>
    <s v="030BGO0170"/>
    <n v="0"/>
    <x v="14"/>
    <s v="0170"/>
    <n v="-46.674182180063397"/>
    <n v="-14.76035572044"/>
    <n v="-46.517672499785903"/>
    <n v="-14.5073674797253"/>
    <s v="030"/>
    <s v="GO"/>
    <s v="Eixo Principal"/>
    <s v="Coinc"/>
    <s v="030BGO0170"/>
    <s v="SANTA MARIA"/>
    <s v="ENTR GO-112/236(A) (ALVORADA DO NORTE)"/>
    <n v="143.30000000000001"/>
    <n v="180.7"/>
    <n v="37.4"/>
    <x v="2"/>
    <m/>
    <s v="020BGO0170"/>
    <s v="Federal"/>
    <m/>
    <m/>
    <m/>
    <s v="Federal"/>
    <s v="PAV"/>
    <s v="Brasília"/>
  </r>
  <r>
    <x v="0"/>
    <s v="030BGO0175"/>
    <n v="0"/>
    <x v="14"/>
    <s v="0175"/>
    <n v="-46.517672499785903"/>
    <n v="-14.5073674797253"/>
    <n v="-46.460901819862997"/>
    <n v="-14.441142389909301"/>
    <s v="030"/>
    <s v="GO"/>
    <s v="Eixo Principal"/>
    <s v="Coinc"/>
    <s v="030BGO0175"/>
    <s v="ENTR GO-112/236(A) (ALVORADA DO NORTE)"/>
    <s v="ENTR GO-236(B) (P/MAMBAÍ)"/>
    <n v="180.7"/>
    <n v="185.7"/>
    <n v="5"/>
    <x v="2"/>
    <m/>
    <s v="020BGO0190"/>
    <s v="Federal"/>
    <m/>
    <m/>
    <m/>
    <s v="Federal"/>
    <s v="PAV"/>
    <s v="Brasília"/>
  </r>
  <r>
    <x v="0"/>
    <s v="030BGO0180"/>
    <n v="0"/>
    <x v="14"/>
    <s v="0180"/>
    <n v="-46.460901819862997"/>
    <n v="-14.441142389909301"/>
    <n v="-46.015643620356698"/>
    <n v="-14.4751321299438"/>
    <s v="030"/>
    <s v="GO"/>
    <s v="Eixo Principal"/>
    <s v="-"/>
    <s v="030BGO0180"/>
    <s v="ENTR GO-236(B) (P/MAMBAÍ)"/>
    <s v="DIV GO/BA"/>
    <n v="185.7"/>
    <n v="249.5"/>
    <n v="63.8"/>
    <x v="1"/>
    <m/>
    <m/>
    <s v="Estadual"/>
    <m/>
    <s v="GO-236"/>
    <s v="PAV"/>
    <s v="Estadual"/>
    <s v="PLA"/>
    <s v="Brasília"/>
  </r>
  <r>
    <x v="0"/>
    <s v="040ARJ1005"/>
    <n v="0"/>
    <x v="15"/>
    <s v="1005"/>
    <n v="-43.182113040184603"/>
    <n v="-22.5037940201778"/>
    <n v="-43.139960650363598"/>
    <n v="-22.414136980237402"/>
    <s v="040"/>
    <s v="RJ"/>
    <s v="Acesso"/>
    <s v="-"/>
    <s v="040ARJ1005"/>
    <s v="TREVO ACS PETRÓPOLIS (ENTR R 13 DE MAIO)"/>
    <s v="ACS BONSUCESSO (IN PISTA DUP - ITAIPAVA)"/>
    <n v="0"/>
    <n v="13.8"/>
    <n v="13.8"/>
    <x v="2"/>
    <m/>
    <m/>
    <s v="Federal"/>
    <m/>
    <m/>
    <m/>
    <s v="Federal"/>
    <s v="PAV"/>
    <m/>
  </r>
  <r>
    <x v="0"/>
    <s v="040ARJ1010"/>
    <n v="0"/>
    <x v="15"/>
    <s v="1010"/>
    <n v="-43.139960650363598"/>
    <n v="-22.414136980237402"/>
    <n v="-43.135451179828003"/>
    <n v="-22.403732940222898"/>
    <s v="040"/>
    <s v="RJ"/>
    <s v="Acesso"/>
    <s v="-"/>
    <s v="040ARJ1010"/>
    <s v="ACS BONSUCESSO (IN PISTA DUP - ITAIPAVA)"/>
    <s v="FIM PISTA DUPLA (ITAIPAVA)"/>
    <n v="13.8"/>
    <n v="15"/>
    <n v="1.2"/>
    <x v="0"/>
    <m/>
    <m/>
    <s v="Federal"/>
    <m/>
    <m/>
    <m/>
    <s v="Federal"/>
    <s v="PAV"/>
    <s v="Seropédica"/>
  </r>
  <r>
    <x v="0"/>
    <s v="040ARJ1015"/>
    <n v="0"/>
    <x v="15"/>
    <s v="1015"/>
    <n v="-43.135451179828003"/>
    <n v="-22.403732940222898"/>
    <n v="-43.133724059717501"/>
    <n v="-22.396967499650302"/>
    <s v="040"/>
    <s v="RJ"/>
    <s v="Acesso"/>
    <s v="-"/>
    <s v="040ARJ1015"/>
    <s v="FIM PISTA DUPLA (ITAIPAVA)"/>
    <s v="INÍCIO BIFURCAÇÃO SHOPPING ESTAÇÃO"/>
    <n v="15"/>
    <n v="15.8"/>
    <n v="0.8"/>
    <x v="2"/>
    <m/>
    <m/>
    <s v="Federal"/>
    <m/>
    <m/>
    <m/>
    <s v="Federal"/>
    <s v="PAV"/>
    <s v="Seropédica"/>
  </r>
  <r>
    <x v="0"/>
    <s v="040ARJ1020"/>
    <n v="0"/>
    <x v="15"/>
    <s v="1020"/>
    <n v="-43.133724059717501"/>
    <n v="-22.396967499650302"/>
    <n v="-43.131841880298502"/>
    <n v="-22.394462869765501"/>
    <s v="040"/>
    <s v="RJ"/>
    <s v="Acesso"/>
    <s v="-"/>
    <s v="040ARJ1020"/>
    <s v="INÍCIO BIFURCAÇÃO SHOPPING ESTAÇÃO"/>
    <s v="FIM BIFURCAÇÃO SHOPPING ESTAÇÃO"/>
    <n v="15.8"/>
    <n v="16.100000000000001"/>
    <n v="0.3"/>
    <x v="0"/>
    <m/>
    <m/>
    <s v="Federal"/>
    <m/>
    <m/>
    <m/>
    <s v="Federal"/>
    <s v="PAV"/>
    <s v="Seropédica"/>
  </r>
  <r>
    <x v="0"/>
    <s v="040ARJ1025"/>
    <n v="0"/>
    <x v="15"/>
    <s v="1025"/>
    <n v="-43.131841880298502"/>
    <n v="-22.394462869765501"/>
    <n v="-43.1327441296378"/>
    <n v="-22.387075639728899"/>
    <s v="040"/>
    <s v="RJ"/>
    <s v="Acesso"/>
    <s v="-"/>
    <s v="040ARJ1025"/>
    <s v="FIM BIFURCAÇÃO SHOPPING ESTAÇÃO"/>
    <s v="ENTR BR-495 (A)"/>
    <n v="16.100000000000001"/>
    <n v="17"/>
    <n v="0.9"/>
    <x v="2"/>
    <m/>
    <m/>
    <s v="Federal"/>
    <m/>
    <m/>
    <m/>
    <s v="Federal"/>
    <s v="PAV"/>
    <s v="Seropédica"/>
  </r>
  <r>
    <x v="0"/>
    <s v="040ARJ1030"/>
    <n v="0"/>
    <x v="15"/>
    <s v="1030"/>
    <n v="-43.1327441296378"/>
    <n v="-22.387075639728899"/>
    <n v="-43.130887419918402"/>
    <n v="-22.379548670334799"/>
    <s v="040"/>
    <s v="RJ"/>
    <s v="Acesso"/>
    <s v="-"/>
    <s v="040ARJ1030"/>
    <s v="ENTR BR-495 (A)"/>
    <s v="ENTR BR-495 (B)"/>
    <n v="17"/>
    <n v="18"/>
    <n v="1"/>
    <x v="2"/>
    <m/>
    <s v="495BRJ0020"/>
    <s v="Federal"/>
    <m/>
    <m/>
    <m/>
    <s v="Federal"/>
    <s v="PAV"/>
    <s v="Seropédica"/>
  </r>
  <r>
    <x v="0"/>
    <s v="040ARJ1035"/>
    <n v="0"/>
    <x v="15"/>
    <s v="1035"/>
    <n v="-43.130887419918402"/>
    <n v="-22.379548670334799"/>
    <n v="-43.131610539594703"/>
    <n v="-22.335633860214401"/>
    <s v="040"/>
    <s v="RJ"/>
    <s v="Acesso"/>
    <s v="-"/>
    <s v="040ARJ1035"/>
    <s v="ENTR BR-495 (B)"/>
    <s v="ACESSO PEDRO DO RIO"/>
    <n v="18"/>
    <n v="24.3"/>
    <n v="6.3"/>
    <x v="2"/>
    <m/>
    <m/>
    <s v="Federal"/>
    <m/>
    <m/>
    <m/>
    <s v="Federal"/>
    <s v="PAV"/>
    <s v="Seropédica"/>
  </r>
  <r>
    <x v="0"/>
    <s v="040ARJ2005"/>
    <n v="0"/>
    <x v="15"/>
    <s v="2005"/>
    <n v="-43.224713730354303"/>
    <n v="-22.5435315999033"/>
    <n v="-43.223225280422199"/>
    <n v="-22.540037929806498"/>
    <s v="040"/>
    <s v="RJ"/>
    <s v="Acesso"/>
    <s v="-"/>
    <s v="040ARJ2005"/>
    <s v="WASHINGTON LUÍS"/>
    <s v="DUQUES (ACESSO DUQUES)"/>
    <n v="0"/>
    <n v="1.3"/>
    <n v="1.3"/>
    <x v="2"/>
    <m/>
    <m/>
    <s v="Concessão Federal"/>
    <m/>
    <m/>
    <m/>
    <s v="Federal"/>
    <s v="PAV"/>
    <s v="Seropédica"/>
  </r>
  <r>
    <x v="0"/>
    <s v="040ARJ3005"/>
    <n v="0"/>
    <x v="15"/>
    <s v="3005"/>
    <n v="-43.219741889576397"/>
    <n v="-22.5341034601065"/>
    <n v="-43.203354320045698"/>
    <n v="-22.533702900268501"/>
    <s v="040"/>
    <s v="RJ"/>
    <s v="Acesso"/>
    <s v="-"/>
    <s v="040ARJ3005"/>
    <s v="QUITANDINHA"/>
    <s v="ACESSO PETRÓPOLIS"/>
    <n v="0"/>
    <n v="2.2000000000000002"/>
    <n v="2.2000000000000002"/>
    <x v="2"/>
    <m/>
    <m/>
    <s v="Concessão Federal"/>
    <m/>
    <m/>
    <m/>
    <s v="Federal"/>
    <s v="PAV"/>
    <s v="Seropédica"/>
  </r>
  <r>
    <x v="1"/>
    <s v="040BDF0010"/>
    <s v="BR-040/DF/GO/MG (Via040)"/>
    <x v="16"/>
    <s v="0010"/>
    <n v="-47.990321370434799"/>
    <n v="-15.9768665999135"/>
    <n v="-47.984590740170397"/>
    <n v="-16.0010292096302"/>
    <s v="040"/>
    <s v="DF"/>
    <s v="Eixo Principal"/>
    <s v="-"/>
    <s v="040BDF0010"/>
    <s v="ENTR BR-050(A)/251/450/DF-001 (BRASILIA)"/>
    <s v="P/SANTA MARIA"/>
    <n v="0"/>
    <n v="2.2000000000000002"/>
    <n v="2.2000000000000002"/>
    <x v="0"/>
    <m/>
    <s v="251BDF0570;050BDF0010"/>
    <s v="Concessão Federal"/>
    <m/>
    <m/>
    <m/>
    <s v="Federal"/>
    <s v="PAV"/>
    <s v="Seropédica"/>
  </r>
  <r>
    <x v="1"/>
    <s v="040BDF0012"/>
    <s v="BR-040/DF/GO/MG (Via040)"/>
    <x v="16"/>
    <s v="0012"/>
    <n v="-47.984590740170397"/>
    <n v="-16.0010292096302"/>
    <n v="-47.981285579665702"/>
    <n v="-16.017383380138799"/>
    <s v="040"/>
    <s v="DF"/>
    <s v="Eixo Principal"/>
    <s v="-"/>
    <s v="040BDF0012"/>
    <s v="P/SANTA MARIA"/>
    <s v="ENTR VICINAL - 371"/>
    <n v="2.2000000000000002"/>
    <n v="5"/>
    <n v="2.8"/>
    <x v="0"/>
    <m/>
    <s v="251BDF0572;050BDF0012"/>
    <s v="Concessão Federal"/>
    <m/>
    <m/>
    <m/>
    <s v="Federal"/>
    <s v="PAV"/>
    <s v="Brasília"/>
  </r>
  <r>
    <x v="1"/>
    <s v="040BDF0015"/>
    <s v="BR-040/DF/GO/MG (Via040)"/>
    <x v="16"/>
    <s v="0015"/>
    <n v="-47.981285579665702"/>
    <n v="-16.017383380138799"/>
    <n v="-47.979316889962398"/>
    <n v="-16.0268953403476"/>
    <s v="040"/>
    <s v="DF"/>
    <s v="Eixo Principal"/>
    <s v="-"/>
    <s v="040BDF0015"/>
    <s v="ENTR VICINAL - 371"/>
    <s v="ENTR DF-495"/>
    <n v="5"/>
    <n v="5.6"/>
    <n v="0.6"/>
    <x v="0"/>
    <m/>
    <s v="050BDF0015;251BDF0574"/>
    <s v="Concessão Federal"/>
    <m/>
    <m/>
    <m/>
    <s v="Federal"/>
    <s v="PAV"/>
    <s v="Brasília"/>
  </r>
  <r>
    <x v="1"/>
    <s v="040BDF0017"/>
    <s v="BR-040/DF/GO/MG (Via040)"/>
    <x v="16"/>
    <s v="0017"/>
    <n v="-47.979316889962398"/>
    <n v="-16.0268953403476"/>
    <n v="-47.981426810099101"/>
    <n v="-16.0492052800995"/>
    <s v="040"/>
    <s v="DF"/>
    <s v="Eixo Principal"/>
    <s v="-"/>
    <s v="040BDF0017"/>
    <s v="ENTR DF-495"/>
    <s v="ENTR DF-290"/>
    <n v="5.6"/>
    <n v="8.1999999999999993"/>
    <n v="2.6"/>
    <x v="0"/>
    <m/>
    <s v="050BDF0017;251BDF0582"/>
    <s v="Concessão Federal"/>
    <m/>
    <m/>
    <m/>
    <s v="Federal"/>
    <s v="PAV"/>
    <s v="Brasília"/>
  </r>
  <r>
    <x v="1"/>
    <s v="040BDF0020"/>
    <s v="BR-040/DF/GO/MG (Via040)"/>
    <x v="16"/>
    <s v="0020"/>
    <n v="-47.981426810099101"/>
    <n v="-16.0492052800995"/>
    <n v="-47.981772719935002"/>
    <n v="-16.051189090104401"/>
    <s v="040"/>
    <s v="DF"/>
    <s v="Eixo Principal"/>
    <s v="-"/>
    <s v="040BDF0020"/>
    <s v="ENTR DF-290"/>
    <s v="ENTR BR-050(B) (DIV DF/GO)"/>
    <n v="8.1999999999999993"/>
    <n v="8.4"/>
    <n v="0.2"/>
    <x v="0"/>
    <m/>
    <s v="050BDF0020"/>
    <s v="Concessão Federal"/>
    <m/>
    <m/>
    <m/>
    <s v="Federal"/>
    <s v="PAV"/>
    <s v="Brasília"/>
  </r>
  <r>
    <x v="1"/>
    <s v="040BGO0030"/>
    <s v="BR-040/DF/GO/MG (Via040)"/>
    <x v="17"/>
    <s v="0030"/>
    <n v="-47.981772719935002"/>
    <n v="-16.051189090104401"/>
    <n v="-47.902866840332301"/>
    <n v="-16.249735250181601"/>
    <s v="040"/>
    <s v="GO"/>
    <s v="Eixo Principal"/>
    <s v="-"/>
    <s v="040BGO0030"/>
    <s v="ENTR BR-050(A) (DIV DF/GO)"/>
    <s v="ENTR GO-010 (P/LUZIÂNIA)"/>
    <n v="0"/>
    <n v="24.1"/>
    <n v="24.1"/>
    <x v="0"/>
    <m/>
    <s v="050BGO0030"/>
    <s v="Concessão Federal"/>
    <m/>
    <m/>
    <m/>
    <s v="Federal"/>
    <s v="PAV"/>
    <s v="Brasília"/>
  </r>
  <r>
    <x v="1"/>
    <s v="040BGO0050"/>
    <s v="BR-040/DF/GO/MG (Via040)"/>
    <x v="17"/>
    <s v="0050"/>
    <n v="-47.902866840332301"/>
    <n v="-16.249735250181601"/>
    <n v="-47.604500769694702"/>
    <n v="-16.7542418301962"/>
    <s v="040"/>
    <s v="GO"/>
    <s v="Eixo Principal"/>
    <s v="-"/>
    <s v="040BGO0050"/>
    <s v="ENTR GO-010 (P/LUZIÂNIA)"/>
    <s v="ENTR BR-050(B)/354/457/GO-309 (CRISTALINA)"/>
    <n v="24.1"/>
    <n v="95.7"/>
    <n v="71.599999999999994"/>
    <x v="2"/>
    <m/>
    <s v="050BGO0050"/>
    <s v="Concessão Federal"/>
    <m/>
    <m/>
    <m/>
    <s v="Federal"/>
    <s v="PAV"/>
    <s v="Goiânia"/>
  </r>
  <r>
    <x v="1"/>
    <s v="040BGO0070"/>
    <s v="BR-040/DF/GO/MG (Via040)"/>
    <x v="17"/>
    <s v="0070"/>
    <n v="-47.604500769694702"/>
    <n v="-16.7542418301962"/>
    <n v="-47.158844669645703"/>
    <n v="-17.034821780300799"/>
    <s v="040"/>
    <s v="GO"/>
    <s v="Eixo Principal"/>
    <s v="-"/>
    <s v="040BGO0070"/>
    <s v="ENTR BR-050(B)/354/457/GO-309 (CRISTALINA)"/>
    <s v="DIV GO/MG"/>
    <n v="95.7"/>
    <n v="157.30000000000001"/>
    <n v="61.6"/>
    <x v="2"/>
    <m/>
    <m/>
    <s v="Concessão Federal"/>
    <m/>
    <m/>
    <m/>
    <s v="Federal"/>
    <s v="PAV"/>
    <s v="Goiânia"/>
  </r>
  <r>
    <x v="1"/>
    <s v="040BMG0090"/>
    <s v="BR-040/DF/GO/MG (Via040)"/>
    <x v="18"/>
    <s v="0090"/>
    <n v="-47.158844669645703"/>
    <n v="-17.034821780300799"/>
    <n v="-46.853124529673202"/>
    <n v="-17.231511100256999"/>
    <s v="040"/>
    <s v="MG"/>
    <s v="Eixo Principal"/>
    <s v="-"/>
    <s v="040BMG0090"/>
    <s v="DIV GO/MG"/>
    <s v="ENTR MG-188(B) (P/SÃO SEBASTIÃO)"/>
    <n v="0"/>
    <n v="44.1"/>
    <n v="44.1"/>
    <x v="2"/>
    <m/>
    <m/>
    <s v="Concessão Federal"/>
    <m/>
    <m/>
    <m/>
    <s v="Federal"/>
    <s v="PAV"/>
    <s v="Goiânia"/>
  </r>
  <r>
    <x v="1"/>
    <s v="040BMG0097"/>
    <s v="BR-040/DF/GO/MG (Via040)"/>
    <x v="18"/>
    <s v="0097"/>
    <n v="-46.853124529673202"/>
    <n v="-17.231511100256999"/>
    <n v="-46.795445399585503"/>
    <n v="-17.2417163802067"/>
    <s v="040"/>
    <s v="MG"/>
    <s v="Eixo Principal"/>
    <s v="-"/>
    <s v="040BMG0097"/>
    <s v="ENTR MG-188(B) (P/SÃO SEBASTIÃO)"/>
    <s v="ACESSO ENTRE RIBEIROS"/>
    <n v="44.1"/>
    <n v="50.6"/>
    <n v="6.5"/>
    <x v="2"/>
    <m/>
    <m/>
    <s v="Concessão Federal"/>
    <m/>
    <m/>
    <m/>
    <s v="Federal"/>
    <s v="PAV"/>
    <s v="Patos de Minas"/>
  </r>
  <r>
    <x v="1"/>
    <s v="040BMG0100"/>
    <s v="BR-040/DF/GO/MG (Via040)"/>
    <x v="18"/>
    <s v="0100"/>
    <n v="-46.795445399585503"/>
    <n v="-17.2417163802067"/>
    <n v="-46.736026809789301"/>
    <n v="-17.3900165101537"/>
    <s v="040"/>
    <s v="MG"/>
    <s v="Eixo Principal"/>
    <s v="-"/>
    <s v="040BMG0100"/>
    <s v="ACESSO ENTRE RIBEIROS"/>
    <s v="ACESSO MORRO AGUDO"/>
    <n v="50.6"/>
    <n v="68.5"/>
    <n v="17.899999999999999"/>
    <x v="2"/>
    <m/>
    <m/>
    <s v="Concessão Federal"/>
    <m/>
    <m/>
    <m/>
    <s v="Federal"/>
    <s v="PAV"/>
    <s v="Patos de Minas"/>
  </r>
  <r>
    <x v="1"/>
    <s v="040BMG0110"/>
    <s v="BR-040/DF/GO/MG (Via040)"/>
    <x v="18"/>
    <s v="0110"/>
    <n v="-46.736026809789301"/>
    <n v="-17.3900165101537"/>
    <n v="-46.595551389584799"/>
    <n v="-17.4938675400549"/>
    <s v="040"/>
    <s v="MG"/>
    <s v="Eixo Principal"/>
    <s v="-"/>
    <s v="040BMG0110"/>
    <s v="ACESSO MORRO AGUDO"/>
    <s v="ACESSO VAZANTE"/>
    <n v="68.5"/>
    <n v="87.8"/>
    <n v="19.3"/>
    <x v="2"/>
    <m/>
    <m/>
    <s v="Concessão Federal"/>
    <m/>
    <m/>
    <m/>
    <s v="Federal"/>
    <s v="PAV"/>
    <s v="Patos de Minas"/>
  </r>
  <r>
    <x v="1"/>
    <s v="040BMG0120"/>
    <s v="BR-040/DF/GO/MG (Via040)"/>
    <x v="18"/>
    <s v="0120"/>
    <n v="-46.595551389584799"/>
    <n v="-17.4938675400549"/>
    <n v="-46.375070000380099"/>
    <n v="-17.660217430389999"/>
    <s v="040"/>
    <s v="MG"/>
    <s v="Eixo Principal"/>
    <s v="-"/>
    <s v="040BMG0120"/>
    <s v="ACESSO VAZANTE"/>
    <s v="ENTR MG-410 (P/PORTO DIAMANTE)"/>
    <n v="87.8"/>
    <n v="118.9"/>
    <n v="31.1"/>
    <x v="2"/>
    <m/>
    <m/>
    <s v="Concessão Federal"/>
    <m/>
    <m/>
    <m/>
    <s v="Federal"/>
    <s v="PAV"/>
    <s v="Patos de Minas"/>
  </r>
  <r>
    <x v="1"/>
    <s v="040BMG0130"/>
    <s v="BR-040/DF/GO/MG (Via040)"/>
    <x v="18"/>
    <s v="0130"/>
    <n v="-46.375070000380099"/>
    <n v="-17.660217430389999"/>
    <n v="-46.161575570056399"/>
    <n v="-17.756413969728801"/>
    <s v="040"/>
    <s v="MG"/>
    <s v="Eixo Principal"/>
    <s v="-"/>
    <s v="040BMG0130"/>
    <s v="ENTR MG-410 (P/PORTO DIAMANTE)"/>
    <s v="ENTR MG-181 (JOÃO PINHEIRO)"/>
    <n v="118.9"/>
    <n v="145.19999999999999"/>
    <n v="26.3"/>
    <x v="2"/>
    <m/>
    <m/>
    <s v="Concessão Federal"/>
    <m/>
    <m/>
    <m/>
    <s v="Federal"/>
    <s v="PAV"/>
    <s v="Patos de Minas"/>
  </r>
  <r>
    <x v="1"/>
    <s v="040BMG0150"/>
    <s v="BR-040/DF/GO/MG (Via040)"/>
    <x v="18"/>
    <s v="0150"/>
    <n v="-46.161575570056399"/>
    <n v="-17.756413969728801"/>
    <n v="-45.612283510275702"/>
    <n v="-17.983900850144"/>
    <s v="040"/>
    <s v="MG"/>
    <s v="Eixo Principal"/>
    <s v="-"/>
    <s v="040BMG0150"/>
    <s v="ENTR MG-181 (JOÃO PINHEIRO)"/>
    <s v="ENTR BR-365"/>
    <n v="145.19999999999999"/>
    <n v="224.7"/>
    <n v="79.5"/>
    <x v="2"/>
    <m/>
    <m/>
    <s v="Concessão Federal"/>
    <m/>
    <m/>
    <m/>
    <s v="Federal"/>
    <s v="PAV"/>
    <s v="Patos de Minas"/>
  </r>
  <r>
    <x v="1"/>
    <s v="040BMG0170"/>
    <s v="BR-040/DF/GO/MG (Via040)"/>
    <x v="18"/>
    <s v="0170"/>
    <n v="-45.612283510275702"/>
    <n v="-17.983900850144"/>
    <n v="-45.167994820404601"/>
    <n v="-18.248593750201302"/>
    <s v="040"/>
    <s v="MG"/>
    <s v="Eixo Principal"/>
    <s v="-"/>
    <s v="040BMG0170"/>
    <s v="ENTR BR-365"/>
    <s v="ENTR MG-220 (TRÊS MARIAS)"/>
    <n v="224.7"/>
    <n v="285.7"/>
    <n v="61"/>
    <x v="2"/>
    <m/>
    <m/>
    <s v="Concessão Federal"/>
    <m/>
    <m/>
    <m/>
    <s v="Federal"/>
    <s v="PAV"/>
    <s v="Patos de Minas"/>
  </r>
  <r>
    <x v="1"/>
    <s v="040BMG0190"/>
    <s v="BR-040/DF/GO/MG (Via040)"/>
    <x v="18"/>
    <s v="0190"/>
    <n v="-45.167994820404601"/>
    <n v="-18.248593750201302"/>
    <n v="-45.071649779613601"/>
    <n v="-18.4394099099393"/>
    <s v="040"/>
    <s v="MG"/>
    <s v="Eixo Principal"/>
    <s v="-"/>
    <s v="040BMG0190"/>
    <s v="ENTR MG-220 (TRÊS MARIAS)"/>
    <s v="ACESSO MORADA NOVA DE MINAS"/>
    <n v="285.7"/>
    <n v="310.89999999999998"/>
    <n v="25.2"/>
    <x v="2"/>
    <m/>
    <m/>
    <s v="Concessão Federal"/>
    <m/>
    <m/>
    <m/>
    <s v="Federal"/>
    <s v="PAV"/>
    <s v="Bom Despacho"/>
  </r>
  <r>
    <x v="1"/>
    <s v="040BMG0195"/>
    <s v="BR-040/DF/GO/MG (Via040)"/>
    <x v="18"/>
    <s v="0195"/>
    <n v="-45.071649779613601"/>
    <n v="-18.4394099099393"/>
    <n v="-44.998036369782497"/>
    <n v="-18.657181909817201"/>
    <s v="040"/>
    <s v="MG"/>
    <s v="Eixo Principal"/>
    <s v="-"/>
    <s v="040BMG0195"/>
    <s v="ACESSO MORADA NOVA DE MINAS"/>
    <s v="ACESSO SÃO JOSÉ DO BURITI"/>
    <n v="310.89999999999998"/>
    <n v="339.7"/>
    <n v="28.8"/>
    <x v="2"/>
    <m/>
    <m/>
    <s v="Concessão Federal"/>
    <m/>
    <m/>
    <m/>
    <s v="Federal"/>
    <s v="PAV"/>
    <s v="Bom Despacho"/>
  </r>
  <r>
    <x v="1"/>
    <s v="040BMG0200"/>
    <s v="BR-040/DF/GO/MG (Via040)"/>
    <x v="18"/>
    <s v="0200"/>
    <n v="-44.998036369782497"/>
    <n v="-18.657181909817201"/>
    <n v="-44.847814070262999"/>
    <n v="-18.754014439814501"/>
    <s v="040"/>
    <s v="MG"/>
    <s v="Eixo Principal"/>
    <s v="-"/>
    <s v="040BMG0200"/>
    <s v="ACESSO SÃO JOSÉ DO BURITI"/>
    <s v="ENTR BR-259 (FELIXLÂNDIA)"/>
    <n v="339.7"/>
    <n v="360.7"/>
    <n v="21"/>
    <x v="2"/>
    <m/>
    <m/>
    <s v="Concessão Federal"/>
    <m/>
    <m/>
    <m/>
    <s v="Federal"/>
    <s v="PAV"/>
    <s v="Bom Despacho"/>
  </r>
  <r>
    <x v="1"/>
    <s v="040BMG0210"/>
    <s v="BR-040/DF/GO/MG (Via040)"/>
    <x v="18"/>
    <s v="0210"/>
    <n v="-44.847814070262999"/>
    <n v="-18.754014439814501"/>
    <n v="-44.687214730175597"/>
    <n v="-18.904433320341401"/>
    <s v="040"/>
    <s v="MG"/>
    <s v="Eixo Principal"/>
    <s v="-"/>
    <s v="040BMG0210"/>
    <s v="ENTR BR-259 (FELIXLÂNDIA)"/>
    <s v="P/CANABRAVA"/>
    <n v="360.7"/>
    <n v="384.9"/>
    <n v="24.2"/>
    <x v="2"/>
    <m/>
    <m/>
    <s v="Concessão Federal"/>
    <m/>
    <m/>
    <m/>
    <s v="Federal"/>
    <s v="PAV"/>
    <s v="Bom Despacho"/>
  </r>
  <r>
    <x v="1"/>
    <s v="040BMG0217"/>
    <s v="BR-040/DF/GO/MG (Via040)"/>
    <x v="18"/>
    <s v="0217"/>
    <n v="-44.687214730175597"/>
    <n v="-18.904433320341401"/>
    <n v="-44.6165456701465"/>
    <n v="-19.136961419733598"/>
    <s v="040"/>
    <s v="MG"/>
    <s v="Eixo Principal"/>
    <s v="-"/>
    <s v="040BMG0217"/>
    <s v="P/CANABRAVA"/>
    <s v="ENTR MG-420 (P/ANGUERETA)"/>
    <n v="384.9"/>
    <n v="413.8"/>
    <n v="28.9"/>
    <x v="2"/>
    <m/>
    <m/>
    <s v="Concessão Federal"/>
    <m/>
    <m/>
    <m/>
    <s v="Federal"/>
    <s v="PAV"/>
    <s v="Bom Despacho"/>
  </r>
  <r>
    <x v="1"/>
    <s v="040BMG0230"/>
    <s v="BR-040/DF/GO/MG (Via040)"/>
    <x v="18"/>
    <s v="0230"/>
    <n v="-44.6165456701465"/>
    <n v="-19.136961419733598"/>
    <n v="-44.5318091898421"/>
    <n v="-19.1546277595634"/>
    <s v="040"/>
    <s v="MG"/>
    <s v="Eixo Principal"/>
    <s v="-"/>
    <s v="040BMG0230"/>
    <s v="ENTR MG-420 (P/ANGUERETA)"/>
    <s v="ENTR BR-135(A)"/>
    <n v="413.8"/>
    <n v="423.7"/>
    <n v="9.9"/>
    <x v="2"/>
    <m/>
    <m/>
    <s v="Concessão Federal"/>
    <m/>
    <m/>
    <m/>
    <s v="Federal"/>
    <s v="PAV"/>
    <s v="Bom Despacho"/>
  </r>
  <r>
    <x v="1"/>
    <s v="040BMG0240"/>
    <s v="BR-040/DF/GO/MG (Via040)"/>
    <x v="18"/>
    <s v="0240"/>
    <n v="-44.5318091898421"/>
    <n v="-19.1546277595634"/>
    <n v="-44.430938559966499"/>
    <n v="-19.2353446102654"/>
    <s v="040"/>
    <s v="MG"/>
    <s v="Eixo Principal"/>
    <s v="-"/>
    <s v="040BMG0240"/>
    <s v="ENTR BR-135(A)"/>
    <s v="ACESSO NORTE DE PARAOPEBA"/>
    <n v="423.7"/>
    <n v="437.7"/>
    <n v="14"/>
    <x v="0"/>
    <m/>
    <s v="135BMG0880"/>
    <s v="Concessão Federal"/>
    <m/>
    <m/>
    <m/>
    <s v="Federal"/>
    <s v="PAV"/>
    <s v="Bom Despacho"/>
  </r>
  <r>
    <x v="1"/>
    <s v="040BMG0250"/>
    <s v="BR-040/DF/GO/MG (Via040)"/>
    <x v="18"/>
    <s v="0250"/>
    <n v="-44.430938559966499"/>
    <n v="-19.2353446102654"/>
    <n v="-44.392100719572497"/>
    <n v="-19.288099640086202"/>
    <s v="040"/>
    <s v="MG"/>
    <s v="Eixo Principal"/>
    <s v="-"/>
    <s v="040BMG0250"/>
    <s v="ACESSO NORTE DE PARAOPEBA"/>
    <s v="ACESSO SUL DE PARAOPEBA"/>
    <n v="437.7"/>
    <n v="446"/>
    <n v="8.3000000000000007"/>
    <x v="0"/>
    <m/>
    <s v="135BMG0890"/>
    <s v="Concessão Federal"/>
    <m/>
    <m/>
    <m/>
    <s v="Federal"/>
    <s v="PAV"/>
    <s v="Bom Despacho"/>
  </r>
  <r>
    <x v="1"/>
    <s v="040BMG0260"/>
    <s v="BR-040/DF/GO/MG (Via040)"/>
    <x v="18"/>
    <s v="0260"/>
    <n v="-44.392100719572497"/>
    <n v="-19.288099640086202"/>
    <n v="-44.377923650356102"/>
    <n v="-19.301650319806299"/>
    <s v="040"/>
    <s v="MG"/>
    <s v="Eixo Principal"/>
    <s v="-"/>
    <s v="040BMG0260"/>
    <s v="ACESSO SUL DE PARAOPEBA"/>
    <s v="ENTR MG-231"/>
    <n v="446"/>
    <n v="448"/>
    <n v="2"/>
    <x v="0"/>
    <m/>
    <s v="135BMG0900"/>
    <s v="Concessão Federal"/>
    <m/>
    <m/>
    <m/>
    <s v="Federal"/>
    <s v="PAV"/>
    <s v="Bom Despacho"/>
  </r>
  <r>
    <x v="1"/>
    <s v="040BMG0270"/>
    <s v="BR-040/DF/GO/MG (Via040)"/>
    <x v="18"/>
    <s v="0270"/>
    <n v="-44.377923650356102"/>
    <n v="-19.301650319806299"/>
    <n v="-44.288587500212898"/>
    <n v="-19.477306640189202"/>
    <s v="040"/>
    <s v="MG"/>
    <s v="Eixo Principal"/>
    <s v="-"/>
    <s v="040BMG0270"/>
    <s v="ENTR MG-231"/>
    <s v="ENTR MG-424 (P/SETE LAGOAS)"/>
    <n v="448"/>
    <n v="471.3"/>
    <n v="23.3"/>
    <x v="0"/>
    <m/>
    <s v="135BMG0910"/>
    <s v="Concessão Federal"/>
    <m/>
    <m/>
    <m/>
    <s v="Federal"/>
    <s v="PAV"/>
    <s v="Bom Despacho"/>
  </r>
  <r>
    <x v="1"/>
    <s v="040BMG0290"/>
    <s v="BR-040/DF/GO/MG (Via040)"/>
    <x v="18"/>
    <s v="0290"/>
    <n v="-44.288587500212898"/>
    <n v="-19.477306640189202"/>
    <n v="-44.280134519592302"/>
    <n v="-19.491868710072801"/>
    <s v="040"/>
    <s v="MG"/>
    <s v="Eixo Principal"/>
    <s v="-"/>
    <s v="040BMG0290"/>
    <s v="ENTR MG-424 (P/SETE LAGOAS)"/>
    <s v="ENTR MG-238 (P/SETE LAGOAS)"/>
    <n v="471.3"/>
    <n v="473.3"/>
    <n v="2"/>
    <x v="0"/>
    <m/>
    <s v="135BMG0930"/>
    <s v="Concessão Federal"/>
    <m/>
    <m/>
    <m/>
    <s v="Federal"/>
    <s v="PAV"/>
    <s v="Bom Despacho"/>
  </r>
  <r>
    <x v="1"/>
    <s v="040BMG0330"/>
    <s v="BR-040/DF/GO/MG (Via040)"/>
    <x v="18"/>
    <s v="0330"/>
    <n v="-44.280134519592302"/>
    <n v="-19.491868710072801"/>
    <n v="-44.1299555404158"/>
    <n v="-19.7649532596851"/>
    <s v="040"/>
    <s v="MG"/>
    <s v="Eixo Principal"/>
    <s v="-"/>
    <s v="040BMG0330"/>
    <s v="ENTR MG-238 (P/SETE LAGOAS)"/>
    <s v="ENTR MG-432 (P/ESMERALDAS)"/>
    <n v="473.3"/>
    <n v="508.7"/>
    <n v="35.4"/>
    <x v="0"/>
    <m/>
    <s v="135BMG0970"/>
    <s v="Concessão Federal"/>
    <m/>
    <m/>
    <m/>
    <s v="Federal"/>
    <s v="PAV"/>
    <s v="Bom Despacho"/>
  </r>
  <r>
    <x v="1"/>
    <s v="040BMG0360"/>
    <s v="BR-040/DF/GO/MG (Via040)"/>
    <x v="18"/>
    <s v="0360"/>
    <n v="-44.1299555404158"/>
    <n v="-19.7649532596851"/>
    <n v="-44.0060609999151"/>
    <n v="-19.926556830433299"/>
    <s v="040"/>
    <s v="MG"/>
    <s v="Eixo Principal"/>
    <s v="-"/>
    <s v="040BMG0360"/>
    <s v="ENTR MG-432 (P/ESMERALDAS)"/>
    <s v="ENTR BR-135(B)/262(A)/381(A) (ANEL RODOVIÁRIO DE BELO HORIZONTE)"/>
    <n v="508.7"/>
    <n v="533.20000000000005"/>
    <n v="24.5"/>
    <x v="0"/>
    <m/>
    <s v="135BMG0990"/>
    <s v="Concessão Federal"/>
    <m/>
    <m/>
    <m/>
    <s v="Federal"/>
    <s v="PAV"/>
    <s v="Contagem"/>
  </r>
  <r>
    <x v="1"/>
    <s v="040BMG0370"/>
    <s v="BR-040/DF/GO/MG (Via040)"/>
    <x v="18"/>
    <s v="0370"/>
    <n v="-44.0060609999151"/>
    <n v="-19.926556830433299"/>
    <n v="-44.007964219872797"/>
    <n v="-19.947067109859098"/>
    <s v="040"/>
    <s v="MG"/>
    <s v="Eixo Principal"/>
    <s v="-"/>
    <s v="040BMG0370"/>
    <s v="ENTR BR-135(B)/262(A)/381(A) (ANEL RODOVIÁRIO DE BELO HORIZONTE)"/>
    <s v="ENTR BR-262(B)/381(B)"/>
    <n v="533.20000000000005"/>
    <n v="535.79999999999995"/>
    <n v="2.6"/>
    <x v="0"/>
    <m/>
    <s v="381BMG0430;262BMG0590"/>
    <s v="Concessão Federal"/>
    <m/>
    <m/>
    <m/>
    <s v="Federal"/>
    <s v="PAV"/>
    <s v="Contagem"/>
  </r>
  <r>
    <x v="1"/>
    <s v="040BMG0390"/>
    <s v="BR-040/DF/GO/MG (Via040)"/>
    <x v="18"/>
    <s v="0390"/>
    <n v="-44.007964219872797"/>
    <n v="-19.947067109859098"/>
    <n v="-43.962007960398999"/>
    <n v="-19.997749630441"/>
    <s v="040"/>
    <s v="MG"/>
    <s v="Eixo Principal"/>
    <s v="-"/>
    <s v="040BMG0390"/>
    <s v="ENTR BR-262(B)/381(B)"/>
    <s v="ENTR BR-356(A) (P/BELO HORIZONTE)"/>
    <n v="535.79999999999995"/>
    <n v="544"/>
    <n v="8.1999999999999993"/>
    <x v="0"/>
    <m/>
    <m/>
    <s v="Concessão Federal"/>
    <m/>
    <m/>
    <m/>
    <s v="Federal"/>
    <s v="PAV"/>
    <s v="Contagem"/>
  </r>
  <r>
    <x v="1"/>
    <s v="040BMG0400"/>
    <s v="BR-040/DF/GO/MG (Via040)"/>
    <x v="18"/>
    <s v="0400"/>
    <n v="-43.962007960398999"/>
    <n v="-19.997749630441"/>
    <n v="-43.963045150313398"/>
    <n v="-20.156726429880699"/>
    <s v="040"/>
    <s v="MG"/>
    <s v="Eixo Principal"/>
    <s v="-"/>
    <s v="040BMG0400"/>
    <s v="ENTR BR-356(A) (P/BELO HORIZONTE)"/>
    <s v="ENTR BR-356(B)"/>
    <n v="544"/>
    <n v="564.1"/>
    <n v="20.100000000000001"/>
    <x v="0"/>
    <m/>
    <s v="356BMG0040"/>
    <s v="Concessão Federal"/>
    <m/>
    <m/>
    <m/>
    <s v="Federal"/>
    <s v="PAV"/>
    <s v="Contagem"/>
  </r>
  <r>
    <x v="1"/>
    <s v="040BMG0410"/>
    <s v="BR-040/DF/GO/MG (Via040)"/>
    <x v="18"/>
    <s v="0410"/>
    <n v="-43.963045150313398"/>
    <n v="-20.156726429880699"/>
    <n v="-43.881536249598099"/>
    <n v="-20.4203623099725"/>
    <s v="040"/>
    <s v="MG"/>
    <s v="Eixo Principal"/>
    <s v="-"/>
    <s v="040BMG0410"/>
    <s v="ENTR BR-356(B)"/>
    <s v="ENTR MG-442 (P/BELOVALE)"/>
    <n v="564.1"/>
    <n v="598.4"/>
    <n v="34.299999999999997"/>
    <x v="2"/>
    <m/>
    <m/>
    <s v="Concessão Federal"/>
    <m/>
    <m/>
    <m/>
    <s v="Federal"/>
    <s v="PAV"/>
    <s v="Contagem"/>
  </r>
  <r>
    <x v="1"/>
    <s v="040BMG0430"/>
    <s v="BR-040/DF/GO/MG (Via040)"/>
    <x v="18"/>
    <s v="0430"/>
    <n v="-43.881536249598099"/>
    <n v="-20.4203623099725"/>
    <n v="-43.838288560168799"/>
    <n v="-20.516366020275498"/>
    <s v="040"/>
    <s v="MG"/>
    <s v="Eixo Principal"/>
    <s v="-"/>
    <s v="040BMG0430"/>
    <s v="ENTR MG-442 (P/BELOVALE)"/>
    <s v="ACESSO CONGONHAS"/>
    <n v="598.4"/>
    <n v="612.29999999999995"/>
    <n v="13.9"/>
    <x v="2"/>
    <m/>
    <m/>
    <s v="Concessão Federal"/>
    <m/>
    <m/>
    <m/>
    <s v="Federal"/>
    <s v="PAV"/>
    <s v="Contagem"/>
  </r>
  <r>
    <x v="1"/>
    <s v="040BMG0450"/>
    <s v="BR-040/DF/GO/MG (Via040)"/>
    <x v="18"/>
    <s v="0450"/>
    <n v="-43.838288560168799"/>
    <n v="-20.516366020275498"/>
    <n v="-43.820727190107597"/>
    <n v="-20.542778470250099"/>
    <s v="040"/>
    <s v="MG"/>
    <s v="Eixo Principal"/>
    <s v="-"/>
    <s v="040BMG0450"/>
    <s v="ACESSO CONGONHAS"/>
    <s v="ACESSO OURO BRANCO"/>
    <n v="612.29999999999995"/>
    <n v="616.20000000000005"/>
    <n v="3.9"/>
    <x v="2"/>
    <m/>
    <m/>
    <s v="Concessão Federal"/>
    <m/>
    <m/>
    <m/>
    <s v="Federal"/>
    <s v="PAV"/>
    <s v="Contagem"/>
  </r>
  <r>
    <x v="1"/>
    <s v="040BMG0457"/>
    <s v="BR-040/DF/GO/MG (Via040)"/>
    <x v="18"/>
    <s v="0457"/>
    <n v="-43.820727190107597"/>
    <n v="-20.542778470250099"/>
    <n v="-43.8141383296201"/>
    <n v="-20.5564695197525"/>
    <s v="040"/>
    <s v="MG"/>
    <s v="Eixo Principal"/>
    <s v="-"/>
    <s v="040BMG0457"/>
    <s v="ACESSO OURO BRANCO"/>
    <s v="ENTR BR-383(A)"/>
    <n v="616.20000000000005"/>
    <n v="618"/>
    <n v="1.8"/>
    <x v="2"/>
    <m/>
    <m/>
    <s v="Concessão Federal"/>
    <m/>
    <m/>
    <m/>
    <s v="Federal"/>
    <s v="PAV"/>
    <s v="Contagem"/>
  </r>
  <r>
    <x v="1"/>
    <s v="040BMG0470"/>
    <s v="BR-040/DF/GO/MG (Via040)"/>
    <x v="18"/>
    <s v="0470"/>
    <n v="-43.8141383296201"/>
    <n v="-20.5564695197525"/>
    <n v="-43.805832860298203"/>
    <n v="-20.655641289813602"/>
    <s v="040"/>
    <s v="MG"/>
    <s v="Eixo Principal"/>
    <s v="-"/>
    <s v="040BMG0470"/>
    <s v="ENTR BR-383(A)"/>
    <s v="ENTR BR-383(B)/482 (CONSELHEIRO LAFAIETE)"/>
    <n v="618"/>
    <n v="630.1"/>
    <n v="12.1"/>
    <x v="2"/>
    <m/>
    <s v="383BMG0010"/>
    <s v="Concessão Federal"/>
    <m/>
    <m/>
    <m/>
    <s v="Federal"/>
    <s v="PAV"/>
    <s v="Contagem"/>
  </r>
  <r>
    <x v="1"/>
    <s v="040BMG0490"/>
    <s v="BR-040/DF/GO/MG (Via040)"/>
    <x v="18"/>
    <s v="0490"/>
    <n v="-43.805832860298203"/>
    <n v="-20.655641289813602"/>
    <n v="-43.797367909701201"/>
    <n v="-20.948356609769601"/>
    <s v="040"/>
    <s v="MG"/>
    <s v="Eixo Principal"/>
    <s v="-"/>
    <s v="040BMG0490"/>
    <s v="ENTR BR-383(B)/482 (CONSELHEIRO LAFAIETE)"/>
    <s v="ENTR MG-275 (P/CARANDAÍ)"/>
    <n v="630.1"/>
    <n v="667.9"/>
    <n v="37.799999999999997"/>
    <x v="2"/>
    <m/>
    <m/>
    <s v="Concessão Federal"/>
    <m/>
    <m/>
    <m/>
    <s v="Federal"/>
    <s v="PAV"/>
    <s v="Contagem"/>
  </r>
  <r>
    <x v="1"/>
    <s v="040BMG0510"/>
    <s v="BR-040/DF/GO/MG (Via040)"/>
    <x v="18"/>
    <s v="0510"/>
    <n v="-43.797367909701201"/>
    <n v="-20.948356609769601"/>
    <n v="-43.755013370270703"/>
    <n v="-21.1813857601446"/>
    <s v="040"/>
    <s v="MG"/>
    <s v="Eixo Principal"/>
    <s v="-"/>
    <s v="040BMG0510"/>
    <s v="ENTR MG-275 (P/CARANDAÍ)"/>
    <s v="ACESSO ALTO DOCE (INÍCIO PISTA DUPLA)"/>
    <n v="667.9"/>
    <n v="701.1"/>
    <n v="33.200000000000003"/>
    <x v="2"/>
    <m/>
    <m/>
    <s v="Concessão Federal"/>
    <m/>
    <m/>
    <m/>
    <s v="Federal"/>
    <s v="PAV"/>
    <s v="Juiz de Fora"/>
  </r>
  <r>
    <x v="1"/>
    <s v="040BMG0520"/>
    <s v="BR-040/DF/GO/MG (Via040)"/>
    <x v="18"/>
    <s v="0520"/>
    <n v="-43.755013370270703"/>
    <n v="-21.1813857601446"/>
    <n v="-43.749061659667802"/>
    <n v="-21.198738150245301"/>
    <s v="040"/>
    <s v="MG"/>
    <s v="Eixo Principal"/>
    <s v="-"/>
    <s v="040BMG0520"/>
    <s v="ACESSO ALTO DOCE (INÍCIO PISTA DUPLA)"/>
    <s v="ENTR BR-265 (P/BARBACENA)"/>
    <n v="701.1"/>
    <n v="703.6"/>
    <n v="2.5"/>
    <x v="0"/>
    <m/>
    <m/>
    <s v="Concessão Federal"/>
    <m/>
    <m/>
    <m/>
    <s v="Federal"/>
    <s v="PAV"/>
    <s v="Juiz de Fora"/>
  </r>
  <r>
    <x v="1"/>
    <s v="040BMG0530"/>
    <s v="BR-040/DF/GO/MG (Via040)"/>
    <x v="18"/>
    <s v="0530"/>
    <n v="-43.749061659667802"/>
    <n v="-21.198738150245301"/>
    <n v="-43.649812439991997"/>
    <n v="-21.271057379894099"/>
    <s v="040"/>
    <s v="MG"/>
    <s v="Eixo Principal"/>
    <s v="-"/>
    <s v="040BMG0530"/>
    <s v="ENTR BR-265 (P/BARBACENA)"/>
    <s v="ENTR MG-448"/>
    <n v="703.6"/>
    <n v="719.5"/>
    <n v="15.9"/>
    <x v="0"/>
    <m/>
    <m/>
    <s v="Concessão Federal"/>
    <m/>
    <m/>
    <m/>
    <s v="Federal"/>
    <s v="PAV"/>
    <s v="Juiz de Fora"/>
  </r>
  <r>
    <x v="1"/>
    <s v="040BMG0550"/>
    <s v="BR-040/DF/GO/MG (Via040)"/>
    <x v="18"/>
    <s v="0550"/>
    <n v="-43.649812439991997"/>
    <n v="-21.271057379894099"/>
    <n v="-43.569936479684699"/>
    <n v="-21.378818949834599"/>
    <s v="040"/>
    <s v="MG"/>
    <s v="Eixo Principal"/>
    <s v="-"/>
    <s v="040BMG0550"/>
    <s v="ENTR MG-448"/>
    <s v="ENTR MG-452 (ACESSO OLIVEIRA FORTES - FIM PISTA DUP)"/>
    <n v="719.5"/>
    <n v="736.9"/>
    <n v="17.399999999999999"/>
    <x v="0"/>
    <m/>
    <m/>
    <s v="Concessão Federal"/>
    <m/>
    <m/>
    <m/>
    <s v="Federal"/>
    <s v="PAV"/>
    <s v="Juiz de Fora"/>
  </r>
  <r>
    <x v="1"/>
    <s v="040BMG0565"/>
    <s v="BR-040/DF/GO/MG (Via040)"/>
    <x v="18"/>
    <s v="0565"/>
    <n v="-43.569936479684699"/>
    <n v="-21.378818949834599"/>
    <n v="-43.552802929711298"/>
    <n v="-21.435994330074202"/>
    <s v="040"/>
    <s v="MG"/>
    <s v="Eixo Principal"/>
    <s v="-"/>
    <s v="040BMG0565"/>
    <s v="ENTR MG-452 (ACESSO OLIVEIRA FORTES - FIM PISTA DUP)"/>
    <s v="ENTR BR-499 (SANTOS DUMONT)"/>
    <n v="736.9"/>
    <n v="744.4"/>
    <n v="7.5"/>
    <x v="2"/>
    <m/>
    <m/>
    <s v="Concessão Federal"/>
    <m/>
    <m/>
    <m/>
    <s v="Federal"/>
    <s v="PAV"/>
    <s v="Juiz de Fora"/>
  </r>
  <r>
    <x v="1"/>
    <s v="040BMG0570"/>
    <s v="BR-040/DF/GO/MG (Via040)"/>
    <x v="18"/>
    <s v="0570"/>
    <n v="-43.552802929711298"/>
    <n v="-21.435994330074202"/>
    <n v="-43.435476030194501"/>
    <n v="-21.645683590325401"/>
    <s v="040"/>
    <s v="MG"/>
    <s v="Eixo Principal"/>
    <s v="-"/>
    <s v="040BMG0570"/>
    <s v="ENTR BR-499 (SANTOS DUMONT)"/>
    <s v="ENTR ANT UNIÃO E INDÚSTRIA (B. TRIUNFO)"/>
    <n v="744.4"/>
    <n v="776.1"/>
    <n v="31.7"/>
    <x v="2"/>
    <m/>
    <m/>
    <s v="Concessão Federal"/>
    <m/>
    <m/>
    <m/>
    <s v="Federal"/>
    <s v="PAV"/>
    <s v="Juiz de Fora"/>
  </r>
  <r>
    <x v="0"/>
    <s v="040BMG0580"/>
    <n v="0"/>
    <x v="18"/>
    <s v="0580"/>
    <n v="-43.435476030194501"/>
    <n v="-21.645683590325401"/>
    <n v="-43.450930849878702"/>
    <n v="-21.703213289961202"/>
    <s v="040"/>
    <s v="MG"/>
    <s v="Eixo Principal"/>
    <s v="-"/>
    <s v="040BMG0580"/>
    <s v="ENTR ANT UNIÃO E INDÚSTRIA (B. TRIUNFO)"/>
    <s v="ENTR BR-267(A)"/>
    <n v="776.1"/>
    <n v="783.8"/>
    <n v="7.7"/>
    <x v="2"/>
    <m/>
    <m/>
    <s v="Concessão Federal"/>
    <m/>
    <m/>
    <m/>
    <s v="Federal"/>
    <s v="PAV"/>
    <s v="Juiz de Fora"/>
  </r>
  <r>
    <x v="0"/>
    <s v="040BMG0590"/>
    <n v="0"/>
    <x v="18"/>
    <s v="0590"/>
    <n v="-43.450930849878702"/>
    <n v="-21.703213289961202"/>
    <n v="-43.437036930409903"/>
    <n v="-21.730530830233501"/>
    <s v="040"/>
    <s v="MG"/>
    <s v="Eixo Principal"/>
    <s v="-"/>
    <s v="040BMG0590"/>
    <s v="ENTR BR-267(A)"/>
    <s v="ENTR BR-267(B)"/>
    <n v="783.8"/>
    <n v="787"/>
    <n v="3.2"/>
    <x v="2"/>
    <m/>
    <s v="267BMG0120"/>
    <s v="Concessão Federal"/>
    <m/>
    <m/>
    <m/>
    <s v="Federal"/>
    <s v="PAV"/>
    <s v="Juiz de Fora"/>
  </r>
  <r>
    <x v="0"/>
    <s v="040BMG0595"/>
    <n v="0"/>
    <x v="18"/>
    <s v="0595"/>
    <n v="-43.437036930409903"/>
    <n v="-21.730530830233501"/>
    <n v="-43.415288670335798"/>
    <n v="-21.784173620416102"/>
    <s v="040"/>
    <s v="MG"/>
    <s v="Eixo Principal"/>
    <s v="-"/>
    <s v="040BMG0595"/>
    <s v="ENTR BR-267(B)"/>
    <s v="ENTR BR-440"/>
    <n v="787"/>
    <n v="792.5"/>
    <n v="5.5"/>
    <x v="2"/>
    <m/>
    <m/>
    <s v="Concessão Federal"/>
    <m/>
    <m/>
    <m/>
    <s v="Federal"/>
    <s v="PAV"/>
    <s v="Juiz de Fora"/>
  </r>
  <r>
    <x v="0"/>
    <s v="040BMG0600"/>
    <n v="0"/>
    <x v="18"/>
    <s v="0600"/>
    <n v="-43.415288670335798"/>
    <n v="-21.784173620416102"/>
    <n v="-43.379676479585797"/>
    <n v="-21.847511360360901"/>
    <s v="040"/>
    <s v="MG"/>
    <s v="Eixo Principal"/>
    <s v="-"/>
    <s v="040BMG0600"/>
    <s v="ENTR BR-440"/>
    <s v="ENTR MG-353(A) (P/JUIZ DE FORA)"/>
    <n v="792.5"/>
    <n v="801.7"/>
    <n v="9.1999999999999993"/>
    <x v="2"/>
    <m/>
    <m/>
    <s v="Concessão Federal"/>
    <m/>
    <m/>
    <m/>
    <s v="Federal"/>
    <s v="PAV"/>
    <s v="Juiz de Fora"/>
  </r>
  <r>
    <x v="0"/>
    <s v="040BMG0610"/>
    <n v="0"/>
    <x v="18"/>
    <s v="0610"/>
    <n v="-43.379676479585797"/>
    <n v="-21.847511360360901"/>
    <n v="-43.370280272916197"/>
    <n v="-21.863656335071699"/>
    <s v="040"/>
    <s v="MG"/>
    <s v="Eixo Principal"/>
    <s v="-"/>
    <s v="040BMG0610"/>
    <s v="ENTR MG-353(A) (P/JUIZ DE FORA)"/>
    <s v="ENTR MG-353(B) (P/RIO PRETO)"/>
    <n v="801.7"/>
    <n v="805.1"/>
    <n v="3.4"/>
    <x v="0"/>
    <m/>
    <m/>
    <s v="Concessão Federal"/>
    <m/>
    <m/>
    <m/>
    <s v="Federal"/>
    <s v="PAV"/>
    <s v="Juiz de Fora"/>
  </r>
  <r>
    <x v="0"/>
    <s v="040BMG0630"/>
    <n v="0"/>
    <x v="18"/>
    <s v="0630"/>
    <n v="-43.370280272916197"/>
    <n v="-21.863656335071699"/>
    <n v="-43.330364899920099"/>
    <n v="-21.881679300159501"/>
    <s v="040"/>
    <s v="MG"/>
    <s v="Eixo Principal"/>
    <s v="-"/>
    <s v="040BMG0630"/>
    <s v="ENTR MG-353(B) (P/RIO PRETO)"/>
    <s v="P/MATIAS BARBOSA"/>
    <n v="805.1"/>
    <n v="812.5"/>
    <n v="7.4"/>
    <x v="0"/>
    <m/>
    <m/>
    <s v="Concessão Federal"/>
    <m/>
    <m/>
    <m/>
    <s v="Federal"/>
    <s v="PAV"/>
    <s v="Juiz de Fora"/>
  </r>
  <r>
    <x v="0"/>
    <s v="040BMG0650"/>
    <n v="0"/>
    <x v="18"/>
    <s v="0650"/>
    <n v="-43.330364899920099"/>
    <n v="-21.881679300159501"/>
    <n v="-43.267312760375503"/>
    <n v="-22.011035640182602"/>
    <s v="040"/>
    <s v="MG"/>
    <s v="Eixo Principal"/>
    <s v="-"/>
    <s v="040BMG0650"/>
    <s v="P/MATIAS BARBOSA"/>
    <s v="DIV MG/RJ"/>
    <n v="812.5"/>
    <n v="831.4"/>
    <n v="18.899999999999999"/>
    <x v="0"/>
    <m/>
    <m/>
    <s v="Concessão Federal"/>
    <m/>
    <m/>
    <m/>
    <s v="Federal"/>
    <s v="PAV"/>
    <s v="Juiz de Fora"/>
  </r>
  <r>
    <x v="0"/>
    <s v="040BRJ0670"/>
    <n v="0"/>
    <x v="19"/>
    <s v="0670"/>
    <n v="-43.267312760375503"/>
    <n v="-22.011035640182602"/>
    <n v="-43.222398979729"/>
    <n v="-22.0348063703177"/>
    <s v="040"/>
    <s v="RJ"/>
    <s v="Eixo Principal"/>
    <s v="-"/>
    <s v="040BRJ0670"/>
    <s v="DIV MG/RJ"/>
    <s v="TREVO LEVY GASPARIAN"/>
    <n v="0"/>
    <n v="7.4"/>
    <n v="7.4"/>
    <x v="0"/>
    <m/>
    <m/>
    <s v="Concessão Federal"/>
    <m/>
    <m/>
    <m/>
    <s v="Federal"/>
    <s v="PAV"/>
    <s v="Juiz de Fora"/>
  </r>
  <r>
    <x v="0"/>
    <s v="040BRJ0690"/>
    <n v="0"/>
    <x v="19"/>
    <s v="0690"/>
    <n v="-43.222398979729"/>
    <n v="-22.0348063703177"/>
    <n v="-43.157571449862402"/>
    <n v="-22.120398620300001"/>
    <s v="040"/>
    <s v="RJ"/>
    <s v="Eixo Principal"/>
    <s v="-"/>
    <s v="040BRJ0690"/>
    <s v="TREVO LEVY GASPARIAN"/>
    <s v="ENTR BR-393(A) (P/TRÊS RIOS)"/>
    <n v="7.4"/>
    <n v="21.7"/>
    <n v="14.3"/>
    <x v="0"/>
    <m/>
    <m/>
    <s v="Concessão Federal"/>
    <m/>
    <m/>
    <m/>
    <s v="Federal"/>
    <s v="PAV"/>
    <s v="Seropédica"/>
  </r>
  <r>
    <x v="0"/>
    <s v="040BRJ0710"/>
    <n v="0"/>
    <x v="19"/>
    <s v="0710"/>
    <n v="-43.157571449862402"/>
    <n v="-22.120398620300001"/>
    <n v="-43.155578670019501"/>
    <n v="-22.125845679934098"/>
    <s v="040"/>
    <s v="RJ"/>
    <s v="Eixo Principal"/>
    <s v="-"/>
    <s v="040BRJ0710"/>
    <s v="ENTR BR-393(A) (P/TRÊS RIOS)"/>
    <s v="ENTR BR-393(B) (TREVO MOURA BRASIL)"/>
    <n v="21.7"/>
    <n v="22.5"/>
    <n v="0.8"/>
    <x v="0"/>
    <m/>
    <s v="393BRJ0340"/>
    <s v="Concessão Federal"/>
    <m/>
    <m/>
    <m/>
    <s v="Federal"/>
    <s v="PAV"/>
    <s v="Seropédica"/>
  </r>
  <r>
    <x v="0"/>
    <s v="040BRJ0730"/>
    <n v="0"/>
    <x v="19"/>
    <s v="0730"/>
    <n v="-43.155578670019501"/>
    <n v="-22.125845679934098"/>
    <n v="-43.114134390189903"/>
    <n v="-22.2333203904236"/>
    <s v="040"/>
    <s v="RJ"/>
    <s v="Eixo Principal"/>
    <s v="-"/>
    <s v="040BRJ0730"/>
    <s v="ENTR BR-393(B) (TREVO MOURA BRASIL)"/>
    <s v="ENTR BR-492(A) (TREVO P/ AREAL)"/>
    <n v="22.5"/>
    <n v="39"/>
    <n v="16.5"/>
    <x v="0"/>
    <m/>
    <m/>
    <s v="Concessão Federal"/>
    <m/>
    <m/>
    <m/>
    <s v="Federal"/>
    <s v="PAV"/>
    <s v="Seropédica"/>
  </r>
  <r>
    <x v="0"/>
    <s v="040BRJ0770"/>
    <n v="0"/>
    <x v="19"/>
    <s v="0770"/>
    <n v="-43.114134390189903"/>
    <n v="-22.2333203904236"/>
    <n v="-43.133573280282597"/>
    <n v="-22.3330698597861"/>
    <s v="040"/>
    <s v="RJ"/>
    <s v="Eixo Principal"/>
    <s v="-"/>
    <s v="040BRJ0770"/>
    <s v="ENTR BR-492(A) (TREVO P/ AREAL)"/>
    <s v="ENTR BR-492(B) (PEDRO DO RIO)"/>
    <n v="39"/>
    <n v="51.7"/>
    <n v="12.7"/>
    <x v="0"/>
    <m/>
    <s v="492BRJ0510"/>
    <s v="Concessão Federal"/>
    <m/>
    <m/>
    <m/>
    <s v="Federal"/>
    <s v="PAV"/>
    <s v="Seropédica"/>
  </r>
  <r>
    <x v="0"/>
    <s v="040BRJ0790"/>
    <n v="0"/>
    <x v="19"/>
    <s v="0790"/>
    <n v="-43.133573280282597"/>
    <n v="-22.3330698597861"/>
    <n v="-43.131522270236502"/>
    <n v="-22.378776489942901"/>
    <s v="040"/>
    <s v="RJ"/>
    <s v="Eixo Principal"/>
    <s v="-"/>
    <s v="040BRJ0790"/>
    <s v="ENTR BR-492(B) (PEDRO DO RIO)"/>
    <s v="ACESSO BR-495 (ITAIPAVA)"/>
    <n v="51.7"/>
    <n v="58"/>
    <n v="6.3"/>
    <x v="0"/>
    <m/>
    <m/>
    <s v="Concessão Federal"/>
    <m/>
    <m/>
    <m/>
    <s v="Federal"/>
    <s v="PAV"/>
    <s v="Seropédica"/>
  </r>
  <r>
    <x v="0"/>
    <s v="040BRJ0810"/>
    <n v="0"/>
    <x v="19"/>
    <s v="0810"/>
    <n v="-43.131522270236502"/>
    <n v="-22.378776489942901"/>
    <n v="-43.149596750289703"/>
    <n v="-22.408907759785201"/>
    <s v="040"/>
    <s v="RJ"/>
    <s v="Eixo Principal"/>
    <s v="-"/>
    <s v="040BRJ0810"/>
    <s v="ACESSO BR-495 (ITAIPAVA)"/>
    <s v="TREVO P/ PETRÓPOLIS (BONSUCESSO)"/>
    <n v="58"/>
    <n v="62.5"/>
    <n v="4.5"/>
    <x v="0"/>
    <m/>
    <m/>
    <s v="Concessão Federal"/>
    <m/>
    <m/>
    <m/>
    <s v="Federal"/>
    <s v="PAV"/>
    <s v="Seropédica"/>
  </r>
  <r>
    <x v="0"/>
    <s v="040BRJ0830"/>
    <n v="0"/>
    <x v="19"/>
    <s v="0830"/>
    <n v="-43.149596750289703"/>
    <n v="-22.408907759785201"/>
    <n v="-43.155283759837602"/>
    <n v="-22.420417279733599"/>
    <s v="040"/>
    <s v="RJ"/>
    <s v="Eixo Principal"/>
    <s v="-"/>
    <s v="040BRJ0830"/>
    <s v="TREVO P/ PETRÓPOLIS (BONSUCESSO)"/>
    <s v="PONTE S/ RIO DA CIDADE"/>
    <n v="62.5"/>
    <n v="64"/>
    <n v="1.5"/>
    <x v="0"/>
    <m/>
    <m/>
    <s v="Concessão Federal"/>
    <m/>
    <m/>
    <m/>
    <s v="Federal"/>
    <s v="PAV"/>
    <s v="Seropédica"/>
  </r>
  <r>
    <x v="0"/>
    <s v="040BRJ0850"/>
    <n v="0"/>
    <x v="19"/>
    <s v="0850"/>
    <n v="-43.155283759837602"/>
    <n v="-22.420417279733599"/>
    <n v="-43.163778610194598"/>
    <n v="-22.4276291599577"/>
    <s v="040"/>
    <s v="RJ"/>
    <s v="Eixo Principal"/>
    <s v="-"/>
    <s v="040BRJ0850"/>
    <s v="PONTE S/ RIO DA CIDADE"/>
    <s v="ENTR RJ-117 (INÍCIO RODOVIA WASHINGTON LUÍS)"/>
    <n v="64"/>
    <n v="65.5"/>
    <n v="1.5"/>
    <x v="0"/>
    <m/>
    <m/>
    <s v="Concessão Federal"/>
    <m/>
    <m/>
    <m/>
    <s v="Federal"/>
    <s v="PAV"/>
    <s v="Seropédica"/>
  </r>
  <r>
    <x v="0"/>
    <s v="040BRJ0870"/>
    <n v="0"/>
    <x v="19"/>
    <s v="0870"/>
    <n v="-43.163778610194598"/>
    <n v="-22.4276291599577"/>
    <n v="-43.228197140085904"/>
    <n v="-22.518341610077101"/>
    <s v="040"/>
    <s v="RJ"/>
    <s v="Eixo Principal"/>
    <s v="-"/>
    <s v="040BRJ0870"/>
    <s v="ENTR RJ-117 (INÍCIO RODOVIA WASHINGTON LUÍS)"/>
    <s v="ACESSO BINGEN (ENTR PISTA INVERSA)"/>
    <n v="65.5"/>
    <n v="82.9"/>
    <n v="17.399999999999999"/>
    <x v="0"/>
    <m/>
    <m/>
    <s v="Concessão Federal"/>
    <m/>
    <m/>
    <m/>
    <s v="Federal"/>
    <s v="PAV"/>
    <s v="Seropédica"/>
  </r>
  <r>
    <x v="0"/>
    <s v="040BRJ0890"/>
    <n v="0"/>
    <x v="19"/>
    <s v="0890"/>
    <n v="-43.228197140085904"/>
    <n v="-22.518341610077101"/>
    <n v="-43.237180369977999"/>
    <n v="-22.556262029568899"/>
    <s v="040"/>
    <s v="RJ"/>
    <s v="Eixo Principal"/>
    <s v="-"/>
    <s v="040BRJ0890"/>
    <s v="ACESSO BINGEN (ENTR PISTA INVERSA)"/>
    <s v="BELVEDERE (ENTR PISTA INVERSA)"/>
    <n v="82.9"/>
    <n v="89"/>
    <n v="6.1"/>
    <x v="0"/>
    <m/>
    <m/>
    <s v="Concessão Federal"/>
    <m/>
    <m/>
    <m/>
    <s v="Federal"/>
    <s v="PAV"/>
    <s v="Seropédica"/>
  </r>
  <r>
    <x v="0"/>
    <s v="040BRJ0910"/>
    <n v="0"/>
    <x v="19"/>
    <s v="0910"/>
    <n v="-43.237180369977999"/>
    <n v="-22.556262029568899"/>
    <n v="-43.286576740424202"/>
    <n v="-22.611780749781701"/>
    <s v="040"/>
    <s v="RJ"/>
    <s v="Eixo Principal"/>
    <s v="-"/>
    <s v="040BRJ0910"/>
    <s v="BELVEDERE (ENTR PISTA INVERSA)"/>
    <s v="FNM (ENTR PISTA INVERSA)"/>
    <n v="89"/>
    <n v="102.1"/>
    <n v="13.1"/>
    <x v="0"/>
    <m/>
    <m/>
    <s v="Concessão Federal"/>
    <m/>
    <m/>
    <m/>
    <s v="Federal"/>
    <s v="PAV"/>
    <s v="Seropédica"/>
  </r>
  <r>
    <x v="0"/>
    <s v="040BRJ0930"/>
    <n v="0"/>
    <x v="19"/>
    <s v="0930"/>
    <n v="-43.286576740424202"/>
    <n v="-22.611780749781701"/>
    <n v="-43.286007429998797"/>
    <n v="-22.6719473803672"/>
    <s v="040"/>
    <s v="RJ"/>
    <s v="Eixo Principal"/>
    <s v="-"/>
    <s v="040BRJ0930"/>
    <s v="FNM (ENTR PISTA INVERSA)"/>
    <s v="ENTR BR-116(A)/493/RJ-109"/>
    <n v="102.1"/>
    <n v="108.8"/>
    <n v="6.7"/>
    <x v="0"/>
    <m/>
    <m/>
    <s v="Concessão Federal"/>
    <m/>
    <m/>
    <m/>
    <s v="Federal"/>
    <s v="PAV"/>
    <s v="Seropédica"/>
  </r>
  <r>
    <x v="0"/>
    <s v="040BRJ0950"/>
    <n v="0"/>
    <x v="19"/>
    <s v="0950"/>
    <n v="-43.286007429998797"/>
    <n v="-22.6719473803672"/>
    <n v="-43.288785960103901"/>
    <n v="-22.6960910098921"/>
    <s v="040"/>
    <s v="RJ"/>
    <s v="Eixo Principal"/>
    <s v="-"/>
    <s v="040BRJ0950"/>
    <s v="ENTR BR-116(A)/493/RJ-109"/>
    <s v="ENTR RJ-105"/>
    <n v="108.8"/>
    <n v="111.5"/>
    <n v="2.7"/>
    <x v="0"/>
    <m/>
    <s v="116BRJ1710"/>
    <s v="Convênio de Administração"/>
    <m/>
    <m/>
    <m/>
    <s v="Federal"/>
    <s v="PAV"/>
    <s v="Seropédica"/>
  </r>
  <r>
    <x v="0"/>
    <s v="040BRJ0970"/>
    <n v="0"/>
    <x v="19"/>
    <s v="0970"/>
    <n v="-43.288785960103901"/>
    <n v="-22.6960910098921"/>
    <n v="-43.288102460060401"/>
    <n v="-22.745675760427901"/>
    <s v="040"/>
    <s v="RJ"/>
    <s v="Eixo Principal"/>
    <s v="-"/>
    <s v="040BRJ0970"/>
    <s v="ENTR RJ-105"/>
    <s v="ENTR RJ-103"/>
    <n v="111.5"/>
    <n v="117"/>
    <n v="5.5"/>
    <x v="0"/>
    <m/>
    <s v="116BRJ1730"/>
    <s v="Convênio de Administração"/>
    <m/>
    <m/>
    <m/>
    <s v="Federal"/>
    <s v="PAV"/>
    <s v="Seropédica"/>
  </r>
  <r>
    <x v="0"/>
    <s v="040BRJ0990"/>
    <n v="0"/>
    <x v="19"/>
    <s v="0990"/>
    <n v="-43.288102460060401"/>
    <n v="-22.745675760427901"/>
    <n v="-43.289122380293499"/>
    <n v="-22.807953170002701"/>
    <s v="040"/>
    <s v="RJ"/>
    <s v="Eixo Principal"/>
    <s v="-"/>
    <s v="040BRJ0990"/>
    <s v="ENTR RJ-103"/>
    <s v="ENTR RJ-071/081 (LINHA VERMELHA)"/>
    <n v="117"/>
    <n v="124"/>
    <n v="7"/>
    <x v="0"/>
    <m/>
    <s v="116BRJ1750"/>
    <s v="Convênio de Administração"/>
    <m/>
    <m/>
    <m/>
    <s v="Federal"/>
    <s v="PAV"/>
    <s v="Seropédica"/>
  </r>
  <r>
    <x v="0"/>
    <s v="040BRJ0995"/>
    <n v="0"/>
    <x v="19"/>
    <s v="0995"/>
    <n v="-43.289122380293499"/>
    <n v="-22.807953170002701"/>
    <n v="-43.289015369963202"/>
    <n v="-22.816131100170001"/>
    <s v="040"/>
    <s v="RJ"/>
    <s v="Eixo Principal"/>
    <s v="-"/>
    <s v="040BRJ0995"/>
    <s v="ENTR RJ-071/081 (LINHA VERMELHA)"/>
    <s v="ENTR BR-116(B)/101(A) (TREVO DAS MISSÕES)"/>
    <n v="124"/>
    <n v="125.2"/>
    <n v="1.2"/>
    <x v="0"/>
    <m/>
    <s v="116BRJ1760"/>
    <s v="Convênio de Administração"/>
    <m/>
    <m/>
    <m/>
    <s v="Federal"/>
    <s v="PAV"/>
    <s v="Seropédica"/>
  </r>
  <r>
    <x v="0"/>
    <s v="040BRJ1000"/>
    <n v="0"/>
    <x v="19"/>
    <s v="1000"/>
    <n v="-43.289015369963202"/>
    <n v="-22.816131100170001"/>
    <n v="-43.2464285500375"/>
    <n v="-22.871018800277302"/>
    <s v="040"/>
    <s v="RJ"/>
    <s v="Eixo Principal"/>
    <s v="-"/>
    <s v="040BRJ1000"/>
    <s v="ENTR BR-116(B)/101(A) (TREVO DAS MISSÕES)"/>
    <s v="ENTR RJ-087 (VIADUTO DE MANGUINHOS)"/>
    <n v="125.2"/>
    <n v="133.30000000000001"/>
    <n v="8.1"/>
    <x v="0"/>
    <m/>
    <s v="101BRJ3170"/>
    <s v="Convênio de Administração"/>
    <m/>
    <m/>
    <m/>
    <s v="Federal"/>
    <s v="PAV"/>
    <s v="Seropédica"/>
  </r>
  <r>
    <x v="0"/>
    <s v="040BRJ1010"/>
    <n v="0"/>
    <x v="19"/>
    <s v="1010"/>
    <n v="-43.2464285500375"/>
    <n v="-22.871018800277302"/>
    <n v="-43.232554160246202"/>
    <n v="-22.887234309715499"/>
    <s v="040"/>
    <s v="RJ"/>
    <s v="Eixo Principal"/>
    <s v="-"/>
    <s v="040BRJ1010"/>
    <s v="ENTR RJ-087 (VIADUTO DE MANGUINHOS)"/>
    <s v="ENTR RJ-071 (LINHA VERMELHA)"/>
    <n v="133.30000000000001"/>
    <n v="136.19999999999999"/>
    <n v="2.9"/>
    <x v="0"/>
    <m/>
    <s v="101BRJ3160"/>
    <s v="Convênio de Administração"/>
    <m/>
    <m/>
    <m/>
    <s v="Federal"/>
    <s v="PAV"/>
    <s v="Seropédica"/>
  </r>
  <r>
    <x v="0"/>
    <s v="040BRJ1030"/>
    <n v="0"/>
    <x v="19"/>
    <s v="1030"/>
    <n v="-43.232554160246202"/>
    <n v="-22.887234309715499"/>
    <n v="-43.227631939562301"/>
    <n v="-22.885072079612701"/>
    <s v="040"/>
    <s v="RJ"/>
    <s v="Eixo Principal"/>
    <s v="-"/>
    <s v="040BRJ1030"/>
    <s v="ENTR RJ-071 (LINHA VERMELHA)"/>
    <s v="ENTR RJ-071"/>
    <n v="136.19999999999999"/>
    <n v="137"/>
    <n v="0.8"/>
    <x v="0"/>
    <m/>
    <s v="101BRJ3150"/>
    <s v="Convênio de Administração"/>
    <m/>
    <m/>
    <m/>
    <s v="Federal"/>
    <s v="PAV"/>
    <s v="Seropédica"/>
  </r>
  <r>
    <x v="0"/>
    <s v="040BRJ1050"/>
    <n v="0"/>
    <x v="19"/>
    <s v="1050"/>
    <n v="-43.227631939562301"/>
    <n v="-22.885072079612701"/>
    <n v="-43.219041820423598"/>
    <n v="-22.8890334304484"/>
    <s v="040"/>
    <s v="RJ"/>
    <s v="Eixo Principal"/>
    <s v="-"/>
    <s v="040BRJ1050"/>
    <s v="ENTR RJ-071"/>
    <s v="ENTR BR-101(B) (ACESSO PONTE RIO-NITERÓI)"/>
    <n v="137"/>
    <n v="137.80000000000001"/>
    <n v="0.8"/>
    <x v="0"/>
    <m/>
    <s v="101BRJ3130"/>
    <s v="Convênio de Administração"/>
    <m/>
    <m/>
    <m/>
    <s v="Federal"/>
    <s v="PAV"/>
    <s v="Seropédica"/>
  </r>
  <r>
    <x v="0"/>
    <s v="040BRJ1070"/>
    <n v="0"/>
    <x v="19"/>
    <s v="1070"/>
    <n v="-43.219041820423598"/>
    <n v="-22.8890334304484"/>
    <n v="-43.209074600012698"/>
    <n v="-22.898160729933601"/>
    <s v="040"/>
    <s v="RJ"/>
    <s v="Eixo Principal"/>
    <s v="-"/>
    <s v="040BRJ1070"/>
    <s v="ENTR BR-101(B) (ACESSO PONTE RIO-NITERÓI)"/>
    <s v="ENTR 101ARJ40 (AV. RODRIGUES ALVES)"/>
    <n v="137.80000000000001"/>
    <n v="139.19999999999999"/>
    <n v="1.4"/>
    <x v="1"/>
    <m/>
    <m/>
    <s v="Federal"/>
    <m/>
    <m/>
    <m/>
    <s v="Federal"/>
    <s v="PLA"/>
    <s v="Seropédica"/>
  </r>
  <r>
    <x v="0"/>
    <s v="040BRJ1090"/>
    <n v="0"/>
    <x v="19"/>
    <s v="1090"/>
    <n v="-43.209074600012698"/>
    <n v="-22.898160729933601"/>
    <n v="-43.181477300436903"/>
    <n v="-22.8960536804329"/>
    <s v="040"/>
    <s v="RJ"/>
    <s v="Eixo Principal"/>
    <s v="-"/>
    <s v="040BRJ1090"/>
    <s v="ENTR 101ARJ40 (AV. RODRIGUES ALVES)"/>
    <s v="PRAÇA MAUÁ *TRECHO MUNICIPAL*"/>
    <n v="139.19999999999999"/>
    <n v="142.5"/>
    <n v="3.3"/>
    <x v="1"/>
    <m/>
    <m/>
    <s v="Federal"/>
    <m/>
    <m/>
    <m/>
    <s v="Federal"/>
    <s v="PLA"/>
    <s v="Seropédica"/>
  </r>
  <r>
    <x v="0"/>
    <s v="040CMG1005"/>
    <n v="0"/>
    <x v="20"/>
    <s v="1005"/>
    <n v="-44.090682099898899"/>
    <n v="-19.815195330100298"/>
    <n v="-44.149331340369002"/>
    <n v="-19.956427349942199"/>
    <s v="040"/>
    <s v="MG"/>
    <s v="Contorno"/>
    <s v="-"/>
    <s v="040CMG1005"/>
    <s v="ENTR BR-040/381(A) (NORTE)"/>
    <s v="ENTR BR-262/381(B) (INÍCIO DO CONTORNO DE BETIM)"/>
    <n v="0"/>
    <n v="16.600000000000001"/>
    <n v="16.600000000000001"/>
    <x v="1"/>
    <m/>
    <s v="381CMG1010"/>
    <s v="Federal"/>
    <m/>
    <m/>
    <m/>
    <s v="Federal"/>
    <s v="PLA"/>
    <s v="Seropédica"/>
  </r>
  <r>
    <x v="0"/>
    <s v="040CMG1010"/>
    <n v="0"/>
    <x v="20"/>
    <s v="1010"/>
    <n v="-44.149331340369002"/>
    <n v="-19.956427349942199"/>
    <n v="-44.160532849711203"/>
    <n v="-19.979457820222098"/>
    <s v="040"/>
    <s v="MG"/>
    <s v="Contorno"/>
    <s v="-"/>
    <s v="040CMG1010"/>
    <s v="ENTR BR-262/381(B) (INÍCIO DO CONTORNO DE BETIM)"/>
    <s v="ENTR CONTORNO DE BETIM"/>
    <n v="16.600000000000001"/>
    <n v="19"/>
    <n v="2.4"/>
    <x v="0"/>
    <m/>
    <s v="381CMG3005"/>
    <s v="Concessão Federal"/>
    <m/>
    <m/>
    <m/>
    <s v="Federal"/>
    <s v="PAV"/>
    <s v="Contagem"/>
  </r>
  <r>
    <x v="0"/>
    <s v="040CMG1015"/>
    <n v="0"/>
    <x v="20"/>
    <s v="1015"/>
    <n v="-44.160532849711203"/>
    <n v="-19.979457820222098"/>
    <n v="-44.081975595896999"/>
    <n v="-20.028062798059601"/>
    <s v="040"/>
    <s v="MG"/>
    <s v="Contorno"/>
    <s v="-"/>
    <s v="040CMG1015"/>
    <s v="ENTR CONTORNO DE BETIM"/>
    <s v="ENTR MG-040 (IBIRITÉ)"/>
    <n v="19"/>
    <n v="33.299999999999997"/>
    <n v="14.3"/>
    <x v="1"/>
    <m/>
    <m/>
    <s v="Federal"/>
    <m/>
    <m/>
    <m/>
    <s v="Federal"/>
    <s v="PLA"/>
    <s v="Contagem"/>
  </r>
  <r>
    <x v="0"/>
    <s v="040CMG1020"/>
    <n v="0"/>
    <x v="20"/>
    <s v="1020"/>
    <n v="-44.081975595896999"/>
    <n v="-20.028062798059601"/>
    <n v="-43.962007960398999"/>
    <n v="-19.997749630441"/>
    <s v="040"/>
    <s v="MG"/>
    <s v="Contorno"/>
    <s v="-"/>
    <s v="040CMG1020"/>
    <s v="ENTR MG-040 (IBIRITÉ)"/>
    <s v="ENTR BR-040 (NOVA LIMA)"/>
    <n v="33.299999999999997"/>
    <n v="54.8"/>
    <n v="21.5"/>
    <x v="1"/>
    <m/>
    <m/>
    <s v="Federal"/>
    <m/>
    <m/>
    <m/>
    <s v="Federal"/>
    <s v="PLA"/>
    <s v="Contagem"/>
  </r>
  <r>
    <x v="0"/>
    <s v="040UMG1005"/>
    <n v="0"/>
    <x v="21"/>
    <s v="1005"/>
    <n v="-44.430938559966499"/>
    <n v="-19.2353446102654"/>
    <n v="-44.392100719572497"/>
    <n v="-19.288099640086202"/>
    <s v="040"/>
    <s v="MG"/>
    <s v="Travessia Urbana"/>
    <s v="-"/>
    <s v="040UMG1005"/>
    <s v="ENTR BR-040 (KM 437,7 - ACESSO NORTE)"/>
    <s v="ENTR BR-040 (KM 446,0 - ACSS SUL) (TRAV URB PARAOPEBA)"/>
    <n v="0"/>
    <n v="8.3000000000000007"/>
    <n v="8.3000000000000007"/>
    <x v="0"/>
    <m/>
    <m/>
    <s v="Convênio de Administração"/>
    <m/>
    <m/>
    <m/>
    <s v="Federal"/>
    <s v="PAV"/>
    <s v="Contagem"/>
  </r>
  <r>
    <x v="0"/>
    <s v="040VRJ1005"/>
    <n v="0"/>
    <x v="22"/>
    <s v="1005"/>
    <n v="-43.286576740424202"/>
    <n v="-22.611780749781701"/>
    <n v="-43.236484610376401"/>
    <n v="-22.555981540015999"/>
    <s v="040"/>
    <s v="RJ"/>
    <s v="Variante"/>
    <s v="-"/>
    <s v="040VRJ1005"/>
    <s v="ENTR BR-040 (FNM) (ENTR PISTA DIRETA)"/>
    <s v="BELVEDERE (ENTR PISTA DIRETA)"/>
    <n v="0"/>
    <n v="12.3"/>
    <n v="12.3"/>
    <x v="2"/>
    <m/>
    <m/>
    <s v="Concessão Federal"/>
    <m/>
    <m/>
    <m/>
    <s v="Federal"/>
    <s v="PAV"/>
    <s v="Bom Despacho"/>
  </r>
  <r>
    <x v="0"/>
    <s v="040VRJ1010"/>
    <n v="0"/>
    <x v="22"/>
    <s v="1010"/>
    <n v="-43.236484610376401"/>
    <n v="-22.555981540015999"/>
    <n v="-43.219741889576397"/>
    <n v="-22.5341034601065"/>
    <s v="040"/>
    <s v="RJ"/>
    <s v="Variante"/>
    <s v="-"/>
    <s v="040VRJ1010"/>
    <s v="BELVEDERE (ENTR PISTA DIRETA)"/>
    <s v="PORTAL DE PETRÓPOLIS"/>
    <n v="12.3"/>
    <n v="19.399999999999999"/>
    <n v="7.1"/>
    <x v="2"/>
    <m/>
    <m/>
    <s v="Concessão Federal"/>
    <m/>
    <m/>
    <m/>
    <s v="Federal"/>
    <s v="PAV"/>
    <s v="Seropédica"/>
  </r>
  <r>
    <x v="0"/>
    <s v="040VRJ1015"/>
    <n v="0"/>
    <x v="22"/>
    <s v="1015"/>
    <n v="-43.219741889576397"/>
    <n v="-22.5341034601065"/>
    <n v="-43.228197140085904"/>
    <n v="-22.518341610077101"/>
    <s v="040"/>
    <s v="RJ"/>
    <s v="Variante"/>
    <s v="-"/>
    <s v="040VRJ1015"/>
    <s v="PORTAL DE PETRÓPOLIS"/>
    <s v="BINGEN (ENTR PISTA DIREITA)"/>
    <n v="19.399999999999999"/>
    <n v="21.9"/>
    <n v="2.5"/>
    <x v="2"/>
    <m/>
    <m/>
    <s v="Concessão Federal"/>
    <m/>
    <m/>
    <m/>
    <s v="Federal"/>
    <s v="PAV"/>
    <s v="Seropédica"/>
  </r>
  <r>
    <x v="0"/>
    <s v="040VRJ1020"/>
    <n v="0"/>
    <x v="22"/>
    <s v="1020"/>
    <n v="-43.228197140085904"/>
    <n v="-22.518341610077101"/>
    <n v="-43.160607220246902"/>
    <n v="-22.427986119763499"/>
    <s v="040"/>
    <s v="RJ"/>
    <s v="Variante"/>
    <s v="-"/>
    <s v="040VRJ1020"/>
    <s v="BINGEN (ENTR PISTA DIREITA)"/>
    <s v="ENTR RJ-117"/>
    <n v="21.9"/>
    <n v="36.9"/>
    <n v="15"/>
    <x v="2"/>
    <m/>
    <m/>
    <s v="Concessão Federal"/>
    <m/>
    <m/>
    <m/>
    <s v="Federal"/>
    <s v="PAV"/>
    <s v="Seropédica"/>
  </r>
  <r>
    <x v="0"/>
    <s v="040VRJ1025"/>
    <n v="0"/>
    <x v="22"/>
    <s v="1025"/>
    <n v="-43.160607220246902"/>
    <n v="-22.427986119763499"/>
    <n v="-43.155283759837602"/>
    <n v="-22.420417279733599"/>
    <s v="040"/>
    <s v="RJ"/>
    <s v="Variante"/>
    <s v="-"/>
    <s v="040VRJ1025"/>
    <s v="ENTR RJ-117"/>
    <s v="ENTR BR-040 (PONTE S/ RIO DA CIDADE)"/>
    <n v="36.9"/>
    <n v="38.299999999999997"/>
    <n v="1.4"/>
    <x v="2"/>
    <m/>
    <m/>
    <s v="Concessão Federal"/>
    <m/>
    <m/>
    <m/>
    <s v="Federal"/>
    <s v="PAV"/>
    <s v="Seropédica"/>
  </r>
  <r>
    <x v="0"/>
    <s v="050AMG1005"/>
    <n v="0"/>
    <x v="23"/>
    <s v="1005"/>
    <n v="-47.982913910148703"/>
    <n v="-19.710600040159701"/>
    <n v="-47.967411760044598"/>
    <n v="-19.7082248802739"/>
    <s v="050"/>
    <s v="MG"/>
    <s v="Acesso"/>
    <s v="-"/>
    <s v="050AMG1005"/>
    <s v="ENTR BR-050 (KM 166,7)"/>
    <s v="ENTR. AV RANDOLFO BORGES JR *TRECHO MUNICIPAL*"/>
    <n v="0"/>
    <n v="1.7"/>
    <n v="1.7"/>
    <x v="0"/>
    <m/>
    <m/>
    <s v="Federal"/>
    <m/>
    <m/>
    <m/>
    <s v="Federal"/>
    <s v="PAV"/>
    <s v="Seropédica"/>
  </r>
  <r>
    <x v="0"/>
    <s v="050BDF0010"/>
    <n v="0"/>
    <x v="24"/>
    <s v="0010"/>
    <n v="-47.990321370434799"/>
    <n v="-15.9768665999135"/>
    <n v="-47.984590740170397"/>
    <n v="-16.0010292096302"/>
    <s v="050"/>
    <s v="DF"/>
    <s v="Eixo Principal"/>
    <s v="Coinc"/>
    <s v="050BDF0010"/>
    <s v="ENTR BR-040(A)/251/450/DF-001 (BRASILIA)"/>
    <s v="P/SANTA MARIA"/>
    <n v="0"/>
    <n v="2.2000000000000002"/>
    <n v="2.2000000000000002"/>
    <x v="0"/>
    <m/>
    <s v="251BDF0570;040BDF0010"/>
    <s v="Concessão Federal"/>
    <m/>
    <m/>
    <m/>
    <s v="Federal"/>
    <s v="PAV"/>
    <s v="Uberlândia"/>
  </r>
  <r>
    <x v="0"/>
    <s v="050BDF0012"/>
    <n v="0"/>
    <x v="24"/>
    <s v="0012"/>
    <n v="-47.984590740170397"/>
    <n v="-16.0010292096302"/>
    <n v="-47.981285579665702"/>
    <n v="-16.017383380138799"/>
    <s v="050"/>
    <s v="DF"/>
    <s v="Eixo Principal"/>
    <s v="Coinc"/>
    <s v="050BDF0012"/>
    <s v="P/SANTA MARIA"/>
    <s v="ENTR VICINAL - 371"/>
    <n v="2.2000000000000002"/>
    <n v="5"/>
    <n v="2.8"/>
    <x v="0"/>
    <m/>
    <s v="251BDF0572;040BDF0012"/>
    <s v="Concessão Federal"/>
    <m/>
    <m/>
    <m/>
    <s v="Federal"/>
    <s v="PAV"/>
    <s v="Brasília"/>
  </r>
  <r>
    <x v="0"/>
    <s v="050BDF0015"/>
    <n v="0"/>
    <x v="24"/>
    <s v="0015"/>
    <n v="-47.981285579665702"/>
    <n v="-16.017383380138799"/>
    <n v="-47.979316889962398"/>
    <n v="-16.0268953403476"/>
    <s v="050"/>
    <s v="DF"/>
    <s v="Eixo Principal"/>
    <s v="Coinc"/>
    <s v="050BDF0015"/>
    <s v="ENTR VICINAL - 371"/>
    <s v="ENTR DF-495"/>
    <n v="5"/>
    <n v="5.6"/>
    <n v="0.6"/>
    <x v="0"/>
    <m/>
    <s v="040BDF0015;251BDF0574"/>
    <s v="Concessão Federal"/>
    <m/>
    <m/>
    <m/>
    <s v="Federal"/>
    <s v="PAV"/>
    <s v="Brasília"/>
  </r>
  <r>
    <x v="0"/>
    <s v="050BDF0017"/>
    <n v="0"/>
    <x v="24"/>
    <s v="0017"/>
    <n v="-47.979316889962398"/>
    <n v="-16.0268953403476"/>
    <n v="-47.981426810099101"/>
    <n v="-16.0492052800995"/>
    <s v="050"/>
    <s v="DF"/>
    <s v="Eixo Principal"/>
    <s v="Coinc"/>
    <s v="050BDF0017"/>
    <s v="ENTR DF-495"/>
    <s v="ENTR DF-290"/>
    <n v="5.6"/>
    <n v="8.1999999999999993"/>
    <n v="2.6"/>
    <x v="0"/>
    <m/>
    <s v="251BDF0582;040BDF0017"/>
    <s v="Concessão Federal"/>
    <m/>
    <m/>
    <m/>
    <s v="Federal"/>
    <s v="PAV"/>
    <s v="Brasília"/>
  </r>
  <r>
    <x v="0"/>
    <s v="050BDF0020"/>
    <n v="0"/>
    <x v="24"/>
    <s v="0020"/>
    <n v="-47.981426810099101"/>
    <n v="-16.0492052800995"/>
    <n v="-47.981772719935002"/>
    <n v="-16.051189090104401"/>
    <s v="050"/>
    <s v="DF"/>
    <s v="Eixo Principal"/>
    <s v="Coinc"/>
    <s v="050BDF0020"/>
    <s v="ENTR DF-290"/>
    <s v="ENTR BR-040(B) (DIV DF/GO)"/>
    <n v="8.1999999999999993"/>
    <n v="8.4"/>
    <n v="0.2"/>
    <x v="0"/>
    <m/>
    <s v="040BDF0020"/>
    <s v="Concessão Federal"/>
    <m/>
    <m/>
    <m/>
    <s v="Federal"/>
    <s v="PAV"/>
    <s v="Brasília"/>
  </r>
  <r>
    <x v="0"/>
    <s v="050BGO0030"/>
    <n v="0"/>
    <x v="25"/>
    <s v="0030"/>
    <n v="-47.981772719935002"/>
    <n v="-16.051189090104401"/>
    <n v="-47.902866840332301"/>
    <n v="-16.249735250181601"/>
    <s v="050"/>
    <s v="GO"/>
    <s v="Eixo Principal"/>
    <s v="Coinc"/>
    <s v="050BGO0030"/>
    <s v="DIV DF/GO"/>
    <s v="ENTR GO-010 (P/LUZIÂNIA)"/>
    <n v="0"/>
    <n v="24.1"/>
    <n v="24.1"/>
    <x v="0"/>
    <m/>
    <s v="040BGO0030"/>
    <s v="Concessão Federal"/>
    <m/>
    <m/>
    <m/>
    <s v="Federal"/>
    <s v="PAV"/>
    <s v="Brasília"/>
  </r>
  <r>
    <x v="0"/>
    <s v="050BGO0050"/>
    <n v="0"/>
    <x v="25"/>
    <s v="0050"/>
    <n v="-47.902866840332301"/>
    <n v="-16.249735250181601"/>
    <n v="-47.604500769694702"/>
    <n v="-16.7542418301962"/>
    <s v="050"/>
    <s v="GO"/>
    <s v="Eixo Principal"/>
    <s v="Coinc"/>
    <s v="050BGO0050"/>
    <s v="ENTR GO-010 (P/LUZIÂNIA)"/>
    <s v="ENTR BR-040(B)/354/457(A)/GO-309(A) (CRISTALINA)"/>
    <n v="24.1"/>
    <n v="95.7"/>
    <n v="71.599999999999994"/>
    <x v="2"/>
    <m/>
    <s v="040BGO0050"/>
    <s v="Concessão Federal"/>
    <m/>
    <m/>
    <m/>
    <s v="Federal"/>
    <s v="PAV"/>
    <s v="Goiânia"/>
  </r>
  <r>
    <x v="0"/>
    <s v="050BGO0070"/>
    <n v="0"/>
    <x v="25"/>
    <s v="0070"/>
    <n v="-47.604500769694702"/>
    <n v="-16.7542418301962"/>
    <n v="-47.673719279920803"/>
    <n v="-16.822045380389898"/>
    <s v="050"/>
    <s v="GO"/>
    <s v="Eixo Principal"/>
    <s v="-"/>
    <s v="050BGO0070"/>
    <s v="ENTR BR-040(B)/354/457(A)/GO-309(A) (CRISTALINA)"/>
    <s v="ENTR GO-309(B)"/>
    <n v="95.7"/>
    <n v="106.7"/>
    <n v="11"/>
    <x v="2"/>
    <m/>
    <s v="457BGO0010"/>
    <s v="Concessão Federal"/>
    <m/>
    <m/>
    <m/>
    <s v="Federal"/>
    <s v="PAV"/>
    <s v="Goiânia"/>
  </r>
  <r>
    <x v="0"/>
    <s v="050BGO0075"/>
    <n v="0"/>
    <x v="25"/>
    <s v="0075"/>
    <n v="-47.673719279920803"/>
    <n v="-16.822045380389898"/>
    <n v="-47.7058623295828"/>
    <n v="-16.9266606298841"/>
    <s v="050"/>
    <s v="GO"/>
    <s v="Eixo Principal"/>
    <s v="-"/>
    <s v="050BGO0075"/>
    <s v="ENTR GO-309(B)"/>
    <s v="ENTR GO-519 (DOMICIANO RIBEIRO)"/>
    <n v="106.7"/>
    <n v="119.2"/>
    <n v="12.5"/>
    <x v="2"/>
    <m/>
    <s v="457BGO0012"/>
    <s v="Concessão Federal"/>
    <m/>
    <m/>
    <m/>
    <s v="Federal"/>
    <s v="PAV"/>
    <s v="Goiânia"/>
  </r>
  <r>
    <x v="0"/>
    <s v="050BGO0080"/>
    <n v="0"/>
    <x v="25"/>
    <s v="0080"/>
    <n v="-47.7058623295828"/>
    <n v="-16.9266606298841"/>
    <n v="-47.740883330301401"/>
    <n v="-16.968250789642099"/>
    <s v="050"/>
    <s v="GO"/>
    <s v="Eixo Principal"/>
    <s v="-"/>
    <s v="050BGO0080"/>
    <s v="ENTR GO-519 (DOMICIANO RIBEIRO)"/>
    <s v="ENTR BR-457(B)/GO-219"/>
    <n v="119.2"/>
    <n v="125.2"/>
    <n v="6"/>
    <x v="2"/>
    <m/>
    <s v="457BGO0013"/>
    <s v="Concessão Federal"/>
    <m/>
    <m/>
    <m/>
    <s v="Federal"/>
    <s v="PAV"/>
    <s v="Goiânia"/>
  </r>
  <r>
    <x v="0"/>
    <s v="050BGO0090"/>
    <n v="0"/>
    <x v="25"/>
    <s v="0090"/>
    <n v="-47.740883330301401"/>
    <n v="-16.968250789642099"/>
    <n v="-47.746161329981298"/>
    <n v="-17.208832180360702"/>
    <s v="050"/>
    <s v="GO"/>
    <s v="Eixo Principal"/>
    <s v="-"/>
    <s v="050BGO0090"/>
    <s v="ENTR BR-457(B)/GO-219"/>
    <s v="ENTR GO-020(A)"/>
    <n v="125.2"/>
    <n v="154.5"/>
    <n v="29.3"/>
    <x v="2"/>
    <m/>
    <m/>
    <s v="Concessão Federal"/>
    <m/>
    <m/>
    <m/>
    <s v="Federal"/>
    <s v="PAV"/>
    <s v="Goiânia"/>
  </r>
  <r>
    <x v="0"/>
    <s v="050BGO0095"/>
    <n v="0"/>
    <x v="25"/>
    <s v="0095"/>
    <n v="-47.746161329981298"/>
    <n v="-17.208832180360702"/>
    <n v="-47.760699930257502"/>
    <n v="-17.2805742197244"/>
    <s v="050"/>
    <s v="GO"/>
    <s v="Eixo Principal"/>
    <s v="-"/>
    <s v="050BGO0095"/>
    <s v="ENTR GO-020(A)"/>
    <s v="ENTR GO-020(B)"/>
    <n v="154.5"/>
    <n v="163.5"/>
    <n v="9"/>
    <x v="2"/>
    <m/>
    <m/>
    <s v="Concessão Federal"/>
    <m/>
    <m/>
    <m/>
    <s v="Federal"/>
    <s v="PAV"/>
    <s v="Goiânia"/>
  </r>
  <r>
    <x v="0"/>
    <s v="050BGO0110"/>
    <n v="0"/>
    <x v="25"/>
    <s v="0110"/>
    <n v="-47.760699930257502"/>
    <n v="-17.2805742197244"/>
    <n v="-47.772143029876801"/>
    <n v="-17.6273236302812"/>
    <s v="050"/>
    <s v="GO"/>
    <s v="Eixo Principal"/>
    <s v="-"/>
    <s v="050BGO0110"/>
    <s v="ENTR GO-020(B)"/>
    <s v="ENTR GO-213(A) (CAMPO ALEGRE DE GOIÁS)"/>
    <n v="163.5"/>
    <n v="207.6"/>
    <n v="44.1"/>
    <x v="2"/>
    <m/>
    <m/>
    <s v="Concessão Federal"/>
    <m/>
    <m/>
    <m/>
    <s v="Federal"/>
    <s v="PAV"/>
    <s v="Goiânia"/>
  </r>
  <r>
    <x v="0"/>
    <s v="050BGO0120"/>
    <n v="0"/>
    <x v="25"/>
    <s v="0120"/>
    <n v="-47.772143029876801"/>
    <n v="-17.6273236302812"/>
    <n v="-47.759237299861397"/>
    <n v="-17.6453158799238"/>
    <s v="050"/>
    <s v="GO"/>
    <s v="Eixo Principal"/>
    <s v="-"/>
    <s v="050BGO0120"/>
    <s v="ENTR GO-213(A) (CAMPO ALEGRE DE GOIÁS)"/>
    <s v="ENTR BR-490/GO-213(B)"/>
    <n v="207.6"/>
    <n v="209.8"/>
    <n v="2.2000000000000002"/>
    <x v="2"/>
    <m/>
    <m/>
    <s v="Concessão Federal"/>
    <m/>
    <m/>
    <m/>
    <s v="Federal"/>
    <s v="PAV"/>
    <s v="Goiânia"/>
  </r>
  <r>
    <x v="0"/>
    <s v="050BGO0130"/>
    <n v="0"/>
    <x v="25"/>
    <s v="0130"/>
    <n v="-47.759237299861397"/>
    <n v="-17.6453158799238"/>
    <n v="-47.787533610087998"/>
    <n v="-17.921930409760499"/>
    <s v="050"/>
    <s v="GO"/>
    <s v="Eixo Principal"/>
    <s v="-"/>
    <s v="050BGO0130"/>
    <s v="ENTR BR-490/GO-213(B)"/>
    <s v="ENTR GO-506"/>
    <n v="209.8"/>
    <n v="245.4"/>
    <n v="35.6"/>
    <x v="2"/>
    <m/>
    <m/>
    <s v="Concessão Federal"/>
    <m/>
    <m/>
    <m/>
    <s v="Federal"/>
    <s v="PAV"/>
    <s v="Goiânia"/>
  </r>
  <r>
    <x v="0"/>
    <s v="050BGO0135"/>
    <n v="0"/>
    <x v="25"/>
    <s v="0135"/>
    <n v="-47.787533610087998"/>
    <n v="-17.921930409760499"/>
    <n v="-47.8643947398253"/>
    <n v="-18.0711530399807"/>
    <s v="050"/>
    <s v="GO"/>
    <s v="Eixo Principal"/>
    <s v="-"/>
    <s v="050BGO0135"/>
    <s v="ENTR GO-506"/>
    <s v="ENTR BR-352(A)/GO-210(A)"/>
    <n v="245.4"/>
    <n v="265.10000000000002"/>
    <n v="19.7"/>
    <x v="2"/>
    <m/>
    <m/>
    <s v="Concessão Federal"/>
    <m/>
    <m/>
    <m/>
    <s v="Federal"/>
    <s v="PAV"/>
    <s v="Goiânia"/>
  </r>
  <r>
    <x v="0"/>
    <s v="050BGO0140"/>
    <n v="0"/>
    <x v="25"/>
    <s v="0140"/>
    <n v="-47.8643947398253"/>
    <n v="-18.0711530399807"/>
    <n v="-47.889623129803503"/>
    <n v="-18.110937899764199"/>
    <s v="050"/>
    <s v="GO"/>
    <s v="Eixo Principal"/>
    <s v="-"/>
    <s v="050BGO0140"/>
    <s v="ENTR BR-352(A)/GO-210(A)"/>
    <s v="ENTR GO-504"/>
    <n v="265.10000000000002"/>
    <n v="270.10000000000002"/>
    <n v="5"/>
    <x v="2"/>
    <m/>
    <s v="352BGO0100"/>
    <s v="Concessão Federal"/>
    <m/>
    <m/>
    <m/>
    <s v="Federal"/>
    <s v="PAV"/>
    <s v="Goiânia"/>
  </r>
  <r>
    <x v="0"/>
    <s v="050BGO0150"/>
    <n v="0"/>
    <x v="25"/>
    <s v="0150"/>
    <n v="-47.889623129803503"/>
    <n v="-18.110937899764199"/>
    <n v="-47.941166569581398"/>
    <n v="-18.181630540017299"/>
    <s v="050"/>
    <s v="GO"/>
    <s v="Eixo Principal"/>
    <s v="-"/>
    <s v="050BGO0150"/>
    <s v="ENTR GO-504"/>
    <s v="ENTR BR-352(B)/GO-210(B)/330 (CATALÃO)"/>
    <n v="270.10000000000002"/>
    <n v="280.5"/>
    <n v="10.4"/>
    <x v="2"/>
    <m/>
    <s v="352BGO0095"/>
    <s v="Concessão Federal"/>
    <m/>
    <m/>
    <m/>
    <s v="Federal"/>
    <s v="PAV"/>
    <s v="Goiânia"/>
  </r>
  <r>
    <x v="0"/>
    <s v="050BGO0152"/>
    <n v="0"/>
    <x v="25"/>
    <s v="0152"/>
    <n v="-47.941166569581398"/>
    <n v="-18.181630540017299"/>
    <n v="-48.082489730316702"/>
    <n v="-18.411554299891002"/>
    <s v="050"/>
    <s v="GO"/>
    <s v="Eixo Principal"/>
    <s v="-"/>
    <s v="050BGO0152"/>
    <s v="ENTR BR-352(B)/GO-210(B)/330 (CATALÃO)"/>
    <s v="ENTR GO-402"/>
    <n v="280.5"/>
    <n v="311.7"/>
    <n v="31.2"/>
    <x v="2"/>
    <m/>
    <m/>
    <s v="Concessão Federal"/>
    <m/>
    <m/>
    <m/>
    <s v="Federal"/>
    <s v="PAV"/>
    <s v="Goiânia"/>
  </r>
  <r>
    <x v="0"/>
    <s v="050BGO0154"/>
    <n v="0"/>
    <x v="25"/>
    <s v="0154"/>
    <n v="-48.082489730316702"/>
    <n v="-18.411554299891002"/>
    <n v="-48.068235480383002"/>
    <n v="-18.424315689617298"/>
    <s v="050"/>
    <s v="GO"/>
    <s v="Eixo Principal"/>
    <s v="-"/>
    <s v="050BGO0154"/>
    <s v="ENTR GO-402"/>
    <s v="DIV GO/MG"/>
    <n v="311.7"/>
    <n v="314.2"/>
    <n v="2.5"/>
    <x v="2"/>
    <m/>
    <m/>
    <s v="Concessão Federal"/>
    <m/>
    <m/>
    <m/>
    <s v="Federal"/>
    <s v="PAV"/>
    <s v="Goiânia"/>
  </r>
  <r>
    <x v="0"/>
    <s v="050BMG0170"/>
    <n v="0"/>
    <x v="26"/>
    <s v="0170"/>
    <n v="-48.068235480383002"/>
    <n v="-18.424315689617298"/>
    <n v="-48.051437089749797"/>
    <n v="-18.604740399849501"/>
    <s v="050"/>
    <s v="MG"/>
    <s v="Eixo Principal"/>
    <s v="-"/>
    <s v="050BMG0170"/>
    <s v="DIV GO/MG"/>
    <s v="ENTR MG-223(A) (P/ ESTRELA DO SUL)"/>
    <n v="0"/>
    <n v="22"/>
    <n v="22"/>
    <x v="0"/>
    <m/>
    <m/>
    <s v="Concessão Federal"/>
    <m/>
    <m/>
    <m/>
    <s v="Federal"/>
    <s v="PAV"/>
    <s v="Goiânia"/>
  </r>
  <r>
    <x v="0"/>
    <s v="050BMG0190"/>
    <n v="0"/>
    <x v="26"/>
    <s v="0190"/>
    <n v="-48.051437089749797"/>
    <n v="-18.604740399849501"/>
    <n v="-48.149362990309697"/>
    <n v="-18.655450810206599"/>
    <s v="050"/>
    <s v="MG"/>
    <s v="Eixo Principal"/>
    <s v="-"/>
    <s v="050BMG0190"/>
    <s v="ENTR MG-223(A) (P/ ESTRELA DO SUL)"/>
    <s v="ENTR MG-223(B)/414 (ARAGUARI)"/>
    <n v="22"/>
    <n v="36.1"/>
    <n v="14.1"/>
    <x v="0"/>
    <m/>
    <m/>
    <s v="Concessão Federal"/>
    <m/>
    <m/>
    <m/>
    <s v="Federal"/>
    <s v="PAV"/>
    <s v="Uberlândia"/>
  </r>
  <r>
    <x v="0"/>
    <s v="050BMG0210"/>
    <n v="0"/>
    <x v="26"/>
    <s v="0210"/>
    <n v="-48.149362990309697"/>
    <n v="-18.655450810206599"/>
    <n v="-48.253857969869301"/>
    <n v="-18.858584010043899"/>
    <s v="050"/>
    <s v="MG"/>
    <s v="Eixo Principal"/>
    <s v="-"/>
    <s v="050BMG0210"/>
    <s v="ENTR MG-223(B)/414 (ARAGUARI)"/>
    <s v="ENTR CONTORNO NORTE DE UBERLÂNDIA"/>
    <n v="36.1"/>
    <n v="65.8"/>
    <n v="29.7"/>
    <x v="0"/>
    <m/>
    <m/>
    <s v="Concessão Federal"/>
    <m/>
    <m/>
    <m/>
    <s v="Federal"/>
    <s v="PAV"/>
    <s v="Uberlândia"/>
  </r>
  <r>
    <x v="0"/>
    <s v="050BMG0220"/>
    <n v="0"/>
    <x v="26"/>
    <s v="0220"/>
    <n v="-48.253857969869301"/>
    <n v="-18.858584010043899"/>
    <n v="-48.265762470261699"/>
    <n v="-18.884343759956401"/>
    <s v="050"/>
    <s v="MG"/>
    <s v="Eixo Principal"/>
    <s v="-"/>
    <s v="050BMG0220"/>
    <s v="ENTR CONTORNO NORTE DE UBERLÂNDIA"/>
    <s v="ENTR BR-365(A)/452(A)(UBERLÂNDIA)"/>
    <n v="65.8"/>
    <n v="68.900000000000006"/>
    <n v="3.1"/>
    <x v="0"/>
    <m/>
    <m/>
    <s v="Federal"/>
    <m/>
    <m/>
    <m/>
    <s v="Federal"/>
    <s v="PAV"/>
    <s v="Uberlândia"/>
  </r>
  <r>
    <x v="0"/>
    <s v="050BMG0240"/>
    <n v="0"/>
    <x v="26"/>
    <s v="0240"/>
    <n v="-48.265762470261699"/>
    <n v="-18.884343759956401"/>
    <n v="-48.22402913034"/>
    <n v="-18.909865769589501"/>
    <s v="050"/>
    <s v="MG"/>
    <s v="Eixo Principal"/>
    <s v="-"/>
    <s v="050BMG0240"/>
    <s v="ENTR BR-365(A)/452(A)(UBERLÂNDIA)"/>
    <s v="ENTR BR-365(B)/452(B)/455/497 (UBERLÂNDIA)"/>
    <n v="68.900000000000006"/>
    <n v="74"/>
    <n v="5.0999999999999996"/>
    <x v="0"/>
    <m/>
    <s v="452BMG0180;497BMG0010;365BMG0290"/>
    <s v="Federal"/>
    <m/>
    <m/>
    <m/>
    <s v="Federal"/>
    <s v="PAV"/>
    <s v="Uberlândia"/>
  </r>
  <r>
    <x v="0"/>
    <s v="050BMG0245"/>
    <n v="0"/>
    <x v="26"/>
    <s v="0245"/>
    <n v="-48.22402913034"/>
    <n v="-18.909865769589501"/>
    <n v="-48.219316729583298"/>
    <n v="-18.9386550297057"/>
    <s v="050"/>
    <s v="MG"/>
    <s v="Eixo Principal"/>
    <s v="-"/>
    <s v="050BMG0245"/>
    <s v="ENTR BR-365(B)/452(B)/455/497 (UBERLÂNDIA)"/>
    <s v="ENTR CONTORNO LESTE DE UBERLÂNDIA"/>
    <n v="74"/>
    <n v="77.2"/>
    <n v="3.2"/>
    <x v="0"/>
    <m/>
    <s v="455BMG0005"/>
    <s v="Federal"/>
    <m/>
    <m/>
    <m/>
    <s v="Federal"/>
    <s v="PAV"/>
    <s v="Uberlândia"/>
  </r>
  <r>
    <x v="0"/>
    <s v="050BMG0250"/>
    <n v="0"/>
    <x v="26"/>
    <s v="0250"/>
    <n v="-48.219316729583298"/>
    <n v="-18.9386550297057"/>
    <n v="-48.214300509960502"/>
    <n v="-18.971085130374401"/>
    <s v="050"/>
    <s v="MG"/>
    <s v="Eixo Principal"/>
    <s v="Coinc"/>
    <s v="050BMG0250"/>
    <s v="ENTR CONTORNO LESTE DE UBERLÂNDIA"/>
    <s v="ENTR CONTORNO SUL DE UBERLÂNDIA"/>
    <n v="77.2"/>
    <n v="80.8"/>
    <n v="3.6"/>
    <x v="0"/>
    <m/>
    <s v="455BMG0007"/>
    <s v="Concessão Federal"/>
    <m/>
    <m/>
    <m/>
    <s v="Federal"/>
    <s v="PAV"/>
    <s v="Uberlândia"/>
  </r>
  <r>
    <x v="0"/>
    <s v="050BMG0255"/>
    <n v="0"/>
    <x v="26"/>
    <s v="0255"/>
    <n v="-48.214300509960502"/>
    <n v="-18.971085130374401"/>
    <n v="-48.071002259946198"/>
    <n v="-19.418385540060498"/>
    <s v="050"/>
    <s v="MG"/>
    <s v="Eixo Principal"/>
    <s v="-"/>
    <s v="050BMG0255"/>
    <s v="ENTR CONTORNO SUL DE UBERLÂNDIA"/>
    <s v="RIO TIJUCO"/>
    <n v="80.8"/>
    <n v="133.30000000000001"/>
    <n v="52.5"/>
    <x v="0"/>
    <m/>
    <m/>
    <s v="Concessão Federal"/>
    <m/>
    <m/>
    <m/>
    <s v="Federal"/>
    <s v="PAV"/>
    <s v="Uberlândia"/>
  </r>
  <r>
    <x v="0"/>
    <s v="050BMG0260"/>
    <n v="0"/>
    <x v="26"/>
    <s v="0260"/>
    <n v="-48.071002259946198"/>
    <n v="-19.418385540060498"/>
    <n v="-47.973433199582402"/>
    <n v="-19.770816489589201"/>
    <s v="050"/>
    <s v="MG"/>
    <s v="Eixo Principal"/>
    <s v="-"/>
    <s v="050BMG0260"/>
    <s v="RIO TIJUCO"/>
    <s v="ENTR BR-262(A)/464(A) (UBERABA)"/>
    <n v="133.30000000000001"/>
    <n v="174"/>
    <n v="40.700000000000003"/>
    <x v="0"/>
    <m/>
    <m/>
    <s v="Concessão Federal"/>
    <m/>
    <m/>
    <m/>
    <s v="Federal"/>
    <s v="PAV"/>
    <s v="Uberlândia"/>
  </r>
  <r>
    <x v="0"/>
    <s v="050BMG0265"/>
    <n v="0"/>
    <x v="26"/>
    <s v="0265"/>
    <n v="-47.973433199582402"/>
    <n v="-19.770816489589201"/>
    <n v="-47.923785869722003"/>
    <n v="-19.777893520069799"/>
    <s v="050"/>
    <s v="MG"/>
    <s v="Eixo Principal"/>
    <s v="-"/>
    <s v="050BMG0265"/>
    <s v="ENTR BR-262(A)/464(A) (UBERABA)"/>
    <s v="ENTR BR-262(B)"/>
    <n v="174"/>
    <n v="179.8"/>
    <n v="5.8"/>
    <x v="0"/>
    <m/>
    <s v="464BMG0055;262BMG1000"/>
    <s v="Concessão Federal"/>
    <m/>
    <m/>
    <m/>
    <s v="Federal"/>
    <s v="PAV"/>
    <s v="Uberlândia"/>
  </r>
  <r>
    <x v="0"/>
    <s v="050BMG0270"/>
    <n v="0"/>
    <x v="26"/>
    <s v="0270"/>
    <n v="-47.923785869722003"/>
    <n v="-19.777893520069799"/>
    <n v="-47.821348440078303"/>
    <n v="-19.927024229684399"/>
    <s v="050"/>
    <s v="MG"/>
    <s v="Eixo Principal"/>
    <s v="-"/>
    <s v="050BMG0270"/>
    <s v="ENTR BR-262(B)"/>
    <s v="ENTR BR-464(B) (P/CONQUISTA)"/>
    <n v="179.8"/>
    <n v="199.1"/>
    <n v="19.3"/>
    <x v="0"/>
    <m/>
    <s v="464BMG0060"/>
    <s v="Concessão Federal"/>
    <m/>
    <m/>
    <m/>
    <s v="Federal"/>
    <s v="PAV"/>
    <s v="Uberlândia"/>
  </r>
  <r>
    <x v="0"/>
    <s v="050BMG0285"/>
    <n v="0"/>
    <x v="26"/>
    <s v="0285"/>
    <n v="-47.821348440078303"/>
    <n v="-19.927024229684399"/>
    <n v="-47.788321120323403"/>
    <n v="-19.983764409999399"/>
    <s v="050"/>
    <s v="MG"/>
    <s v="Eixo Principal"/>
    <s v="-"/>
    <s v="050BMG0285"/>
    <s v="ENTR BR-464(B) (P/CONQUISTA)"/>
    <s v="DIV MG/SP (DELTA)"/>
    <n v="199.1"/>
    <n v="206.8"/>
    <n v="7.7"/>
    <x v="0"/>
    <m/>
    <m/>
    <s v="Concessão Federal"/>
    <m/>
    <m/>
    <m/>
    <s v="Federal"/>
    <s v="PAV"/>
    <s v="Uberlândia"/>
  </r>
  <r>
    <x v="0"/>
    <s v="050BSP0290"/>
    <n v="0"/>
    <x v="27"/>
    <s v="0290"/>
    <n v="-47.788321120323403"/>
    <n v="-19.983764409999399"/>
    <n v="-47.780896859802098"/>
    <n v="-20.0446367898559"/>
    <s v="050"/>
    <s v="SP"/>
    <s v="Eixo Principal"/>
    <s v="-"/>
    <s v="050BSP0290"/>
    <s v="ENTR BR-464(B) (DIV MG/SP)"/>
    <s v="ACESSO IGARAPAVA"/>
    <n v="0"/>
    <n v="11.4"/>
    <n v="11.4"/>
    <x v="1"/>
    <m/>
    <m/>
    <s v="Estadual"/>
    <m/>
    <s v="SP-330"/>
    <s v="DUP"/>
    <s v="Estadual"/>
    <s v="PLA"/>
    <s v="Uberlândia"/>
  </r>
  <r>
    <x v="0"/>
    <s v="050BSP0293"/>
    <n v="0"/>
    <x v="27"/>
    <s v="0293"/>
    <n v="-47.780896859802098"/>
    <n v="-20.0446367898559"/>
    <n v="-47.788723350202403"/>
    <n v="-20.078599189600801"/>
    <s v="050"/>
    <s v="SP"/>
    <s v="Eixo Principal"/>
    <s v="-"/>
    <s v="050BSP0293"/>
    <s v="ACESSO IGARAPAVA"/>
    <s v="ACESSO ARAMINA"/>
    <n v="11.4"/>
    <n v="16.100000000000001"/>
    <n v="4.7"/>
    <x v="1"/>
    <m/>
    <m/>
    <s v="Estadual"/>
    <m/>
    <s v="SP-330"/>
    <s v="DUP"/>
    <s v="Estadual"/>
    <s v="PLA"/>
    <s v="São José do Rio Preto"/>
  </r>
  <r>
    <x v="0"/>
    <s v="050BSP0297"/>
    <n v="0"/>
    <x v="27"/>
    <s v="0297"/>
    <n v="-47.788723350202403"/>
    <n v="-20.078599189600801"/>
    <n v="-47.785661110072098"/>
    <n v="-20.198380380350201"/>
    <s v="050"/>
    <s v="SP"/>
    <s v="Eixo Principal"/>
    <s v="-"/>
    <s v="050BSP0297"/>
    <s v="ACESSO ARAMINA"/>
    <s v="ENTR SP-330 (P/ BURITIZAL)"/>
    <n v="16.100000000000001"/>
    <n v="28.5"/>
    <n v="12.4"/>
    <x v="1"/>
    <m/>
    <m/>
    <s v="Estadual"/>
    <m/>
    <s v="SP-330"/>
    <s v="DUP"/>
    <s v="Estadual"/>
    <s v="PLA"/>
    <s v="São José do Rio Preto"/>
  </r>
  <r>
    <x v="0"/>
    <s v="050BSP0303"/>
    <n v="0"/>
    <x v="27"/>
    <s v="0303"/>
    <n v="-47.785661110072098"/>
    <n v="-20.198380380350201"/>
    <n v="-47.8057058698299"/>
    <n v="-20.335671560194299"/>
    <s v="050"/>
    <s v="SP"/>
    <s v="Eixo Principal"/>
    <s v="-"/>
    <s v="050BSP0303"/>
    <s v="ENTR SP-330 (P/ BURITIZAL)"/>
    <s v="ENTR SP-385 (ITUVERAVA)"/>
    <n v="28.5"/>
    <n v="43.4"/>
    <n v="14.9"/>
    <x v="1"/>
    <m/>
    <m/>
    <s v="Estadual"/>
    <m/>
    <s v="SP-330"/>
    <s v="DUP"/>
    <s v="Estadual"/>
    <s v="PLA"/>
    <s v="São José do Rio Preto"/>
  </r>
  <r>
    <x v="0"/>
    <s v="050BSP0310"/>
    <n v="0"/>
    <x v="27"/>
    <s v="0310"/>
    <n v="-47.8057058698299"/>
    <n v="-20.335671560194299"/>
    <n v="-47.8410609399103"/>
    <n v="-20.524304380042999"/>
    <s v="050"/>
    <s v="SP"/>
    <s v="Eixo Principal"/>
    <s v="-"/>
    <s v="050BSP0310"/>
    <s v="ENTR SP-385 (ITUVERAVA)"/>
    <s v="ENTR SP-345 (P/ FRANCA)"/>
    <n v="43.4"/>
    <n v="65.5"/>
    <n v="22.1"/>
    <x v="1"/>
    <m/>
    <m/>
    <s v="Estadual"/>
    <m/>
    <s v="SP-330"/>
    <s v="DUP"/>
    <s v="Estadual"/>
    <s v="PLA"/>
    <s v="São José do Rio Preto"/>
  </r>
  <r>
    <x v="0"/>
    <s v="050BSP0330"/>
    <n v="0"/>
    <x v="27"/>
    <s v="0330"/>
    <n v="-47.8410609399103"/>
    <n v="-20.524304380042999"/>
    <n v="-47.873226719937101"/>
    <n v="-20.576120180401901"/>
    <s v="050"/>
    <s v="SP"/>
    <s v="Eixo Principal"/>
    <s v="-"/>
    <s v="050BSP0330"/>
    <s v="ENTR SP-345 (P/ FRANCA)"/>
    <s v="SÃO JOAQUIM DA BARRA"/>
    <n v="65.5"/>
    <n v="72.099999999999994"/>
    <n v="6.6"/>
    <x v="1"/>
    <m/>
    <m/>
    <s v="Estadual"/>
    <m/>
    <s v="SP-330"/>
    <s v="DUP"/>
    <s v="Estadual"/>
    <s v="PLA"/>
    <s v="São José do Rio Preto"/>
  </r>
  <r>
    <x v="0"/>
    <s v="050BSP0335"/>
    <n v="0"/>
    <x v="27"/>
    <s v="0335"/>
    <n v="-47.873226719937101"/>
    <n v="-20.576120180401901"/>
    <n v="-47.893013560427399"/>
    <n v="-20.719676009739899"/>
    <s v="050"/>
    <s v="SP"/>
    <s v="Eixo Principal"/>
    <s v="-"/>
    <s v="050BSP0335"/>
    <s v="SÃO JOAQUIM DA BARRA"/>
    <s v="ENTR SP-328 (ORLÂNDIA)"/>
    <n v="72.099999999999994"/>
    <n v="85.7"/>
    <n v="13.6"/>
    <x v="1"/>
    <m/>
    <m/>
    <s v="Estadual"/>
    <m/>
    <s v="SP-330"/>
    <s v="DUP"/>
    <s v="Estadual"/>
    <s v="PLA"/>
    <s v="São José do Rio Preto"/>
  </r>
  <r>
    <x v="0"/>
    <s v="050BSP0345"/>
    <n v="0"/>
    <x v="27"/>
    <s v="0345"/>
    <n v="-47.893013560427399"/>
    <n v="-20.719676009739899"/>
    <n v="-47.892959369978797"/>
    <n v="-20.752030829958802"/>
    <s v="050"/>
    <s v="SP"/>
    <s v="Eixo Principal"/>
    <s v="-"/>
    <s v="050BSP0345"/>
    <s v="ENTR SP-328 (ORLÂNDIA)"/>
    <s v="ENTR SP-351"/>
    <n v="85.7"/>
    <n v="88.9"/>
    <n v="3.2"/>
    <x v="1"/>
    <m/>
    <m/>
    <s v="Estadual"/>
    <m/>
    <s v="SP-330"/>
    <s v="DUP"/>
    <s v="Estadual"/>
    <s v="PLA"/>
    <s v="São José do Rio Preto"/>
  </r>
  <r>
    <x v="0"/>
    <s v="050BSP0350"/>
    <n v="0"/>
    <x v="27"/>
    <s v="0350"/>
    <n v="-47.892959369978797"/>
    <n v="-20.752030829958802"/>
    <n v="-47.891885020077503"/>
    <n v="-20.8022967800723"/>
    <s v="050"/>
    <s v="SP"/>
    <s v="Eixo Principal"/>
    <s v="-"/>
    <s v="050BSP0350"/>
    <s v="ENTR SP-351"/>
    <s v="ACESSO SALES OLIVEIRA"/>
    <n v="88.9"/>
    <n v="94.7"/>
    <n v="5.8"/>
    <x v="1"/>
    <m/>
    <m/>
    <s v="Estadual"/>
    <m/>
    <s v="SP-330"/>
    <s v="DUP"/>
    <s v="Estadual"/>
    <s v="PLA"/>
    <s v="São José do Rio Preto"/>
  </r>
  <r>
    <x v="0"/>
    <s v="050BSP0355"/>
    <n v="0"/>
    <x v="27"/>
    <s v="0355"/>
    <n v="-47.891885020077503"/>
    <n v="-20.8022967800723"/>
    <n v="-47.889843809943798"/>
    <n v="-20.908485950166401"/>
    <s v="050"/>
    <s v="SP"/>
    <s v="Eixo Principal"/>
    <s v="-"/>
    <s v="050BSP0355"/>
    <s v="ACESSO SALES OLIVEIRA"/>
    <s v="ENTR BR-265"/>
    <n v="94.7"/>
    <n v="106.3"/>
    <n v="11.6"/>
    <x v="1"/>
    <m/>
    <m/>
    <s v="Estadual"/>
    <m/>
    <s v="SP-330"/>
    <s v="DUP"/>
    <s v="Estadual"/>
    <s v="PLA"/>
    <s v="São José do Rio Preto"/>
  </r>
  <r>
    <x v="0"/>
    <s v="050BSP0370"/>
    <n v="0"/>
    <x v="27"/>
    <s v="0370"/>
    <n v="-47.889843809943798"/>
    <n v="-20.908485950166401"/>
    <n v="-47.825962740088301"/>
    <n v="-21.0500189901841"/>
    <s v="050"/>
    <s v="SP"/>
    <s v="Eixo Principal"/>
    <s v="-"/>
    <s v="050BSP0370"/>
    <s v="ENTR BR-265"/>
    <s v="ACESSO JARDINÓPOLIS"/>
    <n v="106.3"/>
    <n v="123.6"/>
    <n v="17.3"/>
    <x v="1"/>
    <m/>
    <m/>
    <s v="Estadual"/>
    <m/>
    <s v="SP-330"/>
    <s v="DUP"/>
    <s v="Estadual"/>
    <s v="PLA"/>
    <s v="São José do Rio Preto"/>
  </r>
  <r>
    <x v="0"/>
    <s v="050BSP0380"/>
    <n v="0"/>
    <x v="27"/>
    <s v="0380"/>
    <n v="-47.825962740088301"/>
    <n v="-21.0500189901841"/>
    <n v="-47.794676149884303"/>
    <n v="-21.092621889988202"/>
    <s v="050"/>
    <s v="SP"/>
    <s v="Eixo Principal"/>
    <s v="-"/>
    <s v="050BSP0380"/>
    <s v="ACESSO JARDINÓPOLIS"/>
    <s v="ENTR SP-328"/>
    <n v="123.6"/>
    <n v="129.6"/>
    <n v="6"/>
    <x v="1"/>
    <m/>
    <m/>
    <s v="Estadual"/>
    <m/>
    <s v="SP-330"/>
    <s v="DUP"/>
    <s v="Estadual"/>
    <s v="PLA"/>
    <s v="São José do Rio Preto"/>
  </r>
  <r>
    <x v="0"/>
    <s v="050BSP0387"/>
    <n v="0"/>
    <x v="27"/>
    <s v="0387"/>
    <n v="-47.794676149884303"/>
    <n v="-21.092621889988202"/>
    <n v="-47.780580749901603"/>
    <n v="-21.1127987997247"/>
    <s v="050"/>
    <s v="SP"/>
    <s v="Eixo Principal"/>
    <s v="-"/>
    <s v="050BSP0387"/>
    <s v="ENTR SP-328"/>
    <s v="ENTR SP-334"/>
    <n v="129.6"/>
    <n v="132.1"/>
    <n v="2.5"/>
    <x v="1"/>
    <m/>
    <m/>
    <s v="Estadual"/>
    <m/>
    <s v="SP-330"/>
    <s v="DUP"/>
    <s v="Estadual"/>
    <s v="PLA"/>
    <s v="São José do Rio Preto"/>
  </r>
  <r>
    <x v="0"/>
    <s v="050BSP0390"/>
    <n v="0"/>
    <x v="27"/>
    <s v="0390"/>
    <n v="-47.780580749901603"/>
    <n v="-21.1127987997247"/>
    <n v="-47.758834050151201"/>
    <n v="-21.208112319927501"/>
    <s v="050"/>
    <s v="SP"/>
    <s v="Eixo Principal"/>
    <s v="-"/>
    <s v="050BSP0390"/>
    <s v="ENTR SP-334"/>
    <s v="ENTR SP-255/333 (RIBEIRÃO PRETO)"/>
    <n v="132.1"/>
    <n v="145.5"/>
    <n v="13.4"/>
    <x v="1"/>
    <m/>
    <m/>
    <s v="Estadual"/>
    <m/>
    <s v="SP-330"/>
    <s v="DUP"/>
    <s v="Estadual"/>
    <s v="PLA"/>
    <s v="São José do Rio Preto"/>
  </r>
  <r>
    <x v="0"/>
    <s v="050BSP0410"/>
    <n v="0"/>
    <x v="27"/>
    <s v="0410"/>
    <n v="-47.758834050151201"/>
    <n v="-21.208112319927501"/>
    <n v="-47.726060639586798"/>
    <n v="-21.335398800114401"/>
    <s v="050"/>
    <s v="SP"/>
    <s v="Eixo Principal"/>
    <s v="-"/>
    <s v="050BSP0410"/>
    <s v="ENTR SP-255/333 (RIBEIRÃO PRETO)"/>
    <s v="ENTR SP-271 (CRAVINHOS)"/>
    <n v="145.5"/>
    <n v="160.6"/>
    <n v="15.1"/>
    <x v="1"/>
    <m/>
    <m/>
    <s v="Estadual"/>
    <m/>
    <s v="SP-330"/>
    <s v="DUP"/>
    <s v="Estadual"/>
    <s v="PLA"/>
    <s v="São José do Rio Preto"/>
  </r>
  <r>
    <x v="0"/>
    <s v="050BSP0430"/>
    <n v="0"/>
    <x v="27"/>
    <s v="0430"/>
    <n v="-47.726060639586798"/>
    <n v="-21.335398800114401"/>
    <n v="-47.641463160296503"/>
    <n v="-21.466152750449002"/>
    <s v="050"/>
    <s v="SP"/>
    <s v="Eixo Principal"/>
    <s v="-"/>
    <s v="050BSP0430"/>
    <s v="ENTR SP-271 (CRAVINHOS)"/>
    <s v="ENTR SP-253 (P/SÃO SIMÃO)"/>
    <n v="160.6"/>
    <n v="178.8"/>
    <n v="18.2"/>
    <x v="1"/>
    <m/>
    <m/>
    <s v="Estadual"/>
    <m/>
    <s v="SP-330"/>
    <s v="DUP"/>
    <s v="Estadual"/>
    <s v="PLA"/>
    <s v="São José do Rio Preto"/>
  </r>
  <r>
    <x v="0"/>
    <s v="050BSP0450"/>
    <n v="0"/>
    <x v="27"/>
    <s v="0450"/>
    <n v="-47.641463160296503"/>
    <n v="-21.466152750449002"/>
    <n v="-47.6426865296595"/>
    <n v="-21.5278800896943"/>
    <s v="050"/>
    <s v="SP"/>
    <s v="Eixo Principal"/>
    <s v="-"/>
    <s v="050BSP0450"/>
    <s v="ENTR SP-253 (P/SÃO SIMÃO)"/>
    <s v="ENTR SP-253 (P/LUÍS ANTÔNIO)"/>
    <n v="178.8"/>
    <n v="185.3"/>
    <n v="6.5"/>
    <x v="1"/>
    <m/>
    <m/>
    <s v="Estadual"/>
    <m/>
    <s v="SP-330"/>
    <s v="DUP"/>
    <s v="Estadual"/>
    <s v="PLA"/>
    <s v="São José do Rio Preto"/>
  </r>
  <r>
    <x v="0"/>
    <s v="050BSP0470"/>
    <n v="0"/>
    <x v="27"/>
    <s v="0470"/>
    <n v="-47.6426865296595"/>
    <n v="-21.5278800896943"/>
    <n v="-47.607752309921104"/>
    <n v="-21.6654434097854"/>
    <s v="050"/>
    <s v="SP"/>
    <s v="Eixo Principal"/>
    <s v="-"/>
    <s v="050BSP0470"/>
    <s v="ENTR SP-253 (P/LUÍS ANTÔNIO)"/>
    <s v="ENTR SP-328"/>
    <n v="185.3"/>
    <n v="200.8"/>
    <n v="15.5"/>
    <x v="1"/>
    <m/>
    <m/>
    <s v="Estadual"/>
    <m/>
    <s v="SP-330"/>
    <s v="DUP"/>
    <s v="Estadual"/>
    <s v="PLA"/>
    <s v="São José do Rio Preto"/>
  </r>
  <r>
    <x v="0"/>
    <s v="050BSP0475"/>
    <n v="0"/>
    <x v="27"/>
    <s v="0475"/>
    <n v="-47.607752309921104"/>
    <n v="-21.6654434097854"/>
    <n v="-47.5639550798629"/>
    <n v="-21.755989919699001"/>
    <s v="050"/>
    <s v="SP"/>
    <s v="Eixo Principal"/>
    <s v="-"/>
    <s v="050BSP0475"/>
    <s v="ENTR SP-328"/>
    <s v="ACESSO SANTA RITA DO PASSA QUATRO"/>
    <n v="200.8"/>
    <n v="212"/>
    <n v="11.2"/>
    <x v="1"/>
    <m/>
    <m/>
    <s v="Estadual"/>
    <m/>
    <s v="SP-330"/>
    <s v="DUP"/>
    <s v="Estadual"/>
    <s v="PLA"/>
    <s v="São José do Rio Preto"/>
  </r>
  <r>
    <x v="0"/>
    <s v="050BSP0483"/>
    <n v="0"/>
    <x v="27"/>
    <s v="0483"/>
    <n v="-47.5639550798629"/>
    <n v="-21.755989919699001"/>
    <n v="-47.495078580012397"/>
    <n v="-21.835047669614099"/>
    <s v="050"/>
    <s v="SP"/>
    <s v="Eixo Principal"/>
    <s v="-"/>
    <s v="050BSP0483"/>
    <s v="ACESSO SANTA RITA DO PASSA QUATRO"/>
    <s v="ENTR BR-267(A)"/>
    <n v="212"/>
    <n v="223.3"/>
    <n v="11.3"/>
    <x v="1"/>
    <m/>
    <m/>
    <s v="Estadual"/>
    <m/>
    <s v="SP-330"/>
    <s v="DUP"/>
    <s v="Estadual"/>
    <s v="PLA"/>
    <s v="São José do Rio Preto"/>
  </r>
  <r>
    <x v="0"/>
    <s v="050BSP0487"/>
    <n v="0"/>
    <x v="27"/>
    <s v="0487"/>
    <n v="-47.495078580012397"/>
    <n v="-21.835047669614099"/>
    <n v="-47.495024500180399"/>
    <n v="-21.850593610406701"/>
    <s v="050"/>
    <s v="SP"/>
    <s v="Eixo Principal"/>
    <s v="-"/>
    <s v="050BSP0487"/>
    <s v="ENTR BR-267(A)"/>
    <s v="ENTR BR-267(B) (PORTO FERREIRA)"/>
    <n v="223.3"/>
    <n v="225.5"/>
    <n v="2.2000000000000002"/>
    <x v="1"/>
    <m/>
    <s v="267BSP0540"/>
    <s v="Estadual"/>
    <m/>
    <s v="SP-330"/>
    <s v="DUP"/>
    <s v="Estadual"/>
    <s v="PLA"/>
    <s v="São José do Rio Preto"/>
  </r>
  <r>
    <x v="0"/>
    <s v="050BSP0490"/>
    <n v="0"/>
    <x v="27"/>
    <s v="0490"/>
    <n v="-47.495024500180399"/>
    <n v="-21.850593610406701"/>
    <n v="-47.432559199747203"/>
    <n v="-22.0379164498842"/>
    <s v="050"/>
    <s v="SP"/>
    <s v="Eixo Principal"/>
    <s v="-"/>
    <s v="050BSP0490"/>
    <s v="ENTR BR-267(B) (PORTO FERREIRA)"/>
    <s v="ENTR BR-369 (P/PIRASSUNUNGA)"/>
    <n v="225.5"/>
    <n v="247.3"/>
    <n v="21.8"/>
    <x v="1"/>
    <m/>
    <m/>
    <s v="Estadual"/>
    <m/>
    <s v="SP-330"/>
    <s v="DUP"/>
    <s v="Estadual"/>
    <s v="PLA"/>
    <s v="São José do Rio Preto"/>
  </r>
  <r>
    <x v="0"/>
    <s v="050BSP0510"/>
    <n v="0"/>
    <x v="27"/>
    <s v="0510"/>
    <n v="-47.432559199747203"/>
    <n v="-22.0379164498842"/>
    <n v="-47.398057120439702"/>
    <n v="-22.189226769899399"/>
    <s v="050"/>
    <s v="SP"/>
    <s v="Eixo Principal"/>
    <s v="-"/>
    <s v="050BSP0510"/>
    <s v="ENTR BR-369 (P/PIRASSUNUNGA)"/>
    <s v="ACESSO LEME"/>
    <n v="247.3"/>
    <n v="264.3"/>
    <n v="17"/>
    <x v="1"/>
    <m/>
    <m/>
    <s v="Estadual"/>
    <m/>
    <s v="SP-330"/>
    <s v="DUP"/>
    <s v="Estadual"/>
    <s v="PLA"/>
    <s v="São José do Rio Preto"/>
  </r>
  <r>
    <x v="0"/>
    <s v="050BSP0530"/>
    <n v="0"/>
    <x v="27"/>
    <s v="0530"/>
    <n v="-47.398057120439702"/>
    <n v="-22.189226769899399"/>
    <n v="-47.394629529828798"/>
    <n v="-22.376822800032102"/>
    <s v="050"/>
    <s v="SP"/>
    <s v="Eixo Principal"/>
    <s v="-"/>
    <s v="050BSP0530"/>
    <s v="ACESSO LEME"/>
    <s v="ENTR SP-191 (ARARAS)"/>
    <n v="264.3"/>
    <n v="285.39999999999998"/>
    <n v="21.1"/>
    <x v="1"/>
    <m/>
    <m/>
    <s v="Estadual"/>
    <m/>
    <s v="SP-330"/>
    <s v="DUP"/>
    <s v="Estadual"/>
    <s v="PLA"/>
    <s v="Taubaté"/>
  </r>
  <r>
    <x v="0"/>
    <s v="050BSP0550"/>
    <n v="0"/>
    <x v="27"/>
    <s v="0550"/>
    <n v="-47.394629529828798"/>
    <n v="-22.376822800032102"/>
    <n v="-47.398855339801997"/>
    <n v="-22.470243939805901"/>
    <s v="050"/>
    <s v="SP"/>
    <s v="Eixo Principal"/>
    <s v="-"/>
    <s v="050BSP0550"/>
    <s v="ENTR SP-191 (ARARAS)"/>
    <s v="ENTR SP-316 (P/CORDEIRÓPOLIS)"/>
    <n v="285.39999999999998"/>
    <n v="294.60000000000002"/>
    <n v="9.1999999999999993"/>
    <x v="1"/>
    <m/>
    <m/>
    <s v="Estadual"/>
    <m/>
    <s v="SP-330"/>
    <s v="DUP"/>
    <s v="Estadual"/>
    <s v="PLA"/>
    <s v="Taubaté"/>
  </r>
  <r>
    <x v="0"/>
    <s v="050BSP0565"/>
    <n v="0"/>
    <x v="27"/>
    <s v="0565"/>
    <n v="-47.398855339801997"/>
    <n v="-22.470243939805901"/>
    <n v="-47.3994040395647"/>
    <n v="-22.502899710053502"/>
    <s v="050"/>
    <s v="SP"/>
    <s v="Eixo Principal"/>
    <s v="-"/>
    <s v="050BSP0565"/>
    <s v="ENTR SP-316 (P/CORDEIRÓPOLIS)"/>
    <s v="ENTR BR-364 (P/RIO CLARO)"/>
    <n v="294.60000000000002"/>
    <n v="297.7"/>
    <n v="3.1"/>
    <x v="1"/>
    <m/>
    <m/>
    <s v="Estadual"/>
    <m/>
    <s v="SP-330"/>
    <s v="DUP"/>
    <s v="Estadual"/>
    <s v="PLA"/>
    <s v="Taubaté"/>
  </r>
  <r>
    <x v="0"/>
    <s v="050BSP0570"/>
    <n v="0"/>
    <x v="27"/>
    <s v="0570"/>
    <n v="-47.3994040395647"/>
    <n v="-22.502899710053502"/>
    <n v="-47.3757730802634"/>
    <n v="-22.545735199719601"/>
    <s v="050"/>
    <s v="SP"/>
    <s v="Eixo Principal"/>
    <s v="-"/>
    <s v="050BSP0570"/>
    <s v="ENTR BR-364 (P/RIO CLARO)"/>
    <s v="ENTR BR-373/478 (LIMEIRA)"/>
    <n v="297.7"/>
    <n v="302.5"/>
    <n v="4.8"/>
    <x v="1"/>
    <m/>
    <m/>
    <s v="Estadual"/>
    <m/>
    <s v="SP-330"/>
    <s v="DUP"/>
    <s v="Estadual"/>
    <s v="PLA"/>
    <s v="Taubaté"/>
  </r>
  <r>
    <x v="0"/>
    <s v="050BSP0590"/>
    <n v="0"/>
    <x v="27"/>
    <s v="0590"/>
    <n v="-47.3757730802634"/>
    <n v="-22.545735199719601"/>
    <n v="-47.328768650153002"/>
    <n v="-22.639376999848501"/>
    <s v="050"/>
    <s v="SP"/>
    <s v="Eixo Principal"/>
    <s v="-"/>
    <s v="050BSP0590"/>
    <s v="ENTR BR-373/478 (LIMEIRA)"/>
    <s v="ENTR SP-133"/>
    <n v="302.5"/>
    <n v="315.10000000000002"/>
    <n v="12.6"/>
    <x v="1"/>
    <m/>
    <m/>
    <s v="Estadual"/>
    <m/>
    <s v="SP-330"/>
    <s v="DUP"/>
    <s v="Estadual"/>
    <s v="PLA"/>
    <s v="Taubaté"/>
  </r>
  <r>
    <x v="0"/>
    <s v="050BSP0610"/>
    <n v="0"/>
    <x v="27"/>
    <s v="0610"/>
    <n v="-47.328768650153002"/>
    <n v="-22.639376999848501"/>
    <n v="-47.257275210382602"/>
    <n v="-22.754299569969099"/>
    <s v="050"/>
    <s v="SP"/>
    <s v="Eixo Principal"/>
    <s v="-"/>
    <s v="050BSP0610"/>
    <s v="ENTR SP-133"/>
    <s v="ENTR SP-304"/>
    <n v="315.10000000000002"/>
    <n v="329.9"/>
    <n v="14.8"/>
    <x v="1"/>
    <m/>
    <m/>
    <s v="Estadual"/>
    <m/>
    <s v="SP-330"/>
    <s v="DUP"/>
    <s v="Estadual"/>
    <s v="PLA"/>
    <s v="Taubaté"/>
  </r>
  <r>
    <x v="0"/>
    <s v="050BSP0630"/>
    <n v="0"/>
    <x v="27"/>
    <s v="0630"/>
    <n v="-47.257275210382602"/>
    <n v="-22.754299569969099"/>
    <n v="-47.2505546999394"/>
    <n v="-22.7607014901815"/>
    <s v="050"/>
    <s v="SP"/>
    <s v="Eixo Principal"/>
    <s v="-"/>
    <s v="050BSP0630"/>
    <s v="ENTR SP-304"/>
    <s v="ACESSO NOVA ODESSA"/>
    <n v="329.9"/>
    <n v="331.9"/>
    <n v="2"/>
    <x v="1"/>
    <m/>
    <m/>
    <s v="Estadual"/>
    <m/>
    <s v="SP-330"/>
    <s v="DUP"/>
    <s v="Estadual"/>
    <s v="PLA"/>
    <s v="Taubaté"/>
  </r>
  <r>
    <x v="0"/>
    <s v="050BSP0633"/>
    <n v="0"/>
    <x v="27"/>
    <s v="0633"/>
    <n v="-47.2505546999394"/>
    <n v="-22.7607014901815"/>
    <n v="-47.226045350312603"/>
    <n v="-22.792395609969301"/>
    <s v="050"/>
    <s v="SP"/>
    <s v="Eixo Principal"/>
    <s v="-"/>
    <s v="050BSP0633"/>
    <s v="ACESSO NOVA ODESSA"/>
    <s v="ACESSO SUMARÉ"/>
    <n v="331.9"/>
    <n v="335.2"/>
    <n v="3.3"/>
    <x v="1"/>
    <m/>
    <m/>
    <s v="Estadual"/>
    <m/>
    <s v="SP-330"/>
    <s v="DUP"/>
    <s v="Estadual"/>
    <s v="PLA"/>
    <s v="Taubaté"/>
  </r>
  <r>
    <x v="0"/>
    <s v="050BSP0635"/>
    <n v="0"/>
    <x v="27"/>
    <s v="0635"/>
    <n v="-47.226045350312603"/>
    <n v="-22.792395609969301"/>
    <n v="-47.196431939782101"/>
    <n v="-22.820612900364999"/>
    <s v="050"/>
    <s v="SP"/>
    <s v="Eixo Principal"/>
    <s v="-"/>
    <s v="050BSP0635"/>
    <s v="ACESSO SUMARÉ"/>
    <s v="ACESSO PAULÍNIA"/>
    <n v="335.2"/>
    <n v="340.5"/>
    <n v="5.3"/>
    <x v="1"/>
    <m/>
    <m/>
    <s v="Estadual"/>
    <m/>
    <s v="SP-330"/>
    <s v="DUP"/>
    <s v="Estadual"/>
    <s v="PLA"/>
    <s v="Taubaté"/>
  </r>
  <r>
    <x v="0"/>
    <s v="050BSP0637"/>
    <n v="0"/>
    <x v="27"/>
    <s v="0637"/>
    <n v="-47.196431939782101"/>
    <n v="-22.820612900364999"/>
    <n v="-47.144709829894602"/>
    <n v="-22.859025839870501"/>
    <s v="050"/>
    <s v="SP"/>
    <s v="Eixo Principal"/>
    <s v="-"/>
    <s v="050BSP0637"/>
    <s v="ACESSO PAULÍNIA"/>
    <s v="ENTR SP-065"/>
    <n v="340.5"/>
    <n v="347.2"/>
    <n v="6.7"/>
    <x v="1"/>
    <m/>
    <m/>
    <s v="Estadual"/>
    <m/>
    <s v="SP-330"/>
    <s v="DUP"/>
    <s v="Estadual"/>
    <s v="PLA"/>
    <s v="Taubaté"/>
  </r>
  <r>
    <x v="0"/>
    <s v="050BSP0641"/>
    <n v="0"/>
    <x v="27"/>
    <s v="0641"/>
    <n v="-47.144709829894602"/>
    <n v="-22.859025839870501"/>
    <n v="-47.110401630031099"/>
    <n v="-22.896248069792499"/>
    <s v="050"/>
    <s v="SP"/>
    <s v="Eixo Principal"/>
    <s v="-"/>
    <s v="050BSP0641"/>
    <s v="ENTR SP-065"/>
    <s v="ENTR SP-101"/>
    <n v="347.2"/>
    <n v="352.6"/>
    <n v="5.4"/>
    <x v="1"/>
    <m/>
    <m/>
    <s v="Estadual"/>
    <m/>
    <s v="SP-330"/>
    <s v="DUP"/>
    <s v="Estadual"/>
    <s v="PLA"/>
    <s v="Taubaté"/>
  </r>
  <r>
    <x v="0"/>
    <s v="050BSP0645"/>
    <n v="0"/>
    <x v="27"/>
    <s v="0645"/>
    <n v="-47.110401630031099"/>
    <n v="-22.896248069792499"/>
    <n v="-47.073406460039998"/>
    <n v="-22.933160950017701"/>
    <s v="050"/>
    <s v="SP"/>
    <s v="Eixo Principal"/>
    <s v="-"/>
    <s v="050BSP0645"/>
    <s v="ENTR SP-101"/>
    <s v="ENTR SP-073/075 (CAMPINAS)"/>
    <n v="352.6"/>
    <n v="358.2"/>
    <n v="5.6"/>
    <x v="1"/>
    <m/>
    <m/>
    <s v="Estadual"/>
    <m/>
    <s v="SP-330"/>
    <s v="DUP"/>
    <s v="Estadual"/>
    <s v="PLA"/>
    <s v="Taubaté"/>
  </r>
  <r>
    <x v="0"/>
    <s v="050BSP0650"/>
    <n v="0"/>
    <x v="27"/>
    <s v="0650"/>
    <n v="-47.073406460039998"/>
    <n v="-22.933160950017701"/>
    <n v="-47.024361360288403"/>
    <n v="-23.010697940057799"/>
    <s v="050"/>
    <s v="SP"/>
    <s v="Eixo Principal"/>
    <s v="-"/>
    <s v="050BSP0650"/>
    <s v="ENTR SP-073/075 (CAMPINAS)"/>
    <s v="ACESSO VALINHOS"/>
    <n v="358.2"/>
    <n v="367.9"/>
    <n v="9.6999999999999993"/>
    <x v="1"/>
    <m/>
    <m/>
    <s v="Estadual"/>
    <m/>
    <s v="SP-330"/>
    <s v="DUP"/>
    <s v="Estadual"/>
    <s v="PLA"/>
    <s v="Taubaté"/>
  </r>
  <r>
    <x v="0"/>
    <s v="050BSP0665"/>
    <n v="0"/>
    <x v="27"/>
    <s v="0665"/>
    <n v="-47.024361360288403"/>
    <n v="-23.010697940057799"/>
    <n v="-46.993819280135597"/>
    <n v="-23.061380369808099"/>
    <s v="050"/>
    <s v="SP"/>
    <s v="Eixo Principal"/>
    <s v="-"/>
    <s v="050BSP0665"/>
    <s v="ACESSO VALINHOS"/>
    <s v="ENTR SP-324 (VINHEDO)"/>
    <n v="367.9"/>
    <n v="374.6"/>
    <n v="6.7"/>
    <x v="1"/>
    <m/>
    <m/>
    <s v="Estadual"/>
    <m/>
    <s v="SP-330"/>
    <s v="DUP"/>
    <s v="Estadual"/>
    <s v="PLA"/>
    <s v="Taubaté"/>
  </r>
  <r>
    <x v="0"/>
    <s v="050BSP0670"/>
    <n v="0"/>
    <x v="27"/>
    <s v="0670"/>
    <n v="-46.993819280135597"/>
    <n v="-23.061380369808099"/>
    <n v="-46.968342879620103"/>
    <n v="-23.096291809719201"/>
    <s v="050"/>
    <s v="SP"/>
    <s v="Eixo Principal"/>
    <s v="-"/>
    <s v="050BSP0670"/>
    <s v="ENTR SP-324 (VINHEDO)"/>
    <s v="ENTR SP-063 (LOUVEIRA)"/>
    <n v="374.6"/>
    <n v="379.3"/>
    <n v="4.7"/>
    <x v="1"/>
    <m/>
    <m/>
    <s v="Estadual"/>
    <m/>
    <s v="SP-330"/>
    <s v="DUP"/>
    <s v="Estadual"/>
    <s v="PLA"/>
    <s v="Taubaté"/>
  </r>
  <r>
    <x v="0"/>
    <s v="050BSP0690"/>
    <n v="0"/>
    <x v="27"/>
    <s v="0690"/>
    <n v="-46.968342879620103"/>
    <n v="-23.096291809719201"/>
    <n v="-46.923891710234201"/>
    <n v="-23.170985870101699"/>
    <s v="050"/>
    <s v="SP"/>
    <s v="Eixo Principal"/>
    <s v="-"/>
    <s v="050BSP0690"/>
    <s v="ENTR SP-063 (LOUVEIRA)"/>
    <s v="ENTR SP-300/360 (JUNDIAÍ)"/>
    <n v="379.3"/>
    <n v="389"/>
    <n v="9.6999999999999993"/>
    <x v="1"/>
    <m/>
    <m/>
    <s v="Estadual"/>
    <m/>
    <s v="SP-330"/>
    <s v="DUP"/>
    <s v="Estadual"/>
    <s v="PLA"/>
    <s v="Taubaté"/>
  </r>
  <r>
    <x v="0"/>
    <s v="050BSP0710"/>
    <n v="0"/>
    <x v="27"/>
    <s v="0710"/>
    <n v="-46.923891710234201"/>
    <n v="-23.170985870101699"/>
    <n v="-46.838904620351897"/>
    <n v="-23.344026040169499"/>
    <s v="050"/>
    <s v="SP"/>
    <s v="Eixo Principal"/>
    <s v="-"/>
    <s v="050BSP0710"/>
    <s v="ENTR SP-300/360 (JUNDIAÍ)"/>
    <s v="ENTR SP-354"/>
    <n v="389"/>
    <n v="412.3"/>
    <n v="23.3"/>
    <x v="1"/>
    <m/>
    <m/>
    <s v="Estadual"/>
    <m/>
    <s v="SP-330"/>
    <s v="DUP"/>
    <s v="Estadual"/>
    <s v="PLA"/>
    <s v="Taubaté"/>
  </r>
  <r>
    <x v="0"/>
    <s v="050BSP0730"/>
    <n v="0"/>
    <x v="27"/>
    <s v="0730"/>
    <n v="-46.838904620351897"/>
    <n v="-23.344026040169499"/>
    <n v="-46.726631190376999"/>
    <n v="-23.5142620800309"/>
    <s v="050"/>
    <s v="SP"/>
    <s v="Eixo Principal"/>
    <s v="-"/>
    <s v="050BSP0730"/>
    <s v="ENTR SP-354"/>
    <s v="ENTR BR-116/SP- 015/MARGINAL TIETÊ (SÃO PAULO)"/>
    <n v="412.3"/>
    <n v="438.8"/>
    <n v="26.5"/>
    <x v="1"/>
    <m/>
    <m/>
    <s v="Estadual"/>
    <m/>
    <s v="SP-330"/>
    <s v="DUP"/>
    <s v="Estadual"/>
    <s v="PLA"/>
    <s v="Taubaté"/>
  </r>
  <r>
    <x v="0"/>
    <s v="050BSP0750"/>
    <n v="0"/>
    <x v="27"/>
    <s v="0750"/>
    <n v="-46.726631190376999"/>
    <n v="-23.5142620800309"/>
    <n v="-46.600915770046598"/>
    <n v="-23.613936939837799"/>
    <s v="050"/>
    <s v="SP"/>
    <s v="Eixo Principal"/>
    <s v="-"/>
    <s v="050BSP0750"/>
    <s v="ENTR BR-116/SP- 015/MARGINAL TIETÊ (SÃO PAULO)"/>
    <s v="ENTR R. REGINO ARAGÃO/SP-150"/>
    <n v="438.8"/>
    <n v="439.8"/>
    <n v="1"/>
    <x v="1"/>
    <m/>
    <m/>
    <s v="Federal"/>
    <m/>
    <m/>
    <m/>
    <s v="Federal"/>
    <s v="PLA"/>
    <s v="Taubaté"/>
  </r>
  <r>
    <x v="0"/>
    <s v="050BSP0760"/>
    <n v="0"/>
    <x v="27"/>
    <s v="0760"/>
    <n v="-46.600915770046598"/>
    <n v="-23.613936939837799"/>
    <n v="-46.528098539915597"/>
    <n v="-23.776815459665599"/>
    <s v="050"/>
    <s v="SP"/>
    <s v="Eixo Principal"/>
    <s v="-"/>
    <s v="050BSP0760"/>
    <s v="ENTR R. REGINO ARAGÃO/SP-150"/>
    <s v="ENTR SP-148 (KM 29)"/>
    <n v="439.8"/>
    <n v="459.5"/>
    <n v="19.7"/>
    <x v="1"/>
    <m/>
    <m/>
    <s v="Estadual"/>
    <m/>
    <s v="SP-150"/>
    <s v="DUP"/>
    <s v="Estadual"/>
    <s v="PLA"/>
    <s v="Taubaté"/>
  </r>
  <r>
    <x v="0"/>
    <s v="050BSP0770"/>
    <n v="0"/>
    <x v="27"/>
    <s v="0770"/>
    <n v="-46.528098539915597"/>
    <n v="-23.776815459665599"/>
    <n v="-46.497498850091802"/>
    <n v="-23.863477949647599"/>
    <s v="050"/>
    <s v="SP"/>
    <s v="Eixo Principal"/>
    <s v="-"/>
    <s v="050BSP0770"/>
    <s v="ENTR SP-148 (KM 29)"/>
    <s v="ENTR SP-160 (ENTR PISTA INVERSA (A))"/>
    <n v="459.5"/>
    <n v="470.1"/>
    <n v="10.6"/>
    <x v="1"/>
    <m/>
    <m/>
    <s v="Estadual"/>
    <m/>
    <s v="SP-150"/>
    <s v="DUP"/>
    <s v="Estadual"/>
    <s v="PLA"/>
    <s v="Taubaté"/>
  </r>
  <r>
    <x v="0"/>
    <s v="050BSP0790"/>
    <n v="0"/>
    <x v="27"/>
    <s v="0790"/>
    <n v="-46.497498850091802"/>
    <n v="-23.863477949647599"/>
    <n v="-46.457129420186497"/>
    <n v="-23.880808200238199"/>
    <s v="050"/>
    <s v="SP"/>
    <s v="Eixo Principal"/>
    <s v="-"/>
    <s v="050BSP0790"/>
    <s v="ENTR SP-160 (ENTR PISTA INVERSA (A))"/>
    <s v="ENTR PISTA INVERSA (B)"/>
    <n v="470.1"/>
    <n v="482.7"/>
    <n v="12.6"/>
    <x v="1"/>
    <m/>
    <m/>
    <s v="Estadual"/>
    <m/>
    <s v="SP-150"/>
    <s v="DUP"/>
    <s v="Estadual"/>
    <s v="PLA"/>
    <s v="Taubaté"/>
  </r>
  <r>
    <x v="0"/>
    <s v="050BSP0810"/>
    <n v="0"/>
    <x v="27"/>
    <s v="0810"/>
    <n v="-46.457129420186497"/>
    <n v="-23.880808200238199"/>
    <n v="-46.4406802803706"/>
    <n v="-23.888475130223"/>
    <s v="050"/>
    <s v="SP"/>
    <s v="Eixo Principal"/>
    <s v="-"/>
    <s v="050BSP0810"/>
    <s v="ENTR PISTA INVERSA (B)"/>
    <s v="ENTR BR-101"/>
    <n v="482.7"/>
    <n v="484.9"/>
    <n v="2.2000000000000002"/>
    <x v="1"/>
    <m/>
    <m/>
    <s v="Estadual"/>
    <m/>
    <s v="SP-150"/>
    <s v="DUP"/>
    <s v="Estadual"/>
    <s v="PLA"/>
    <s v="Taubaté"/>
  </r>
  <r>
    <x v="0"/>
    <s v="050BSP0830"/>
    <n v="0"/>
    <x v="27"/>
    <s v="0830"/>
    <n v="-46.4406802803706"/>
    <n v="-23.888475130223"/>
    <n v="-46.348609719962496"/>
    <n v="-23.9306687503624"/>
    <s v="050"/>
    <s v="SP"/>
    <s v="Eixo Principal"/>
    <s v="-"/>
    <s v="050BSP0830"/>
    <s v="ENTR BR-101"/>
    <s v="SANTOS"/>
    <n v="484.9"/>
    <n v="495.7"/>
    <n v="10.8"/>
    <x v="1"/>
    <m/>
    <m/>
    <s v="Estadual"/>
    <m/>
    <s v="SP-150"/>
    <s v="DUP"/>
    <s v="Estadual"/>
    <s v="PLA"/>
    <s v="Taubaté"/>
  </r>
  <r>
    <x v="0"/>
    <s v="050NMG1005"/>
    <n v="0"/>
    <x v="28"/>
    <s v="1005"/>
    <n v="-48.253857969869301"/>
    <n v="-18.858584010043899"/>
    <n v="-48.172408499952198"/>
    <n v="-18.912431949974401"/>
    <s v="050"/>
    <s v="MG"/>
    <s v="Anel"/>
    <s v="-"/>
    <s v="050NMG1005"/>
    <s v="ENTR BR-050 (KM 65,8)"/>
    <s v="ENTR BR-365 (KM 609,7)(CONTORNO NORTE DE UBERLÂNDIA)"/>
    <n v="0"/>
    <n v="13.4"/>
    <n v="13.4"/>
    <x v="0"/>
    <m/>
    <m/>
    <s v="Concessão Federal"/>
    <m/>
    <m/>
    <m/>
    <s v="Federal"/>
    <s v="PAV"/>
    <s v="Taubaté"/>
  </r>
  <r>
    <x v="0"/>
    <s v="050NMG1010"/>
    <n v="0"/>
    <x v="28"/>
    <s v="1010"/>
    <n v="-48.172408499952198"/>
    <n v="-18.912431949974401"/>
    <n v="-48.192451759640903"/>
    <n v="-18.9287047696093"/>
    <s v="050"/>
    <s v="MG"/>
    <s v="Anel"/>
    <s v="-"/>
    <s v="050NMG1010"/>
    <s v="ENTR BR-365 (KM 609,7)(CONTORNO NORTE DE UBERLÂNDIA)"/>
    <s v="ENTR BR-452(A) (KM 613,2) (CONTORNO LESTE DE UBERLÂNDIA)"/>
    <n v="13.4"/>
    <n v="16.2"/>
    <n v="2.8"/>
    <x v="0"/>
    <m/>
    <s v="365BMG0260"/>
    <s v="Concessão Federal"/>
    <m/>
    <m/>
    <m/>
    <s v="Federal"/>
    <s v="PAV"/>
    <s v="Uberlândia"/>
  </r>
  <r>
    <x v="0"/>
    <s v="050NMG1015"/>
    <n v="0"/>
    <x v="28"/>
    <s v="1015"/>
    <n v="-48.192451759640903"/>
    <n v="-18.9287047696093"/>
    <n v="-48.219316729583298"/>
    <n v="-18.9386550297057"/>
    <s v="050"/>
    <s v="MG"/>
    <s v="Anel"/>
    <s v="-"/>
    <s v="050NMG1015"/>
    <s v="ENTR BR-452(A) (KM 613,2) (CONTORNO LESTE DE UBERLÂNDIA)"/>
    <s v="ENTR BR-050(A)/365(B)/452(B) (KM 74,2) (CONTORNO LESTE DE_x000d__x000a_UBERLÂNDIA)"/>
    <n v="16.2"/>
    <n v="19.3"/>
    <n v="3.1"/>
    <x v="0"/>
    <m/>
    <m/>
    <s v="Concessão Federal"/>
    <m/>
    <m/>
    <m/>
    <s v="Federal"/>
    <s v="PAV"/>
    <s v="Uberlândia"/>
  </r>
  <r>
    <x v="0"/>
    <s v="050NMG1020"/>
    <n v="0"/>
    <x v="28"/>
    <s v="1020"/>
    <n v="-48.219316729583298"/>
    <n v="-18.9386550297057"/>
    <n v="-48.214300509960502"/>
    <n v="-18.971085130374401"/>
    <s v="050"/>
    <s v="MG"/>
    <s v="Anel"/>
    <s v="-"/>
    <s v="050NMG1020"/>
    <s v="ENTR BR-050(A)/365(B)/452(B) (KM 74,2) (CONTORNO LESTE DE UBERLÂNDIA)"/>
    <s v="ENTR BR-050 (B) (KM 77,2)"/>
    <n v="19.3"/>
    <n v="22.9"/>
    <n v="3.6"/>
    <x v="0"/>
    <m/>
    <s v="455BMG0007"/>
    <s v="Concessão Federal"/>
    <m/>
    <m/>
    <m/>
    <s v="Federal"/>
    <s v="PAV"/>
    <s v="Uberlândia"/>
  </r>
  <r>
    <x v="0"/>
    <s v="050NMG1025"/>
    <n v="0"/>
    <x v="28"/>
    <s v="1025"/>
    <n v="-48.214300509960502"/>
    <n v="-18.971085130374401"/>
    <n v="-48.308517799756601"/>
    <n v="-18.9755520800644"/>
    <s v="050"/>
    <s v="MG"/>
    <s v="Anel"/>
    <s v="-"/>
    <s v="050NMG1025"/>
    <s v="ENTR BR-050 (B) (KM 77,2)"/>
    <s v="ENTR BR-455/MG-455 (CONTORNO SUL DE UBERLÂNDIA)"/>
    <n v="22.9"/>
    <n v="33.5"/>
    <n v="10.6"/>
    <x v="2"/>
    <m/>
    <s v="455BMG0008"/>
    <s v="Convênio de Administração"/>
    <m/>
    <m/>
    <m/>
    <s v="Federal"/>
    <s v="PAV"/>
    <s v="Uberlândia"/>
  </r>
  <r>
    <x v="0"/>
    <s v="050NMG1030"/>
    <n v="0"/>
    <x v="28"/>
    <s v="1030"/>
    <n v="-48.308517799756601"/>
    <n v="-18.9755520800644"/>
    <n v="-48.375521000093997"/>
    <n v="-18.963917119979001"/>
    <s v="050"/>
    <s v="MG"/>
    <s v="Anel"/>
    <s v="-"/>
    <s v="050NMG1030"/>
    <s v="ENTR BR-455/MG-455 (CONTORNO SUL DE UBERLÂNDIA)"/>
    <s v="ENTR BR-497 (CONTORNO SUL DE UBERLÂNDIA)"/>
    <n v="33.5"/>
    <n v="41.6"/>
    <n v="8.1"/>
    <x v="5"/>
    <s v="EOP"/>
    <m/>
    <s v="Convênio de Administração"/>
    <m/>
    <m/>
    <m/>
    <s v="Federal"/>
    <s v="N_PAV"/>
    <s v="Uberlândia"/>
  </r>
  <r>
    <x v="0"/>
    <s v="050NMG1035"/>
    <n v="0"/>
    <x v="28"/>
    <s v="1035"/>
    <n v="-48.375521000093997"/>
    <n v="-18.963917119979001"/>
    <n v="-48.355888739573601"/>
    <n v="-18.952922259554601"/>
    <s v="050"/>
    <s v="MG"/>
    <s v="Anel"/>
    <s v="-"/>
    <s v="050NMG1035"/>
    <s v="ENTR BR-497 (CONTORNO SUL DE UBERLÂNDIA)"/>
    <s v="ENTR BR-497(B)/MG-497(B)"/>
    <n v="41.6"/>
    <n v="44"/>
    <n v="2.4"/>
    <x v="2"/>
    <m/>
    <s v="497BMG0015"/>
    <s v="Convênio de Administração"/>
    <m/>
    <m/>
    <m/>
    <s v="Federal"/>
    <s v="PAV"/>
    <s v="Uberlândia"/>
  </r>
  <r>
    <x v="0"/>
    <s v="050NMG1040"/>
    <n v="0"/>
    <x v="28"/>
    <s v="1040"/>
    <n v="-48.355888739573601"/>
    <n v="-18.952922259554601"/>
    <n v="-48.330909590405199"/>
    <n v="-18.906439629585101"/>
    <s v="050"/>
    <s v="MG"/>
    <s v="Anel"/>
    <s v="-"/>
    <s v="050NMG1040"/>
    <s v="ENTR BR-497(B)/MG-497(B)"/>
    <s v="ENTR BR-365 (CONTORNO OESTE DE UBERLÂNDIA)"/>
    <n v="44"/>
    <n v="50.2"/>
    <n v="6.2"/>
    <x v="2"/>
    <m/>
    <s v="497BMG0013"/>
    <s v="Convênio de Administração"/>
    <m/>
    <m/>
    <m/>
    <s v="Federal"/>
    <s v="PAV"/>
    <s v="Uberlândia"/>
  </r>
  <r>
    <x v="0"/>
    <s v="050NMG1050"/>
    <n v="0"/>
    <x v="28"/>
    <s v="1050"/>
    <n v="-48.330909590405199"/>
    <n v="-18.906439629585101"/>
    <n v="-48.253857969869301"/>
    <n v="-18.858584010043899"/>
    <s v="050"/>
    <s v="MG"/>
    <s v="Anel"/>
    <s v="-"/>
    <s v="050NMG1050"/>
    <s v="ENTR BR-365 (CONTORNO OESTE DE UBERLÂNDIA)"/>
    <s v="ENTR BR-050 (CONTORNO OESTE DE UBERLÂNDIA)"/>
    <n v="50.2"/>
    <n v="61.7"/>
    <n v="11.5"/>
    <x v="2"/>
    <m/>
    <m/>
    <s v="Convênio de Administração"/>
    <m/>
    <m/>
    <m/>
    <s v="Federal"/>
    <s v="PAV"/>
    <s v="Uberlândia"/>
  </r>
  <r>
    <x v="0"/>
    <s v="050VSP1005"/>
    <n v="0"/>
    <x v="29"/>
    <s v="1005"/>
    <n v="-46.426228130124002"/>
    <n v="-23.902950189799299"/>
    <n v="-46.355535110357003"/>
    <n v="-23.929856099579201"/>
    <s v="050"/>
    <s v="SP"/>
    <s v="Variante"/>
    <s v="-"/>
    <s v="050VSP1005"/>
    <s v="ENTR PISTA DIRETA (A)"/>
    <s v="ENTR PISTA DIRETA (B)"/>
    <n v="0"/>
    <n v="10.7"/>
    <n v="10.7"/>
    <x v="1"/>
    <m/>
    <m/>
    <s v="Estadual"/>
    <m/>
    <s v="SP-148"/>
    <s v="PAV"/>
    <s v="Estadual"/>
    <s v="PLA"/>
    <s v="Uberlândia"/>
  </r>
  <r>
    <x v="0"/>
    <s v="060AGO1005"/>
    <n v="0"/>
    <x v="30"/>
    <s v="1005"/>
    <n v="-49.325183559973198"/>
    <n v="-16.695021510334399"/>
    <n v="-49.321423338016501"/>
    <n v="-16.6931487234347"/>
    <s v="060"/>
    <s v="GO"/>
    <s v="Acesso"/>
    <s v="-"/>
    <s v="060AGO1005"/>
    <s v="ENTR BR-060 (AV PEDRO LUDOVICO) (KM 168,2)"/>
    <s v="FINAL PISTA DUPLA (GOIÂNIA)"/>
    <n v="0"/>
    <n v="0.4"/>
    <n v="0.4"/>
    <x v="0"/>
    <m/>
    <m/>
    <s v="Federal"/>
    <m/>
    <m/>
    <m/>
    <s v="Federal"/>
    <s v="PAV"/>
    <s v="Taubaté"/>
  </r>
  <r>
    <x v="0"/>
    <s v="060AGO1010"/>
    <n v="0"/>
    <x v="30"/>
    <s v="1010"/>
    <n v="-49.321423338016501"/>
    <n v="-16.6931487234347"/>
    <n v="-49.319367350222898"/>
    <n v="-16.692614279725198"/>
    <s v="060"/>
    <s v="GO"/>
    <s v="Acesso"/>
    <s v="-"/>
    <s v="060AGO1010"/>
    <s v="FINAL PISTA DUPLA (GOIÂNIA)"/>
    <s v="ENTR AV PEDRO LUDOVICO C/ AV CONSOLAÇÃO"/>
    <n v="0.4"/>
    <n v="0.6"/>
    <n v="0.2"/>
    <x v="2"/>
    <m/>
    <m/>
    <s v="Federal"/>
    <m/>
    <m/>
    <m/>
    <s v="Federal"/>
    <s v="PAV"/>
    <s v="Goiânia"/>
  </r>
  <r>
    <x v="2"/>
    <s v="060BDF0010"/>
    <s v="BR-060/153/262/DF/GO/MG (Concebra)"/>
    <x v="31"/>
    <s v="0010"/>
    <n v="-48.060354720394002"/>
    <n v="-15.882538099953299"/>
    <n v="-48.083981510438299"/>
    <n v="-15.889637379661201"/>
    <s v="060"/>
    <s v="DF"/>
    <s v="Eixo Principal"/>
    <s v="-"/>
    <s v="060BDF0010"/>
    <s v="ENTR BR-251/DF-001 (BRASÍLIA)"/>
    <s v="ACESSO I RECANTO DAS EMAS"/>
    <n v="0"/>
    <n v="3"/>
    <n v="3"/>
    <x v="0"/>
    <m/>
    <m/>
    <s v="Concessão Federal"/>
    <m/>
    <m/>
    <m/>
    <s v="Federal"/>
    <s v="PAV"/>
    <s v="Goiânia"/>
  </r>
  <r>
    <x v="2"/>
    <s v="060BDF0011"/>
    <s v="BR-060/153/262/DF/GO/MG (Concebra)"/>
    <x v="31"/>
    <s v="0011"/>
    <n v="-48.083981510438299"/>
    <n v="-15.889637379661201"/>
    <n v="-48.099682440392201"/>
    <n v="-15.8943779202048"/>
    <s v="060"/>
    <s v="DF"/>
    <s v="Eixo Principal"/>
    <s v="-"/>
    <s v="060BDF0011"/>
    <s v="ACESSO I RECANTO DAS EMAS"/>
    <s v="ACESSO II RECANTO DAS EMAS"/>
    <n v="3"/>
    <n v="4.4000000000000004"/>
    <n v="1.4"/>
    <x v="0"/>
    <m/>
    <m/>
    <s v="Concessão Federal"/>
    <m/>
    <m/>
    <m/>
    <s v="Federal"/>
    <s v="PAV"/>
    <s v="Brasília"/>
  </r>
  <r>
    <x v="2"/>
    <s v="060BDF0012"/>
    <s v="BR-060/153/262/DF/GO/MG (Concebra)"/>
    <x v="31"/>
    <s v="0012"/>
    <n v="-48.099682440392201"/>
    <n v="-15.8943779202048"/>
    <n v="-48.144710929565598"/>
    <n v="-15.907968519931201"/>
    <s v="060"/>
    <s v="DF"/>
    <s v="Eixo Principal"/>
    <s v="-"/>
    <s v="060BDF0012"/>
    <s v="ACESSO II RECANTO DAS EMAS"/>
    <s v="ENTR DF-180"/>
    <n v="4.4000000000000004"/>
    <n v="9.4"/>
    <n v="5"/>
    <x v="0"/>
    <m/>
    <m/>
    <s v="Concessão Federal"/>
    <m/>
    <m/>
    <m/>
    <s v="Federal"/>
    <s v="PAV"/>
    <s v="Brasília"/>
  </r>
  <r>
    <x v="2"/>
    <s v="060BDF0014"/>
    <s v="BR-060/153/262/DF/GO/MG (Concebra)"/>
    <x v="31"/>
    <s v="0014"/>
    <n v="-48.144710929565598"/>
    <n v="-15.907968519931201"/>
    <n v="-48.166174840196597"/>
    <n v="-15.9236416401495"/>
    <s v="060"/>
    <s v="DF"/>
    <s v="Eixo Principal"/>
    <s v="-"/>
    <s v="060BDF0014"/>
    <s v="ENTR DF-180"/>
    <s v="ENTR DF-280"/>
    <n v="9.4"/>
    <n v="12.4"/>
    <n v="3"/>
    <x v="0"/>
    <m/>
    <m/>
    <s v="Concessão Federal"/>
    <m/>
    <m/>
    <m/>
    <s v="Federal"/>
    <s v="PAV"/>
    <s v="Brasília"/>
  </r>
  <r>
    <x v="2"/>
    <s v="060BDF0030"/>
    <s v="BR-060/153/262/DF/GO/MG (Concebra)"/>
    <x v="31"/>
    <s v="0030"/>
    <n v="-48.166174840196597"/>
    <n v="-15.9236416401495"/>
    <n v="-48.219317180143697"/>
    <n v="-15.9863124095899"/>
    <s v="060"/>
    <s v="DF"/>
    <s v="Eixo Principal"/>
    <s v="-"/>
    <s v="060BDF0030"/>
    <s v="ENTR DF-280"/>
    <s v="ENTR DF-190"/>
    <n v="12.4"/>
    <n v="22.4"/>
    <n v="10"/>
    <x v="0"/>
    <m/>
    <m/>
    <s v="Concessão Federal"/>
    <m/>
    <m/>
    <m/>
    <s v="Federal"/>
    <s v="PAV"/>
    <s v="Brasília"/>
  </r>
  <r>
    <x v="2"/>
    <s v="060BDF0050"/>
    <s v="BR-060/153/262/DF/GO/MG (Concebra)"/>
    <x v="31"/>
    <s v="0050"/>
    <n v="-48.219317180143697"/>
    <n v="-15.9863124095899"/>
    <n v="-48.255839449730701"/>
    <n v="-16.038198529738299"/>
    <s v="060"/>
    <s v="DF"/>
    <s v="Eixo Principal"/>
    <s v="-"/>
    <s v="060BDF0050"/>
    <s v="ENTR DF-190"/>
    <s v="ENTR DF-290"/>
    <n v="22.4"/>
    <n v="29.9"/>
    <n v="7.5"/>
    <x v="0"/>
    <m/>
    <m/>
    <s v="Concessão Federal"/>
    <m/>
    <m/>
    <m/>
    <s v="Federal"/>
    <s v="PAV"/>
    <s v="Brasília"/>
  </r>
  <r>
    <x v="2"/>
    <s v="060BDF0070"/>
    <s v="BR-060/153/262/DF/GO/MG (Concebra)"/>
    <x v="31"/>
    <s v="0070"/>
    <n v="-48.255839449730701"/>
    <n v="-16.038198529738299"/>
    <n v="-48.259631950154301"/>
    <n v="-16.052172239756899"/>
    <s v="060"/>
    <s v="DF"/>
    <s v="Eixo Principal"/>
    <s v="-"/>
    <s v="060BDF0070"/>
    <s v="ENTR DF-290"/>
    <s v="DIV DF/GO"/>
    <n v="29.9"/>
    <n v="31.3"/>
    <n v="1.4"/>
    <x v="0"/>
    <m/>
    <m/>
    <s v="Concessão Federal"/>
    <m/>
    <m/>
    <m/>
    <s v="Federal"/>
    <s v="PAV"/>
    <s v="Brasília"/>
  </r>
  <r>
    <x v="2"/>
    <s v="060BGO0090"/>
    <s v="BR-060/153/262/DF/GO/MG (Concebra)"/>
    <x v="32"/>
    <s v="0090"/>
    <n v="-48.259631950154301"/>
    <n v="-16.052172239756899"/>
    <n v="-48.276694920434103"/>
    <n v="-16.090772249939299"/>
    <s v="060"/>
    <s v="GO"/>
    <s v="Eixo Principal"/>
    <s v="-"/>
    <s v="060BGO0090"/>
    <s v="DIV DF/GO"/>
    <s v="ENTR GO-425"/>
    <n v="0"/>
    <n v="4.8"/>
    <n v="4.8"/>
    <x v="0"/>
    <m/>
    <m/>
    <s v="Concessão Federal"/>
    <m/>
    <m/>
    <m/>
    <s v="Federal"/>
    <s v="PAV"/>
    <s v="Brasília"/>
  </r>
  <r>
    <x v="2"/>
    <s v="060BGO0092"/>
    <s v="BR-060/153/262/DF/GO/MG (Concebra)"/>
    <x v="32"/>
    <s v="0092"/>
    <n v="-48.276694920434103"/>
    <n v="-16.090772249939299"/>
    <n v="-48.487839159649397"/>
    <n v="-16.095400029887401"/>
    <s v="060"/>
    <s v="GO"/>
    <s v="Eixo Principal"/>
    <s v="-"/>
    <s v="060BGO0092"/>
    <s v="ENTR GO-425"/>
    <s v="ENTR GO-139 (INÍCIO TRAVESSIA URBANA ALEXÂNIA)"/>
    <n v="4.8"/>
    <n v="30.4"/>
    <n v="25.6"/>
    <x v="0"/>
    <m/>
    <m/>
    <s v="Concessão Federal"/>
    <m/>
    <m/>
    <m/>
    <s v="Federal"/>
    <s v="PAV"/>
    <s v="Goiânia"/>
  </r>
  <r>
    <x v="2"/>
    <s v="060BGO0100"/>
    <s v="BR-060/153/262/DF/GO/MG (Concebra)"/>
    <x v="32"/>
    <s v="0100"/>
    <n v="-48.487839159649397"/>
    <n v="-16.095400029887401"/>
    <n v="-48.515938909552901"/>
    <n v="-16.093189659974701"/>
    <s v="060"/>
    <s v="GO"/>
    <s v="Eixo Principal"/>
    <s v="-"/>
    <s v="060BGO0100"/>
    <s v="ENTR GO-139 (INÍCIO TRAVESSIA URBANA ALEXÂNIA)"/>
    <s v="ALEXÂNIA (FIM TRAVESSIA URBANA) *TRECHO URBANO*"/>
    <n v="30.4"/>
    <n v="32.4"/>
    <n v="2"/>
    <x v="0"/>
    <m/>
    <m/>
    <s v="Concessão Federal"/>
    <m/>
    <m/>
    <m/>
    <s v="Federal"/>
    <s v="PAV"/>
    <s v="Goiânia"/>
  </r>
  <r>
    <x v="2"/>
    <s v="060BGO0110"/>
    <s v="BR-060/153/262/DF/GO/MG (Concebra)"/>
    <x v="32"/>
    <s v="0110"/>
    <n v="-48.515938909552901"/>
    <n v="-16.093189659974701"/>
    <n v="-48.702764940149798"/>
    <n v="-16.190611559775601"/>
    <s v="060"/>
    <s v="GO"/>
    <s v="Eixo Principal"/>
    <s v="-"/>
    <s v="060BGO0110"/>
    <s v="ALEXÂNIA (FIM TRAVESSIA URBANA)"/>
    <s v="INÍCIO TRAVESSIA URBANA ABADIÂNIA"/>
    <n v="32.4"/>
    <n v="60.4"/>
    <n v="28"/>
    <x v="0"/>
    <m/>
    <m/>
    <s v="Concessão Federal"/>
    <m/>
    <m/>
    <m/>
    <s v="Federal"/>
    <s v="PAV"/>
    <s v="Goiânia"/>
  </r>
  <r>
    <x v="2"/>
    <s v="060BGO0111"/>
    <s v="BR-060/153/262/DF/GO/MG (Concebra)"/>
    <x v="32"/>
    <s v="0111"/>
    <n v="-48.702764940149798"/>
    <n v="-16.190611559775601"/>
    <n v="-48.714299329950002"/>
    <n v="-16.189291030356699"/>
    <s v="060"/>
    <s v="GO"/>
    <s v="Eixo Principal"/>
    <s v="-"/>
    <s v="060BGO0111"/>
    <s v="INÍCIO TRAVESSIA URBANA ABADIÂNIA"/>
    <s v="ENTR GO-338 (ABADIÂNIA - FIM TRAVESSIA URBANA) *TRECHO URBANO*"/>
    <n v="60.4"/>
    <n v="61.8"/>
    <n v="1.4"/>
    <x v="0"/>
    <m/>
    <m/>
    <s v="Concessão Federal"/>
    <m/>
    <m/>
    <m/>
    <s v="Federal"/>
    <s v="PAV"/>
    <s v="Goiânia"/>
  </r>
  <r>
    <x v="2"/>
    <s v="060BGO0112"/>
    <s v="BR-060/153/262/DF/GO/MG (Concebra)"/>
    <x v="32"/>
    <s v="0112"/>
    <n v="-48.714299329950002"/>
    <n v="-16.189291030356699"/>
    <n v="-48.928585769817403"/>
    <n v="-16.354054629917101"/>
    <s v="060"/>
    <s v="GO"/>
    <s v="Eixo Principal"/>
    <s v="-"/>
    <s v="060BGO0112"/>
    <s v="ENTR GO-338 (ABADIÂNIA - FIM TRAVESSIA URBANA)"/>
    <s v="ENTR BR-153(A) (P/ANÁPOLIS)"/>
    <n v="61.8"/>
    <n v="94.2"/>
    <n v="32.4"/>
    <x v="0"/>
    <m/>
    <m/>
    <s v="Concessão Federal"/>
    <m/>
    <m/>
    <m/>
    <s v="Federal"/>
    <s v="PAV"/>
    <s v="Goiânia"/>
  </r>
  <r>
    <x v="2"/>
    <s v="060BGO0114"/>
    <s v="BR-060/153/262/DF/GO/MG (Concebra)"/>
    <x v="32"/>
    <s v="0114"/>
    <n v="-48.928585769817403"/>
    <n v="-16.354054629917101"/>
    <n v="-48.9622426401856"/>
    <n v="-16.395686139603601"/>
    <s v="060"/>
    <s v="GO"/>
    <s v="Eixo Principal"/>
    <s v="-"/>
    <s v="060BGO0114"/>
    <s v="ENTR BR-153(A) (P/ANÁPOLIS)"/>
    <s v="ENTR GO-330 (P/ANÁPOLIS/DAIA)"/>
    <n v="94.2"/>
    <n v="100.1"/>
    <n v="5.9"/>
    <x v="0"/>
    <m/>
    <s v="153BGO0574"/>
    <s v="Concessão Federal"/>
    <m/>
    <m/>
    <m/>
    <s v="Federal"/>
    <s v="PAV"/>
    <s v="Goiânia"/>
  </r>
  <r>
    <x v="2"/>
    <s v="060BGO0116"/>
    <s v="BR-060/153/262/DF/GO/MG (Concebra)"/>
    <x v="32"/>
    <s v="0116"/>
    <n v="-48.9622426401856"/>
    <n v="-16.395686139603601"/>
    <n v="-49.020715600044802"/>
    <n v="-16.446741340140701"/>
    <s v="060"/>
    <s v="GO"/>
    <s v="Eixo Principal"/>
    <s v="-"/>
    <s v="060BGO0116"/>
    <s v="ENTR GO-330 (P/ANÁPOLIS/DAIA)"/>
    <s v="ENTR GO-415 (P/GOIANÁPOLIS)"/>
    <n v="100.1"/>
    <n v="109.2"/>
    <n v="9.1"/>
    <x v="0"/>
    <m/>
    <s v="153BGO0576"/>
    <s v="Concessão Federal"/>
    <m/>
    <m/>
    <m/>
    <s v="Federal"/>
    <s v="PAV"/>
    <s v="Goiânia"/>
  </r>
  <r>
    <x v="2"/>
    <s v="060BGO0118"/>
    <s v="BR-060/153/262/DF/GO/MG (Concebra)"/>
    <x v="32"/>
    <s v="0118"/>
    <n v="-49.020715600044802"/>
    <n v="-16.446741340140701"/>
    <n v="-49.206325890227603"/>
    <n v="-16.619322829884599"/>
    <s v="060"/>
    <s v="GO"/>
    <s v="Eixo Principal"/>
    <s v="-"/>
    <s v="060BGO0118"/>
    <s v="ENTR GO-415 (P/GOIANÁPOLIS)"/>
    <s v="ENTR BR-153(B) (VIADUTO ALDEIA DO VALE)"/>
    <n v="109.2"/>
    <n v="139.4"/>
    <n v="30.2"/>
    <x v="0"/>
    <m/>
    <s v="153BGO0578"/>
    <s v="Concessão Federal"/>
    <m/>
    <m/>
    <m/>
    <s v="Federal"/>
    <s v="PAV"/>
    <s v="Goiânia"/>
  </r>
  <r>
    <x v="0"/>
    <s v="060BGO0130"/>
    <n v="0"/>
    <x v="32"/>
    <s v="0130"/>
    <n v="-49.206325890227603"/>
    <n v="-16.619322829884599"/>
    <n v="-49.243942409914197"/>
    <n v="-16.622762279855198"/>
    <s v="060"/>
    <s v="GO"/>
    <s v="Eixo Principal"/>
    <s v="-"/>
    <s v="060BGO0130"/>
    <s v="ENTR BR-153(B) (VIADUTO ALDEIA DO VALE)"/>
    <s v="ENTR GO-080 (P/ NERÓPOLIS)(GOIÂNIA) *TRECHO MUNICIPAL*"/>
    <n v="139.4"/>
    <n v="143.69999999999999"/>
    <n v="4.3"/>
    <x v="0"/>
    <m/>
    <m/>
    <s v="Federal"/>
    <m/>
    <m/>
    <m/>
    <s v="Federal"/>
    <s v="PAV"/>
    <s v="Goiânia"/>
  </r>
  <r>
    <x v="0"/>
    <s v="060BGO0132"/>
    <n v="0"/>
    <x v="32"/>
    <s v="0132"/>
    <n v="-49.243942409914197"/>
    <n v="-16.622762279855198"/>
    <n v="-49.331810200080596"/>
    <n v="-16.6537071195878"/>
    <s v="060"/>
    <s v="GO"/>
    <s v="Eixo Principal"/>
    <s v="-"/>
    <s v="060BGO0132"/>
    <s v="ENTR GO-080 (P/ NERÓPOLIS)(GOIÂNIA)"/>
    <s v="ENTR GO-070 (P/INHUMAS)(GOIÂNIA) *TRECHO MUNICIPAL*"/>
    <n v="143.69999999999999"/>
    <n v="154.5"/>
    <n v="10.8"/>
    <x v="0"/>
    <m/>
    <m/>
    <s v="Federal"/>
    <m/>
    <m/>
    <m/>
    <s v="Federal"/>
    <s v="PAV"/>
    <s v="Goiânia"/>
  </r>
  <r>
    <x v="0"/>
    <s v="060BGO0140"/>
    <n v="0"/>
    <x v="32"/>
    <s v="0140"/>
    <n v="-49.331810200080596"/>
    <n v="-16.6537071195878"/>
    <n v="-49.325183559973198"/>
    <n v="-16.695021510334399"/>
    <s v="060"/>
    <s v="GO"/>
    <s v="Eixo Principal"/>
    <s v="-"/>
    <s v="060BGO0140"/>
    <s v="ENTR GO-070 (P/INHUMAS)(GOIÂNIA)"/>
    <s v="ENTR. AV. PEDRO LUDOVICO (A) (GOIÂNIA) *TRECHO MUNICIPAL*"/>
    <n v="154.5"/>
    <n v="160.19999999999999"/>
    <n v="5.7"/>
    <x v="0"/>
    <m/>
    <m/>
    <s v="Federal"/>
    <m/>
    <m/>
    <m/>
    <s v="Federal"/>
    <s v="PAV"/>
    <s v="Goiânia"/>
  </r>
  <r>
    <x v="0"/>
    <s v="060BGO0150"/>
    <n v="0"/>
    <x v="32"/>
    <s v="0150"/>
    <n v="-49.325183559973198"/>
    <n v="-16.695021510334399"/>
    <n v="-49.342086180232897"/>
    <n v="-16.703767759874101"/>
    <s v="060"/>
    <s v="GO"/>
    <s v="Eixo Principal"/>
    <s v="-"/>
    <s v="060BGO0150"/>
    <s v="ENTR. AV. PEDRO LUDOVICO (A) (GOIÂNIA)"/>
    <s v="ENTR. AV. PEDRO LUDOVICO (B) (GOIÂNIA) *TRECHO MUNICIPAL*"/>
    <n v="160.19999999999999"/>
    <n v="162.1"/>
    <n v="1.9"/>
    <x v="0"/>
    <m/>
    <m/>
    <s v="Federal"/>
    <m/>
    <m/>
    <m/>
    <s v="Federal"/>
    <s v="PAV"/>
    <s v="Goiânia"/>
  </r>
  <r>
    <x v="0"/>
    <s v="060BGO0152"/>
    <n v="0"/>
    <x v="32"/>
    <s v="0152"/>
    <n v="-49.342086180232897"/>
    <n v="-16.703767759874101"/>
    <n v="-49.544306720178902"/>
    <n v="-16.839312119958301"/>
    <s v="060"/>
    <s v="GO"/>
    <s v="Eixo Principal"/>
    <s v="-"/>
    <s v="060BGO0152"/>
    <s v="ENTR. AV. PEDRO LUDOVICO (B) (GOIÂNIA)"/>
    <s v="ENTR GO-219 (GUAPÓ)"/>
    <n v="162.1"/>
    <n v="189.3"/>
    <n v="27.2"/>
    <x v="0"/>
    <m/>
    <m/>
    <s v="Federal"/>
    <m/>
    <m/>
    <m/>
    <s v="Federal"/>
    <s v="PAV"/>
    <s v="Goiânia"/>
  </r>
  <r>
    <x v="0"/>
    <s v="060BGO0170"/>
    <n v="0"/>
    <x v="32"/>
    <s v="0170"/>
    <n v="-49.544306720178902"/>
    <n v="-16.839312119958301"/>
    <n v="-49.683504809898999"/>
    <n v="-16.952346180331901"/>
    <s v="060"/>
    <s v="GO"/>
    <s v="Eixo Principal"/>
    <s v="-"/>
    <s v="060BGO0170"/>
    <s v="ENTR GO-219 (GUAPÓ)"/>
    <s v="ENTR GO-413 (P/VARJÃO)"/>
    <n v="189.3"/>
    <n v="210.8"/>
    <n v="21.5"/>
    <x v="0"/>
    <m/>
    <m/>
    <s v="Federal"/>
    <m/>
    <m/>
    <m/>
    <s v="Federal"/>
    <s v="PAV"/>
    <s v="Goiânia"/>
  </r>
  <r>
    <x v="0"/>
    <s v="060BGO0172"/>
    <n v="0"/>
    <x v="32"/>
    <s v="0172"/>
    <n v="-49.683504809898999"/>
    <n v="-16.952346180331901"/>
    <n v="-49.750317130031398"/>
    <n v="-16.983185749922299"/>
    <s v="060"/>
    <s v="GO"/>
    <s v="Eixo Principal"/>
    <s v="-"/>
    <s v="060BGO0172"/>
    <s v="ENTR GO-413 (P/VARJÃO)"/>
    <s v="ENTR GO-156 (CEZARINA)"/>
    <n v="210.8"/>
    <n v="219.3"/>
    <n v="8.5"/>
    <x v="0"/>
    <m/>
    <m/>
    <s v="Federal"/>
    <m/>
    <m/>
    <m/>
    <s v="Federal"/>
    <s v="PAV"/>
    <s v="Rio Verde"/>
  </r>
  <r>
    <x v="0"/>
    <s v="060BGO0190"/>
    <n v="0"/>
    <x v="32"/>
    <s v="0190"/>
    <n v="-49.750317130031398"/>
    <n v="-16.983185749922299"/>
    <n v="-49.7796255795568"/>
    <n v="-17.0407899296114"/>
    <s v="060"/>
    <s v="GO"/>
    <s v="Eixo Principal"/>
    <s v="-"/>
    <s v="060BGO0190"/>
    <s v="ENTR GO-156 (CEZARINA)"/>
    <s v="ENTR GO-217 (P/MAIRIPOTABA)"/>
    <n v="219.3"/>
    <n v="226.6"/>
    <n v="7.3"/>
    <x v="0"/>
    <m/>
    <m/>
    <s v="Federal"/>
    <m/>
    <m/>
    <m/>
    <s v="Federal"/>
    <s v="PAV"/>
    <s v="Rio Verde"/>
  </r>
  <r>
    <x v="0"/>
    <s v="060BGO0210"/>
    <n v="0"/>
    <x v="32"/>
    <s v="0210"/>
    <n v="-49.7796255795568"/>
    <n v="-17.0407899296114"/>
    <n v="-49.992417900165798"/>
    <n v="-17.1376254498545"/>
    <s v="060"/>
    <s v="GO"/>
    <s v="Eixo Principal"/>
    <s v="-"/>
    <s v="060BGO0210"/>
    <s v="ENTR GO-217 (P/MAIRIPOTABA)"/>
    <s v="ENTR GO-320 (INDIARA)"/>
    <n v="226.6"/>
    <n v="252.7"/>
    <n v="26.1"/>
    <x v="0"/>
    <m/>
    <m/>
    <s v="Federal"/>
    <m/>
    <m/>
    <m/>
    <s v="Federal"/>
    <s v="PAV"/>
    <s v="Rio Verde"/>
  </r>
  <r>
    <x v="0"/>
    <s v="060BGO0230"/>
    <n v="0"/>
    <x v="32"/>
    <s v="0230"/>
    <n v="-49.992417900165798"/>
    <n v="-17.1376254498545"/>
    <n v="-50.381627200334997"/>
    <n v="-17.392996679952699"/>
    <s v="060"/>
    <s v="GO"/>
    <s v="Eixo Principal"/>
    <s v="-"/>
    <s v="060BGO0230"/>
    <s v="ENTR GO-320 (INDIARA)"/>
    <s v="ENTR GO-164(A)/513 (ACREÚNA)"/>
    <n v="252.7"/>
    <n v="304.39999999999998"/>
    <n v="51.7"/>
    <x v="0"/>
    <m/>
    <m/>
    <s v="Federal"/>
    <m/>
    <m/>
    <m/>
    <s v="Federal"/>
    <s v="PAV"/>
    <s v="Rio Verde"/>
  </r>
  <r>
    <x v="0"/>
    <s v="060BGO0235"/>
    <n v="0"/>
    <x v="32"/>
    <s v="0235"/>
    <n v="-50.381627200334997"/>
    <n v="-17.392996679952699"/>
    <n v="-50.518505440273799"/>
    <n v="-17.553474910138899"/>
    <s v="060"/>
    <s v="GO"/>
    <s v="Eixo Principal"/>
    <s v="-"/>
    <s v="060BGO0235"/>
    <s v="ENTR GO-164(A)/513 (ACREÚNA)"/>
    <s v="ENTR GO-164(B)"/>
    <n v="304.39999999999998"/>
    <n v="328"/>
    <n v="23.6"/>
    <x v="0"/>
    <m/>
    <m/>
    <s v="Federal"/>
    <m/>
    <m/>
    <m/>
    <s v="Federal"/>
    <s v="PAV"/>
    <s v="Rio Verde"/>
  </r>
  <r>
    <x v="0"/>
    <s v="060BGO0250"/>
    <n v="0"/>
    <x v="32"/>
    <s v="0250"/>
    <n v="-50.518505440273799"/>
    <n v="-17.553474910138899"/>
    <n v="-50.7075250999034"/>
    <n v="-17.590494670292699"/>
    <s v="060"/>
    <s v="GO"/>
    <s v="Eixo Principal"/>
    <s v="-"/>
    <s v="060BGO0250"/>
    <s v="ENTR GO-164(B)"/>
    <s v="ENTR GO-407"/>
    <n v="328"/>
    <n v="349.9"/>
    <n v="21.9"/>
    <x v="0"/>
    <m/>
    <m/>
    <s v="Federal"/>
    <m/>
    <m/>
    <m/>
    <s v="Federal"/>
    <s v="PAV"/>
    <s v="Rio Verde"/>
  </r>
  <r>
    <x v="0"/>
    <s v="060BGO0255"/>
    <n v="0"/>
    <x v="32"/>
    <s v="0255"/>
    <n v="-50.7075250999034"/>
    <n v="-17.590494670292699"/>
    <n v="-50.901512149566003"/>
    <n v="-17.7863304796678"/>
    <s v="060"/>
    <s v="GO"/>
    <s v="Eixo Principal"/>
    <s v="-"/>
    <s v="060BGO0255"/>
    <s v="ENTR GO-407"/>
    <s v="ENTR BR-452/GO-174(A) (RIO VERDE)"/>
    <n v="349.9"/>
    <n v="381.1"/>
    <n v="31.2"/>
    <x v="0"/>
    <m/>
    <m/>
    <s v="Federal"/>
    <m/>
    <m/>
    <m/>
    <s v="Federal"/>
    <s v="PAV"/>
    <s v="Rio Verde"/>
  </r>
  <r>
    <x v="0"/>
    <s v="060BGO0260"/>
    <n v="0"/>
    <x v="32"/>
    <s v="0260"/>
    <n v="-50.901512149566003"/>
    <n v="-17.7863304796678"/>
    <n v="-50.951159910201604"/>
    <n v="-17.822857069598001"/>
    <s v="060"/>
    <s v="GO"/>
    <s v="Eixo Principal"/>
    <s v="-"/>
    <s v="060BGO0260"/>
    <s v="ENTR BR-452/GO-174(A) (RIO VERDE)"/>
    <s v="ENTR GO-174(B)"/>
    <n v="381.1"/>
    <n v="387.9"/>
    <n v="6.8"/>
    <x v="0"/>
    <m/>
    <m/>
    <s v="Federal"/>
    <m/>
    <m/>
    <m/>
    <s v="Federal"/>
    <s v="PAV"/>
    <s v="Rio Verde"/>
  </r>
  <r>
    <x v="0"/>
    <s v="060BGO0265"/>
    <n v="0"/>
    <x v="32"/>
    <s v="0265"/>
    <n v="-50.951159910201604"/>
    <n v="-17.822857069598001"/>
    <n v="-51.000879069813102"/>
    <n v="-17.822301640208401"/>
    <s v="060"/>
    <s v="GO"/>
    <s v="Eixo Principal"/>
    <s v="-"/>
    <s v="060BGO0265"/>
    <s v="ENTR GO-174(B)"/>
    <s v="ENTR GO-412 (ACESSO IND PERDIGÃO)"/>
    <n v="387.9"/>
    <n v="393.1"/>
    <n v="5.2"/>
    <x v="0"/>
    <m/>
    <m/>
    <s v="Federal"/>
    <m/>
    <m/>
    <m/>
    <s v="Federal"/>
    <s v="PAV"/>
    <s v="Rio Verde"/>
  </r>
  <r>
    <x v="0"/>
    <s v="060BGO0270"/>
    <n v="0"/>
    <x v="32"/>
    <s v="0270"/>
    <n v="-51.000879069813102"/>
    <n v="-17.822301640208401"/>
    <n v="-51.650447194282499"/>
    <n v="-17.885279877064601"/>
    <s v="060"/>
    <s v="GO"/>
    <s v="Eixo Principal"/>
    <s v="-"/>
    <s v="060BGO0270"/>
    <s v="ENTR GO-412 (ACESSO IND PERDIGÃO)"/>
    <s v="INICIO PISTA DUPLA"/>
    <n v="393.1"/>
    <n v="464.3"/>
    <n v="71.2"/>
    <x v="0"/>
    <m/>
    <m/>
    <s v="Federal"/>
    <m/>
    <m/>
    <m/>
    <s v="Federal"/>
    <s v="PAV"/>
    <s v="Rio Verde"/>
  </r>
  <r>
    <x v="0"/>
    <s v="060BGO0275"/>
    <n v="0"/>
    <x v="32"/>
    <s v="0275"/>
    <n v="-51.650447194282499"/>
    <n v="-17.885279877064601"/>
    <n v="-51.657212449594802"/>
    <n v="-17.8903229297593"/>
    <s v="060"/>
    <s v="GO"/>
    <s v="Eixo Principal"/>
    <s v="-"/>
    <s v="060BGO0275"/>
    <s v="INICIO PISTA DUPLA"/>
    <s v="ACESSO P/JATAI"/>
    <n v="464.3"/>
    <n v="465.2"/>
    <n v="0.9"/>
    <x v="0"/>
    <m/>
    <m/>
    <s v="Federal"/>
    <m/>
    <m/>
    <m/>
    <s v="Federal"/>
    <s v="PAV"/>
    <s v="Rio Verde"/>
  </r>
  <r>
    <x v="0"/>
    <s v="060BGO0280"/>
    <n v="0"/>
    <x v="32"/>
    <s v="0280"/>
    <n v="-51.657212449594802"/>
    <n v="-17.8903229297593"/>
    <n v="-51.694084589631998"/>
    <n v="-17.916241070069301"/>
    <s v="060"/>
    <s v="GO"/>
    <s v="Eixo Principal"/>
    <s v="-"/>
    <s v="060BGO0280"/>
    <s v="ACESSO P/JATAI"/>
    <s v="ENTR BR-364(A)"/>
    <n v="465.2"/>
    <n v="470"/>
    <n v="4.8"/>
    <x v="0"/>
    <m/>
    <m/>
    <s v="Federal"/>
    <m/>
    <m/>
    <m/>
    <s v="Federal"/>
    <s v="PAV"/>
    <s v="Rio Verde"/>
  </r>
  <r>
    <x v="0"/>
    <s v="060BGO0290"/>
    <n v="0"/>
    <x v="32"/>
    <s v="0290"/>
    <n v="-51.694084589631998"/>
    <n v="-17.916241070069301"/>
    <n v="-51.718763220446199"/>
    <n v="-17.917219920063101"/>
    <s v="060"/>
    <s v="GO"/>
    <s v="Eixo Principal"/>
    <s v="-"/>
    <s v="060BGO0290"/>
    <s v="ENTR BR-364(A)"/>
    <s v="ENTR BR-158(A)/GO-050(A)/184(A) (P/JATAÍ)"/>
    <n v="470"/>
    <n v="473.1"/>
    <n v="3.1"/>
    <x v="0"/>
    <m/>
    <s v="364BGO0485"/>
    <s v="Federal"/>
    <m/>
    <m/>
    <m/>
    <s v="Federal"/>
    <s v="PAV"/>
    <s v="Rio Verde"/>
  </r>
  <r>
    <x v="0"/>
    <s v="060BGO0292"/>
    <n v="0"/>
    <x v="32"/>
    <s v="0292"/>
    <n v="-51.718763220446199"/>
    <n v="-17.917219920063101"/>
    <n v="-51.7656037500129"/>
    <n v="-17.914806989550801"/>
    <s v="060"/>
    <s v="GO"/>
    <s v="Eixo Principal"/>
    <s v="-"/>
    <s v="060BGO0292"/>
    <s v="ENTR BR-158(A)/GO-050(A)/184(A) (P/JATAÍ)"/>
    <s v="ENTR  BR-158(B)/GO-184(B) (P/SERRANÓPOLIS)"/>
    <n v="473.1"/>
    <n v="478.3"/>
    <n v="5.2"/>
    <x v="0"/>
    <m/>
    <s v="158BGO0390;364BGO0490"/>
    <s v="Federal"/>
    <m/>
    <m/>
    <m/>
    <s v="Federal"/>
    <s v="PAV"/>
    <s v="Rio Verde"/>
  </r>
  <r>
    <x v="0"/>
    <s v="060BGO0295"/>
    <n v="0"/>
    <x v="32"/>
    <s v="0295"/>
    <n v="-51.7656037500129"/>
    <n v="-17.914806989550801"/>
    <n v="-52.0474239002926"/>
    <n v="-17.800593329818199"/>
    <s v="060"/>
    <s v="GO"/>
    <s v="Eixo Principal"/>
    <s v="-"/>
    <s v="060BGO0295"/>
    <s v="ENTR  BR-158(B)/GO-184(B) (P/SERRANÓPOLIS)"/>
    <s v="ENTR BR-364(B)"/>
    <n v="478.3"/>
    <n v="512.79999999999995"/>
    <n v="34.5"/>
    <x v="2"/>
    <m/>
    <s v="364BGO0510"/>
    <s v="Federal"/>
    <m/>
    <m/>
    <m/>
    <s v="Federal"/>
    <s v="PAV"/>
    <s v="Jataí"/>
  </r>
  <r>
    <x v="0"/>
    <s v="060BGO0300"/>
    <n v="0"/>
    <x v="32"/>
    <s v="0300"/>
    <n v="-52.0474239002926"/>
    <n v="-17.800593329818199"/>
    <n v="-52.669070349616902"/>
    <n v="-18.0599264602379"/>
    <s v="060"/>
    <s v="GO"/>
    <s v="Eixo Principal"/>
    <s v="-"/>
    <s v="060BGO0300"/>
    <s v="ENTR BR-364(B)"/>
    <s v="ENTR GO-306"/>
    <n v="512.79999999999995"/>
    <n v="592.20000000000005"/>
    <n v="79.400000000000006"/>
    <x v="1"/>
    <m/>
    <m/>
    <s v="Estadual"/>
    <m/>
    <s v="GO-050"/>
    <s v="PAV"/>
    <s v="Estadual"/>
    <s v="PLA"/>
    <s v="Jataí"/>
  </r>
  <r>
    <x v="0"/>
    <s v="060BGO0325"/>
    <n v="0"/>
    <x v="32"/>
    <s v="0325"/>
    <n v="-52.669070349616902"/>
    <n v="-18.0599264602379"/>
    <n v="-52.666472069730197"/>
    <n v="-18.393016029565999"/>
    <s v="060"/>
    <s v="GO"/>
    <s v="Eixo Principal"/>
    <s v="-"/>
    <s v="060BGO0325"/>
    <s v="ENTR GO-306"/>
    <s v="ENTR GO-206(A)(CHAPADÃO DO CÉU)"/>
    <n v="592.20000000000005"/>
    <n v="631.5"/>
    <n v="39.299999999999997"/>
    <x v="1"/>
    <m/>
    <m/>
    <s v="Estadual"/>
    <m/>
    <s v="GO-050"/>
    <s v="PAV"/>
    <s v="Estadual"/>
    <s v="PLA"/>
    <s v="Jataí"/>
  </r>
  <r>
    <x v="0"/>
    <s v="060BGO0330"/>
    <n v="0"/>
    <x v="32"/>
    <s v="0330"/>
    <n v="-52.666472069730197"/>
    <n v="-18.393016029565999"/>
    <n v="-52.5987941404371"/>
    <n v="-18.430832179861099"/>
    <s v="060"/>
    <s v="GO"/>
    <s v="Eixo Principal"/>
    <s v="-"/>
    <s v="060BGO0330"/>
    <s v="ENTR GO-206(A)(CHAPADÃO DO CÉU)"/>
    <s v="ENTR GO-206(B)"/>
    <n v="631.5"/>
    <n v="639.79999999999995"/>
    <n v="8.3000000000000007"/>
    <x v="1"/>
    <m/>
    <m/>
    <s v="Estadual"/>
    <m/>
    <s v="GO-050"/>
    <s v="PAV"/>
    <s v="Estadual"/>
    <s v="PLA"/>
    <s v="Jataí"/>
  </r>
  <r>
    <x v="0"/>
    <s v="060BGO0340"/>
    <n v="0"/>
    <x v="32"/>
    <s v="0340"/>
    <n v="-52.5987941404371"/>
    <n v="-18.430832179861099"/>
    <n v="-52.621765339998298"/>
    <n v="-18.688563839849198"/>
    <s v="060"/>
    <s v="GO"/>
    <s v="Eixo Principal"/>
    <s v="-"/>
    <s v="060BGO0340"/>
    <s v="ENTR GO-206(B)"/>
    <s v="ENTR GO-050 (DIV GO/MS)"/>
    <n v="639.79999999999995"/>
    <n v="668.9"/>
    <n v="29.1"/>
    <x v="1"/>
    <m/>
    <m/>
    <s v="Estadual"/>
    <m/>
    <s v="GO-050"/>
    <s v="PAV"/>
    <s v="Estadual"/>
    <s v="PLA"/>
    <s v="Jataí"/>
  </r>
  <r>
    <x v="0"/>
    <s v="060BMS0370"/>
    <n v="0"/>
    <x v="33"/>
    <s v="0370"/>
    <n v="-52.621765339998298"/>
    <n v="-18.688563839849198"/>
    <n v="-52.643260510164303"/>
    <n v="-18.783723829590901"/>
    <s v="060"/>
    <s v="MS"/>
    <s v="Eixo Principal"/>
    <s v="-"/>
    <s v="060BMS0370"/>
    <s v="DIV GO/MS"/>
    <s v="ENTR MS-306 (P/CHAPADÃO DO SUL)"/>
    <n v="0"/>
    <n v="10.9"/>
    <n v="10.9"/>
    <x v="2"/>
    <m/>
    <m/>
    <s v="Federal"/>
    <m/>
    <m/>
    <m/>
    <s v="Federal"/>
    <s v="PAV"/>
    <s v="Jataí"/>
  </r>
  <r>
    <x v="0"/>
    <s v="060BMS0380"/>
    <n v="0"/>
    <x v="33"/>
    <s v="0380"/>
    <n v="-52.643260510164303"/>
    <n v="-18.783723829590901"/>
    <n v="-52.805136960402301"/>
    <n v="-18.955955429999001"/>
    <s v="060"/>
    <s v="MS"/>
    <s v="Eixo Principal"/>
    <s v="-"/>
    <s v="060BMS0380"/>
    <s v="ENTR MS-306 (P/CHAPADÃO DO SUL)"/>
    <s v="ENTR MS-425(A)"/>
    <n v="10.9"/>
    <n v="38.1"/>
    <n v="27.2"/>
    <x v="2"/>
    <m/>
    <m/>
    <s v="Federal"/>
    <m/>
    <m/>
    <m/>
    <s v="Federal"/>
    <s v="PAV"/>
    <s v="Coxim"/>
  </r>
  <r>
    <x v="0"/>
    <s v="060BMS0384"/>
    <n v="0"/>
    <x v="33"/>
    <s v="0384"/>
    <n v="-52.805136960402301"/>
    <n v="-18.955955429999001"/>
    <n v="-52.834437049829901"/>
    <n v="-18.9619116201251"/>
    <s v="060"/>
    <s v="MS"/>
    <s v="Eixo Principal"/>
    <s v="-"/>
    <s v="060BMS0384"/>
    <s v="ENTR MS-425(A)"/>
    <s v="ENTR MS-425(B)"/>
    <n v="38.1"/>
    <n v="41.2"/>
    <n v="3.1"/>
    <x v="2"/>
    <m/>
    <m/>
    <s v="Federal"/>
    <m/>
    <m/>
    <m/>
    <s v="Federal"/>
    <s v="PAV"/>
    <s v="Coxim"/>
  </r>
  <r>
    <x v="0"/>
    <s v="060BMS0386"/>
    <n v="0"/>
    <x v="33"/>
    <s v="0386"/>
    <n v="-52.834437049829901"/>
    <n v="-18.9619116201251"/>
    <n v="-53.010119259895802"/>
    <n v="-19.026738970127301"/>
    <s v="060"/>
    <s v="MS"/>
    <s v="Eixo Principal"/>
    <s v="-"/>
    <s v="060BMS0386"/>
    <s v="ENTR MS-425(B)"/>
    <s v="ENTR MS-316 (PARAÍSO DAS ÁGUAS)"/>
    <n v="41.2"/>
    <n v="61.7"/>
    <n v="20.5"/>
    <x v="2"/>
    <m/>
    <m/>
    <s v="Federal"/>
    <m/>
    <m/>
    <m/>
    <s v="Federal"/>
    <s v="PAV"/>
    <s v="Coxim"/>
  </r>
  <r>
    <x v="0"/>
    <s v="060BMS0390"/>
    <n v="0"/>
    <x v="33"/>
    <s v="0390"/>
    <n v="-53.010119259895802"/>
    <n v="-19.026738970127301"/>
    <n v="-53.1446096702999"/>
    <n v="-19.236615759709402"/>
    <s v="060"/>
    <s v="MS"/>
    <s v="Eixo Principal"/>
    <s v="-"/>
    <s v="060BMS0390"/>
    <s v="ENTR MS-316 (PARAÍSO DAS ÁGUAS)"/>
    <s v="ENTR MS-324(A)"/>
    <n v="61.7"/>
    <n v="90.8"/>
    <n v="29.1"/>
    <x v="2"/>
    <m/>
    <m/>
    <s v="Federal"/>
    <m/>
    <m/>
    <m/>
    <s v="Federal"/>
    <s v="PAV"/>
    <s v="Coxim"/>
  </r>
  <r>
    <x v="0"/>
    <s v="060BMS0395"/>
    <n v="0"/>
    <x v="33"/>
    <s v="0395"/>
    <n v="-53.1446096702999"/>
    <n v="-19.236615759709402"/>
    <n v="-53.216291900250901"/>
    <n v="-19.254046389928899"/>
    <s v="060"/>
    <s v="MS"/>
    <s v="Eixo Principal"/>
    <s v="-"/>
    <s v="060BMS0395"/>
    <s v="ENTR MS-324(A)"/>
    <s v="ENTR MS-324(B)"/>
    <n v="90.8"/>
    <n v="98.6"/>
    <n v="7.8"/>
    <x v="2"/>
    <m/>
    <m/>
    <s v="Federal"/>
    <m/>
    <m/>
    <m/>
    <s v="Federal"/>
    <s v="PAV"/>
    <s v="Coxim"/>
  </r>
  <r>
    <x v="0"/>
    <s v="060BMS0400"/>
    <n v="0"/>
    <x v="33"/>
    <s v="0400"/>
    <n v="-53.216291900250901"/>
    <n v="-19.254046389928899"/>
    <n v="-53.810187739872198"/>
    <n v="-19.482474230101602"/>
    <s v="060"/>
    <s v="MS"/>
    <s v="Eixo Principal"/>
    <s v="-"/>
    <s v="060BMS0400"/>
    <s v="ENTR MS-324(B)"/>
    <s v="ENTR MS-438"/>
    <n v="98.6"/>
    <n v="168.7"/>
    <n v="70.099999999999994"/>
    <x v="2"/>
    <m/>
    <m/>
    <s v="Federal"/>
    <m/>
    <m/>
    <m/>
    <s v="Federal"/>
    <s v="PAV"/>
    <s v="Coxim"/>
  </r>
  <r>
    <x v="0"/>
    <s v="060BMS0402"/>
    <n v="0"/>
    <x v="33"/>
    <s v="0402"/>
    <n v="-53.810187739872198"/>
    <n v="-19.482474230101602"/>
    <n v="-54.0029040303966"/>
    <n v="-19.4990756898911"/>
    <s v="060"/>
    <s v="MS"/>
    <s v="Eixo Principal"/>
    <s v="-"/>
    <s v="060BMS0402"/>
    <s v="ENTR MS-438"/>
    <s v="ENTR MS-436"/>
    <n v="168.7"/>
    <n v="191.2"/>
    <n v="22.5"/>
    <x v="2"/>
    <m/>
    <m/>
    <s v="Federal"/>
    <m/>
    <m/>
    <m/>
    <s v="Federal"/>
    <s v="PAV"/>
    <s v="Coxim"/>
  </r>
  <r>
    <x v="0"/>
    <s v="060BMS0405"/>
    <n v="0"/>
    <x v="33"/>
    <s v="0405"/>
    <n v="-54.0029040303966"/>
    <n v="-19.4990756898911"/>
    <n v="-54.044491260163497"/>
    <n v="-19.525738619941301"/>
    <s v="060"/>
    <s v="MS"/>
    <s v="Eixo Principal"/>
    <s v="-"/>
    <s v="060BMS0405"/>
    <s v="ENTR MS-436"/>
    <s v="ENTR MS-142 (CAMAPUÃ)"/>
    <n v="191.2"/>
    <n v="196.8"/>
    <n v="5.6"/>
    <x v="2"/>
    <m/>
    <m/>
    <s v="Federal"/>
    <m/>
    <m/>
    <m/>
    <s v="Federal"/>
    <s v="PAV"/>
    <s v="Coxim"/>
  </r>
  <r>
    <x v="0"/>
    <s v="060BMS0410"/>
    <n v="0"/>
    <x v="33"/>
    <s v="0410"/>
    <n v="-54.044491260163497"/>
    <n v="-19.525738619941301"/>
    <n v="-54.035270760337198"/>
    <n v="-19.593514380184399"/>
    <s v="060"/>
    <s v="MS"/>
    <s v="Eixo Principal"/>
    <s v="-"/>
    <s v="060BMS0410"/>
    <s v="ENTR MS-142 (CAMAPUÃ)"/>
    <s v="ENTR MS-338"/>
    <n v="196.8"/>
    <n v="204.6"/>
    <n v="7.8"/>
    <x v="2"/>
    <m/>
    <m/>
    <s v="Federal"/>
    <m/>
    <m/>
    <m/>
    <s v="Federal"/>
    <s v="PAV"/>
    <s v="Coxim"/>
  </r>
  <r>
    <x v="0"/>
    <s v="060BMS0420"/>
    <n v="0"/>
    <x v="33"/>
    <s v="0420"/>
    <n v="-54.035270760337198"/>
    <n v="-19.593514380184399"/>
    <n v="-54.098294150354697"/>
    <n v="-19.651883620332701"/>
    <s v="060"/>
    <s v="MS"/>
    <s v="Eixo Principal"/>
    <s v="-"/>
    <s v="060BMS0420"/>
    <s v="ENTR MS-338"/>
    <s v="ENTR MS-441(A)"/>
    <n v="204.6"/>
    <n v="213.8"/>
    <n v="9.1999999999999993"/>
    <x v="2"/>
    <m/>
    <m/>
    <s v="Federal"/>
    <m/>
    <m/>
    <m/>
    <s v="Federal"/>
    <s v="PAV"/>
    <s v="Coxim"/>
  </r>
  <r>
    <x v="0"/>
    <s v="060BMS0425"/>
    <n v="0"/>
    <x v="33"/>
    <s v="0425"/>
    <n v="-54.098294150354697"/>
    <n v="-19.651883620332701"/>
    <n v="-54.3502812199023"/>
    <n v="-19.679591339568599"/>
    <s v="060"/>
    <s v="MS"/>
    <s v="Eixo Principal"/>
    <s v="-"/>
    <s v="060BMS0425"/>
    <s v="ENTR MS-441(A)"/>
    <s v="ENTR BR-163(A) (CONGONHA)"/>
    <n v="213.8"/>
    <n v="241.6"/>
    <n v="27.8"/>
    <x v="2"/>
    <m/>
    <m/>
    <s v="Federal"/>
    <m/>
    <m/>
    <m/>
    <s v="Federal"/>
    <s v="PAV"/>
    <s v="Coxim"/>
  </r>
  <r>
    <x v="0"/>
    <s v="060BMS0430"/>
    <n v="0"/>
    <x v="33"/>
    <s v="0430"/>
    <n v="-54.3502812199023"/>
    <n v="-19.679591339568599"/>
    <n v="-54.372813089852102"/>
    <n v="-19.9044486796627"/>
    <s v="060"/>
    <s v="MS"/>
    <s v="Eixo Principal"/>
    <s v="-"/>
    <s v="060BMS0430"/>
    <s v="ENTR BR-163(A) (CONGONHA)"/>
    <s v="ENTR MS-340 (P/RIO NEGRO)"/>
    <n v="241.6"/>
    <n v="266.89999999999998"/>
    <n v="25.3"/>
    <x v="2"/>
    <m/>
    <s v="163BMS0450"/>
    <s v="Concessão Federal"/>
    <m/>
    <m/>
    <m/>
    <s v="Federal"/>
    <s v="PAV"/>
    <s v="Coxim"/>
  </r>
  <r>
    <x v="0"/>
    <s v="060BMS0440"/>
    <n v="0"/>
    <x v="33"/>
    <s v="0440"/>
    <n v="-54.372813089852102"/>
    <n v="-19.9044486796627"/>
    <n v="-54.371326690374403"/>
    <n v="-19.909567639634801"/>
    <s v="060"/>
    <s v="MS"/>
    <s v="Eixo Principal"/>
    <s v="-"/>
    <s v="060BMS0440"/>
    <s v="ENTR MS-340 (P/RIO NEGRO)"/>
    <s v="ENTR MS-441(B) (P/BANDEIRANTES)"/>
    <n v="266.89999999999998"/>
    <n v="268.39999999999998"/>
    <n v="1.5"/>
    <x v="2"/>
    <m/>
    <s v="163BMS0440"/>
    <s v="Concessão Federal"/>
    <m/>
    <m/>
    <m/>
    <s v="Federal"/>
    <s v="PAV"/>
    <s v="Coxim"/>
  </r>
  <r>
    <x v="0"/>
    <s v="060BMS0450"/>
    <n v="0"/>
    <x v="33"/>
    <s v="0450"/>
    <n v="-54.371326690374403"/>
    <n v="-19.909567639634801"/>
    <n v="-54.430391489575499"/>
    <n v="-20.080572480235698"/>
    <s v="060"/>
    <s v="MS"/>
    <s v="Eixo Principal"/>
    <s v="-"/>
    <s v="060BMS0450"/>
    <s v="ENTR MS-441(B) (P/BANDEIRANTES)"/>
    <s v="ENTR MS-244(A) (P/BONFIM)"/>
    <n v="268.39999999999998"/>
    <n v="287.8"/>
    <n v="19.399999999999999"/>
    <x v="2"/>
    <m/>
    <s v="163BMS0430"/>
    <s v="Concessão Federal"/>
    <m/>
    <m/>
    <m/>
    <s v="Federal"/>
    <s v="PAV"/>
    <s v="Coxim"/>
  </r>
  <r>
    <x v="0"/>
    <s v="060BMS0452"/>
    <n v="0"/>
    <x v="33"/>
    <s v="0452"/>
    <n v="-54.430391489575499"/>
    <n v="-20.080572480235698"/>
    <n v="-54.439202160251398"/>
    <n v="-20.1005012697177"/>
    <s v="060"/>
    <s v="MS"/>
    <s v="Eixo Principal"/>
    <s v="-"/>
    <s v="060BMS0452"/>
    <s v="ENTR MS-244(A) (P/BONFIM)"/>
    <s v="ENTR MS-244(B) (JARAGUARI)"/>
    <n v="287.8"/>
    <n v="290.39999999999998"/>
    <n v="2.6"/>
    <x v="2"/>
    <m/>
    <s v="163BMS0425"/>
    <s v="Concessão Federal"/>
    <m/>
    <m/>
    <m/>
    <s v="Federal"/>
    <s v="PAV"/>
    <s v="Coxim"/>
  </r>
  <r>
    <x v="0"/>
    <s v="060BMS0454"/>
    <n v="0"/>
    <x v="33"/>
    <s v="0454"/>
    <n v="-54.439202160251398"/>
    <n v="-20.1005012697177"/>
    <n v="-54.477925329889999"/>
    <n v="-20.231412409854698"/>
    <s v="060"/>
    <s v="MS"/>
    <s v="Eixo Principal"/>
    <s v="-"/>
    <s v="060BMS0454"/>
    <s v="ENTR MS-244(B) (JARAGUARI)"/>
    <s v="ENTR MS-445"/>
    <n v="290.39999999999998"/>
    <n v="305.8"/>
    <n v="15.4"/>
    <x v="2"/>
    <m/>
    <s v="163BMS0420"/>
    <s v="Concessão Federal"/>
    <m/>
    <m/>
    <m/>
    <s v="Federal"/>
    <s v="PAV"/>
    <s v="Coxim"/>
  </r>
  <r>
    <x v="0"/>
    <s v="060BMS0470"/>
    <n v="0"/>
    <x v="33"/>
    <s v="0470"/>
    <n v="-54.477925329889999"/>
    <n v="-20.231412409854698"/>
    <n v="-54.5275414595706"/>
    <n v="-20.362866870009999"/>
    <s v="060"/>
    <s v="MS"/>
    <s v="Eixo Principal"/>
    <s v="-"/>
    <s v="060BMS0470"/>
    <s v="ENTR MS-445"/>
    <s v="ENTR BR-163(B) (CONTORNO NORTE DE CAMPO GRANDE)"/>
    <n v="305.8"/>
    <n v="321.8"/>
    <n v="16"/>
    <x v="2"/>
    <m/>
    <s v="163BMS0410"/>
    <s v="Concessão Federal"/>
    <m/>
    <m/>
    <m/>
    <s v="Federal"/>
    <s v="PAV"/>
    <s v="Coxim"/>
  </r>
  <r>
    <x v="0"/>
    <s v="060BMS0480"/>
    <n v="0"/>
    <x v="33"/>
    <s v="0480"/>
    <n v="-54.5275414595706"/>
    <n v="-20.362866870009999"/>
    <n v="-54.6903121102157"/>
    <n v="-20.4159706803026"/>
    <s v="060"/>
    <s v="MS"/>
    <s v="Eixo Principal"/>
    <s v="-"/>
    <s v="060BMS0480"/>
    <s v="ENTR BR-163(B) (CONTORNO NORTE DE CAMPO GRANDE)"/>
    <s v="ENTR MS-080(A) (CONTORNO DE CAMPO GRANDE)"/>
    <n v="321.8"/>
    <n v="343.6"/>
    <n v="21.8"/>
    <x v="5"/>
    <s v="EOP"/>
    <m/>
    <s v="Federal"/>
    <m/>
    <m/>
    <m/>
    <s v="Federal"/>
    <s v="N_PAV"/>
    <s v="Coxim"/>
  </r>
  <r>
    <x v="0"/>
    <s v="060BMS0490"/>
    <n v="0"/>
    <x v="33"/>
    <s v="0490"/>
    <n v="-54.6903121102157"/>
    <n v="-20.4159706803026"/>
    <n v="-54.749948989754003"/>
    <n v="-20.477676229874"/>
    <s v="060"/>
    <s v="MS"/>
    <s v="Eixo Principal"/>
    <s v="-"/>
    <s v="060BMS0490"/>
    <s v="ENTR MS-080(A) (CONTORNO DE CAMPO GRANDE)"/>
    <s v="ENTR BR-262(A) (INDUBRASIL)"/>
    <n v="343.6"/>
    <n v="355.7"/>
    <n v="12.1"/>
    <x v="2"/>
    <m/>
    <m/>
    <s v="Federal"/>
    <m/>
    <m/>
    <m/>
    <s v="Federal"/>
    <s v="PAV"/>
    <s v="Campo Grande"/>
  </r>
  <r>
    <x v="0"/>
    <s v="060BMS0500"/>
    <n v="0"/>
    <x v="33"/>
    <s v="0500"/>
    <n v="-54.749948989754003"/>
    <n v="-20.477676229874"/>
    <n v="-54.668951410279298"/>
    <n v="-20.551872539785801"/>
    <s v="060"/>
    <s v="MS"/>
    <s v="Eixo Principal"/>
    <s v="-"/>
    <s v="060BMS0500"/>
    <s v="ENTR BR-262(A) (INDUBRASIL)"/>
    <s v="ENTR BR-262(B) (SAÍDA P/ SIDROLÂNDIA)"/>
    <n v="355.7"/>
    <n v="367.9"/>
    <n v="12.2"/>
    <x v="2"/>
    <m/>
    <s v="262BMS1335"/>
    <s v="Federal"/>
    <m/>
    <m/>
    <m/>
    <s v="Federal"/>
    <s v="PAV"/>
    <s v="Campo Grande"/>
  </r>
  <r>
    <x v="0"/>
    <s v="060BMS0510"/>
    <n v="0"/>
    <x v="33"/>
    <s v="0510"/>
    <n v="-54.668951410279298"/>
    <n v="-20.551872539785801"/>
    <n v="-54.869319210113403"/>
    <n v="-20.896685260316399"/>
    <s v="060"/>
    <s v="MS"/>
    <s v="Eixo Principal"/>
    <s v="-"/>
    <s v="060BMS0510"/>
    <s v="ENTR BR-262(B) (SAÍDA P/ SIDROLÂNDIA)"/>
    <s v="ENTR MS-258"/>
    <n v="367.9"/>
    <n v="414.4"/>
    <n v="46.5"/>
    <x v="2"/>
    <m/>
    <m/>
    <m/>
    <s v="MP082/2003"/>
    <m/>
    <m/>
    <m/>
    <s v="PAV"/>
    <s v="Campo Grande"/>
  </r>
  <r>
    <x v="0"/>
    <s v="060BMS0520"/>
    <n v="0"/>
    <x v="33"/>
    <s v="0520"/>
    <n v="-54.869319210113403"/>
    <n v="-20.896685260316399"/>
    <n v="-54.954291210271002"/>
    <n v="-20.9246012103774"/>
    <s v="060"/>
    <s v="MS"/>
    <s v="Eixo Principal"/>
    <s v="-"/>
    <s v="060BMS0520"/>
    <s v="ENTR MS-258"/>
    <s v="INÍCIO PISTA DUPLA (SIDROLÂNDIA)"/>
    <n v="414.4"/>
    <n v="424.4"/>
    <n v="10"/>
    <x v="2"/>
    <m/>
    <m/>
    <m/>
    <s v="MP082/2003"/>
    <m/>
    <m/>
    <m/>
    <s v="PAV"/>
    <s v="Campo Grande"/>
  </r>
  <r>
    <x v="0"/>
    <s v="060BMS0530"/>
    <n v="0"/>
    <x v="33"/>
    <s v="0530"/>
    <n v="-54.954291210271002"/>
    <n v="-20.9246012103774"/>
    <n v="-54.964944060320001"/>
    <n v="-20.941232899978299"/>
    <s v="060"/>
    <s v="MS"/>
    <s v="Eixo Principal"/>
    <s v="-"/>
    <s v="060BMS0530"/>
    <s v="INÍCIO PISTA DUPLA (SIDROLÂNDIA)"/>
    <s v="ENTR MS-162(A)"/>
    <n v="424.4"/>
    <n v="426.7"/>
    <n v="2.2999999999999998"/>
    <x v="0"/>
    <m/>
    <m/>
    <m/>
    <s v="MP082/2003"/>
    <m/>
    <m/>
    <m/>
    <s v="PAV"/>
    <s v="Campo Grande"/>
  </r>
  <r>
    <x v="0"/>
    <s v="060BMS0532"/>
    <n v="0"/>
    <x v="33"/>
    <s v="0532"/>
    <n v="-54.964944060320001"/>
    <n v="-20.941232899978299"/>
    <n v="-54.967432229913399"/>
    <n v="-20.9450547596694"/>
    <s v="060"/>
    <s v="MS"/>
    <s v="Eixo Principal"/>
    <s v="-"/>
    <s v="060BMS0532"/>
    <s v="ENTR MS-162(A)"/>
    <s v="FIM PISTA DUPLA"/>
    <n v="426.7"/>
    <n v="427.2"/>
    <n v="0.5"/>
    <x v="0"/>
    <m/>
    <m/>
    <m/>
    <s v="MP082/2003"/>
    <m/>
    <m/>
    <m/>
    <s v="PAV"/>
    <s v="Campo Grande"/>
  </r>
  <r>
    <x v="0"/>
    <s v="060BMS0541"/>
    <n v="0"/>
    <x v="33"/>
    <s v="0541"/>
    <n v="-54.967432229913399"/>
    <n v="-20.9450547596694"/>
    <n v="-54.972269759641598"/>
    <n v="-20.9796408599377"/>
    <s v="060"/>
    <s v="MS"/>
    <s v="Eixo Principal"/>
    <s v="-"/>
    <s v="060BMS0541"/>
    <s v="FIM PISTA DUPLA"/>
    <s v="ENTR MS-162(B)"/>
    <n v="427.2"/>
    <n v="431.4"/>
    <n v="4.2"/>
    <x v="2"/>
    <m/>
    <m/>
    <m/>
    <s v="MP082/2003"/>
    <m/>
    <m/>
    <m/>
    <s v="PAV"/>
    <s v="Campo Grande"/>
  </r>
  <r>
    <x v="0"/>
    <s v="060BMS0550"/>
    <n v="0"/>
    <x v="33"/>
    <s v="0550"/>
    <n v="-54.972269759641598"/>
    <n v="-20.9796408599377"/>
    <n v="-55.35609600043"/>
    <n v="-21.106035843978901"/>
    <s v="060"/>
    <s v="MS"/>
    <s v="Eixo Principal"/>
    <s v="-"/>
    <s v="060BMS0550"/>
    <s v="ENTR MS-162(B)"/>
    <s v="ESPERANÇA"/>
    <n v="431.4"/>
    <n v="479.6"/>
    <n v="48.2"/>
    <x v="2"/>
    <m/>
    <m/>
    <m/>
    <s v="MP082/2003"/>
    <m/>
    <m/>
    <m/>
    <s v="PAV"/>
    <s v="Campo Grande"/>
  </r>
  <r>
    <x v="0"/>
    <s v="060BMS0560"/>
    <n v="0"/>
    <x v="33"/>
    <s v="0560"/>
    <n v="-55.35609600043"/>
    <n v="-21.106035843978901"/>
    <n v="-55.539009900086697"/>
    <n v="-21.2215883496226"/>
    <s v="060"/>
    <s v="MS"/>
    <s v="Eixo Principal"/>
    <s v="-"/>
    <s v="060BMS0560"/>
    <s v="ESPERANÇA"/>
    <s v="ENTR MS-166 (PEDRA)"/>
    <n v="479.6"/>
    <n v="503.3"/>
    <n v="23.7"/>
    <x v="2"/>
    <m/>
    <m/>
    <m/>
    <s v="MP082/2003"/>
    <m/>
    <m/>
    <m/>
    <s v="PAV"/>
    <s v="Campo Grande"/>
  </r>
  <r>
    <x v="0"/>
    <s v="060BMS0570"/>
    <n v="0"/>
    <x v="33"/>
    <s v="0570"/>
    <n v="-55.539009900086697"/>
    <n v="-21.2215883496226"/>
    <n v="-55.825207000402699"/>
    <n v="-21.1491923898169"/>
    <s v="060"/>
    <s v="MS"/>
    <s v="Eixo Principal"/>
    <s v="-"/>
    <s v="060BMS0570"/>
    <s v="ENTR MS-166 (PEDRA)"/>
    <s v="NIOAQUE"/>
    <n v="503.3"/>
    <n v="538.5"/>
    <n v="35.200000000000003"/>
    <x v="2"/>
    <m/>
    <m/>
    <m/>
    <s v="MP082/2003"/>
    <m/>
    <m/>
    <m/>
    <s v="PAV"/>
    <s v="Campo Grande"/>
  </r>
  <r>
    <x v="0"/>
    <s v="060BMS0590"/>
    <n v="0"/>
    <x v="33"/>
    <s v="0590"/>
    <n v="-55.825207000402699"/>
    <n v="-21.1491923898169"/>
    <n v="-55.822929880109797"/>
    <n v="-21.1413384296247"/>
    <s v="060"/>
    <s v="MS"/>
    <s v="Eixo Principal"/>
    <s v="-"/>
    <s v="060BMS0590"/>
    <s v="NIOAQUE"/>
    <s v="ENTR BR-419(A) (ACESSO NORTE NIOAQUE)"/>
    <n v="538.5"/>
    <n v="539.4"/>
    <n v="0.9"/>
    <x v="2"/>
    <m/>
    <m/>
    <m/>
    <s v="MP082/2003"/>
    <m/>
    <m/>
    <m/>
    <s v="PAV"/>
    <s v="Jardim"/>
  </r>
  <r>
    <x v="0"/>
    <s v="060BMS0600"/>
    <n v="0"/>
    <x v="33"/>
    <s v="0600"/>
    <n v="-55.822929880109797"/>
    <n v="-21.1413384296247"/>
    <n v="-55.848427930004902"/>
    <n v="-21.155491739652"/>
    <s v="060"/>
    <s v="MS"/>
    <s v="Eixo Principal"/>
    <s v="-"/>
    <s v="060BMS0600"/>
    <s v="ENTR BR-419(A) (ACESSO NORTE NIOAQUE)"/>
    <s v="ACESSO SUL NIOAQUE"/>
    <n v="539.4"/>
    <n v="542.79999999999995"/>
    <n v="3.4"/>
    <x v="2"/>
    <m/>
    <s v="419BMS0120"/>
    <m/>
    <s v="MP082/2003"/>
    <m/>
    <m/>
    <m/>
    <s v="PAV"/>
    <s v="Jardim"/>
  </r>
  <r>
    <x v="0"/>
    <s v="060BMS0610"/>
    <n v="0"/>
    <x v="33"/>
    <s v="0610"/>
    <n v="-55.848427930004902"/>
    <n v="-21.155491739652"/>
    <n v="-56.056998629682901"/>
    <n v="-21.419359990171301"/>
    <s v="060"/>
    <s v="MS"/>
    <s v="Eixo Principal"/>
    <s v="-"/>
    <s v="060BMS0610"/>
    <s v="ACESSO SUL NIOAQUE"/>
    <s v="ENTR BR-267(A)"/>
    <n v="542.79999999999995"/>
    <n v="580.70000000000005"/>
    <n v="37.9"/>
    <x v="2"/>
    <m/>
    <s v="419BMS0150"/>
    <m/>
    <s v="MP082/2003"/>
    <m/>
    <m/>
    <m/>
    <s v="PAV"/>
    <s v="Jardim"/>
  </r>
  <r>
    <x v="0"/>
    <s v="060BMS0612"/>
    <n v="0"/>
    <x v="33"/>
    <s v="0612"/>
    <n v="-56.056998629682901"/>
    <n v="-21.419359990171301"/>
    <n v="-56.0913491399508"/>
    <n v="-21.440520379611701"/>
    <s v="060"/>
    <s v="MS"/>
    <s v="Eixo Principal"/>
    <s v="-"/>
    <s v="060BMS0612"/>
    <s v="ENTR BR-267(A)"/>
    <s v="INÍCIO DUPLICAÇÃO"/>
    <n v="580.70000000000005"/>
    <n v="584.70000000000005"/>
    <n v="4"/>
    <x v="2"/>
    <m/>
    <s v="419BMS0152;267BMS1052"/>
    <s v="Federal"/>
    <m/>
    <m/>
    <m/>
    <s v="Federal"/>
    <s v="PAV"/>
    <s v="Jardim"/>
  </r>
  <r>
    <x v="0"/>
    <s v="060BMS0620"/>
    <n v="0"/>
    <x v="33"/>
    <s v="0620"/>
    <n v="-56.0913491399508"/>
    <n v="-21.440520379611701"/>
    <n v="-56.120499850187898"/>
    <n v="-21.458202599670098"/>
    <s v="060"/>
    <s v="MS"/>
    <s v="Eixo Principal"/>
    <s v="-"/>
    <s v="060BMS0620"/>
    <s v="INÍCIO DUPLICAÇÃO"/>
    <s v="ENTR MS-382 (GUIA LOPES DA LAGUNA)(FIM DA DUPLICAÇÃO)"/>
    <n v="584.70000000000005"/>
    <n v="588.29999999999995"/>
    <n v="3.6"/>
    <x v="0"/>
    <m/>
    <s v="419BMS0160;267BMS1060"/>
    <s v="Federal"/>
    <m/>
    <m/>
    <m/>
    <s v="Federal"/>
    <s v="PAV"/>
    <s v="Jardim"/>
  </r>
  <r>
    <x v="0"/>
    <s v="060BMS0630"/>
    <n v="0"/>
    <x v="33"/>
    <s v="0630"/>
    <n v="-56.120499850187898"/>
    <n v="-21.458202599670098"/>
    <n v="-56.143425349799898"/>
    <n v="-21.482694909842099"/>
    <s v="060"/>
    <s v="MS"/>
    <s v="Eixo Principal"/>
    <s v="-"/>
    <s v="060BMS0630"/>
    <s v="ENTR MS-382 (GUIA LOPES DA LAGUNA)(FIM DA DUPLICAÇÃO)"/>
    <s v="ENTR BR-267(B)/419(B) (JARDIM)"/>
    <n v="588.29999999999995"/>
    <n v="592.20000000000005"/>
    <n v="3.9"/>
    <x v="2"/>
    <m/>
    <s v="267BMS1070;419BMS0170"/>
    <s v="Federal"/>
    <m/>
    <m/>
    <m/>
    <s v="Federal"/>
    <s v="PAV"/>
    <s v="Jardim"/>
  </r>
  <r>
    <x v="0"/>
    <s v="060BMS0632"/>
    <n v="0"/>
    <x v="33"/>
    <s v="0632"/>
    <n v="-56.143425349799898"/>
    <n v="-21.482694909842099"/>
    <n v="-56.251146759615203"/>
    <n v="-21.7814548196841"/>
    <s v="060"/>
    <s v="MS"/>
    <s v="Eixo Principal"/>
    <s v="-"/>
    <s v="060BMS0632"/>
    <s v="ENTR BR-267(B)/419(B) (JARDIM)"/>
    <s v="ENTR MS-270"/>
    <n v="592.20000000000005"/>
    <n v="632"/>
    <n v="39.799999999999997"/>
    <x v="2"/>
    <m/>
    <m/>
    <m/>
    <s v="MP082/2003"/>
    <m/>
    <m/>
    <m/>
    <s v="PAV"/>
    <s v="Jardim"/>
  </r>
  <r>
    <x v="0"/>
    <s v="060BMS0635"/>
    <n v="0"/>
    <x v="33"/>
    <s v="0635"/>
    <n v="-56.251146759615203"/>
    <n v="-21.7814548196841"/>
    <n v="-56.515797489562402"/>
    <n v="-22.030227230202399"/>
    <s v="060"/>
    <s v="MS"/>
    <s v="Eixo Principal"/>
    <s v="-"/>
    <s v="060BMS0635"/>
    <s v="ENTR MS-270"/>
    <s v="ENTR MS-472"/>
    <n v="632"/>
    <n v="672.4"/>
    <n v="40.4"/>
    <x v="2"/>
    <m/>
    <m/>
    <m/>
    <s v="MP082/2003"/>
    <m/>
    <m/>
    <m/>
    <s v="PAV"/>
    <s v="Jardim"/>
  </r>
  <r>
    <x v="0"/>
    <s v="060BMS0636"/>
    <n v="0"/>
    <x v="33"/>
    <s v="0636"/>
    <n v="-56.515797489562402"/>
    <n v="-22.030227230202399"/>
    <n v="-56.517172910001698"/>
    <n v="-22.0702809504055"/>
    <s v="060"/>
    <s v="MS"/>
    <s v="Eixo Principal"/>
    <s v="-"/>
    <s v="060BMS0636"/>
    <s v="ENTR MS-472"/>
    <s v="ENTR MS-384 (P/ANTÔNIO JOÃO)"/>
    <n v="672.4"/>
    <n v="677.1"/>
    <n v="4.7"/>
    <x v="2"/>
    <m/>
    <m/>
    <m/>
    <s v="MP082/2003"/>
    <m/>
    <m/>
    <m/>
    <s v="PAV"/>
    <s v="Jardim"/>
  </r>
  <r>
    <x v="0"/>
    <s v="060BMS0645"/>
    <n v="0"/>
    <x v="33"/>
    <s v="0645"/>
    <n v="-56.517172910001698"/>
    <n v="-22.0702809504055"/>
    <n v="-56.525857779912499"/>
    <n v="-22.102829560136001"/>
    <s v="060"/>
    <s v="MS"/>
    <s v="Eixo Principal"/>
    <s v="-"/>
    <s v="060BMS0645"/>
    <s v="ENTR MS-384 (P/ANTÔNIO JOÃO)"/>
    <s v="INÍCIO PISTA DUPLA"/>
    <n v="677.1"/>
    <n v="680.9"/>
    <n v="3.8"/>
    <x v="2"/>
    <m/>
    <m/>
    <m/>
    <s v="MP082/2003"/>
    <m/>
    <m/>
    <m/>
    <s v="PAV"/>
    <s v="Jardim"/>
  </r>
  <r>
    <x v="0"/>
    <s v="060BMS0655"/>
    <n v="0"/>
    <x v="33"/>
    <s v="0655"/>
    <n v="-56.525857779912499"/>
    <n v="-22.102829560136001"/>
    <n v="-56.527845439914998"/>
    <n v="-22.1137877498047"/>
    <s v="060"/>
    <s v="MS"/>
    <s v="Eixo Principal"/>
    <s v="-"/>
    <s v="060BMS0655"/>
    <s v="INÍCIO PISTA DUPLA"/>
    <s v="FIM PISTA DUPLA"/>
    <n v="680.9"/>
    <n v="682.1"/>
    <n v="1.2"/>
    <x v="0"/>
    <m/>
    <m/>
    <m/>
    <s v="MP082/2003"/>
    <m/>
    <m/>
    <m/>
    <s v="PAV"/>
    <s v="Jardim"/>
  </r>
  <r>
    <x v="0"/>
    <s v="060BMS0660"/>
    <n v="0"/>
    <x v="33"/>
    <s v="0660"/>
    <n v="-56.527845439914998"/>
    <n v="-22.1137877498047"/>
    <n v="-56.519624270343698"/>
    <n v="-22.115222209837"/>
    <s v="060"/>
    <s v="MS"/>
    <s v="Eixo Principal"/>
    <s v="-"/>
    <s v="060BMS0660"/>
    <s v="FIM PISTA DUPLA"/>
    <s v="FIM DA PONTE S/ RIO APA (FRONT BRASIL/PARAGUAI) (BELA VISTA)"/>
    <n v="682.1"/>
    <n v="682.9"/>
    <n v="0.8"/>
    <x v="2"/>
    <m/>
    <m/>
    <m/>
    <s v="MP082/2003"/>
    <m/>
    <m/>
    <m/>
    <s v="PAV"/>
    <s v="Jardim"/>
  </r>
  <r>
    <x v="0"/>
    <s v="060CGO1005"/>
    <n v="0"/>
    <x v="34"/>
    <s v="1005"/>
    <n v="-50.867300619627798"/>
    <n v="-17.7293614902405"/>
    <n v="-50.937941948162297"/>
    <n v="-17.723346447580401"/>
    <s v="060"/>
    <s v="GO"/>
    <s v="Contorno"/>
    <s v="-"/>
    <s v="060CGO1005"/>
    <s v="ENTR BR-060 (KM 380,1)"/>
    <s v="ENTR GO-174 (CONTORNO NORDESTE DE RIO VERDE)"/>
    <n v="0"/>
    <n v="4.4000000000000004"/>
    <n v="4.4000000000000004"/>
    <x v="1"/>
    <m/>
    <m/>
    <s v="Federal"/>
    <m/>
    <m/>
    <m/>
    <s v="Federal"/>
    <s v="PLA"/>
    <s v="Jardim"/>
  </r>
  <r>
    <x v="0"/>
    <s v="060CGO1010"/>
    <n v="0"/>
    <x v="34"/>
    <s v="1010"/>
    <n v="-50.937941948162297"/>
    <n v="-17.723346447580401"/>
    <n v="-51.025885097019497"/>
    <n v="-17.764101539154598"/>
    <s v="060"/>
    <s v="GO"/>
    <s v="Contorno"/>
    <s v="-"/>
    <s v="060CGO1010"/>
    <s v="ENTR GO-174 (CONTORNO NORDESTE DE RIO VERDE)"/>
    <s v="PROLONG AV UNIVERSITÁRIA (C N RIO VERDE)"/>
    <n v="4.4000000000000004"/>
    <n v="10.7"/>
    <n v="6.3"/>
    <x v="1"/>
    <m/>
    <m/>
    <s v="Federal"/>
    <m/>
    <m/>
    <m/>
    <s v="Federal"/>
    <s v="PLA"/>
    <s v="Rio Verde"/>
  </r>
  <r>
    <x v="0"/>
    <s v="060CGO1015"/>
    <n v="0"/>
    <x v="34"/>
    <s v="1015"/>
    <n v="-51.025885097019497"/>
    <n v="-17.764101539154598"/>
    <n v="-51.000879069813102"/>
    <n v="-17.822301640208401"/>
    <s v="060"/>
    <s v="GO"/>
    <s v="Contorno"/>
    <s v="-"/>
    <s v="060CGO1015"/>
    <s v="PROLONG AV UNIVERSITÁRIA (C N RIO VERDE)"/>
    <s v="ENTR BR-060 (KM 392,0 (CONT NORDESTE DE RIO VERDE))"/>
    <n v="10.7"/>
    <n v="15.6"/>
    <n v="4.9000000000000004"/>
    <x v="1"/>
    <m/>
    <m/>
    <s v="Federal"/>
    <m/>
    <m/>
    <m/>
    <s v="Federal"/>
    <s v="PLA"/>
    <s v="Rio Verde"/>
  </r>
  <r>
    <x v="0"/>
    <s v="060CGO2005"/>
    <n v="0"/>
    <x v="34"/>
    <s v="2005"/>
    <n v="-51.619027849755398"/>
    <n v="-17.8721696403165"/>
    <n v="-51.730298145343099"/>
    <n v="-17.846865342161699"/>
    <s v="060"/>
    <s v="GO"/>
    <s v="Contorno"/>
    <s v="-"/>
    <s v="060CGO2005"/>
    <s v="ENTR BR-060"/>
    <s v="ENTR GO-184 (CONTORNO DE JATAÍ)"/>
    <n v="0"/>
    <n v="12.9"/>
    <n v="12.9"/>
    <x v="1"/>
    <m/>
    <m/>
    <s v="Federal"/>
    <m/>
    <m/>
    <m/>
    <s v="Federal"/>
    <s v="PLA"/>
    <s v="Rio Verde"/>
  </r>
  <r>
    <x v="0"/>
    <s v="060CGO2010"/>
    <n v="0"/>
    <x v="34"/>
    <s v="2010"/>
    <n v="-51.730298145343099"/>
    <n v="-17.846865342161699"/>
    <n v="-51.734010339905197"/>
    <n v="-17.849504759736799"/>
    <s v="060"/>
    <s v="GO"/>
    <s v="Contorno"/>
    <s v="-"/>
    <s v="060CGO2010"/>
    <s v="ENTR GO-184 (CONTORNO DE JATAÍ)"/>
    <s v="ENTR BR-158 (CONTORNO DE JATAÍ)"/>
    <n v="12.9"/>
    <n v="13.4"/>
    <n v="0.5"/>
    <x v="1"/>
    <m/>
    <m/>
    <s v="Federal"/>
    <m/>
    <m/>
    <m/>
    <s v="Federal"/>
    <s v="PLA"/>
    <s v="Jataí"/>
  </r>
  <r>
    <x v="0"/>
    <s v="060CGO2015"/>
    <n v="0"/>
    <x v="34"/>
    <s v="2015"/>
    <n v="-51.734010339905197"/>
    <n v="-17.849504759736799"/>
    <n v="-51.7656037500129"/>
    <n v="-17.914806989550801"/>
    <s v="060"/>
    <s v="GO"/>
    <s v="Contorno"/>
    <s v="-"/>
    <s v="060CGO2015"/>
    <s v="ENTR BR-158 (CONTORNO DE JATAÍ)"/>
    <s v="ENTR BR-364 (CONTORNO DE JATAÍ)"/>
    <n v="13.4"/>
    <n v="23.6"/>
    <n v="10.199999999999999"/>
    <x v="1"/>
    <m/>
    <m/>
    <s v="Federal"/>
    <m/>
    <m/>
    <m/>
    <s v="Federal"/>
    <s v="PLA"/>
    <s v="Jataí"/>
  </r>
  <r>
    <x v="0"/>
    <s v="060NGO1005"/>
    <n v="0"/>
    <x v="35"/>
    <s v="1005"/>
    <n v="-49.200363150339001"/>
    <n v="-16.600840449726899"/>
    <n v="-49.238757867781302"/>
    <n v="-16.590903353007199"/>
    <s v="060"/>
    <s v="GO"/>
    <s v="Anel"/>
    <s v="-"/>
    <s v="060NGO1005"/>
    <s v="ENTR BR-153/GO-060"/>
    <s v="ENTR GO-080 (ANEL VIÁRIO DE GOIÂNIA)"/>
    <n v="0"/>
    <n v="5"/>
    <n v="5"/>
    <x v="1"/>
    <m/>
    <m/>
    <s v="Federal"/>
    <m/>
    <m/>
    <m/>
    <s v="Federal"/>
    <s v="PLA"/>
    <s v="Jataí"/>
  </r>
  <r>
    <x v="0"/>
    <s v="060NGO1010"/>
    <n v="0"/>
    <x v="35"/>
    <s v="1010"/>
    <n v="-49.238757867781302"/>
    <n v="-16.590903353007199"/>
    <n v="-49.262306692000202"/>
    <n v="-16.587287068443398"/>
    <s v="060"/>
    <s v="GO"/>
    <s v="Anel"/>
    <s v="-"/>
    <s v="060NGO1010"/>
    <s v="ENTR GO-080 (ANEL VIÁRIO DE GOIÂNIA)"/>
    <s v="ENTR GO-462 (ANEL VIÁRIO DE GOIÂNIA)"/>
    <n v="5"/>
    <n v="8"/>
    <n v="3"/>
    <x v="1"/>
    <m/>
    <m/>
    <s v="Federal"/>
    <m/>
    <m/>
    <m/>
    <s v="Federal"/>
    <s v="PLA"/>
    <s v="Goiânia"/>
  </r>
  <r>
    <x v="0"/>
    <s v="060NGO1015"/>
    <n v="0"/>
    <x v="35"/>
    <s v="1015"/>
    <n v="-49.262306692000202"/>
    <n v="-16.587287068443398"/>
    <n v="-49.361450162195098"/>
    <n v="-16.618121180048298"/>
    <s v="060"/>
    <s v="GO"/>
    <s v="Anel"/>
    <s v="-"/>
    <s v="060NGO1015"/>
    <s v="ENTR GO-462 (ANEL VIÁRIO DE GOIÂNIA)"/>
    <s v="ENTR GO-070 (ANEL VIÁRIO DE GOIÂNIA)"/>
    <n v="8"/>
    <n v="21.5"/>
    <n v="13.5"/>
    <x v="1"/>
    <m/>
    <m/>
    <s v="Federal"/>
    <m/>
    <m/>
    <m/>
    <s v="Federal"/>
    <s v="PLA"/>
    <s v="Goiânia"/>
  </r>
  <r>
    <x v="0"/>
    <s v="060NGO1020"/>
    <n v="0"/>
    <x v="35"/>
    <s v="1020"/>
    <n v="-49.361450162195098"/>
    <n v="-16.618121180048298"/>
    <n v="-49.370152762240103"/>
    <n v="-16.665267262374101"/>
    <s v="060"/>
    <s v="GO"/>
    <s v="Anel"/>
    <s v="-"/>
    <s v="060NGO1020"/>
    <s v="ENTR GO-070 (ANEL VIÁRIO DE GOIÂNIA)"/>
    <s v="ENTR GO-060 (ANEL VIÁRIO DE GOIÂNIA)"/>
    <n v="21.5"/>
    <n v="27.8"/>
    <n v="6.3"/>
    <x v="1"/>
    <m/>
    <m/>
    <s v="Federal"/>
    <m/>
    <m/>
    <m/>
    <s v="Federal"/>
    <s v="PLA"/>
    <s v="Goiânia"/>
  </r>
  <r>
    <x v="0"/>
    <s v="060NGO1025"/>
    <n v="0"/>
    <x v="35"/>
    <s v="1025"/>
    <n v="-49.370152762240103"/>
    <n v="-16.665267262374101"/>
    <n v="-49.357129329854601"/>
    <n v="-16.712400899881501"/>
    <s v="060"/>
    <s v="GO"/>
    <s v="Anel"/>
    <s v="-"/>
    <s v="060NGO1025"/>
    <s v="ENTR GO-060 (ANEL VIÁRIO DE GOIÂNIA)"/>
    <s v="ENTR BR-060 (ANEL VIÁRIO DE GOIÂNIA)"/>
    <n v="27.8"/>
    <n v="34"/>
    <n v="6.2"/>
    <x v="1"/>
    <m/>
    <m/>
    <s v="Federal"/>
    <m/>
    <m/>
    <m/>
    <s v="Federal"/>
    <s v="PLA"/>
    <s v="Goiânia"/>
  </r>
  <r>
    <x v="0"/>
    <s v="060NGO1030"/>
    <n v="0"/>
    <x v="35"/>
    <s v="1030"/>
    <n v="-49.357129329854601"/>
    <n v="-16.712400899881501"/>
    <n v="-49.340391463595097"/>
    <n v="-16.751202794373299"/>
    <s v="060"/>
    <s v="GO"/>
    <s v="Anel"/>
    <s v="-"/>
    <s v="060NGO1030"/>
    <s v="ENTR BR-060 (ANEL VIÁRIO DE GOIÂNIA)"/>
    <s v="ENTR GO-040 (ANEL VIÁRIO DE GOIÂNIA)"/>
    <n v="34"/>
    <n v="38.700000000000003"/>
    <n v="4.7"/>
    <x v="0"/>
    <m/>
    <m/>
    <s v="Federal"/>
    <m/>
    <m/>
    <m/>
    <s v="Federal"/>
    <s v="PAV"/>
    <s v="Goiânia"/>
  </r>
  <r>
    <x v="0"/>
    <s v="060NGO1035"/>
    <n v="0"/>
    <x v="35"/>
    <s v="1035"/>
    <n v="-49.340391463595097"/>
    <n v="-16.751202794373299"/>
    <n v="-49.237609910169098"/>
    <n v="-16.787488949655199"/>
    <s v="060"/>
    <s v="GO"/>
    <s v="Anel"/>
    <s v="-"/>
    <s v="060NGO1035"/>
    <s v="ENTR GO-040 (ANEL VIÁRIO DE GOIÂNIA)"/>
    <s v="ENTR BR-153 (ANEL VIÁRIO DE GOIÂNIA)"/>
    <n v="38.700000000000003"/>
    <n v="50.9"/>
    <n v="12.2"/>
    <x v="0"/>
    <m/>
    <m/>
    <s v="Federal"/>
    <m/>
    <m/>
    <m/>
    <s v="Federal"/>
    <s v="PAV"/>
    <s v="Goiânia"/>
  </r>
  <r>
    <x v="0"/>
    <s v="060NGO1040"/>
    <n v="0"/>
    <x v="35"/>
    <s v="1040"/>
    <n v="-49.237609910169098"/>
    <n v="-16.787488949655199"/>
    <n v="-49.174442880434498"/>
    <n v="-16.732558229578601"/>
    <s v="060"/>
    <s v="GO"/>
    <s v="Anel"/>
    <s v="-"/>
    <s v="060NGO1040"/>
    <s v="ENTR BR-153 (ANEL VIÁRIO DE GOIÂNIA)"/>
    <s v="ENTR BR-352/GO-020 (ANEL VIÁRIO DE GOIÂNIA)"/>
    <n v="50.9"/>
    <n v="61.5"/>
    <n v="10.6"/>
    <x v="1"/>
    <m/>
    <m/>
    <s v="Federal"/>
    <m/>
    <m/>
    <m/>
    <s v="Federal"/>
    <s v="PLA"/>
    <s v="Goiânia"/>
  </r>
  <r>
    <x v="0"/>
    <s v="060NGO1045"/>
    <n v="0"/>
    <x v="35"/>
    <s v="1045"/>
    <n v="-49.174442880434498"/>
    <n v="-16.732558229578601"/>
    <n v="-49.155923208089497"/>
    <n v="-16.6930408299703"/>
    <s v="060"/>
    <s v="GO"/>
    <s v="Anel"/>
    <s v="-"/>
    <s v="060NGO1045"/>
    <s v="ENTR BR-352/GO-020 (ANEL VIÁRIO DE GOIÂNIA)"/>
    <s v="ENTR GO-403 (ANEL VIÁRIO DE GOIÂNIA)"/>
    <n v="61.5"/>
    <n v="66.400000000000006"/>
    <n v="4.9000000000000004"/>
    <x v="1"/>
    <m/>
    <m/>
    <s v="Federal"/>
    <m/>
    <m/>
    <m/>
    <s v="Federal"/>
    <s v="PLA"/>
    <s v="Goiânia"/>
  </r>
  <r>
    <x v="0"/>
    <s v="060NGO1050"/>
    <n v="0"/>
    <x v="35"/>
    <s v="1050"/>
    <n v="-49.155923208089497"/>
    <n v="-16.6930408299703"/>
    <n v="-49.144935550335298"/>
    <n v="-16.6454703296919"/>
    <s v="060"/>
    <s v="GO"/>
    <s v="Anel"/>
    <s v="-"/>
    <s v="060NGO1050"/>
    <s v="ENTR GO-403 (ANEL VIÁRIO DE GOIÂNIA)"/>
    <s v="ENTR BR-457/GO-010 (ANEL VIÁRIO DE GOIÂNIA)"/>
    <n v="66.400000000000006"/>
    <n v="71.900000000000006"/>
    <n v="5.5"/>
    <x v="1"/>
    <m/>
    <m/>
    <s v="Federal"/>
    <m/>
    <m/>
    <m/>
    <s v="Federal"/>
    <s v="PLA"/>
    <s v="Goiânia"/>
  </r>
  <r>
    <x v="0"/>
    <s v="060NGO1055"/>
    <n v="0"/>
    <x v="35"/>
    <s v="1055"/>
    <n v="-49.144935550335298"/>
    <n v="-16.6454703296919"/>
    <n v="-49.200363150339001"/>
    <n v="-16.600840449726899"/>
    <s v="060"/>
    <s v="GO"/>
    <s v="Anel"/>
    <s v="-"/>
    <s v="060NGO1055"/>
    <s v="ENTR BR-457/GO-010 (ANEL VIÁRIO DE GOIÂNIA)"/>
    <s v="ENTR BR-153/GO-060 (ANEL VIÁRIO DE GOIÂNIA)"/>
    <n v="71.900000000000006"/>
    <n v="80.8"/>
    <n v="8.9"/>
    <x v="1"/>
    <m/>
    <m/>
    <s v="Federal"/>
    <m/>
    <m/>
    <m/>
    <s v="Federal"/>
    <s v="PLA"/>
    <s v="Goiânia"/>
  </r>
  <r>
    <x v="0"/>
    <s v="070BDF0010"/>
    <n v="0"/>
    <x v="36"/>
    <s v="0010"/>
    <n v="-48.0533578096151"/>
    <n v="-15.792156669594499"/>
    <n v="-48.128696500442999"/>
    <n v="-15.7836337001351"/>
    <s v="070"/>
    <s v="DF"/>
    <s v="Eixo Principal"/>
    <s v="-"/>
    <s v="070BDF0010"/>
    <s v="ENTR DF-001/095 (BRASÍLIA )"/>
    <s v="ENTR DF-450"/>
    <n v="0"/>
    <n v="8.1999999999999993"/>
    <n v="8.1999999999999993"/>
    <x v="0"/>
    <m/>
    <m/>
    <s v="Federal"/>
    <m/>
    <m/>
    <m/>
    <s v="Federal"/>
    <s v="PAV"/>
    <s v="Goiânia"/>
  </r>
  <r>
    <x v="0"/>
    <s v="070BDF0012"/>
    <n v="0"/>
    <x v="36"/>
    <s v="0012"/>
    <n v="-48.128696500442999"/>
    <n v="-15.7836337001351"/>
    <n v="-48.1722644600367"/>
    <n v="-15.7959649297376"/>
    <s v="070"/>
    <s v="DF"/>
    <s v="Eixo Principal"/>
    <s v="-"/>
    <s v="070BDF0012"/>
    <s v="ENTR DF-450"/>
    <s v="ENTR BR-251(A)"/>
    <n v="8.1999999999999993"/>
    <n v="13.2"/>
    <n v="5"/>
    <x v="0"/>
    <m/>
    <m/>
    <s v="Federal"/>
    <m/>
    <m/>
    <m/>
    <s v="Federal"/>
    <s v="PAV"/>
    <s v="Brasília"/>
  </r>
  <r>
    <x v="0"/>
    <s v="070BDF0030"/>
    <n v="0"/>
    <x v="36"/>
    <s v="0030"/>
    <n v="-48.1722644600367"/>
    <n v="-15.7959649297376"/>
    <n v="-48.196478850018799"/>
    <n v="-15.7953247500371"/>
    <s v="070"/>
    <s v="DF"/>
    <s v="Eixo Principal"/>
    <s v="-"/>
    <s v="070BDF0030"/>
    <s v="ENTR BR-251(A)"/>
    <s v="ENTR BR-251(B)"/>
    <n v="13.2"/>
    <n v="15.8"/>
    <n v="2.6"/>
    <x v="0"/>
    <m/>
    <s v="251BDF0680"/>
    <s v="Federal"/>
    <m/>
    <m/>
    <m/>
    <s v="Federal"/>
    <s v="PAV"/>
    <s v="Brasília"/>
  </r>
  <r>
    <x v="0"/>
    <s v="070BDF0050"/>
    <n v="0"/>
    <x v="36"/>
    <s v="0050"/>
    <n v="-48.196478850018799"/>
    <n v="-15.7953247500371"/>
    <n v="-48.232533369619198"/>
    <n v="-15.7836287601591"/>
    <s v="070"/>
    <s v="DF"/>
    <s v="Eixo Principal"/>
    <s v="-"/>
    <s v="070BDF0050"/>
    <s v="ENTR DF-180"/>
    <s v="DIV DF/GO"/>
    <n v="15.8"/>
    <n v="19.8"/>
    <n v="4"/>
    <x v="0"/>
    <m/>
    <m/>
    <s v="Federal"/>
    <m/>
    <m/>
    <m/>
    <s v="Federal"/>
    <s v="PAV"/>
    <s v="Brasília"/>
  </r>
  <r>
    <x v="0"/>
    <s v="070BGO0070"/>
    <n v="0"/>
    <x v="37"/>
    <s v="0070"/>
    <n v="-48.232533369619198"/>
    <n v="-15.7836287601591"/>
    <n v="-48.256848780446802"/>
    <n v="-15.755028759669401"/>
    <s v="070"/>
    <s v="GO"/>
    <s v="Eixo Principal"/>
    <s v="-"/>
    <s v="070BGO0070"/>
    <s v="DIV DF/GO"/>
    <s v="ENTR GO-547 (ÁGUAS LINDAS DE GOIÁS)"/>
    <n v="0"/>
    <n v="4"/>
    <n v="4"/>
    <x v="0"/>
    <m/>
    <m/>
    <s v="Federal"/>
    <m/>
    <m/>
    <m/>
    <s v="Federal"/>
    <s v="PAV"/>
    <s v="Brasília"/>
  </r>
  <r>
    <x v="0"/>
    <s v="070BGO0072"/>
    <n v="0"/>
    <x v="37"/>
    <s v="0072"/>
    <n v="-48.256848780446802"/>
    <n v="-15.755028759669401"/>
    <n v="-48.340236550176499"/>
    <n v="-15.754978209676599"/>
    <s v="070"/>
    <s v="GO"/>
    <s v="Eixo Principal"/>
    <s v="-"/>
    <s v="070BGO0072"/>
    <s v="ENTR GO-547 (ÁGUAS LINDAS DE GOIÁS)"/>
    <s v="FIM DAS OBRAS DE DUPLICAÇÃO"/>
    <n v="4"/>
    <n v="16"/>
    <n v="12"/>
    <x v="0"/>
    <m/>
    <m/>
    <s v="Federal"/>
    <m/>
    <m/>
    <m/>
    <s v="Federal"/>
    <s v="PAV"/>
    <s v="Brasília"/>
  </r>
  <r>
    <x v="0"/>
    <s v="070BGO0075"/>
    <n v="0"/>
    <x v="37"/>
    <s v="0075"/>
    <n v="-48.340236550176499"/>
    <n v="-15.754978209676599"/>
    <n v="-48.750609819987098"/>
    <n v="-15.754426409950799"/>
    <s v="070"/>
    <s v="GO"/>
    <s v="Eixo Principal"/>
    <s v="-"/>
    <s v="070BGO0075"/>
    <s v="FIM DAS OBRAS DE DUPLICAÇÃO"/>
    <s v="ENTR BR-414(A)"/>
    <n v="16"/>
    <n v="65.5"/>
    <n v="49.5"/>
    <x v="2"/>
    <m/>
    <m/>
    <s v="Federal"/>
    <m/>
    <m/>
    <m/>
    <s v="Federal"/>
    <s v="PAV"/>
    <s v="Brasília"/>
  </r>
  <r>
    <x v="0"/>
    <s v="070BGO0080"/>
    <n v="0"/>
    <x v="37"/>
    <s v="0080"/>
    <n v="-48.750609819987098"/>
    <n v="-15.754426409950799"/>
    <n v="-48.772651109760801"/>
    <n v="-15.7908510302507"/>
    <s v="070"/>
    <s v="GO"/>
    <s v="Eixo Principal"/>
    <s v="-"/>
    <s v="070BGO0080"/>
    <s v="ENTR BR-414(A)"/>
    <s v="ENTR BR-414(B) (COCALZINHO DE GOIAS)"/>
    <n v="65.5"/>
    <n v="67.3"/>
    <n v="1.8"/>
    <x v="2"/>
    <m/>
    <s v="414BGO0120"/>
    <s v="Federal"/>
    <m/>
    <m/>
    <m/>
    <s v="Federal"/>
    <s v="PAV"/>
    <s v="Brasília"/>
  </r>
  <r>
    <x v="0"/>
    <s v="070BGO0085"/>
    <n v="0"/>
    <x v="37"/>
    <s v="0085"/>
    <n v="-48.772651109760801"/>
    <n v="-15.7908510302507"/>
    <n v="-49.048646319671803"/>
    <n v="-15.7803105801691"/>
    <s v="070"/>
    <s v="GO"/>
    <s v="Eixo Principal"/>
    <s v="-"/>
    <s v="070BGO0085"/>
    <s v="ENTR BR-414(B) (COCALZINHO DE GOIAS)"/>
    <s v="ENTR GO-338"/>
    <n v="67.3"/>
    <n v="98.8"/>
    <n v="31.5"/>
    <x v="3"/>
    <m/>
    <m/>
    <s v="Federal"/>
    <m/>
    <m/>
    <m/>
    <s v="Federal"/>
    <s v="N_PAV"/>
    <s v="Anápolis"/>
  </r>
  <r>
    <x v="0"/>
    <s v="070BGO0090"/>
    <n v="0"/>
    <x v="37"/>
    <s v="0090"/>
    <n v="-49.048646319671803"/>
    <n v="-15.7803105801691"/>
    <n v="-49.275373200113002"/>
    <n v="-15.8357382799975"/>
    <s v="070"/>
    <s v="GO"/>
    <s v="Eixo Principal"/>
    <s v="-"/>
    <s v="070BGO0090"/>
    <s v="ENTR GO-338"/>
    <s v="ENTR BR-153"/>
    <n v="98.8"/>
    <n v="129"/>
    <n v="30.2"/>
    <x v="3"/>
    <m/>
    <m/>
    <s v="Federal"/>
    <m/>
    <m/>
    <m/>
    <s v="Federal"/>
    <s v="N_PAV"/>
    <s v="Anápolis"/>
  </r>
  <r>
    <x v="0"/>
    <s v="070BGO0110"/>
    <n v="0"/>
    <x v="37"/>
    <s v="0110"/>
    <n v="-49.275373200113002"/>
    <n v="-15.8357382799975"/>
    <n v="-49.605806639764502"/>
    <n v="-15.924540349757301"/>
    <s v="070"/>
    <s v="GO"/>
    <s v="Eixo Principal"/>
    <s v="-"/>
    <s v="070BGO0110"/>
    <s v="ENTR BR-153"/>
    <s v="ENTR GO-154 (ITAGUARI)"/>
    <n v="129"/>
    <n v="167.7"/>
    <n v="38.700000000000003"/>
    <x v="5"/>
    <s v="EOP"/>
    <m/>
    <s v="Federal"/>
    <m/>
    <m/>
    <m/>
    <s v="Federal"/>
    <s v="N_PAV"/>
    <s v="Anápolis"/>
  </r>
  <r>
    <x v="0"/>
    <s v="070BGO0115"/>
    <n v="0"/>
    <x v="37"/>
    <s v="0115"/>
    <n v="-49.605806639764502"/>
    <n v="-15.924540349757301"/>
    <n v="-49.776757160414597"/>
    <n v="-16.024151720125701"/>
    <s v="070"/>
    <s v="GO"/>
    <s v="Eixo Principal"/>
    <s v="-"/>
    <s v="070BGO0115"/>
    <s v="ENTR GO-154 (ITAGUARI)"/>
    <s v="KM 187,7"/>
    <n v="167.7"/>
    <n v="187.7"/>
    <n v="20"/>
    <x v="2"/>
    <m/>
    <m/>
    <s v="Federal"/>
    <m/>
    <m/>
    <m/>
    <s v="Federal"/>
    <s v="PAV"/>
    <s v="Anápolis"/>
  </r>
  <r>
    <x v="0"/>
    <s v="070BGO0120"/>
    <n v="0"/>
    <x v="37"/>
    <s v="0120"/>
    <n v="-49.776757160414597"/>
    <n v="-16.024151720125701"/>
    <n v="-49.786366750125303"/>
    <n v="-16.039107089620401"/>
    <s v="070"/>
    <s v="GO"/>
    <s v="Eixo Principal"/>
    <s v="-"/>
    <s v="070BGO0120"/>
    <s v="KM 187,7"/>
    <s v="INÍCIO PISTA DUPLA"/>
    <n v="187.7"/>
    <n v="190.8"/>
    <n v="3.1"/>
    <x v="2"/>
    <m/>
    <m/>
    <s v="Federal"/>
    <m/>
    <m/>
    <m/>
    <s v="Federal"/>
    <s v="PAV"/>
    <s v="Anápolis"/>
  </r>
  <r>
    <x v="0"/>
    <s v="070BGO0125"/>
    <n v="0"/>
    <x v="37"/>
    <s v="0125"/>
    <n v="-49.786366750125303"/>
    <n v="-16.039107089620401"/>
    <n v="-49.791396609765599"/>
    <n v="-16.041959589863101"/>
    <s v="070"/>
    <s v="GO"/>
    <s v="Eixo Principal"/>
    <s v="-"/>
    <s v="070BGO0125"/>
    <s v="INÍCIO PISTA DUPLA"/>
    <s v="ENTR GO-070(A)"/>
    <n v="190.8"/>
    <n v="191.2"/>
    <n v="0.4"/>
    <x v="0"/>
    <m/>
    <m/>
    <s v="Federal"/>
    <m/>
    <m/>
    <m/>
    <s v="Federal"/>
    <s v="PAV"/>
    <s v="Anápolis"/>
  </r>
  <r>
    <x v="0"/>
    <s v="070BGO0130"/>
    <n v="0"/>
    <x v="37"/>
    <s v="0130"/>
    <n v="-49.791396609765599"/>
    <n v="-16.041959589863101"/>
    <n v="-49.799089829631797"/>
    <n v="-16.028049430436699"/>
    <s v="070"/>
    <s v="GO"/>
    <s v="Eixo Principal"/>
    <s v="-"/>
    <s v="070BGO0130"/>
    <s v="ENTR GO-070(A)"/>
    <s v="ENTR GO-156(A)/522 (ITABERAI)"/>
    <n v="191.2"/>
    <n v="192.9"/>
    <n v="1.7"/>
    <x v="1"/>
    <m/>
    <m/>
    <s v="Estadual"/>
    <m/>
    <s v="GOT-070"/>
    <s v="DUP"/>
    <s v="Estadual"/>
    <s v="PLA"/>
    <s v="Anápolis"/>
  </r>
  <r>
    <x v="0"/>
    <s v="070BGO0140"/>
    <n v="0"/>
    <x v="37"/>
    <s v="0140"/>
    <n v="-49.799089829631797"/>
    <n v="-16.028049430436699"/>
    <n v="-49.814131089777902"/>
    <n v="-16.023584059956299"/>
    <s v="070"/>
    <s v="GO"/>
    <s v="Eixo Principal"/>
    <s v="-"/>
    <s v="070BGO0140"/>
    <s v="ENTR GO-156(A)/522 (ITABERAI)"/>
    <s v="FIM PISTA DUPLA"/>
    <n v="192.9"/>
    <n v="194.5"/>
    <n v="1.6"/>
    <x v="1"/>
    <m/>
    <m/>
    <s v="Estadual"/>
    <m/>
    <s v="GOT-070"/>
    <s v="DUP"/>
    <s v="Estadual"/>
    <s v="PLA"/>
    <s v="Anápolis"/>
  </r>
  <r>
    <x v="0"/>
    <s v="070BGO0150"/>
    <n v="0"/>
    <x v="37"/>
    <s v="0150"/>
    <n v="-49.814131089777902"/>
    <n v="-16.023584059956299"/>
    <n v="-49.829108929733202"/>
    <n v="-16.021325720205699"/>
    <s v="070"/>
    <s v="GO"/>
    <s v="Eixo Principal"/>
    <s v="-"/>
    <s v="070BGO0150"/>
    <s v="FIM PISTA DUPLA"/>
    <s v="ENTR GO-156(B)"/>
    <n v="194.5"/>
    <n v="196.4"/>
    <n v="1.9"/>
    <x v="1"/>
    <m/>
    <m/>
    <s v="Estadual"/>
    <m/>
    <s v="GOT-070"/>
    <s v="PAV"/>
    <s v="Estadual"/>
    <s v="PLA"/>
    <s v="Anápolis"/>
  </r>
  <r>
    <x v="0"/>
    <s v="070BGO0160"/>
    <n v="0"/>
    <x v="37"/>
    <s v="0160"/>
    <n v="-49.829108929733202"/>
    <n v="-16.021325720205699"/>
    <n v="-50.034050079847198"/>
    <n v="-16.003608369930301"/>
    <s v="070"/>
    <s v="GO"/>
    <s v="Eixo Principal"/>
    <s v="-"/>
    <s v="070BGO0160"/>
    <s v="ENTR GO-156(B)"/>
    <s v="ENTR GO-164(A)"/>
    <n v="196.4"/>
    <n v="218.9"/>
    <n v="22.5"/>
    <x v="1"/>
    <m/>
    <m/>
    <s v="Estadual"/>
    <m/>
    <s v="GOT-070"/>
    <s v="PAV"/>
    <s v="Estadual"/>
    <s v="PLA"/>
    <s v="Anápolis"/>
  </r>
  <r>
    <x v="0"/>
    <s v="070BGO0170"/>
    <n v="0"/>
    <x v="37"/>
    <s v="0170"/>
    <n v="-50.034050079847198"/>
    <n v="-16.003608369930301"/>
    <n v="-50.130704380402697"/>
    <n v="-15.959705590040899"/>
    <s v="070"/>
    <s v="GO"/>
    <s v="Eixo Principal"/>
    <s v="-"/>
    <s v="070BGO0170"/>
    <s v="ENTR GO-164(A)"/>
    <s v="ENTR GO-164(B) (CIDADE DE GOIÁS)"/>
    <n v="218.9"/>
    <n v="231.5"/>
    <n v="12.6"/>
    <x v="1"/>
    <m/>
    <m/>
    <s v="Estadual"/>
    <m/>
    <s v="GOT-070"/>
    <s v="PAV"/>
    <s v="Estadual"/>
    <s v="PLA"/>
    <s v="Anápolis"/>
  </r>
  <r>
    <x v="0"/>
    <s v="070BGO0180"/>
    <n v="0"/>
    <x v="37"/>
    <s v="0180"/>
    <n v="-50.130704380402697"/>
    <n v="-15.959705590040899"/>
    <n v="-50.443476029894804"/>
    <n v="-15.894966469826601"/>
    <s v="070"/>
    <s v="GO"/>
    <s v="Eixo Principal"/>
    <s v="-"/>
    <s v="070BGO0180"/>
    <s v="ENTR GO-164(B) (CIDADE DE GOIÁS)"/>
    <s v="UVÁ"/>
    <n v="231.5"/>
    <n v="268.89999999999998"/>
    <n v="37.4"/>
    <x v="1"/>
    <m/>
    <m/>
    <s v="Estadual"/>
    <m/>
    <s v="GOT-070"/>
    <s v="PAV"/>
    <s v="Estadual"/>
    <s v="PLA"/>
    <s v="Anápolis"/>
  </r>
  <r>
    <x v="0"/>
    <s v="070BGO0190"/>
    <n v="0"/>
    <x v="37"/>
    <s v="0190"/>
    <n v="-50.443476029894804"/>
    <n v="-15.894966469826601"/>
    <n v="-50.613340469886701"/>
    <n v="-15.8163330101602"/>
    <s v="070"/>
    <s v="GO"/>
    <s v="Eixo Principal"/>
    <s v="-"/>
    <s v="070BGO0190"/>
    <s v="UVÁ"/>
    <s v="ENTR GO-070(B)/432 (ITAPIRAPUÃ)"/>
    <n v="268.89999999999998"/>
    <n v="290.10000000000002"/>
    <n v="21.2"/>
    <x v="1"/>
    <m/>
    <m/>
    <s v="Estadual"/>
    <m/>
    <s v="GOT-070"/>
    <s v="PAV"/>
    <s v="Estadual"/>
    <s v="PLA"/>
    <s v="Anápolis"/>
  </r>
  <r>
    <x v="0"/>
    <s v="070BGO0210"/>
    <n v="0"/>
    <x v="37"/>
    <s v="0210"/>
    <n v="-50.613340469886701"/>
    <n v="-15.8163330101602"/>
    <n v="-50.849821229965698"/>
    <n v="-15.8726513104095"/>
    <s v="070"/>
    <s v="GO"/>
    <s v="Eixo Principal"/>
    <s v="-"/>
    <s v="070BGO0210"/>
    <s v="ENTR GO-070(B)/432 (ITAPIRAPUÃ)"/>
    <s v="ENTR GO-324(A)"/>
    <n v="290.10000000000002"/>
    <n v="316.5"/>
    <n v="26.4"/>
    <x v="2"/>
    <m/>
    <m/>
    <s v="Federal"/>
    <m/>
    <m/>
    <m/>
    <s v="Federal"/>
    <s v="PAV"/>
    <s v="Anápolis"/>
  </r>
  <r>
    <x v="0"/>
    <s v="070BGO0215"/>
    <n v="0"/>
    <x v="37"/>
    <s v="0215"/>
    <n v="-50.849821229965698"/>
    <n v="-15.8726513104095"/>
    <n v="-50.862615230008799"/>
    <n v="-15.874453880042401"/>
    <s v="070"/>
    <s v="GO"/>
    <s v="Eixo Principal"/>
    <s v="-"/>
    <s v="070BGO0215"/>
    <s v="ENTR GO-324(A)"/>
    <s v="ENTR GO-324(B) (INÍCIO DA TRAVESSIA URB DE JUSSARA)"/>
    <n v="316.5"/>
    <n v="318.7"/>
    <n v="2.2000000000000002"/>
    <x v="0"/>
    <m/>
    <m/>
    <s v="Federal"/>
    <m/>
    <m/>
    <m/>
    <s v="Federal"/>
    <s v="PAV"/>
    <s v="Aragarças"/>
  </r>
  <r>
    <x v="0"/>
    <s v="070BGO0220"/>
    <n v="0"/>
    <x v="37"/>
    <s v="0220"/>
    <n v="-50.862615230008799"/>
    <n v="-15.874453880042401"/>
    <n v="-50.873022969834103"/>
    <n v="-15.876602610421999"/>
    <s v="070"/>
    <s v="GO"/>
    <s v="Eixo Principal"/>
    <s v="-"/>
    <s v="070BGO0220"/>
    <s v="ENTR GO-324(B) (INÍCIO DA TRAVESSIA URB DE JUSSARA)"/>
    <s v="FIM DA TRAVESSIA URBANA DE JUSSARA"/>
    <n v="318.7"/>
    <n v="320"/>
    <n v="1.3"/>
    <x v="0"/>
    <m/>
    <m/>
    <s v="Federal"/>
    <m/>
    <m/>
    <m/>
    <s v="Federal"/>
    <s v="PAV"/>
    <s v="Aragarças"/>
  </r>
  <r>
    <x v="0"/>
    <s v="070BGO0230"/>
    <n v="0"/>
    <x v="37"/>
    <s v="0230"/>
    <n v="-50.873022969834103"/>
    <n v="-15.876602610421999"/>
    <n v="-51.063921469699999"/>
    <n v="-15.8845971400459"/>
    <s v="070"/>
    <s v="GO"/>
    <s v="Eixo Principal"/>
    <s v="-"/>
    <s v="070BGO0230"/>
    <s v="FIM DA TRAVESSIA URBANA DE JUSSARA"/>
    <s v="ENTR GO-173(A) (NOVA TRINDADE)"/>
    <n v="320"/>
    <n v="340.1"/>
    <n v="20.100000000000001"/>
    <x v="2"/>
    <m/>
    <m/>
    <s v="Federal"/>
    <m/>
    <m/>
    <m/>
    <s v="Federal"/>
    <s v="PAV"/>
    <s v="Aragarças"/>
  </r>
  <r>
    <x v="0"/>
    <s v="070BGO0250"/>
    <n v="0"/>
    <x v="37"/>
    <s v="0250"/>
    <n v="-51.063921469699999"/>
    <n v="-15.8845971400459"/>
    <n v="-51.198420650292697"/>
    <n v="-15.9401743197889"/>
    <s v="070"/>
    <s v="GO"/>
    <s v="Eixo Principal"/>
    <s v="-"/>
    <s v="070BGO0250"/>
    <s v="ENTR GO-173(A) (NOVA TRINDADE)"/>
    <s v="ENTR GO-173(B) (MARECHAL RONDON)"/>
    <n v="340.1"/>
    <n v="356.5"/>
    <n v="16.399999999999999"/>
    <x v="2"/>
    <m/>
    <m/>
    <s v="Federal"/>
    <m/>
    <m/>
    <m/>
    <s v="Federal"/>
    <s v="PAV"/>
    <s v="Aragarças"/>
  </r>
  <r>
    <x v="0"/>
    <s v="070BGO0255"/>
    <n v="0"/>
    <x v="37"/>
    <s v="0255"/>
    <n v="-51.198420650292697"/>
    <n v="-15.9401743197889"/>
    <n v="-51.358057050292501"/>
    <n v="-15.941856720211399"/>
    <s v="070"/>
    <s v="GO"/>
    <s v="Eixo Principal"/>
    <s v="-"/>
    <s v="070BGO0255"/>
    <s v="ENTR GO-173(B) (MARECHAL RONDON)"/>
    <s v="ENTR GO-174 (APARECIDA DO RIO CLARO)"/>
    <n v="356.5"/>
    <n v="374.5"/>
    <n v="18"/>
    <x v="2"/>
    <m/>
    <m/>
    <s v="Federal"/>
    <m/>
    <m/>
    <m/>
    <s v="Federal"/>
    <s v="PAV"/>
    <s v="Aragarças"/>
  </r>
  <r>
    <x v="0"/>
    <s v="070BGO0260"/>
    <n v="0"/>
    <x v="37"/>
    <s v="0260"/>
    <n v="-51.358057050292501"/>
    <n v="-15.941856720211399"/>
    <n v="-51.784431500413298"/>
    <n v="-15.8911038501624"/>
    <s v="070"/>
    <s v="GO"/>
    <s v="Eixo Principal"/>
    <s v="-"/>
    <s v="070BGO0260"/>
    <s v="ENTR GO-174 (APARECIDA DO RIO CLARO)"/>
    <s v="ENTR GO-188"/>
    <n v="374.5"/>
    <n v="424"/>
    <n v="49.5"/>
    <x v="2"/>
    <m/>
    <m/>
    <s v="Federal"/>
    <m/>
    <m/>
    <m/>
    <s v="Federal"/>
    <s v="PAV"/>
    <s v="Aragarças"/>
  </r>
  <r>
    <x v="0"/>
    <s v="070BGO0265"/>
    <n v="0"/>
    <x v="37"/>
    <s v="0265"/>
    <n v="-51.784431500413298"/>
    <n v="-15.8911038501624"/>
    <n v="-52.221897259650703"/>
    <n v="-15.898176660124699"/>
    <s v="070"/>
    <s v="GO"/>
    <s v="Eixo Principal"/>
    <s v="-"/>
    <s v="070BGO0265"/>
    <s v="ENTR GO-188"/>
    <s v="ENTR BR-158(A)"/>
    <n v="424"/>
    <n v="472.1"/>
    <n v="48.1"/>
    <x v="2"/>
    <m/>
    <m/>
    <s v="Federal"/>
    <m/>
    <m/>
    <m/>
    <s v="Federal"/>
    <s v="PAV"/>
    <s v="Aragarças"/>
  </r>
  <r>
    <x v="0"/>
    <s v="070BGO0270"/>
    <n v="0"/>
    <x v="37"/>
    <s v="0270"/>
    <n v="-52.221897259650703"/>
    <n v="-15.898176660124699"/>
    <n v="-52.2336660001857"/>
    <n v="-15.8972170799042"/>
    <s v="070"/>
    <s v="GO"/>
    <s v="Eixo Principal"/>
    <s v="-"/>
    <s v="070BGO0270"/>
    <s v="ENTR BR-158(A)"/>
    <s v="INÍCIO DA DUPLICAÇÃO"/>
    <n v="472.1"/>
    <n v="473.4"/>
    <n v="1.3"/>
    <x v="2"/>
    <m/>
    <s v="158BGO0305"/>
    <s v="Federal"/>
    <m/>
    <m/>
    <m/>
    <s v="Federal"/>
    <s v="PAV"/>
    <s v="Aragarças"/>
  </r>
  <r>
    <x v="0"/>
    <s v="070BGO0275"/>
    <n v="0"/>
    <x v="37"/>
    <s v="0275"/>
    <n v="-52.2336660001857"/>
    <n v="-15.8972170799042"/>
    <n v="-52.2537098597222"/>
    <n v="-15.8956466198955"/>
    <s v="070"/>
    <s v="GO"/>
    <s v="Eixo Principal"/>
    <s v="-"/>
    <s v="070BGO0275"/>
    <s v="INÍCIO DA DUPLICAÇÃO"/>
    <s v="ENTR BR-158(B) (DIV GO/MT) (ARAGARÇAS)"/>
    <n v="473.4"/>
    <n v="475.6"/>
    <n v="2.2000000000000002"/>
    <x v="0"/>
    <m/>
    <s v="158BGO0300"/>
    <s v="Federal"/>
    <m/>
    <m/>
    <m/>
    <s v="Federal"/>
    <s v="PAV"/>
    <s v="Aragarças"/>
  </r>
  <r>
    <x v="0"/>
    <s v="070BMT0290"/>
    <n v="0"/>
    <x v="38"/>
    <s v="0290"/>
    <n v="-52.2537098597222"/>
    <n v="-15.8956466198955"/>
    <n v="-52.273076439825701"/>
    <n v="-15.8842195596848"/>
    <s v="070"/>
    <s v="MT"/>
    <s v="Eixo Principal"/>
    <s v="-"/>
    <s v="070BMT0290"/>
    <s v="ENTR BR-158(A) (DIV GO/MT) (ARAGARÇAS)"/>
    <s v="INÍCIO DA DUPLICAÇÃO (BARRA DO GARÇAS) *TRECHO URBANO*"/>
    <n v="0"/>
    <n v="2.7"/>
    <n v="2.7"/>
    <x v="2"/>
    <m/>
    <s v="158BMT0292"/>
    <s v="Federal"/>
    <m/>
    <m/>
    <m/>
    <s v="Federal"/>
    <s v="PAV"/>
    <s v="Aragarças"/>
  </r>
  <r>
    <x v="0"/>
    <s v="070BMT0295"/>
    <n v="0"/>
    <x v="38"/>
    <s v="0295"/>
    <n v="-52.273076439825701"/>
    <n v="-15.8842195596848"/>
    <n v="-52.314053279934797"/>
    <n v="-15.878559279786799"/>
    <s v="070"/>
    <s v="MT"/>
    <s v="Eixo Principal"/>
    <s v="-"/>
    <s v="070BMT0295"/>
    <s v="INÍCIO DA DUPLICAÇÃO (BARRA DO GARÇAS)"/>
    <s v="ENTR BR-158(B) (FIM DA DUPLICAÇÃO) *TRECHO URBANO*"/>
    <n v="2.7"/>
    <n v="6.7"/>
    <n v="4"/>
    <x v="0"/>
    <m/>
    <s v="158BMT0288"/>
    <s v="Federal"/>
    <m/>
    <m/>
    <m/>
    <s v="Federal"/>
    <s v="PAV"/>
    <s v="Campo Verde"/>
  </r>
  <r>
    <x v="0"/>
    <s v="070BMT0300"/>
    <n v="0"/>
    <x v="38"/>
    <s v="0300"/>
    <n v="-52.314053279934797"/>
    <n v="-15.878559279786799"/>
    <n v="-52.737661519763201"/>
    <n v="-15.704607959789399"/>
    <s v="070"/>
    <s v="MT"/>
    <s v="Eixo Principal"/>
    <s v="-"/>
    <s v="070BMT0300"/>
    <s v="ENTR BR-158(B) (FIM DA DUPLICAÇÃO)"/>
    <s v="PONTE S/RIO PASSA-VINTE (GENERAL CARNEIRO)"/>
    <n v="6.7"/>
    <n v="65.7"/>
    <n v="59"/>
    <x v="2"/>
    <m/>
    <m/>
    <s v="Federal"/>
    <m/>
    <m/>
    <m/>
    <s v="Federal"/>
    <s v="PAV"/>
    <s v="Campo Verde"/>
  </r>
  <r>
    <x v="0"/>
    <s v="070BMT0310"/>
    <n v="0"/>
    <x v="38"/>
    <s v="0310"/>
    <n v="-52.737661519763201"/>
    <n v="-15.704607959789399"/>
    <n v="-53.059034559597102"/>
    <n v="-15.594448430350701"/>
    <s v="070"/>
    <s v="MT"/>
    <s v="Eixo Principal"/>
    <s v="-"/>
    <s v="070BMT0310"/>
    <s v="PONTE S/RIO PASSA-VINTE (GENERAL CARNEIRO)"/>
    <s v="ACESSO TERRA INDÍGENA MERURE"/>
    <n v="65.7"/>
    <n v="112.2"/>
    <n v="46.5"/>
    <x v="2"/>
    <m/>
    <m/>
    <s v="Federal"/>
    <m/>
    <m/>
    <m/>
    <s v="Federal"/>
    <s v="PAV"/>
    <s v="Campo Verde"/>
  </r>
  <r>
    <x v="0"/>
    <s v="070BMT0320"/>
    <n v="0"/>
    <x v="38"/>
    <s v="0320"/>
    <n v="-53.059034559597102"/>
    <n v="-15.594448430350701"/>
    <n v="-53.244138019753699"/>
    <n v="-15.5935798399376"/>
    <s v="070"/>
    <s v="MT"/>
    <s v="Eixo Principal"/>
    <s v="-"/>
    <s v="070BMT0320"/>
    <s v="ACESSO TERRA INDÍGENA MERURE"/>
    <s v="ENTR MT-110(A) (P/NOVO SÃO JOAQUIM)"/>
    <n v="112.2"/>
    <n v="135.69999999999999"/>
    <n v="23.5"/>
    <x v="2"/>
    <m/>
    <m/>
    <s v="Federal"/>
    <m/>
    <m/>
    <m/>
    <s v="Federal"/>
    <s v="PAV"/>
    <s v="Campo Verde"/>
  </r>
  <r>
    <x v="0"/>
    <s v="070BMT0321"/>
    <n v="0"/>
    <x v="38"/>
    <s v="0321"/>
    <n v="-53.244138019753699"/>
    <n v="-15.5935798399376"/>
    <n v="-53.466204640331803"/>
    <n v="-15.560973980264899"/>
    <s v="070"/>
    <s v="MT"/>
    <s v="Eixo Principal"/>
    <s v="-"/>
    <s v="070BMT0321"/>
    <s v="ENTR MT-110(A) (P/NOVO SÃO JOAQUIM)"/>
    <s v="ENTR MT-474"/>
    <n v="135.69999999999999"/>
    <n v="161.4"/>
    <n v="25.7"/>
    <x v="2"/>
    <m/>
    <m/>
    <s v="Federal"/>
    <m/>
    <m/>
    <m/>
    <s v="Federal"/>
    <s v="PAV"/>
    <s v="Campo Verde"/>
  </r>
  <r>
    <x v="0"/>
    <s v="070BMT0322"/>
    <n v="0"/>
    <x v="38"/>
    <s v="0322"/>
    <n v="-53.466204640331803"/>
    <n v="-15.560973980264899"/>
    <n v="-53.6886317496554"/>
    <n v="-15.7235005297256"/>
    <s v="070"/>
    <s v="MT"/>
    <s v="Eixo Principal"/>
    <s v="-"/>
    <s v="070BMT0322"/>
    <s v="ENTR MT-474"/>
    <s v="ENTR MT-110(B) (P/TESOURO)"/>
    <n v="161.4"/>
    <n v="193.3"/>
    <n v="31.9"/>
    <x v="2"/>
    <m/>
    <m/>
    <s v="Federal"/>
    <m/>
    <m/>
    <m/>
    <s v="Federal"/>
    <s v="PAV"/>
    <s v="Campo Verde"/>
  </r>
  <r>
    <x v="0"/>
    <s v="070BMT0324"/>
    <n v="0"/>
    <x v="38"/>
    <s v="0324"/>
    <n v="-53.6886317496554"/>
    <n v="-15.7235005297256"/>
    <n v="-53.804540730370299"/>
    <n v="-15.732982510134599"/>
    <s v="070"/>
    <s v="MT"/>
    <s v="Eixo Principal"/>
    <s v="-"/>
    <s v="070BMT0324"/>
    <s v="ENTR MT-110(B) (P/TESOURO)"/>
    <s v="ENTR MT-383"/>
    <n v="193.3"/>
    <n v="209.3"/>
    <n v="16"/>
    <x v="2"/>
    <m/>
    <m/>
    <s v="Federal"/>
    <m/>
    <m/>
    <m/>
    <s v="Federal"/>
    <s v="PAV"/>
    <s v="Campo Verde"/>
  </r>
  <r>
    <x v="0"/>
    <s v="070BMT0326"/>
    <n v="0"/>
    <x v="38"/>
    <s v="0326"/>
    <n v="-53.804540730370299"/>
    <n v="-15.732982510134599"/>
    <n v="-53.904009849574798"/>
    <n v="-15.656784320140201"/>
    <s v="070"/>
    <s v="MT"/>
    <s v="Eixo Principal"/>
    <s v="-"/>
    <s v="070BMT0326"/>
    <s v="ENTR MT-383"/>
    <s v="PONTE S/RIBEIRÃO SANGRADOURO GRANDE"/>
    <n v="209.3"/>
    <n v="225"/>
    <n v="15.7"/>
    <x v="2"/>
    <m/>
    <m/>
    <s v="Federal"/>
    <m/>
    <m/>
    <m/>
    <s v="Federal"/>
    <s v="PAV"/>
    <s v="Campo Verde"/>
  </r>
  <r>
    <x v="0"/>
    <s v="070BMT0328"/>
    <n v="0"/>
    <x v="38"/>
    <s v="0328"/>
    <n v="-53.904009849574798"/>
    <n v="-15.656784320140201"/>
    <n v="-54.174675759778403"/>
    <n v="-15.6296664095771"/>
    <s v="070"/>
    <s v="MT"/>
    <s v="Eixo Principal"/>
    <s v="-"/>
    <s v="070BMT0328"/>
    <s v="PONTE S/RIBEIRÃO SANGRADOURO GRANDE"/>
    <s v="ENTR MT-373"/>
    <n v="225"/>
    <n v="256.8"/>
    <n v="31.8"/>
    <x v="2"/>
    <m/>
    <m/>
    <s v="Federal"/>
    <m/>
    <m/>
    <m/>
    <s v="Federal"/>
    <s v="PAV"/>
    <s v="Campo Verde"/>
  </r>
  <r>
    <x v="0"/>
    <s v="070BMT0330"/>
    <n v="0"/>
    <x v="38"/>
    <s v="0330"/>
    <n v="-54.174675759778403"/>
    <n v="-15.6296664095771"/>
    <n v="-54.296205430436203"/>
    <n v="-15.5623882298328"/>
    <s v="070"/>
    <s v="MT"/>
    <s v="Eixo Principal"/>
    <s v="-"/>
    <s v="070BMT0330"/>
    <s v="ENTR MT-373"/>
    <s v="ENTR MT-130(A) (PRIMAVERA DO LESTE)"/>
    <n v="256.8"/>
    <n v="279.89999999999998"/>
    <n v="23.1"/>
    <x v="2"/>
    <m/>
    <m/>
    <s v="Federal"/>
    <m/>
    <m/>
    <m/>
    <s v="Federal"/>
    <s v="PAV"/>
    <s v="Campo Verde"/>
  </r>
  <r>
    <x v="0"/>
    <s v="070BMT0350"/>
    <n v="0"/>
    <x v="38"/>
    <s v="0350"/>
    <n v="-54.296205430436203"/>
    <n v="-15.5623882298328"/>
    <n v="-54.394493919658601"/>
    <n v="-15.578307720225"/>
    <s v="070"/>
    <s v="MT"/>
    <s v="Eixo Principal"/>
    <s v="-"/>
    <s v="070BMT0350"/>
    <s v="ENTR MT-130(A) (PRIMAVERA DO LESTE)"/>
    <s v="ENTR MT-130(B) (P/ALTO COITÉ - POXORÉU)"/>
    <n v="279.89999999999998"/>
    <n v="290.89999999999998"/>
    <n v="11"/>
    <x v="2"/>
    <m/>
    <m/>
    <s v="Federal"/>
    <m/>
    <m/>
    <m/>
    <s v="Federal"/>
    <s v="PAV"/>
    <s v="Campo Verde"/>
  </r>
  <r>
    <x v="0"/>
    <s v="070BMT0370"/>
    <n v="0"/>
    <x v="38"/>
    <s v="0370"/>
    <n v="-54.394493919658601"/>
    <n v="-15.578307720225"/>
    <n v="-54.578704960065799"/>
    <n v="-15.5624884403891"/>
    <s v="070"/>
    <s v="MT"/>
    <s v="Eixo Principal"/>
    <s v="-"/>
    <s v="070BMT0370"/>
    <s v="ENTR MT-130(B) (P/ALTO COITÉ - POXORÉU)"/>
    <s v="ENTR MT-454 (P/ASSENTAMENTO DE PRIMAVERA)"/>
    <n v="290.89999999999998"/>
    <n v="312.7"/>
    <n v="21.8"/>
    <x v="2"/>
    <m/>
    <m/>
    <s v="Federal"/>
    <m/>
    <m/>
    <m/>
    <s v="Federal"/>
    <s v="PAV"/>
    <s v="Campo Verde"/>
  </r>
  <r>
    <x v="0"/>
    <s v="070BMT0372"/>
    <n v="0"/>
    <x v="38"/>
    <s v="0372"/>
    <n v="-54.578704960065799"/>
    <n v="-15.5624884403891"/>
    <n v="-54.861035179729598"/>
    <n v="-15.513047420402"/>
    <s v="070"/>
    <s v="MT"/>
    <s v="Eixo Principal"/>
    <s v="-"/>
    <s v="070BMT0372"/>
    <s v="ENTR MT-454 (P/ASSENTAMENTO DE PRIMAVERA)"/>
    <s v="ENTR MT-453"/>
    <n v="312.7"/>
    <n v="348.1"/>
    <n v="35.4"/>
    <x v="2"/>
    <m/>
    <m/>
    <s v="Federal"/>
    <m/>
    <m/>
    <m/>
    <s v="Federal"/>
    <s v="PAV"/>
    <s v="Campo Verde"/>
  </r>
  <r>
    <x v="0"/>
    <s v="070BMT0373"/>
    <n v="0"/>
    <x v="38"/>
    <s v="0373"/>
    <n v="-54.861035179729598"/>
    <n v="-15.513047420402"/>
    <n v="-55.090675139645903"/>
    <n v="-15.493053559573999"/>
    <s v="070"/>
    <s v="MT"/>
    <s v="Eixo Principal"/>
    <s v="-"/>
    <s v="070BMT0373"/>
    <s v="ENTR MT-453"/>
    <s v="ENTR MT-244 (P/ASSENTAMENTO DOM OSÓRIO)"/>
    <n v="348.1"/>
    <n v="376.1"/>
    <n v="28"/>
    <x v="2"/>
    <m/>
    <m/>
    <s v="Federal"/>
    <m/>
    <m/>
    <m/>
    <s v="Federal"/>
    <s v="PAV"/>
    <s v="Campo Verde"/>
  </r>
  <r>
    <x v="0"/>
    <s v="070BMT0374"/>
    <n v="0"/>
    <x v="38"/>
    <s v="0374"/>
    <n v="-55.090675139645903"/>
    <n v="-15.493053559573999"/>
    <n v="-55.170852440287803"/>
    <n v="-15.5565538600725"/>
    <s v="070"/>
    <s v="MT"/>
    <s v="Eixo Principal"/>
    <s v="-"/>
    <s v="070BMT0374"/>
    <s v="ENTR MT-244 (P/ASSENTAMENTO DOM OSÓRIO)"/>
    <s v="ENTR MT-140(A) (P/ CHAPADA DOS GUIMARÃES)"/>
    <n v="376.1"/>
    <n v="387.7"/>
    <n v="11.6"/>
    <x v="2"/>
    <m/>
    <m/>
    <s v="Federal"/>
    <m/>
    <m/>
    <m/>
    <s v="Federal"/>
    <s v="PAV"/>
    <s v="Campo Verde"/>
  </r>
  <r>
    <x v="0"/>
    <s v="070BMT0375"/>
    <n v="0"/>
    <x v="38"/>
    <s v="0375"/>
    <n v="-55.170852440287803"/>
    <n v="-15.5565538600725"/>
    <n v="-55.175059760199701"/>
    <n v="-15.567605289652301"/>
    <s v="070"/>
    <s v="MT"/>
    <s v="Eixo Principal"/>
    <s v="-"/>
    <s v="070BMT0375"/>
    <s v="ENTR MT-140(A) (P/ CHAPADA DOS GUIMARÃES)"/>
    <s v="ENTR MT-344 (FIM TRECHO URBANO DE CAMPO VERDE)"/>
    <n v="387.7"/>
    <n v="389"/>
    <n v="1.3"/>
    <x v="2"/>
    <m/>
    <m/>
    <s v="Federal"/>
    <m/>
    <m/>
    <m/>
    <s v="Federal"/>
    <s v="PAV"/>
    <s v="Campo Verde"/>
  </r>
  <r>
    <x v="0"/>
    <s v="070BMT0376"/>
    <n v="0"/>
    <x v="38"/>
    <s v="0376"/>
    <n v="-55.175059760199701"/>
    <n v="-15.567605289652301"/>
    <n v="-55.212057540023402"/>
    <n v="-15.658444810379599"/>
    <s v="070"/>
    <s v="MT"/>
    <s v="Eixo Principal"/>
    <s v="-"/>
    <s v="070BMT0376"/>
    <s v="ENTR MT-344 (FIM TRECHO URBANO DE CAMPO VERDE)"/>
    <s v="ENTR MT-450"/>
    <n v="389"/>
    <n v="400"/>
    <n v="11"/>
    <x v="2"/>
    <m/>
    <m/>
    <s v="Federal"/>
    <m/>
    <m/>
    <m/>
    <s v="Federal"/>
    <s v="PAV"/>
    <s v="Campo Verde"/>
  </r>
  <r>
    <x v="0"/>
    <s v="070BMT0378"/>
    <n v="0"/>
    <x v="38"/>
    <s v="0378"/>
    <n v="-55.212057540023402"/>
    <n v="-15.658444810379599"/>
    <n v="-55.261648469801003"/>
    <n v="-15.6758351698571"/>
    <s v="070"/>
    <s v="MT"/>
    <s v="Eixo Principal"/>
    <s v="-"/>
    <s v="070BMT0378"/>
    <s v="ENTR MT-450"/>
    <s v="ENTR MT-140(B) (P/ BR-163/364)"/>
    <n v="400"/>
    <n v="406.4"/>
    <n v="6.4"/>
    <x v="2"/>
    <m/>
    <m/>
    <s v="Federal"/>
    <m/>
    <m/>
    <m/>
    <s v="Federal"/>
    <s v="PAV"/>
    <s v="Campo Verde"/>
  </r>
  <r>
    <x v="0"/>
    <s v="070BMT0384"/>
    <n v="0"/>
    <x v="38"/>
    <s v="0384"/>
    <n v="-55.261648469801003"/>
    <n v="-15.6758351698571"/>
    <n v="-55.306624370218401"/>
    <n v="-15.675212820115499"/>
    <s v="070"/>
    <s v="MT"/>
    <s v="Eixo Principal"/>
    <s v="-"/>
    <s v="070BMT0384"/>
    <s v="ENTR MT-140(B) (P/ BR-163/364)"/>
    <s v="ENTR MT-403"/>
    <n v="406.4"/>
    <n v="411.5"/>
    <n v="5.0999999999999996"/>
    <x v="2"/>
    <m/>
    <m/>
    <s v="Federal"/>
    <m/>
    <m/>
    <m/>
    <s v="Federal"/>
    <s v="PAV"/>
    <s v="Campo Verde"/>
  </r>
  <r>
    <x v="0"/>
    <s v="070BMT0390"/>
    <n v="0"/>
    <x v="38"/>
    <s v="0390"/>
    <n v="-55.306624370218401"/>
    <n v="-15.675212820115499"/>
    <n v="-55.410493859603797"/>
    <n v="-15.819893050224"/>
    <s v="070"/>
    <s v="MT"/>
    <s v="Eixo Principal"/>
    <s v="-"/>
    <s v="070BMT0390"/>
    <s v="ENTR MT-403"/>
    <s v="ENTR BR-163(A)/364(A) (SÃO VICENTE)"/>
    <n v="411.5"/>
    <n v="431.7"/>
    <n v="20.2"/>
    <x v="2"/>
    <m/>
    <m/>
    <s v="Federal"/>
    <m/>
    <m/>
    <m/>
    <s v="Federal"/>
    <s v="PAV"/>
    <s v="Campo Verde"/>
  </r>
  <r>
    <x v="0"/>
    <s v="070BMT0410"/>
    <n v="0"/>
    <x v="38"/>
    <s v="0410"/>
    <n v="-55.410493859603797"/>
    <n v="-15.819893050224"/>
    <n v="-55.513269869608699"/>
    <n v="-15.8235573396994"/>
    <s v="070"/>
    <s v="MT"/>
    <s v="Eixo Principal"/>
    <s v="-"/>
    <s v="070BMT0410"/>
    <s v="ENTR BR-163(A)/364(A) (SÃO VICENTE)"/>
    <s v="ENTR MT-455"/>
    <n v="431.7"/>
    <n v="444.4"/>
    <n v="12.7"/>
    <x v="2"/>
    <s v="EOD"/>
    <s v="364BMT0740;163BMT0655"/>
    <s v="Concessão Federal"/>
    <m/>
    <m/>
    <m/>
    <s v="Federal"/>
    <s v="PAV"/>
    <s v="Campo Verde"/>
  </r>
  <r>
    <x v="0"/>
    <s v="070BMT0415"/>
    <n v="0"/>
    <x v="38"/>
    <s v="0415"/>
    <n v="-55.513269869608699"/>
    <n v="-15.8235573396994"/>
    <n v="-55.541225530134"/>
    <n v="-15.809694380291299"/>
    <s v="070"/>
    <s v="MT"/>
    <s v="Eixo Principal"/>
    <s v="-"/>
    <s v="070BMT0415"/>
    <s v="ENTR MT-455"/>
    <s v="INÍCIO VARIANTE I SERRA DE SÃO VICENTE"/>
    <n v="444.4"/>
    <n v="448.1"/>
    <n v="3.7"/>
    <x v="2"/>
    <s v="EOD"/>
    <s v="163BMT0660;364BMT0745"/>
    <s v="Concessão Federal"/>
    <m/>
    <m/>
    <m/>
    <s v="Federal"/>
    <s v="PAV"/>
    <s v="Cuiabá"/>
  </r>
  <r>
    <x v="0"/>
    <s v="070BMT0420"/>
    <n v="0"/>
    <x v="38"/>
    <s v="0420"/>
    <n v="-55.541225530134"/>
    <n v="-15.809694380291299"/>
    <n v="-55.594080950375499"/>
    <n v="-15.7968226599377"/>
    <s v="070"/>
    <s v="MT"/>
    <s v="Eixo Principal"/>
    <s v="-"/>
    <s v="070BMT0420"/>
    <s v="INÍCIO VARIANTE I SERRA DE SÃO VICENTE"/>
    <s v="FIM VARIANTE I SERRA DE SÃO VICENTE"/>
    <n v="448.1"/>
    <n v="456.1"/>
    <n v="8"/>
    <x v="0"/>
    <m/>
    <s v="163BMT0665;364BMT0750"/>
    <s v="Concessão Federal"/>
    <m/>
    <m/>
    <m/>
    <s v="Federal"/>
    <s v="PAV"/>
    <s v="Cuiabá"/>
  </r>
  <r>
    <x v="0"/>
    <s v="070BMT0425"/>
    <n v="0"/>
    <x v="38"/>
    <s v="0425"/>
    <n v="-55.594080950375499"/>
    <n v="-15.7968226599377"/>
    <n v="-55.603444599788403"/>
    <n v="-15.7969890596972"/>
    <s v="070"/>
    <s v="MT"/>
    <s v="Eixo Principal"/>
    <s v="-"/>
    <s v="070BMT0425"/>
    <s v="FIM VARIANTE I SERRA DE SÃO VICENTE"/>
    <s v="INÍCIO VARIANTE II SERRA DE SÃO VICENTE"/>
    <n v="456.1"/>
    <n v="457.1"/>
    <n v="1"/>
    <x v="0"/>
    <m/>
    <s v="163BMT0670;364BMT0755"/>
    <s v="Concessão Federal"/>
    <m/>
    <m/>
    <m/>
    <s v="Federal"/>
    <s v="PAV"/>
    <s v="Cuiabá"/>
  </r>
  <r>
    <x v="0"/>
    <s v="070BMT0430"/>
    <n v="0"/>
    <x v="38"/>
    <s v="0430"/>
    <n v="-55.603444599788403"/>
    <n v="-15.7969890596972"/>
    <n v="-55.6539620597012"/>
    <n v="-15.7710792498074"/>
    <s v="070"/>
    <s v="MT"/>
    <s v="Eixo Principal"/>
    <s v="-"/>
    <s v="070BMT0430"/>
    <s v="INÍCIO VARIANTE II SERRA DE SÃO VICENTE"/>
    <s v="FIM VARIANTE II SERRA DE SÃO VICENTE"/>
    <n v="457.1"/>
    <n v="465.3"/>
    <n v="8.1999999999999993"/>
    <x v="0"/>
    <m/>
    <s v="163BMT0675;364BMT0760"/>
    <s v="Concessão Federal"/>
    <m/>
    <m/>
    <m/>
    <s v="Federal"/>
    <s v="PAV"/>
    <s v="Cuiabá"/>
  </r>
  <r>
    <x v="0"/>
    <s v="070BMT0435"/>
    <n v="0"/>
    <x v="38"/>
    <s v="0435"/>
    <n v="-55.6539620597012"/>
    <n v="-15.7710792498074"/>
    <n v="-55.961380560364503"/>
    <n v="-15.6657154702926"/>
    <s v="070"/>
    <s v="MT"/>
    <s v="Eixo Principal"/>
    <s v="-"/>
    <s v="070BMT0435"/>
    <s v="FIM VARIANTE II SERRA DE SÃO VICENTE"/>
    <s v="ACESSO DISTRITO INDUSTRIAL"/>
    <n v="465.3"/>
    <n v="504.6"/>
    <n v="39.299999999999997"/>
    <x v="2"/>
    <s v="EOD"/>
    <s v="364BMT0765;163BMT0680"/>
    <s v="Concessão Federal"/>
    <m/>
    <m/>
    <m/>
    <s v="Federal"/>
    <s v="PAV"/>
    <s v="Cuiabá"/>
  </r>
  <r>
    <x v="0"/>
    <s v="070BMT0440"/>
    <n v="0"/>
    <x v="38"/>
    <s v="0440"/>
    <n v="-55.961380560364503"/>
    <n v="-15.6657154702926"/>
    <n v="-56.000741219831397"/>
    <n v="-15.6494602395983"/>
    <s v="070"/>
    <s v="MT"/>
    <s v="Eixo Principal"/>
    <s v="-"/>
    <s v="070BMT0440"/>
    <s v="ACESSO DISTRITO INDUSTRIAL"/>
    <s v="ENTR BR-163(B)/364(B)/MT-407(A)"/>
    <n v="504.6"/>
    <n v="509.3"/>
    <n v="4.7"/>
    <x v="0"/>
    <m/>
    <s v="364BMT0770;163BMT0685"/>
    <s v="Concessão Federal"/>
    <m/>
    <m/>
    <m/>
    <s v="Federal"/>
    <s v="PAV"/>
    <s v="Cuiabá"/>
  </r>
  <r>
    <x v="0"/>
    <s v="070BMT0500"/>
    <n v="0"/>
    <x v="38"/>
    <s v="0500"/>
    <n v="-56.000741219831397"/>
    <n v="-15.6494602395983"/>
    <n v="-56.194845659799299"/>
    <n v="-15.649205750345001"/>
    <s v="070"/>
    <s v="MT"/>
    <s v="Eixo Principal"/>
    <s v="-"/>
    <s v="070BMT0500"/>
    <s v="ENTR BR-163(B)/364(B)/MT-407(A)"/>
    <s v="ENTR BR-163/364/MT-407(B) (TREVO LAGARTO) *TRECHO URBANO*"/>
    <n v="509.3"/>
    <n v="537.4"/>
    <n v="28.1"/>
    <x v="2"/>
    <m/>
    <m/>
    <s v="Concessão Federal"/>
    <m/>
    <m/>
    <m/>
    <s v="Federal"/>
    <s v="PAV"/>
    <s v="Cuiabá"/>
  </r>
  <r>
    <x v="0"/>
    <s v="070BMT0550"/>
    <n v="0"/>
    <x v="38"/>
    <s v="0550"/>
    <n v="-56.194845659799299"/>
    <n v="-15.649205750345001"/>
    <n v="-56.295490690243099"/>
    <n v="-15.679244790214801"/>
    <s v="070"/>
    <s v="MT"/>
    <s v="Eixo Principal"/>
    <s v="-"/>
    <s v="070BMT0550"/>
    <s v="ENTR BR-163/364/MT-407(B) (TREVO LAGARTO)"/>
    <s v="ENTR MT-060(B) (TARUMÃ) (P/POCONÉ)"/>
    <n v="537.4"/>
    <n v="548.6"/>
    <n v="11.2"/>
    <x v="2"/>
    <m/>
    <m/>
    <s v="Federal"/>
    <m/>
    <m/>
    <m/>
    <s v="Federal"/>
    <s v="PAV"/>
    <s v="Cuiabá"/>
  </r>
  <r>
    <x v="0"/>
    <s v="070BMT0555"/>
    <n v="0"/>
    <x v="38"/>
    <s v="0555"/>
    <n v="-56.295490690243099"/>
    <n v="-15.679244790214801"/>
    <n v="-56.534817350440299"/>
    <n v="-15.738409229802"/>
    <s v="070"/>
    <s v="MT"/>
    <s v="Eixo Principal"/>
    <s v="-"/>
    <s v="070BMT0555"/>
    <s v="ENTR MT-060(B) (TARUMÃ) (P/POCONÉ)"/>
    <s v="ENTR MT-476"/>
    <n v="548.6"/>
    <n v="576.1"/>
    <n v="27.5"/>
    <x v="2"/>
    <m/>
    <m/>
    <s v="Federal"/>
    <m/>
    <m/>
    <m/>
    <s v="Federal"/>
    <s v="PAV"/>
    <s v="Cuiabá"/>
  </r>
  <r>
    <x v="0"/>
    <s v="070BMT0562"/>
    <n v="0"/>
    <x v="38"/>
    <s v="0562"/>
    <n v="-56.534817350440299"/>
    <n v="-15.738409229802"/>
    <n v="-56.932246079992503"/>
    <n v="-15.9364675598299"/>
    <s v="070"/>
    <s v="MT"/>
    <s v="Eixo Principal"/>
    <s v="-"/>
    <s v="070BMT0562"/>
    <s v="ENTR MT-476"/>
    <s v="ENTR MT-451 (SETE PORCOS)"/>
    <n v="576.1"/>
    <n v="627.9"/>
    <n v="51.8"/>
    <x v="2"/>
    <m/>
    <m/>
    <s v="Federal"/>
    <m/>
    <m/>
    <m/>
    <s v="Federal"/>
    <s v="PAV"/>
    <s v="Cuiabá"/>
  </r>
  <r>
    <x v="0"/>
    <s v="070BMT0570"/>
    <n v="0"/>
    <x v="38"/>
    <s v="0570"/>
    <n v="-56.932246079992503"/>
    <n v="-15.9364675598299"/>
    <n v="-57.6164705795535"/>
    <n v="-16.156874889864199"/>
    <s v="070"/>
    <s v="MT"/>
    <s v="Eixo Principal"/>
    <s v="-"/>
    <s v="070BMT0570"/>
    <s v="ENTR MT-451 (SETE PORCOS)"/>
    <s v="ENTR BR-174(A)"/>
    <n v="627.9"/>
    <n v="729.7"/>
    <n v="101.8"/>
    <x v="2"/>
    <m/>
    <m/>
    <s v="Federal"/>
    <m/>
    <m/>
    <m/>
    <s v="Federal"/>
    <s v="PAV"/>
    <s v="Cuiabá"/>
  </r>
  <r>
    <x v="0"/>
    <s v="070BMT0575"/>
    <n v="0"/>
    <x v="38"/>
    <s v="0575"/>
    <n v="-57.6164705795535"/>
    <n v="-16.156874889864199"/>
    <n v="-57.670590649838502"/>
    <n v="-16.111871130248399"/>
    <s v="070"/>
    <s v="MT"/>
    <s v="Eixo Principal"/>
    <s v="-"/>
    <s v="070BMT0575"/>
    <s v="ENTR BR-174(A)"/>
    <s v="INÍCIO DA TRAVESSIA URBANA DE CÁCERES"/>
    <n v="729.7"/>
    <n v="738.2"/>
    <n v="8.5"/>
    <x v="2"/>
    <m/>
    <s v="174BMT0020"/>
    <s v="Federal"/>
    <m/>
    <m/>
    <m/>
    <s v="Federal"/>
    <s v="PAV"/>
    <s v="Cáceres"/>
  </r>
  <r>
    <x v="0"/>
    <s v="070BMT0580"/>
    <n v="0"/>
    <x v="38"/>
    <s v="0580"/>
    <n v="-57.670590649838502"/>
    <n v="-16.111871130248399"/>
    <n v="-57.7023482096021"/>
    <n v="-16.076158499615001"/>
    <s v="070"/>
    <s v="MT"/>
    <s v="Eixo Principal"/>
    <s v="-"/>
    <s v="070BMT0580"/>
    <s v="INÍCIO DA TRAVESSIA URBANA DE CÁCERES"/>
    <s v="PONTE S/RIO PARAGUAI (FIM DA TRAVESSIA URBANA DE CÁCERES) *TRECHO URBANO*"/>
    <n v="738.2"/>
    <n v="744.1"/>
    <n v="5.9"/>
    <x v="2"/>
    <m/>
    <s v="174BMT0022"/>
    <s v="Federal"/>
    <m/>
    <m/>
    <m/>
    <s v="Federal"/>
    <s v="PAV"/>
    <s v="Cáceres"/>
  </r>
  <r>
    <x v="0"/>
    <s v="070BMT0585"/>
    <n v="0"/>
    <x v="38"/>
    <s v="0585"/>
    <n v="-57.7023482096021"/>
    <n v="-16.076158499615001"/>
    <n v="-57.738482730193802"/>
    <n v="-16.013068440156299"/>
    <s v="070"/>
    <s v="MT"/>
    <s v="Eixo Principal"/>
    <s v="-"/>
    <s v="070BMT0585"/>
    <s v="PONTE S/RIO PARAGUAI (FIM DA TRAVESSIA URBANA DE CÁCERES) *TRECHO URBANO*"/>
    <s v="ENTR BR-174(B)"/>
    <n v="744.1"/>
    <n v="752.3"/>
    <n v="8.1999999999999993"/>
    <x v="2"/>
    <m/>
    <s v="174BMT0025"/>
    <s v="Federal"/>
    <m/>
    <m/>
    <m/>
    <s v="Federal"/>
    <s v="PAV"/>
    <s v="Cáceres"/>
  </r>
  <r>
    <x v="0"/>
    <s v="070BMT0592"/>
    <n v="0"/>
    <x v="38"/>
    <s v="0592"/>
    <n v="-57.738482730193802"/>
    <n v="-16.013068440156299"/>
    <n v="-57.9795806798044"/>
    <n v="-16.133847739881201"/>
    <s v="070"/>
    <s v="MT"/>
    <s v="Eixo Principal"/>
    <s v="-"/>
    <s v="070BMT0592"/>
    <s v="ENTR BR-174(B)"/>
    <s v="ENTR MT-175"/>
    <n v="752.3"/>
    <n v="784.1"/>
    <n v="31.8"/>
    <x v="2"/>
    <m/>
    <m/>
    <s v="Federal"/>
    <m/>
    <m/>
    <m/>
    <s v="Federal"/>
    <s v="PAV"/>
    <s v="Cáceres"/>
  </r>
  <r>
    <x v="0"/>
    <s v="070BMT0595"/>
    <n v="0"/>
    <x v="38"/>
    <s v="0595"/>
    <n v="-57.9795806798044"/>
    <n v="-16.133847739881201"/>
    <n v="-58.016452470005397"/>
    <n v="-16.147917769989"/>
    <s v="070"/>
    <s v="MT"/>
    <s v="Eixo Principal"/>
    <s v="-"/>
    <s v="070BMT0595"/>
    <s v="ENTR MT-175"/>
    <s v="PONTE S/RIO JAURU"/>
    <n v="784.1"/>
    <n v="788.6"/>
    <n v="4.5"/>
    <x v="2"/>
    <m/>
    <m/>
    <s v="Federal"/>
    <m/>
    <m/>
    <m/>
    <s v="Federal"/>
    <s v="PAV"/>
    <s v="Cáceres"/>
  </r>
  <r>
    <x v="0"/>
    <s v="070BMT0600"/>
    <n v="0"/>
    <x v="38"/>
    <s v="0600"/>
    <n v="-58.016452470005397"/>
    <n v="-16.147917769989"/>
    <n v="-58.035866750150298"/>
    <n v="-16.1509488396172"/>
    <s v="070"/>
    <s v="MT"/>
    <s v="Eixo Principal"/>
    <s v="-"/>
    <s v="070BMT0600"/>
    <s v="PONTE S/RIO JAURU"/>
    <s v="ENTR MT-388"/>
    <n v="788.6"/>
    <n v="790.8"/>
    <n v="2.2000000000000002"/>
    <x v="2"/>
    <m/>
    <m/>
    <s v="Federal"/>
    <m/>
    <m/>
    <m/>
    <s v="Federal"/>
    <s v="PAV"/>
    <s v="Cáceres"/>
  </r>
  <r>
    <x v="0"/>
    <s v="070BMT0610"/>
    <n v="0"/>
    <x v="38"/>
    <s v="0610"/>
    <n v="-58.035866750150298"/>
    <n v="-16.1509488396172"/>
    <n v="-58.336309990313701"/>
    <n v="-16.3896551303799"/>
    <s v="070"/>
    <s v="MT"/>
    <s v="Eixo Principal"/>
    <s v="-"/>
    <s v="070BMT0610"/>
    <s v="ENTR MT-388"/>
    <s v="FRONT BRASIL/BOLIVIA (DESTAC. CORIXA)"/>
    <n v="790.8"/>
    <n v="834.2"/>
    <n v="43.4"/>
    <x v="2"/>
    <m/>
    <m/>
    <s v="Federal"/>
    <m/>
    <m/>
    <m/>
    <s v="Federal"/>
    <s v="PAV"/>
    <s v="Cáceres"/>
  </r>
  <r>
    <x v="0"/>
    <s v="070CGO1005"/>
    <n v="0"/>
    <x v="39"/>
    <s v="1005"/>
    <n v="-52.189647599856798"/>
    <n v="-15.901190880054999"/>
    <n v="-52.217364649558803"/>
    <n v="-15.9155879504235"/>
    <s v="070"/>
    <s v="GO"/>
    <s v="Contorno"/>
    <s v="-"/>
    <s v="070CGO1005"/>
    <s v="ENTR BR-070"/>
    <s v="ENTR BR-158 (KM 5,5)"/>
    <n v="0"/>
    <n v="4"/>
    <n v="4"/>
    <x v="1"/>
    <m/>
    <m/>
    <s v="Federal"/>
    <m/>
    <m/>
    <m/>
    <s v="Federal"/>
    <s v="PLA"/>
    <s v="Cáceres"/>
  </r>
  <r>
    <x v="0"/>
    <s v="070CGO1010"/>
    <n v="0"/>
    <x v="39"/>
    <s v="1010"/>
    <n v="-52.217364649558803"/>
    <n v="-15.9155879504235"/>
    <n v="-52.211026449910698"/>
    <n v="-15.9518021797267"/>
    <s v="070"/>
    <s v="GO"/>
    <s v="Contorno"/>
    <s v="-"/>
    <s v="070CGO1010"/>
    <s v="ENTR BR-158 (KM 5,5)"/>
    <s v="ENTR BR-158 (KM 9,8)"/>
    <n v="4"/>
    <n v="8.3000000000000007"/>
    <n v="4.3"/>
    <x v="2"/>
    <m/>
    <s v="158BGO0312"/>
    <s v="Federal"/>
    <m/>
    <m/>
    <m/>
    <s v="Federal"/>
    <s v="PAV"/>
    <s v="Aragarças"/>
  </r>
  <r>
    <x v="0"/>
    <s v="070CGO1015"/>
    <n v="0"/>
    <x v="39"/>
    <s v="1015"/>
    <n v="-52.211026449910698"/>
    <n v="-15.9518021797267"/>
    <n v="-52.2630376001051"/>
    <n v="-15.9357209597544"/>
    <s v="070"/>
    <s v="GO"/>
    <s v="Contorno"/>
    <s v="-"/>
    <s v="070CGO1015"/>
    <s v="ENTR BR-158 (KM 9,8)"/>
    <s v="DIV GO/MT (RIO ARAGUAIA)"/>
    <n v="8.3000000000000007"/>
    <n v="14.6"/>
    <n v="6.3"/>
    <x v="1"/>
    <m/>
    <m/>
    <s v="Federal"/>
    <m/>
    <m/>
    <m/>
    <s v="Federal"/>
    <s v="PLA"/>
    <s v="Aragarças"/>
  </r>
  <r>
    <x v="0"/>
    <s v="070CMT1005"/>
    <n v="0"/>
    <x v="40"/>
    <s v="1005"/>
    <n v="-52.314053279934797"/>
    <n v="-15.878559279786799"/>
    <n v="-52.2630376001051"/>
    <n v="-15.9357209597544"/>
    <s v="070"/>
    <s v="MT"/>
    <s v="Contorno"/>
    <s v="-"/>
    <s v="070CMT1005"/>
    <s v="ENTR BR-070 (KM 12,2)(C ARAGARÇAS/BARRA DO GARÇAS)"/>
    <s v="DIV GO/MT (RIO ARAGUAIA)"/>
    <n v="0"/>
    <n v="10.199999999999999"/>
    <n v="10.199999999999999"/>
    <x v="5"/>
    <s v="EOP"/>
    <m/>
    <s v="Federal"/>
    <m/>
    <m/>
    <m/>
    <s v="Federal"/>
    <s v="N_PAV"/>
    <s v="Aragarças"/>
  </r>
  <r>
    <x v="0"/>
    <s v="070VMT1005"/>
    <n v="0"/>
    <x v="41"/>
    <s v="1005"/>
    <n v="-55.541225530134"/>
    <n v="-15.809694380291299"/>
    <n v="-55.594080950375499"/>
    <n v="-15.7968226599377"/>
    <s v="070"/>
    <s v="MT"/>
    <s v="Variante"/>
    <s v="-"/>
    <s v="070VMT1005"/>
    <s v="INÍCIO PISTA INVERSA I SERRA SÃO VICENTE"/>
    <s v="FIM PISTA INVERSA I SERRA SÃO VICENTE"/>
    <n v="0"/>
    <n v="7.6"/>
    <n v="7.6"/>
    <x v="2"/>
    <m/>
    <s v="364VMT1005;163VMT1005"/>
    <s v="Concessão Federal"/>
    <m/>
    <m/>
    <m/>
    <s v="Federal"/>
    <s v="PAV"/>
    <s v="Campo Verde"/>
  </r>
  <r>
    <x v="0"/>
    <s v="070VMT2005"/>
    <n v="0"/>
    <x v="41"/>
    <s v="2005"/>
    <n v="-55.603444599788403"/>
    <n v="-15.7969890596972"/>
    <n v="-55.6539620597012"/>
    <n v="-15.7710792498074"/>
    <s v="070"/>
    <s v="MT"/>
    <s v="Variante"/>
    <s v="-"/>
    <s v="070VMT2005"/>
    <s v="INÍC PISTA INVERSA II SERRA SÃO VICENTE"/>
    <s v="FIM PISTA INVERSA II SERRA SÃO VICENTE"/>
    <n v="0"/>
    <n v="10.5"/>
    <n v="10.5"/>
    <x v="2"/>
    <m/>
    <s v="364VMT2005;163VMT2005"/>
    <s v="Concessão Federal"/>
    <m/>
    <m/>
    <m/>
    <s v="Federal"/>
    <s v="PAV"/>
    <s v="Cuiabá"/>
  </r>
  <r>
    <x v="0"/>
    <s v="080BDF0010"/>
    <n v="0"/>
    <x v="42"/>
    <s v="0010"/>
    <n v="-48.074791559682602"/>
    <n v="-15.735852569640301"/>
    <n v="-48.1239585598396"/>
    <n v="-15.7292730800885"/>
    <s v="080"/>
    <s v="DF"/>
    <s v="Eixo Principal"/>
    <s v="-"/>
    <s v="080BDF0010"/>
    <s v="ENTR DF-001/240(A) (BRASILIA)"/>
    <s v="ENTR DF-451"/>
    <n v="0"/>
    <n v="5"/>
    <n v="5"/>
    <x v="2"/>
    <m/>
    <m/>
    <s v="Federal"/>
    <m/>
    <m/>
    <m/>
    <s v="Federal"/>
    <s v="PAV"/>
    <s v="Cuiabá"/>
  </r>
  <r>
    <x v="0"/>
    <s v="080BDF0012"/>
    <n v="0"/>
    <x v="42"/>
    <s v="0012"/>
    <n v="-48.1239585598396"/>
    <n v="-15.7292730800885"/>
    <n v="-48.167884019731602"/>
    <n v="-15.7307695699596"/>
    <s v="080"/>
    <s v="DF"/>
    <s v="Eixo Principal"/>
    <s v="-"/>
    <s v="080BDF0012"/>
    <s v="ENTR DF-451"/>
    <s v="ENTR BR-251/DF-180(A)/240(B)/445"/>
    <n v="5"/>
    <n v="9.6999999999999993"/>
    <n v="4.7"/>
    <x v="2"/>
    <m/>
    <m/>
    <s v="Federal"/>
    <m/>
    <m/>
    <m/>
    <s v="Federal"/>
    <s v="PAV"/>
    <s v="Brasília"/>
  </r>
  <r>
    <x v="0"/>
    <s v="080BDF0030"/>
    <n v="0"/>
    <x v="42"/>
    <s v="0030"/>
    <n v="-48.167884019731602"/>
    <n v="-15.7307695699596"/>
    <n v="-48.1987498099557"/>
    <n v="-15.7122719103203"/>
    <s v="080"/>
    <s v="DF"/>
    <s v="Eixo Principal"/>
    <s v="-"/>
    <s v="080BDF0030"/>
    <s v="ENTR BR-251/DF-180(A)/240(B)/445"/>
    <s v="ENTR DF-435"/>
    <n v="9.6999999999999993"/>
    <n v="14.4"/>
    <n v="4.7"/>
    <x v="2"/>
    <m/>
    <s v="251BDF0710"/>
    <s v="Federal"/>
    <m/>
    <m/>
    <m/>
    <s v="Federal"/>
    <s v="PAV"/>
    <s v="Brasília"/>
  </r>
  <r>
    <x v="0"/>
    <s v="080BDF0032"/>
    <n v="0"/>
    <x v="42"/>
    <s v="0032"/>
    <n v="-48.1987498099557"/>
    <n v="-15.7122719103203"/>
    <n v="-48.205832810136002"/>
    <n v="-15.6877861301257"/>
    <s v="080"/>
    <s v="DF"/>
    <s v="Eixo Principal"/>
    <s v="-"/>
    <s v="080BDF0032"/>
    <s v="ENTR DF-435"/>
    <s v="ENTR VICINAL-541 BRAZLÂNDIA"/>
    <n v="14.4"/>
    <n v="17.2"/>
    <n v="2.8"/>
    <x v="2"/>
    <m/>
    <s v="251BDF0712"/>
    <s v="Federal"/>
    <m/>
    <m/>
    <m/>
    <s v="Federal"/>
    <s v="PAV"/>
    <s v="Brasília"/>
  </r>
  <r>
    <x v="0"/>
    <s v="080BDF0040"/>
    <n v="0"/>
    <x v="42"/>
    <s v="0040"/>
    <n v="-48.205832810136002"/>
    <n v="-15.6877861301257"/>
    <n v="-48.204694690207702"/>
    <n v="-15.676269170086"/>
    <s v="080"/>
    <s v="DF"/>
    <s v="Eixo Principal"/>
    <s v="-"/>
    <s v="080BDF0040"/>
    <s v="ENTR VICINAL-541 BRAZLÂNDIA"/>
    <s v="FIM TRECHO DUPLICADO"/>
    <n v="17.2"/>
    <n v="20.6"/>
    <n v="3.4"/>
    <x v="0"/>
    <m/>
    <s v="251BDF0716"/>
    <s v="Federal"/>
    <m/>
    <m/>
    <m/>
    <s v="Federal"/>
    <s v="PAV"/>
    <s v="Brasília"/>
  </r>
  <r>
    <x v="0"/>
    <s v="080BDF0050"/>
    <n v="0"/>
    <x v="42"/>
    <s v="0050"/>
    <n v="-48.204694690207702"/>
    <n v="-15.676269170086"/>
    <n v="-48.201758410022499"/>
    <n v="-15.6480720397927"/>
    <s v="080"/>
    <s v="DF"/>
    <s v="Eixo Principal"/>
    <s v="-"/>
    <s v="080BDF0050"/>
    <s v="FIM TRECHO DUPLICADO"/>
    <s v="ENTR DF-415"/>
    <n v="20.6"/>
    <n v="22.6"/>
    <n v="2"/>
    <x v="2"/>
    <m/>
    <s v="251BDF0720"/>
    <s v="Federal"/>
    <m/>
    <m/>
    <m/>
    <s v="Federal"/>
    <s v="PAV"/>
    <s v="Brasília"/>
  </r>
  <r>
    <x v="0"/>
    <s v="080BDF0051"/>
    <n v="0"/>
    <x v="42"/>
    <s v="0051"/>
    <n v="-48.201758410022499"/>
    <n v="-15.6480720397927"/>
    <n v="-48.1984291297005"/>
    <n v="-15.6164001503466"/>
    <s v="080"/>
    <s v="DF"/>
    <s v="Eixo Principal"/>
    <s v="-"/>
    <s v="080BDF0051"/>
    <s v="ENTR DF-415"/>
    <s v="ENTR DF-220"/>
    <n v="22.6"/>
    <n v="25.2"/>
    <n v="2.6"/>
    <x v="2"/>
    <m/>
    <s v="251BDF0730"/>
    <s v="Federal"/>
    <m/>
    <m/>
    <m/>
    <s v="Federal"/>
    <s v="PAV"/>
    <s v="Brasília"/>
  </r>
  <r>
    <x v="0"/>
    <s v="080BDF0052"/>
    <n v="0"/>
    <x v="42"/>
    <s v="0052"/>
    <n v="-48.1984291297005"/>
    <n v="-15.6164001503466"/>
    <n v="-48.186252400028103"/>
    <n v="-15.585328079926899"/>
    <s v="080"/>
    <s v="DF"/>
    <s v="Eixo Principal"/>
    <s v="-"/>
    <s v="080BDF0052"/>
    <s v="ENTR DF-220"/>
    <s v="ENTR VICINAL-511"/>
    <n v="25.2"/>
    <n v="30"/>
    <n v="4.8"/>
    <x v="2"/>
    <m/>
    <s v="251BDF0732"/>
    <s v="Federal"/>
    <m/>
    <m/>
    <m/>
    <s v="Federal"/>
    <s v="PAV"/>
    <s v="Brasília"/>
  </r>
  <r>
    <x v="0"/>
    <s v="080BDF0070"/>
    <n v="0"/>
    <x v="42"/>
    <s v="0070"/>
    <n v="-48.186252400028103"/>
    <n v="-15.585328079926899"/>
    <n v="-48.190920000157803"/>
    <n v="-15.5264825498297"/>
    <s v="080"/>
    <s v="DF"/>
    <s v="Eixo Principal"/>
    <s v="-"/>
    <s v="080BDF0070"/>
    <s v="ENTR VICINAL-511"/>
    <s v="ENTR DF-206"/>
    <n v="30"/>
    <n v="37.5"/>
    <n v="7.5"/>
    <x v="2"/>
    <m/>
    <s v="251BDF0750"/>
    <s v="Federal"/>
    <m/>
    <m/>
    <m/>
    <s v="Federal"/>
    <s v="PAV"/>
    <s v="Brasília"/>
  </r>
  <r>
    <x v="0"/>
    <s v="080BDF0072"/>
    <n v="0"/>
    <x v="42"/>
    <s v="0072"/>
    <n v="-48.190920000157803"/>
    <n v="-15.5264825498297"/>
    <n v="-48.196555279802197"/>
    <n v="-15.5101427702725"/>
    <s v="080"/>
    <s v="DF"/>
    <s v="Eixo Principal"/>
    <s v="-"/>
    <s v="080BDF0072"/>
    <s v="ENTR DF-206"/>
    <s v="ENTR DF-180(B) (DIV DF/GO)"/>
    <n v="37.5"/>
    <n v="40.299999999999997"/>
    <n v="2.8"/>
    <x v="2"/>
    <m/>
    <s v="251BDF0752"/>
    <s v="Federal"/>
    <m/>
    <m/>
    <m/>
    <s v="Federal"/>
    <s v="PAV"/>
    <s v="Brasília"/>
  </r>
  <r>
    <x v="0"/>
    <s v="080BGO0090"/>
    <n v="0"/>
    <x v="43"/>
    <s v="0090"/>
    <n v="-48.196555279802197"/>
    <n v="-15.5101427702725"/>
    <n v="-48.219227130127898"/>
    <n v="-15.5009680099656"/>
    <s v="080"/>
    <s v="GO"/>
    <s v="Eixo Principal"/>
    <s v="-"/>
    <s v="080BGO0090"/>
    <s v="ENTR BR-251(A) (DIV DF/GO)"/>
    <s v="ENTR BR-251(B)"/>
    <n v="0"/>
    <n v="2.1"/>
    <n v="2.1"/>
    <x v="2"/>
    <m/>
    <s v="251BGO0770"/>
    <m/>
    <s v="MP082/2003"/>
    <m/>
    <m/>
    <m/>
    <s v="PAV"/>
    <s v="Brasília"/>
  </r>
  <r>
    <x v="0"/>
    <s v="080BGO0095"/>
    <n v="0"/>
    <x v="43"/>
    <s v="0095"/>
    <n v="-48.219227130127898"/>
    <n v="-15.5009680099656"/>
    <n v="-48.284537690362001"/>
    <n v="-15.1680004498608"/>
    <s v="080"/>
    <s v="GO"/>
    <s v="Eixo Principal"/>
    <s v="-"/>
    <s v="080BGO0095"/>
    <s v="ENTR BR-251(B)"/>
    <s v="ENTR GO-230(A)/435 (PADRE BERNARDO)"/>
    <n v="2.1"/>
    <n v="46"/>
    <n v="43.9"/>
    <x v="2"/>
    <m/>
    <m/>
    <m/>
    <s v="MP082/2003"/>
    <m/>
    <m/>
    <m/>
    <s v="PAV"/>
    <s v="Brasília"/>
  </r>
  <r>
    <x v="0"/>
    <s v="080BGO0110"/>
    <n v="0"/>
    <x v="43"/>
    <s v="0110"/>
    <n v="-48.284537690362001"/>
    <n v="-15.1680004498608"/>
    <n v="-48.6997950702862"/>
    <n v="-15.2082902897649"/>
    <s v="080"/>
    <s v="GO"/>
    <s v="Eixo Principal"/>
    <s v="-"/>
    <s v="080BGO0110"/>
    <s v="ENTR GO-230(A)/435 (PADRE BERNARDO)"/>
    <s v="ENTR BR-414/GO-230(B) (ASSUNÇÃO DE GOIAS)"/>
    <n v="46"/>
    <n v="94.3"/>
    <n v="48.3"/>
    <x v="2"/>
    <m/>
    <m/>
    <m/>
    <s v="MP082/2003"/>
    <m/>
    <m/>
    <m/>
    <s v="PAV"/>
    <s v="Uruaçu"/>
  </r>
  <r>
    <x v="0"/>
    <s v="080BGO0130"/>
    <n v="0"/>
    <x v="43"/>
    <s v="0130"/>
    <n v="-48.6997950702862"/>
    <n v="-15.2082902897649"/>
    <n v="-48.896376799849399"/>
    <n v="-15.0233396001423"/>
    <s v="080"/>
    <s v="GO"/>
    <s v="Eixo Principal"/>
    <s v="-"/>
    <s v="080BGO0130"/>
    <s v="ENTR BR-414/GO-230(B) (ASSUNÇÃO DE GOIAS)"/>
    <s v="ENTR GO-080(A)"/>
    <n v="94.3"/>
    <n v="130"/>
    <n v="35.700000000000003"/>
    <x v="2"/>
    <m/>
    <m/>
    <s v="Federal"/>
    <m/>
    <m/>
    <m/>
    <s v="Federal"/>
    <s v="PAV"/>
    <s v="Uruaçu"/>
  </r>
  <r>
    <x v="0"/>
    <s v="080BGO0135"/>
    <n v="0"/>
    <x v="43"/>
    <s v="0135"/>
    <n v="-48.896376799849399"/>
    <n v="-15.0233396001423"/>
    <n v="-48.909747119633799"/>
    <n v="-14.988815660114501"/>
    <s v="080"/>
    <s v="GO"/>
    <s v="Eixo Principal"/>
    <s v="-"/>
    <s v="080BGO0135"/>
    <s v="ENTR GO-080(A)"/>
    <s v="ENTR GO-080(B) (BARRO ALTO)"/>
    <n v="130"/>
    <n v="135"/>
    <n v="5"/>
    <x v="2"/>
    <m/>
    <m/>
    <s v="Federal"/>
    <m/>
    <m/>
    <m/>
    <s v="Federal"/>
    <s v="PAV"/>
    <s v="Uruaçu"/>
  </r>
  <r>
    <x v="0"/>
    <s v="080BGO0140"/>
    <n v="0"/>
    <x v="43"/>
    <s v="0140"/>
    <n v="-48.909747119633799"/>
    <n v="-14.988815660114501"/>
    <n v="-49.031608700381099"/>
    <n v="-14.837134340077601"/>
    <s v="080"/>
    <s v="GO"/>
    <s v="Eixo Principal"/>
    <s v="-"/>
    <s v="080BGO0140"/>
    <s v="ENTR GO-080(B) (BARRO ALTO)"/>
    <s v="ENTR GO-438"/>
    <n v="135"/>
    <n v="153"/>
    <n v="18"/>
    <x v="2"/>
    <m/>
    <m/>
    <s v="Federal"/>
    <m/>
    <m/>
    <m/>
    <s v="Federal"/>
    <s v="PAV"/>
    <s v="Uruaçu"/>
  </r>
  <r>
    <x v="0"/>
    <s v="080BGO0150"/>
    <n v="0"/>
    <x v="43"/>
    <s v="0150"/>
    <n v="-49.031608700381099"/>
    <n v="-14.837134340077601"/>
    <n v="-49.175986609893997"/>
    <n v="-14.6345781200841"/>
    <s v="080"/>
    <s v="GO"/>
    <s v="Eixo Principal"/>
    <s v="-"/>
    <s v="080BGO0150"/>
    <s v="ENTR GO-438"/>
    <s v="ENTR BR-153(A)/GO-342(B)"/>
    <n v="153"/>
    <n v="181.3"/>
    <n v="28.3"/>
    <x v="2"/>
    <m/>
    <m/>
    <s v="Federal"/>
    <m/>
    <m/>
    <m/>
    <s v="Federal"/>
    <s v="PAV"/>
    <s v="Uruaçu"/>
  </r>
  <r>
    <x v="0"/>
    <s v="080BGO0190"/>
    <n v="0"/>
    <x v="43"/>
    <s v="0190"/>
    <n v="-49.175986609893997"/>
    <n v="-14.6345781200841"/>
    <n v="-49.1608411596916"/>
    <n v="-14.533037030334601"/>
    <s v="080"/>
    <s v="GO"/>
    <s v="Eixo Principal"/>
    <s v="-"/>
    <s v="080BGO0190"/>
    <s v="ENTR BR-153(A)/GO-342(B)"/>
    <s v="ENTR BR-153(B)/GO-237 (URUAÇÚ)"/>
    <n v="181.3"/>
    <n v="191.6"/>
    <n v="10.3"/>
    <x v="2"/>
    <m/>
    <s v="153BGO0412"/>
    <s v="Federal"/>
    <m/>
    <m/>
    <m/>
    <s v="Federal"/>
    <s v="PAV"/>
    <s v="Uruaçu"/>
  </r>
  <r>
    <x v="0"/>
    <s v="080BGO0210"/>
    <n v="0"/>
    <x v="43"/>
    <s v="0210"/>
    <n v="-49.1608411596916"/>
    <n v="-14.533037030334601"/>
    <n v="-49.3857709095997"/>
    <n v="-14.288536789840901"/>
    <s v="080"/>
    <s v="GO"/>
    <s v="Eixo Principal"/>
    <s v="-"/>
    <s v="080BGO0210"/>
    <s v="ENTR BR-153(B)/GO-237 (URUAÇÚ)"/>
    <s v="ENTR GO-347/428 (NOVA IGUAÇÚ DE GOIÁS)"/>
    <n v="191.6"/>
    <n v="223"/>
    <n v="31.4"/>
    <x v="1"/>
    <m/>
    <m/>
    <s v="Federal"/>
    <m/>
    <m/>
    <m/>
    <s v="Federal"/>
    <s v="PLA"/>
    <s v="Uruaçu"/>
  </r>
  <r>
    <x v="0"/>
    <s v="080BGO0220"/>
    <n v="0"/>
    <x v="43"/>
    <s v="0220"/>
    <n v="-49.3857709095997"/>
    <n v="-14.288536789840901"/>
    <n v="-49.738721725726997"/>
    <n v="-13.8942773143465"/>
    <s v="080"/>
    <s v="GO"/>
    <s v="Eixo Principal"/>
    <s v="-"/>
    <s v="080BGO0220"/>
    <s v="ENTR GO-347/428 (NOVA IGUAÇÚ DE GOIÁS)"/>
    <s v="CÓRREGO CAJÚ"/>
    <n v="223"/>
    <n v="282.3"/>
    <n v="59.3"/>
    <x v="5"/>
    <s v="EOP"/>
    <m/>
    <s v="Federal"/>
    <m/>
    <m/>
    <m/>
    <s v="Federal"/>
    <s v="N_PAV"/>
    <s v="Uruaçu"/>
  </r>
  <r>
    <x v="0"/>
    <s v="080BGO0230"/>
    <n v="0"/>
    <x v="43"/>
    <s v="0230"/>
    <n v="-49.738721725726997"/>
    <n v="-13.8942773143465"/>
    <n v="-49.913160591587904"/>
    <n v="-13.7189985338551"/>
    <s v="080"/>
    <s v="GO"/>
    <s v="Eixo Principal"/>
    <s v="-"/>
    <s v="080BGO0230"/>
    <s v="CÓRREGO CAJÚ"/>
    <s v="RIO GREGÓRIO"/>
    <n v="282.3"/>
    <n v="306.39999999999998"/>
    <n v="24.1"/>
    <x v="5"/>
    <s v="EOP"/>
    <m/>
    <s v="Federal"/>
    <m/>
    <m/>
    <m/>
    <s v="Federal"/>
    <s v="N_PAV"/>
    <s v="Uruaçu"/>
  </r>
  <r>
    <x v="0"/>
    <s v="080BGO0232"/>
    <n v="0"/>
    <x v="43"/>
    <s v="0232"/>
    <n v="-49.913160591587904"/>
    <n v="-13.7189985338551"/>
    <n v="-50.100532788557302"/>
    <n v="-13.5305555653869"/>
    <s v="080"/>
    <s v="GO"/>
    <s v="Eixo Principal"/>
    <s v="-"/>
    <s v="080BGO0232"/>
    <s v="RIO GREGÓRIO"/>
    <s v="RIO PINTADO"/>
    <n v="306.39999999999998"/>
    <n v="335.8"/>
    <n v="29.4"/>
    <x v="5"/>
    <s v="EOP"/>
    <m/>
    <s v="Federal"/>
    <m/>
    <m/>
    <m/>
    <s v="Federal"/>
    <s v="N_PAV"/>
    <s v="Uruaçu"/>
  </r>
  <r>
    <x v="0"/>
    <s v="080BGO0240"/>
    <n v="0"/>
    <x v="43"/>
    <s v="0240"/>
    <n v="-50.100532788557302"/>
    <n v="-13.5305555653869"/>
    <n v="-50.167953490161302"/>
    <n v="-13.275380409977901"/>
    <s v="080"/>
    <s v="GO"/>
    <s v="Eixo Principal"/>
    <s v="-"/>
    <s v="080BGO0240"/>
    <s v="RIO PINTADO"/>
    <s v="ENTR GO-164(A)/241(B)/244(A) (SÃO MIGUEL DO ARAGUAIA)"/>
    <n v="335.8"/>
    <n v="363"/>
    <n v="27.2"/>
    <x v="5"/>
    <s v="EOP"/>
    <m/>
    <s v="Federal"/>
    <m/>
    <m/>
    <m/>
    <s v="Federal"/>
    <s v="N_PAV"/>
    <s v="Uruaçu"/>
  </r>
  <r>
    <x v="0"/>
    <s v="080BGO0250"/>
    <n v="0"/>
    <x v="43"/>
    <s v="0250"/>
    <n v="-50.167953490161302"/>
    <n v="-13.275380409977901"/>
    <n v="-50.584268880204597"/>
    <n v="-13.2109014402492"/>
    <s v="080"/>
    <s v="GO"/>
    <s v="Eixo Principal"/>
    <s v="-"/>
    <s v="080BGO0250"/>
    <s v="ENTR GO-164(A)/241(B)/244(A) (SÃO MIGUEL DO ARAGUAIA)"/>
    <s v="ENTR GO-244(B) (DIV GO/MT) (LUIZ ALVES)"/>
    <n v="363"/>
    <n v="411.4"/>
    <n v="48.4"/>
    <x v="2"/>
    <m/>
    <m/>
    <s v="Federal"/>
    <m/>
    <m/>
    <m/>
    <s v="Federal"/>
    <s v="PAV"/>
    <s v="Uruaçu"/>
  </r>
  <r>
    <x v="0"/>
    <s v="080BMT0270"/>
    <n v="0"/>
    <x v="44"/>
    <s v="0270"/>
    <n v="-50.584268880204597"/>
    <n v="-13.2109014402492"/>
    <n v="-51.135851020408197"/>
    <n v="-13.0933876103499"/>
    <s v="080"/>
    <s v="MT"/>
    <s v="Eixo Principal"/>
    <s v="-"/>
    <s v="080BMT0270"/>
    <s v="DIV GO/MT"/>
    <s v="RIO DAS MORTES"/>
    <n v="0"/>
    <n v="90"/>
    <n v="90"/>
    <x v="1"/>
    <m/>
    <m/>
    <s v="Federal"/>
    <m/>
    <m/>
    <m/>
    <s v="Federal"/>
    <s v="PLA"/>
    <s v="Uruaçu"/>
  </r>
  <r>
    <x v="0"/>
    <s v="080BMT0280"/>
    <n v="0"/>
    <x v="44"/>
    <s v="0280"/>
    <n v="-51.135851020408197"/>
    <n v="-13.0933876103499"/>
    <n v="-51.853766230027396"/>
    <n v="-12.954271849965799"/>
    <s v="080"/>
    <s v="MT"/>
    <s v="Eixo Principal"/>
    <s v="-"/>
    <s v="080BMT0280"/>
    <s v="RIO DAS MORTES"/>
    <s v="ENTR BR-158/242 (VILA RIBEIRÃO BONITO)"/>
    <n v="90"/>
    <n v="170"/>
    <n v="80"/>
    <x v="1"/>
    <m/>
    <m/>
    <s v="Federal"/>
    <m/>
    <m/>
    <m/>
    <s v="Federal"/>
    <s v="PLA"/>
    <s v="Água Boa"/>
  </r>
  <r>
    <x v="0"/>
    <s v="080CGO1005"/>
    <n v="0"/>
    <x v="45"/>
    <s v="1005"/>
    <n v="-48.281895010046597"/>
    <n v="-15.2101377904266"/>
    <n v="-48.311786320082497"/>
    <n v="-15.1602392601337"/>
    <s v="080"/>
    <s v="GO"/>
    <s v="Contorno"/>
    <s v="-"/>
    <s v="080CGO1005"/>
    <s v="ENTR (A) BR--080/GO"/>
    <s v="ENTR (B) BR-080/GO"/>
    <n v="0"/>
    <n v="7.7"/>
    <n v="7.7"/>
    <x v="1"/>
    <m/>
    <m/>
    <s v="Federal"/>
    <m/>
    <m/>
    <m/>
    <s v="Federal"/>
    <s v="PLA"/>
    <s v="Água Boa"/>
  </r>
  <r>
    <x v="0"/>
    <s v="101AES1005"/>
    <n v="0"/>
    <x v="46"/>
    <s v="1005"/>
    <n v="-40.275729599641203"/>
    <n v="-20.233082340277701"/>
    <n v="-40.289928099702003"/>
    <n v="-20.256062269558001"/>
    <s v="101"/>
    <s v="ES"/>
    <s v="Acesso"/>
    <s v="-"/>
    <s v="101AES1005"/>
    <s v="ENTR BR-101/ES-010 (CARAPINA/AEROP.VITORIA)"/>
    <s v="ACS NORTE A VITÓRIA"/>
    <n v="0"/>
    <n v="2.9"/>
    <n v="2.9"/>
    <x v="0"/>
    <m/>
    <m/>
    <s v="Federal"/>
    <m/>
    <m/>
    <m/>
    <s v="Federal"/>
    <s v="PAV"/>
    <s v="Uruaçu"/>
  </r>
  <r>
    <x v="0"/>
    <s v="101AES2005"/>
    <n v="0"/>
    <x v="46"/>
    <s v="2005"/>
    <n v="-40.405141380170498"/>
    <n v="-20.3434174704398"/>
    <n v="-40.398772660230001"/>
    <n v="-20.342166080000499"/>
    <s v="101"/>
    <s v="ES"/>
    <s v="Acesso"/>
    <s v="-"/>
    <s v="101AES2005"/>
    <s v="ENTR BR-262(A) (COMPLEXO RODOVIÁRIO)"/>
    <s v="ENTR BR-262(B)/ES-471"/>
    <n v="0"/>
    <n v="0.7"/>
    <n v="0.7"/>
    <x v="0"/>
    <m/>
    <s v="262BES0040"/>
    <s v="Concessão Federal"/>
    <m/>
    <m/>
    <m/>
    <s v="Federal"/>
    <s v="PAV"/>
    <s v="Santa Isabel"/>
  </r>
  <r>
    <x v="0"/>
    <s v="101ARJ1005"/>
    <n v="0"/>
    <x v="47"/>
    <s v="1005"/>
    <n v="-43.114699550243898"/>
    <n v="-22.878685720369599"/>
    <n v="-43.109050969626402"/>
    <n v="-22.880794490273399"/>
    <s v="101"/>
    <s v="RJ"/>
    <s v="Acesso"/>
    <s v="-"/>
    <s v="101ARJ1005"/>
    <s v="AVENIDA SÃO BOAVENTURA (NITERÓI)"/>
    <s v="ACESSO PONTE PRESIDENTE COSTA E SILVA"/>
    <n v="0"/>
    <n v="0.7"/>
    <n v="0.7"/>
    <x v="2"/>
    <m/>
    <m/>
    <s v="Concessão Federal"/>
    <m/>
    <m/>
    <m/>
    <s v="Federal"/>
    <s v="PAV"/>
    <s v="Santa Isabel"/>
  </r>
  <r>
    <x v="0"/>
    <s v="101ARJ1505"/>
    <n v="0"/>
    <x v="47"/>
    <s v="1505"/>
    <n v="-43.113873299912797"/>
    <n v="-22.879646910376501"/>
    <n v="-43.109158540234297"/>
    <n v="-22.880885339786499"/>
    <s v="101"/>
    <s v="RJ"/>
    <s v="Acesso"/>
    <s v="-"/>
    <s v="101ARJ1505"/>
    <s v="ACESSO PONTE PRESIDENTE COSTA E SILVA"/>
    <s v="ACESSO AVENIDA SÃO BOAVENTURA (NITERÓI)"/>
    <n v="0"/>
    <n v="0.7"/>
    <n v="0.7"/>
    <x v="2"/>
    <m/>
    <m/>
    <s v="Concessão Federal"/>
    <m/>
    <m/>
    <m/>
    <s v="Federal"/>
    <s v="PAV"/>
    <s v="Seropédica"/>
  </r>
  <r>
    <x v="0"/>
    <s v="101ARJ2005"/>
    <n v="0"/>
    <x v="47"/>
    <s v="2005"/>
    <n v="-43.114699550243898"/>
    <n v="-22.878685720369599"/>
    <n v="-43.115222960171401"/>
    <n v="-22.885960429929799"/>
    <s v="101"/>
    <s v="RJ"/>
    <s v="Acesso"/>
    <s v="-"/>
    <s v="101ARJ2005"/>
    <s v="AVENIDA JANSEN DE MELO (NITERÓI)"/>
    <s v="ACESSO PONTE PRESIDENTE COSTA E SILVA"/>
    <n v="0"/>
    <n v="0.8"/>
    <n v="0.8"/>
    <x v="2"/>
    <m/>
    <m/>
    <s v="Concessão Federal"/>
    <m/>
    <m/>
    <m/>
    <s v="Federal"/>
    <s v="PAV"/>
    <s v="Seropédica"/>
  </r>
  <r>
    <x v="0"/>
    <s v="101ARJ2505"/>
    <n v="0"/>
    <x v="47"/>
    <s v="2505"/>
    <n v="-43.114699550243898"/>
    <n v="-22.878685720369599"/>
    <n v="-43.115671179581199"/>
    <n v="-22.884217819896399"/>
    <s v="101"/>
    <s v="RJ"/>
    <s v="Acesso"/>
    <s v="-"/>
    <s v="101ARJ2505"/>
    <s v="ACESSO PONTE PRESIDENTE COSTA E SILVA"/>
    <s v="ACESSO AVENIDA JANSEN DE MELO"/>
    <n v="0"/>
    <n v="0.8"/>
    <n v="0.8"/>
    <x v="2"/>
    <m/>
    <m/>
    <s v="Concessão Federal"/>
    <m/>
    <m/>
    <m/>
    <s v="Federal"/>
    <s v="PAV"/>
    <s v="Seropédica"/>
  </r>
  <r>
    <x v="0"/>
    <s v="101ARJ3005"/>
    <n v="0"/>
    <x v="47"/>
    <s v="3005"/>
    <n v="-43.114699550243898"/>
    <n v="-22.878685720369599"/>
    <n v="-43.116002860343698"/>
    <n v="-22.882848909649301"/>
    <s v="101"/>
    <s v="RJ"/>
    <s v="Acesso"/>
    <s v="-"/>
    <s v="101ARJ3005"/>
    <s v="PONTE PRESIDENTE COSTA E SILVA"/>
    <s v="ACESSO AVENIDA FELICIANO SODRÉ"/>
    <n v="0"/>
    <n v="0.3"/>
    <n v="0.3"/>
    <x v="2"/>
    <m/>
    <m/>
    <s v="Concessão Federal"/>
    <m/>
    <m/>
    <m/>
    <s v="Federal"/>
    <s v="PAV"/>
    <s v="Seropédica"/>
  </r>
  <r>
    <x v="0"/>
    <s v="101ARJ4005"/>
    <n v="0"/>
    <x v="47"/>
    <s v="4005"/>
    <n v="-43.217162790430301"/>
    <n v="-22.885337879639302"/>
    <n v="-43.209074600012698"/>
    <n v="-22.898160729933601"/>
    <s v="101"/>
    <s v="RJ"/>
    <s v="Acesso"/>
    <s v="-"/>
    <s v="101ARJ4005"/>
    <s v="AVENIDA RODRIGUES ALVES (RIO)"/>
    <s v="ACESSO PONTE PRESIDENTE COSTA E SILVA"/>
    <n v="0"/>
    <n v="0.6"/>
    <n v="0.6"/>
    <x v="2"/>
    <m/>
    <m/>
    <s v="Concessão Federal"/>
    <m/>
    <m/>
    <m/>
    <s v="Federal"/>
    <s v="PAV"/>
    <s v="Seropédica"/>
  </r>
  <r>
    <x v="0"/>
    <s v="101ARJ4505"/>
    <n v="0"/>
    <x v="47"/>
    <s v="4505"/>
    <n v="-43.217162790430301"/>
    <n v="-22.885337879639302"/>
    <n v="-43.2176065599946"/>
    <n v="-22.889838120432799"/>
    <s v="101"/>
    <s v="RJ"/>
    <s v="Acesso"/>
    <s v="-"/>
    <s v="101ARJ4505"/>
    <s v="ACESSO PONTE PRESIDENTE COSTA E SILVA"/>
    <s v="ACESSO ELEVADO DA PERIMETRAL"/>
    <n v="0"/>
    <n v="1"/>
    <n v="1"/>
    <x v="2"/>
    <m/>
    <m/>
    <s v="Concessão Federal"/>
    <m/>
    <m/>
    <m/>
    <s v="Federal"/>
    <s v="PAV"/>
    <s v="Seropédica"/>
  </r>
  <r>
    <x v="0"/>
    <s v="101ARN1005"/>
    <n v="0"/>
    <x v="48"/>
    <s v="1005"/>
    <n v="-35.226240230402198"/>
    <n v="-5.8833885602338096"/>
    <n v="-35.229586679681397"/>
    <n v="-5.8945276197537702"/>
    <s v="101"/>
    <s v="RN"/>
    <s v="Acesso"/>
    <s v="-"/>
    <s v="101ARN1005"/>
    <s v="ENTR BR-101 (KM 100,54)"/>
    <s v="GUARITA DA BASE AÉREA DE NATAL"/>
    <n v="0"/>
    <n v="1.3"/>
    <n v="1.3"/>
    <x v="2"/>
    <m/>
    <m/>
    <s v="Federal"/>
    <m/>
    <m/>
    <m/>
    <s v="Federal"/>
    <s v="PAV"/>
    <s v="Seropédica"/>
  </r>
  <r>
    <x v="0"/>
    <s v="101ASC1005"/>
    <n v="0"/>
    <x v="49"/>
    <s v="1005"/>
    <n v="-48.713868040277802"/>
    <n v="-26.908285960428699"/>
    <n v="-48.684395700101398"/>
    <n v="-26.889380319745801"/>
    <s v="101"/>
    <s v="SC"/>
    <s v="Acesso"/>
    <s v="-"/>
    <s v="101ASC1005"/>
    <s v="ENTR BR-101 (JUNTO AO CANAL ITAJAÍ MIRIM)"/>
    <s v="FIM OBRA IMPLANTAÇÃO"/>
    <n v="0"/>
    <n v="3.9"/>
    <n v="3.9"/>
    <x v="5"/>
    <s v="EOP"/>
    <m/>
    <s v="Federal"/>
    <m/>
    <m/>
    <m/>
    <s v="Federal"/>
    <s v="N_PAV"/>
    <s v="Macaíba"/>
  </r>
  <r>
    <x v="0"/>
    <s v="101ASC1010"/>
    <n v="0"/>
    <x v="49"/>
    <s v="1010"/>
    <n v="-48.684395700101398"/>
    <n v="-26.889380319745801"/>
    <n v="-48.663532249713498"/>
    <n v="-26.9021265001378"/>
    <s v="101"/>
    <s v="SC"/>
    <s v="Acesso"/>
    <s v="-"/>
    <s v="101ASC1010"/>
    <s v="FIM OBRA IMPLANTAÇÃO"/>
    <s v="PORTO DE ITAJAÍ *TRECHO URBANO*"/>
    <n v="3.9"/>
    <n v="6.3"/>
    <n v="2.4"/>
    <x v="5"/>
    <s v="EOP"/>
    <m/>
    <s v="Federal"/>
    <m/>
    <m/>
    <m/>
    <s v="Federal"/>
    <s v="N_PAV"/>
    <s v="São José"/>
  </r>
  <r>
    <x v="0"/>
    <s v="101ASC2005"/>
    <n v="0"/>
    <x v="49"/>
    <s v="2005"/>
    <n v="-48.699909140294501"/>
    <n v="-28.2148922696624"/>
    <n v="-48.661389880238701"/>
    <n v="-28.2374038796852"/>
    <s v="101"/>
    <s v="SC"/>
    <s v="Acesso"/>
    <s v="-"/>
    <s v="101ASC2005"/>
    <s v="ENTR BR-101"/>
    <s v="PORTO DE IMBITUBA - ACESSO"/>
    <n v="0"/>
    <n v="5"/>
    <n v="5"/>
    <x v="1"/>
    <m/>
    <m/>
    <s v="Federal"/>
    <m/>
    <m/>
    <m/>
    <s v="Federal"/>
    <s v="PLA"/>
    <s v="São José"/>
  </r>
  <r>
    <x v="0"/>
    <s v="101ASC3005"/>
    <n v="0"/>
    <x v="49"/>
    <s v="3005"/>
    <n v="-49.100490740055498"/>
    <n v="-28.6429139899885"/>
    <n v="-49.068346530268101"/>
    <n v="-28.677683329821701"/>
    <s v="101"/>
    <s v="SC"/>
    <s v="Acesso"/>
    <s v="-"/>
    <s v="101ASC3005"/>
    <s v="ENTR BR-101 (KM 359)"/>
    <s v="AEROPORTO REGIONAL SUL (JAGUARUNA)"/>
    <n v="0"/>
    <n v="4.8"/>
    <n v="4.8"/>
    <x v="2"/>
    <m/>
    <m/>
    <s v="Federal"/>
    <m/>
    <m/>
    <m/>
    <s v="Federal"/>
    <s v="PAV"/>
    <s v="São José"/>
  </r>
  <r>
    <x v="0"/>
    <s v="101BAL0590"/>
    <n v="0"/>
    <x v="50"/>
    <s v="0590"/>
    <n v="-35.628926259938901"/>
    <n v="-8.8795824902396703"/>
    <n v="-35.631022739707603"/>
    <n v="-8.8845263000486607"/>
    <s v="101"/>
    <s v="AL"/>
    <s v="Eixo Principal"/>
    <s v="-"/>
    <s v="101BAL0590"/>
    <s v="DIV PE/AL"/>
    <s v="ENTR AL-201 (P/CAMPESTRE)"/>
    <n v="0"/>
    <n v="1"/>
    <n v="1"/>
    <x v="0"/>
    <m/>
    <m/>
    <s v="Federal"/>
    <m/>
    <m/>
    <m/>
    <s v="Federal"/>
    <s v="PAV"/>
    <s v="Tubarão"/>
  </r>
  <r>
    <x v="0"/>
    <s v="101BAL0600"/>
    <n v="0"/>
    <x v="50"/>
    <s v="0600"/>
    <n v="-35.631022739707603"/>
    <n v="-8.8845263000486607"/>
    <n v="-35.636590300401998"/>
    <n v="-8.90172663997242"/>
    <s v="101"/>
    <s v="AL"/>
    <s v="Eixo Principal"/>
    <s v="-"/>
    <s v="101BAL0600"/>
    <s v="ENTR AL-201 (P/CAMPESTRE)"/>
    <s v="ENTR BR-416(A)/AL-110 (P/COLÔNIA LEOPOLDINA)"/>
    <n v="1"/>
    <n v="2.6"/>
    <n v="1.6"/>
    <x v="0"/>
    <m/>
    <m/>
    <s v="Federal"/>
    <m/>
    <m/>
    <m/>
    <s v="Federal"/>
    <s v="PAV"/>
    <s v="Maceió"/>
  </r>
  <r>
    <x v="0"/>
    <s v="101BAL0610"/>
    <n v="0"/>
    <x v="50"/>
    <s v="0610"/>
    <n v="-35.636590300401998"/>
    <n v="-8.90172663997242"/>
    <n v="-35.635726739897102"/>
    <n v="-8.9202813103341292"/>
    <s v="101"/>
    <s v="AL"/>
    <s v="Eixo Principal"/>
    <s v="-"/>
    <s v="101BAL0610"/>
    <s v="ENTR BR-416(A)/AL-110 (P/COLÔNIA LEOPOLDINA)"/>
    <s v="ENTR AL-480 (P/JUNDIÁ)"/>
    <n v="2.6"/>
    <n v="5.3"/>
    <n v="2.7"/>
    <x v="0"/>
    <m/>
    <s v="416BAL0020"/>
    <s v="Federal"/>
    <m/>
    <m/>
    <m/>
    <s v="Federal"/>
    <s v="PAV"/>
    <s v="Maceió"/>
  </r>
  <r>
    <x v="0"/>
    <s v="101BAL0615"/>
    <n v="0"/>
    <x v="50"/>
    <s v="0615"/>
    <n v="-35.635726739897102"/>
    <n v="-8.9202813103341292"/>
    <n v="-35.655192589865997"/>
    <n v="-8.9376455301170896"/>
    <s v="101"/>
    <s v="AL"/>
    <s v="Eixo Principal"/>
    <s v="-"/>
    <s v="101BAL0615"/>
    <s v="ENTR AL-480 (P/JUNDIÁ)"/>
    <s v="ENTR TRAVESSIA URBANA (NOVO LINO)"/>
    <n v="5.3"/>
    <n v="8.1"/>
    <n v="2.8"/>
    <x v="0"/>
    <m/>
    <s v="416BAL0015"/>
    <s v="Federal"/>
    <m/>
    <m/>
    <m/>
    <s v="Federal"/>
    <s v="PAV"/>
    <s v="Maceió"/>
  </r>
  <r>
    <x v="0"/>
    <s v="101BAL0617"/>
    <n v="0"/>
    <x v="50"/>
    <s v="0617"/>
    <n v="-35.655192589865997"/>
    <n v="-8.9376455301170896"/>
    <n v="-35.6683521796093"/>
    <n v="-8.9499139798462508"/>
    <s v="101"/>
    <s v="AL"/>
    <s v="Eixo Principal"/>
    <s v="-"/>
    <s v="101BAL0617"/>
    <s v="ENTR TRAVESSIA URBANA (NOVO LINO)"/>
    <s v="ENTR FIM TRAVESSIA URBANA (NOVO LINO)"/>
    <n v="8.1"/>
    <n v="10.3"/>
    <n v="2.2000000000000002"/>
    <x v="0"/>
    <m/>
    <s v="416BAL0010"/>
    <s v="Federal"/>
    <m/>
    <m/>
    <m/>
    <s v="Federal"/>
    <s v="PAV"/>
    <s v="Maceió"/>
  </r>
  <r>
    <x v="0"/>
    <s v="101BAL0620"/>
    <n v="0"/>
    <x v="50"/>
    <s v="0620"/>
    <n v="-35.6683521796093"/>
    <n v="-8.9499139798462508"/>
    <n v="-35.685034090051097"/>
    <n v="-9.03414657000814"/>
    <s v="101"/>
    <s v="AL"/>
    <s v="Eixo Principal"/>
    <s v="-"/>
    <s v="101BAL0620"/>
    <s v="ENTR FIM TRAVESSIA URBANA (NOVO LINO)"/>
    <s v="INÍCIO DA ÁREA INDÍGENA (FIM DA DUPLICAÇÃO)"/>
    <n v="10.3"/>
    <n v="20.6"/>
    <n v="10.3"/>
    <x v="0"/>
    <m/>
    <m/>
    <s v="Federal"/>
    <m/>
    <m/>
    <m/>
    <s v="Federal"/>
    <s v="PAV"/>
    <s v="Maceió"/>
  </r>
  <r>
    <x v="0"/>
    <s v="101BAL0622"/>
    <n v="0"/>
    <x v="50"/>
    <s v="0622"/>
    <n v="-35.685034090051097"/>
    <n v="-9.03414657000814"/>
    <n v="-35.7487368297408"/>
    <n v="-9.0888402099076799"/>
    <s v="101"/>
    <s v="AL"/>
    <s v="Eixo Principal"/>
    <s v="-"/>
    <s v="101BAL0622"/>
    <s v="INÍCIO DA ÁREA INDÍGENA (FIM DA DUPLICAÇÃO)"/>
    <s v="FIM DA ÁREA INDÍGENA"/>
    <n v="20.6"/>
    <n v="30.5"/>
    <n v="9.9"/>
    <x v="2"/>
    <s v="EOD"/>
    <m/>
    <s v="Federal"/>
    <m/>
    <m/>
    <m/>
    <s v="Federal"/>
    <s v="PAV"/>
    <s v="Maceió"/>
  </r>
  <r>
    <x v="0"/>
    <s v="101BAL0625"/>
    <n v="0"/>
    <x v="50"/>
    <s v="0625"/>
    <n v="-35.7487368297408"/>
    <n v="-9.0888402099076799"/>
    <n v="-35.769035860216697"/>
    <n v="-9.1437421103100807"/>
    <s v="101"/>
    <s v="AL"/>
    <s v="Eixo Principal"/>
    <s v="-"/>
    <s v="101BAL0625"/>
    <s v="FIM DA ÁREA INDÍGENA"/>
    <s v="ENTR AL-205 (P/JOAQUIM GOMES)"/>
    <n v="30.5"/>
    <n v="37.5"/>
    <n v="7"/>
    <x v="0"/>
    <m/>
    <m/>
    <s v="Federal"/>
    <m/>
    <m/>
    <m/>
    <s v="Federal"/>
    <s v="PAV"/>
    <s v="Maceió"/>
  </r>
  <r>
    <x v="0"/>
    <s v="101BAL0630"/>
    <n v="0"/>
    <x v="50"/>
    <s v="0630"/>
    <n v="-35.769035860216697"/>
    <n v="-9.1437421103100807"/>
    <n v="-35.757172469633701"/>
    <n v="-9.2485581604307097"/>
    <s v="101"/>
    <s v="AL"/>
    <s v="Eixo Principal"/>
    <s v="-"/>
    <s v="101BAL0630"/>
    <s v="ENTR AL-205 (P/JOAQUIM GOMES)"/>
    <s v="ENTR AL-430 (P/FLEXEIRAS)"/>
    <n v="37.5"/>
    <n v="51.9"/>
    <n v="14.4"/>
    <x v="0"/>
    <m/>
    <m/>
    <s v="Federal"/>
    <m/>
    <m/>
    <m/>
    <s v="Federal"/>
    <s v="PAV"/>
    <s v="Maceió"/>
  </r>
  <r>
    <x v="0"/>
    <s v="101BAL0650"/>
    <n v="0"/>
    <x v="50"/>
    <s v="0650"/>
    <n v="-35.757172469633701"/>
    <n v="-9.2485581604307097"/>
    <n v="-35.832135250141597"/>
    <n v="-9.3686194000651906"/>
    <s v="101"/>
    <s v="AL"/>
    <s v="Eixo Principal"/>
    <s v="-"/>
    <s v="101BAL0650"/>
    <s v="ENTR AL-430 (P/FLEXEIRAS)"/>
    <s v="ENTR BR-104(A)/INÍCIO TRAVESSIA URBANA DE MESSIAS"/>
    <n v="51.9"/>
    <n v="70.599999999999994"/>
    <n v="18.7"/>
    <x v="0"/>
    <m/>
    <m/>
    <s v="Federal"/>
    <m/>
    <m/>
    <m/>
    <s v="Federal"/>
    <s v="PAV"/>
    <s v="Maceió"/>
  </r>
  <r>
    <x v="0"/>
    <s v="101BAL0660"/>
    <n v="0"/>
    <x v="50"/>
    <s v="0660"/>
    <n v="-35.832135250141597"/>
    <n v="-9.3686194000651906"/>
    <n v="-35.840242689648299"/>
    <n v="-9.40613100034534"/>
    <s v="101"/>
    <s v="AL"/>
    <s v="Eixo Principal"/>
    <s v="-"/>
    <s v="101BAL0660"/>
    <s v="ENTR BR-104(A)/INÍCIO TRAVESSIA URBANA DE MESSIAS"/>
    <s v="ENTR. FIM TRAVESSIA URBANA DE MESSIAS"/>
    <n v="70.599999999999994"/>
    <n v="75.7"/>
    <n v="5.0999999999999996"/>
    <x v="0"/>
    <m/>
    <s v="104BAL0630"/>
    <s v="Federal"/>
    <m/>
    <m/>
    <m/>
    <s v="Federal"/>
    <s v="PAV"/>
    <s v="Maceió"/>
  </r>
  <r>
    <x v="0"/>
    <s v="101BAL0680"/>
    <n v="0"/>
    <x v="50"/>
    <s v="0680"/>
    <n v="-35.840242689648299"/>
    <n v="-9.40613100034534"/>
    <n v="-35.836446510098298"/>
    <n v="-9.4402605795620502"/>
    <s v="101"/>
    <s v="AL"/>
    <s v="Eixo Principal"/>
    <s v="-"/>
    <s v="101BAL0680"/>
    <s v="ENTR. FIM TRAVESSIA URBANA DE MESSIAS"/>
    <s v="ENTR BR-104(B)"/>
    <n v="75.7"/>
    <n v="79.5"/>
    <n v="3.8"/>
    <x v="0"/>
    <m/>
    <s v="104BAL0640"/>
    <s v="Federal"/>
    <m/>
    <m/>
    <m/>
    <s v="Federal"/>
    <s v="PAV"/>
    <s v="Maceió"/>
  </r>
  <r>
    <x v="0"/>
    <s v="101BAL0690"/>
    <n v="0"/>
    <x v="50"/>
    <s v="0690"/>
    <n v="-35.836446510098298"/>
    <n v="-9.4402605795620502"/>
    <n v="-35.884964049551201"/>
    <n v="-9.4793890601569597"/>
    <s v="101"/>
    <s v="AL"/>
    <s v="Eixo Principal"/>
    <s v="-"/>
    <s v="101BAL0690"/>
    <s v="ENTR BR-104(B)"/>
    <s v="ENTR AL-210 (RIO LARGO)"/>
    <n v="79.5"/>
    <n v="87.4"/>
    <n v="7.9"/>
    <x v="0"/>
    <m/>
    <m/>
    <s v="Federal"/>
    <m/>
    <m/>
    <m/>
    <s v="Federal"/>
    <s v="PAV"/>
    <s v="Maceió"/>
  </r>
  <r>
    <x v="0"/>
    <s v="101BAL0710"/>
    <n v="0"/>
    <x v="50"/>
    <s v="0710"/>
    <n v="-35.884964049551201"/>
    <n v="-9.4793890601569597"/>
    <n v="-35.969397380084899"/>
    <n v="-9.5668628798180109"/>
    <s v="101"/>
    <s v="AL"/>
    <s v="Eixo Principal"/>
    <s v="-"/>
    <s v="101BAL0710"/>
    <s v="ENTR AL-210 (RIO LARGO)"/>
    <s v="ENTR BR-316(A)/424"/>
    <n v="87.4"/>
    <n v="101.8"/>
    <n v="14.4"/>
    <x v="2"/>
    <s v="EOD"/>
    <m/>
    <s v="Federal"/>
    <m/>
    <m/>
    <m/>
    <s v="Federal"/>
    <s v="PAV"/>
    <s v="Maceió"/>
  </r>
  <r>
    <x v="0"/>
    <s v="101BAL0730"/>
    <n v="0"/>
    <x v="50"/>
    <s v="0730"/>
    <n v="-35.969397380084899"/>
    <n v="-9.5668628798180109"/>
    <n v="-35.982115290288299"/>
    <n v="-9.58713973031427"/>
    <s v="101"/>
    <s v="AL"/>
    <s v="Eixo Principal"/>
    <s v="-"/>
    <s v="101BAL0730"/>
    <s v="ENTR BR-316(A)/424"/>
    <s v="ENTR BR-316 (RODOVIA SECUNDÁRIA)"/>
    <n v="101.8"/>
    <n v="104.7"/>
    <n v="2.9"/>
    <x v="2"/>
    <s v="EOD"/>
    <m/>
    <s v="Federal"/>
    <m/>
    <m/>
    <m/>
    <s v="Federal"/>
    <s v="PAV"/>
    <s v="Maceió"/>
  </r>
  <r>
    <x v="0"/>
    <s v="101BAL0750"/>
    <n v="0"/>
    <x v="50"/>
    <s v="0750"/>
    <n v="-35.982115290288299"/>
    <n v="-9.58713973031427"/>
    <n v="-36.029957240134401"/>
    <n v="-9.6231412402759702"/>
    <s v="101"/>
    <s v="AL"/>
    <s v="Eixo Principal"/>
    <s v="-"/>
    <s v="101BAL0750"/>
    <s v="ENTR BR-316 (RODOVIA SECUNDÁRIA)"/>
    <s v="ENTR AL-215(A)"/>
    <n v="104.7"/>
    <n v="112.9"/>
    <n v="8.1999999999999993"/>
    <x v="2"/>
    <s v="EOD"/>
    <m/>
    <s v="Federal"/>
    <m/>
    <m/>
    <m/>
    <s v="Federal"/>
    <s v="PAV"/>
    <s v="Maceió"/>
  </r>
  <r>
    <x v="0"/>
    <s v="101BAL0770"/>
    <n v="0"/>
    <x v="50"/>
    <s v="0770"/>
    <n v="-36.029957240134401"/>
    <n v="-9.6231412402759702"/>
    <n v="-36.0331942104444"/>
    <n v="-9.6751043298009396"/>
    <s v="101"/>
    <s v="AL"/>
    <s v="Eixo Principal"/>
    <s v="-"/>
    <s v="101BAL0770"/>
    <s v="ENTR AL-215(A)"/>
    <s v="ENTR AL-215(B)"/>
    <n v="112.9"/>
    <n v="119.7"/>
    <n v="6.8"/>
    <x v="2"/>
    <s v="EOD"/>
    <m/>
    <s v="Federal"/>
    <m/>
    <m/>
    <m/>
    <s v="Federal"/>
    <s v="PAV"/>
    <s v="Maceió"/>
  </r>
  <r>
    <x v="0"/>
    <s v="101BAL0790"/>
    <n v="0"/>
    <x v="50"/>
    <s v="0790"/>
    <n v="-36.0331942104444"/>
    <n v="-9.6751043298009396"/>
    <n v="-36.0686891098145"/>
    <n v="-9.7560389801147895"/>
    <s v="101"/>
    <s v="AL"/>
    <s v="Eixo Principal"/>
    <s v="-"/>
    <s v="101BAL0790"/>
    <s v="ENTR AL-215(B)"/>
    <s v="ENTR AL-220(A) (P/BARRA DE SÃO MIGUEL)"/>
    <n v="119.7"/>
    <n v="130.30000000000001"/>
    <n v="10.6"/>
    <x v="2"/>
    <s v="EOD"/>
    <m/>
    <s v="Federal"/>
    <m/>
    <m/>
    <m/>
    <s v="Federal"/>
    <s v="PAV"/>
    <s v="Maceió"/>
  </r>
  <r>
    <x v="0"/>
    <s v="101BAL0810"/>
    <n v="0"/>
    <x v="50"/>
    <s v="0810"/>
    <n v="-36.0686891098145"/>
    <n v="-9.7560389801147895"/>
    <n v="-36.106200270326099"/>
    <n v="-9.7788995198968607"/>
    <s v="101"/>
    <s v="AL"/>
    <s v="Eixo Principal"/>
    <s v="-"/>
    <s v="101BAL0810"/>
    <s v="ENTR AL-220(A) (P/BARRA DE SÃO MIGUEL)"/>
    <s v="SÃO MIGUEL DOS CAMPOS"/>
    <n v="130.30000000000001"/>
    <n v="134.30000000000001"/>
    <n v="4"/>
    <x v="2"/>
    <s v="EOD"/>
    <m/>
    <s v="Federal"/>
    <m/>
    <m/>
    <m/>
    <s v="Federal"/>
    <s v="PAV"/>
    <s v="Maceió"/>
  </r>
  <r>
    <x v="0"/>
    <s v="101BAL0820"/>
    <n v="0"/>
    <x v="50"/>
    <s v="0820"/>
    <n v="-36.106200270326099"/>
    <n v="-9.7788995198968607"/>
    <n v="-36.1160897398495"/>
    <n v="-9.8081891196321092"/>
    <s v="101"/>
    <s v="AL"/>
    <s v="Eixo Principal"/>
    <s v="-"/>
    <s v="101BAL0820"/>
    <s v="SÃO MIGUEL DOS CAMPOS"/>
    <s v="ENTR AL-220"/>
    <n v="134.30000000000001"/>
    <n v="138.30000000000001"/>
    <n v="4"/>
    <x v="0"/>
    <m/>
    <m/>
    <s v="Federal"/>
    <m/>
    <m/>
    <m/>
    <s v="Federal"/>
    <s v="PAV"/>
    <s v="Maceió"/>
  </r>
  <r>
    <x v="0"/>
    <s v="101BAL0830"/>
    <n v="0"/>
    <x v="50"/>
    <s v="0830"/>
    <n v="-36.1160897398495"/>
    <n v="-9.8081891196321092"/>
    <n v="-36.276733549613503"/>
    <n v="-9.8999199098758996"/>
    <s v="101"/>
    <s v="AL"/>
    <s v="Eixo Principal"/>
    <s v="-"/>
    <s v="101BAL0830"/>
    <s v="ENTR AL-220"/>
    <s v="ENTR AL-105"/>
    <n v="138.30000000000001"/>
    <n v="164.8"/>
    <n v="26.5"/>
    <x v="0"/>
    <m/>
    <m/>
    <s v="Federal"/>
    <m/>
    <m/>
    <m/>
    <s v="Federal"/>
    <s v="PAV"/>
    <s v="Maceió"/>
  </r>
  <r>
    <x v="0"/>
    <s v="101BAL0850"/>
    <n v="0"/>
    <x v="50"/>
    <s v="0850"/>
    <n v="-36.276733549613503"/>
    <n v="-9.8999199098758996"/>
    <n v="-36.542058610116698"/>
    <n v="-9.9523579196821803"/>
    <s v="101"/>
    <s v="AL"/>
    <s v="Eixo Principal"/>
    <s v="-"/>
    <s v="101BAL0850"/>
    <s v="ENTR AL-105"/>
    <s v="ENTR AL-110 (P/ARAPIRACA)"/>
    <n v="164.8"/>
    <n v="200.7"/>
    <n v="35.9"/>
    <x v="2"/>
    <s v="EOD"/>
    <m/>
    <s v="Federal"/>
    <m/>
    <m/>
    <m/>
    <s v="Federal"/>
    <s v="PAV"/>
    <s v="Maceió"/>
  </r>
  <r>
    <x v="0"/>
    <s v="101BAL0870"/>
    <n v="0"/>
    <x v="50"/>
    <s v="0870"/>
    <n v="-36.542058610116698"/>
    <n v="-9.9523579196821803"/>
    <n v="-36.710157629670803"/>
    <n v="-10.102443909858399"/>
    <s v="101"/>
    <s v="AL"/>
    <s v="Eixo Principal"/>
    <s v="-"/>
    <s v="101BAL0870"/>
    <s v="ENTR AL-110 (P/ARAPIRACA)"/>
    <s v="ENTR AL-225(A)"/>
    <n v="200.7"/>
    <n v="227.2"/>
    <n v="26.5"/>
    <x v="0"/>
    <m/>
    <m/>
    <s v="Federal"/>
    <m/>
    <m/>
    <m/>
    <s v="Federal"/>
    <s v="PAV"/>
    <s v="Maceió"/>
  </r>
  <r>
    <x v="0"/>
    <s v="101BAL0890"/>
    <n v="0"/>
    <x v="50"/>
    <s v="0890"/>
    <n v="-36.710157629670803"/>
    <n v="-10.102443909858399"/>
    <n v="-36.828477819595598"/>
    <n v="-10.1817054101765"/>
    <s v="101"/>
    <s v="AL"/>
    <s v="Eixo Principal"/>
    <s v="-"/>
    <s v="101BAL0890"/>
    <s v="ENTR AL-225(A)"/>
    <s v="ENTR AL-225(B) (P/PORTO REAL DO COLÉGIO)"/>
    <n v="227.2"/>
    <n v="245.3"/>
    <n v="18.100000000000001"/>
    <x v="0"/>
    <m/>
    <m/>
    <s v="Federal"/>
    <m/>
    <m/>
    <m/>
    <s v="Federal"/>
    <s v="PAV"/>
    <s v="Maceió"/>
  </r>
  <r>
    <x v="0"/>
    <s v="101BAL0900"/>
    <n v="0"/>
    <x v="50"/>
    <s v="0900"/>
    <n v="-36.828477819595598"/>
    <n v="-10.1817054101765"/>
    <n v="-36.819894420191297"/>
    <n v="-10.207093119551701"/>
    <s v="101"/>
    <s v="AL"/>
    <s v="Eixo Principal"/>
    <s v="-"/>
    <s v="101BAL0900"/>
    <s v="ENTR AL-225(B) (P/PORTO REAL DO COLÉGIO)"/>
    <s v="DIV AL/SE"/>
    <n v="245.3"/>
    <n v="248.4"/>
    <n v="3.1"/>
    <x v="2"/>
    <s v="EOD"/>
    <m/>
    <s v="Federal"/>
    <m/>
    <m/>
    <m/>
    <s v="Federal"/>
    <s v="PAV"/>
    <s v="Maceió"/>
  </r>
  <r>
    <x v="0"/>
    <s v="101BBA1405"/>
    <n v="0"/>
    <x v="51"/>
    <s v="1405"/>
    <n v="-37.800738460211697"/>
    <n v="-11.520138310234699"/>
    <n v="-37.801038480341496"/>
    <n v="-11.5204481401694"/>
    <s v="101"/>
    <s v="BA"/>
    <s v="Eixo Principal"/>
    <s v="-"/>
    <s v="101BBA1405"/>
    <s v="DIV SE/BA (INÍCIO DA PONTE S/RIO REAL)"/>
    <s v="FIM DA PONTE S/RIO REAL"/>
    <n v="0"/>
    <n v="0.1"/>
    <n v="0.1"/>
    <x v="2"/>
    <s v="EOD"/>
    <m/>
    <s v="Federal"/>
    <m/>
    <m/>
    <m/>
    <s v="Federal"/>
    <s v="PAV"/>
    <s v="Maceió"/>
  </r>
  <r>
    <x v="0"/>
    <s v="101BBA1410"/>
    <n v="0"/>
    <x v="51"/>
    <s v="1410"/>
    <n v="-37.801038480341496"/>
    <n v="-11.5204481401694"/>
    <n v="-37.856997210053102"/>
    <n v="-11.5392287597993"/>
    <s v="101"/>
    <s v="BA"/>
    <s v="Eixo Principal"/>
    <s v="-"/>
    <s v="101BBA1410"/>
    <s v="FIM DA PONTE S/RIO REAL"/>
    <s v="ENTR BA-396 (LORETO) (P/JANDAÍRA)"/>
    <n v="0.1"/>
    <n v="6.7"/>
    <n v="6.6"/>
    <x v="2"/>
    <s v="EOD"/>
    <m/>
    <s v="Federal"/>
    <m/>
    <m/>
    <m/>
    <s v="Federal"/>
    <s v="PAV"/>
    <s v="Cruz das Almas"/>
  </r>
  <r>
    <x v="0"/>
    <s v="101BBA1412"/>
    <n v="0"/>
    <x v="51"/>
    <s v="1412"/>
    <n v="-37.856997210053102"/>
    <n v="-11.5392287597993"/>
    <n v="-37.945539980085897"/>
    <n v="-11.776427740048099"/>
    <s v="101"/>
    <s v="BA"/>
    <s v="Eixo Principal"/>
    <s v="-"/>
    <s v="101BBA1412"/>
    <s v="ENTR BA-396 (LORETO) (P/JANDAÍRA)"/>
    <s v="ENTR BA-233 (ESPLANADA) (P/ CONDE)"/>
    <n v="6.7"/>
    <n v="35.6"/>
    <n v="28.9"/>
    <x v="2"/>
    <s v="EOD"/>
    <m/>
    <s v="Federal"/>
    <m/>
    <m/>
    <m/>
    <s v="Federal"/>
    <s v="PAV"/>
    <s v="Cruz das Almas"/>
  </r>
  <r>
    <x v="0"/>
    <s v="101BBA1430"/>
    <n v="0"/>
    <x v="51"/>
    <s v="1430"/>
    <n v="-37.945539980085897"/>
    <n v="-11.776427740048099"/>
    <n v="-38.097447760205903"/>
    <n v="-11.966763300286001"/>
    <s v="101"/>
    <s v="BA"/>
    <s v="Eixo Principal"/>
    <s v="-"/>
    <s v="101BBA1430"/>
    <s v="ENTR BA-233 (ESPLANADA) (P/ CONDE)"/>
    <s v="ENTR BA-093 (ENTRE RIOS) (P/ ARAÇAS)"/>
    <n v="35.6"/>
    <n v="65.7"/>
    <n v="30.1"/>
    <x v="2"/>
    <s v="EOD"/>
    <m/>
    <s v="Federal"/>
    <m/>
    <m/>
    <m/>
    <s v="Federal"/>
    <s v="PAV"/>
    <s v="Cruz das Almas"/>
  </r>
  <r>
    <x v="0"/>
    <s v="101BBA1432"/>
    <n v="0"/>
    <x v="51"/>
    <s v="1432"/>
    <n v="-38.097447760205903"/>
    <n v="-11.966763300286001"/>
    <n v="-38.185555320421599"/>
    <n v="-11.9721436697944"/>
    <s v="101"/>
    <s v="BA"/>
    <s v="Eixo Principal"/>
    <s v="-"/>
    <s v="101BBA1432"/>
    <s v="ENTR BA-093 (ENTRE RIOS) (P/ ARAÇAS)"/>
    <s v="ENTR BA-401 (SÍTIO DO MEIO)"/>
    <n v="65.7"/>
    <n v="75.599999999999994"/>
    <n v="9.9"/>
    <x v="2"/>
    <s v="EOD"/>
    <m/>
    <s v="Federal"/>
    <m/>
    <m/>
    <m/>
    <s v="Federal"/>
    <s v="PAV"/>
    <s v="Cruz das Almas"/>
  </r>
  <r>
    <x v="0"/>
    <s v="101BBA1450"/>
    <n v="0"/>
    <x v="51"/>
    <s v="1450"/>
    <n v="-38.185555320421599"/>
    <n v="-11.9721436697944"/>
    <n v="-38.344391740186602"/>
    <n v="-12.0777310000855"/>
    <s v="101"/>
    <s v="BA"/>
    <s v="Eixo Principal"/>
    <s v="-"/>
    <s v="101BBA1450"/>
    <s v="ENTR BA-401 (SÍTIO DO MEIO)"/>
    <s v="ENTR BR-110(A)"/>
    <n v="75.599999999999994"/>
    <n v="97.3"/>
    <n v="21.7"/>
    <x v="2"/>
    <s v="EOD"/>
    <m/>
    <s v="Federal"/>
    <m/>
    <m/>
    <m/>
    <s v="Federal"/>
    <s v="PAV"/>
    <s v="Cruz das Almas"/>
  </r>
  <r>
    <x v="0"/>
    <s v="101BBA1470"/>
    <n v="0"/>
    <x v="51"/>
    <s v="1470"/>
    <n v="-38.344391740186602"/>
    <n v="-12.0777310000855"/>
    <n v="-38.416261539937999"/>
    <n v="-12.1628731798533"/>
    <s v="101"/>
    <s v="BA"/>
    <s v="Eixo Principal"/>
    <s v="-"/>
    <s v="101BBA1470"/>
    <s v="ENTR BR-110(A)"/>
    <s v="ENTR BR-110(B)/BA-504 (P/ALAGOINHAS)"/>
    <n v="97.3"/>
    <n v="110.3"/>
    <n v="13"/>
    <x v="2"/>
    <s v="EOD"/>
    <s v="110BBA0750"/>
    <s v="Federal"/>
    <m/>
    <m/>
    <m/>
    <s v="Federal"/>
    <s v="PAV"/>
    <s v="Cruz das Almas"/>
  </r>
  <r>
    <x v="0"/>
    <s v="101BBA1472"/>
    <n v="0"/>
    <x v="51"/>
    <s v="1472"/>
    <n v="-38.416261539937999"/>
    <n v="-12.1628731798533"/>
    <n v="-38.476217599662398"/>
    <n v="-12.1651397501992"/>
    <s v="101"/>
    <s v="BA"/>
    <s v="Eixo Principal"/>
    <s v="-"/>
    <s v="101BBA1472"/>
    <s v="ENTR BR-110(B)/BA-504 (P/ALAGOINHAS)"/>
    <s v="ENTR BA-503"/>
    <n v="110.3"/>
    <n v="117.2"/>
    <n v="6.9"/>
    <x v="2"/>
    <s v="EOD"/>
    <m/>
    <s v="Federal"/>
    <m/>
    <m/>
    <m/>
    <s v="Federal"/>
    <s v="PAV"/>
    <s v="Cruz das Almas"/>
  </r>
  <r>
    <x v="0"/>
    <s v="101BBA1490"/>
    <n v="0"/>
    <x v="51"/>
    <s v="1490"/>
    <n v="-38.476217599662398"/>
    <n v="-12.1651397501992"/>
    <n v="-38.634914450041698"/>
    <n v="-12.245244900032001"/>
    <s v="101"/>
    <s v="BA"/>
    <s v="Eixo Principal"/>
    <s v="-"/>
    <s v="101BBA1490"/>
    <s v="ENTR BA-503"/>
    <s v="ENTR BA-515 (TEODORO SAMPAIO)"/>
    <n v="117.2"/>
    <n v="140.4"/>
    <n v="23.2"/>
    <x v="2"/>
    <s v="EOD"/>
    <m/>
    <s v="Federal"/>
    <m/>
    <m/>
    <m/>
    <s v="Federal"/>
    <s v="PAV"/>
    <s v="Cruz das Almas"/>
  </r>
  <r>
    <x v="0"/>
    <s v="101BBA1510"/>
    <n v="0"/>
    <x v="51"/>
    <s v="1510"/>
    <n v="-38.634914450041698"/>
    <n v="-12.245244900032001"/>
    <n v="-38.789073190075598"/>
    <n v="-12.3550012499077"/>
    <s v="101"/>
    <s v="BA"/>
    <s v="Eixo Principal"/>
    <s v="-"/>
    <s v="101BBA1510"/>
    <s v="ENTR BA-515 (TEODORO SAMPAIO)"/>
    <s v="ENTR BA-084 (CONCEIÇÃO DO JACUÍPE)"/>
    <n v="140.4"/>
    <n v="162.1"/>
    <n v="21.7"/>
    <x v="2"/>
    <s v="EOD"/>
    <m/>
    <s v="Federal"/>
    <m/>
    <m/>
    <m/>
    <s v="Federal"/>
    <s v="PAV"/>
    <s v="Cruz das Almas"/>
  </r>
  <r>
    <x v="0"/>
    <s v="101BBA1530"/>
    <n v="0"/>
    <x v="51"/>
    <s v="1530"/>
    <n v="-38.789073190075598"/>
    <n v="-12.3550012499077"/>
    <n v="-38.825423410361999"/>
    <n v="-12.360192480298601"/>
    <s v="101"/>
    <s v="BA"/>
    <s v="Eixo Principal"/>
    <s v="-"/>
    <s v="101BBA1530"/>
    <s v="ENTR BA-084 (CONCEIÇÃO DO JACUÍPE)"/>
    <s v="ENTR BR-324"/>
    <n v="162.1"/>
    <n v="166.3"/>
    <n v="4.2"/>
    <x v="2"/>
    <s v="EOD"/>
    <m/>
    <s v="Federal"/>
    <m/>
    <m/>
    <m/>
    <s v="Federal"/>
    <s v="PAV"/>
    <s v="Cruz das Almas"/>
  </r>
  <r>
    <x v="0"/>
    <s v="101BBA1540"/>
    <n v="0"/>
    <x v="51"/>
    <s v="1540"/>
    <n v="-38.825423410361999"/>
    <n v="-12.360192480298601"/>
    <n v="-38.862210159770903"/>
    <n v="-12.358311430428101"/>
    <s v="101"/>
    <s v="BA"/>
    <s v="Eixo Principal"/>
    <s v="-"/>
    <s v="101BBA1540"/>
    <s v="ENTR BR-324"/>
    <s v="HUMILDES"/>
    <n v="166.3"/>
    <n v="170.8"/>
    <n v="4.5"/>
    <x v="2"/>
    <m/>
    <m/>
    <s v="Federal"/>
    <m/>
    <m/>
    <m/>
    <s v="Federal"/>
    <s v="PAV"/>
    <s v="Cruz das Almas"/>
  </r>
  <r>
    <x v="0"/>
    <s v="101BBA1550"/>
    <n v="0"/>
    <x v="51"/>
    <s v="1550"/>
    <n v="-38.862210159770903"/>
    <n v="-12.358311430428101"/>
    <n v="-38.912267059776902"/>
    <n v="-12.4296245003703"/>
    <s v="101"/>
    <s v="BA"/>
    <s v="Eixo Principal"/>
    <s v="-"/>
    <s v="101BBA1550"/>
    <s v="HUMILDES"/>
    <s v="ENTR BA-501 (P/SÃO GONÇALO DOS CAMPOS)"/>
    <n v="170.8"/>
    <n v="180.5"/>
    <n v="9.6999999999999993"/>
    <x v="2"/>
    <m/>
    <m/>
    <s v="Federal"/>
    <m/>
    <m/>
    <m/>
    <s v="Federal"/>
    <s v="PAV"/>
    <s v="Cruz das Almas"/>
  </r>
  <r>
    <x v="0"/>
    <s v="101BBA1570"/>
    <n v="0"/>
    <x v="51"/>
    <s v="1570"/>
    <n v="-38.912267059776902"/>
    <n v="-12.4296245003703"/>
    <n v="-38.970791389810699"/>
    <n v="-12.518987300123699"/>
    <s v="101"/>
    <s v="BA"/>
    <s v="Eixo Principal"/>
    <s v="-"/>
    <s v="101BBA1570"/>
    <s v="ENTR BA-501 (P/SÃO GONÇALO DOS CAMPOS)"/>
    <s v="ENTR BA-502 (P/CONCEIÇÃO DA FEIRA)"/>
    <n v="180.5"/>
    <n v="192.3"/>
    <n v="11.8"/>
    <x v="2"/>
    <m/>
    <m/>
    <s v="Federal"/>
    <m/>
    <m/>
    <m/>
    <s v="Federal"/>
    <s v="PAV"/>
    <s v="Cruz das Almas"/>
  </r>
  <r>
    <x v="0"/>
    <s v="101BBA1572"/>
    <n v="0"/>
    <x v="51"/>
    <s v="1572"/>
    <n v="-38.970791389810699"/>
    <n v="-12.518987300123699"/>
    <n v="-39.040868990011802"/>
    <n v="-12.596779710215401"/>
    <s v="101"/>
    <s v="BA"/>
    <s v="Eixo Principal"/>
    <s v="-"/>
    <s v="101BBA1572"/>
    <s v="ENTR BA-502 (P/CONCEIÇÃO DA FEIRA)"/>
    <s v="ENTR BA-492 (GOVERNADOR MANGABEIRA)"/>
    <n v="192.3"/>
    <n v="207.6"/>
    <n v="15.3"/>
    <x v="2"/>
    <m/>
    <m/>
    <s v="Federal"/>
    <m/>
    <m/>
    <m/>
    <s v="Federal"/>
    <s v="PAV"/>
    <s v="Cruz das Almas"/>
  </r>
  <r>
    <x v="0"/>
    <s v="101BBA1574"/>
    <n v="0"/>
    <x v="51"/>
    <s v="1574"/>
    <n v="-39.040868990011802"/>
    <n v="-12.596779710215401"/>
    <n v="-39.124816749593201"/>
    <n v="-12.657217730114001"/>
    <s v="101"/>
    <s v="BA"/>
    <s v="Eixo Principal"/>
    <s v="-"/>
    <s v="101BBA1574"/>
    <s v="ENTR BA-492 (GOVERNADOR MANGABEIRA)"/>
    <s v="ENTR BA-496 (CRUZ DAS ALMAS)"/>
    <n v="207.6"/>
    <n v="219.8"/>
    <n v="12.2"/>
    <x v="2"/>
    <m/>
    <m/>
    <s v="Federal"/>
    <m/>
    <m/>
    <m/>
    <s v="Federal"/>
    <s v="PAV"/>
    <s v="Cruz das Almas"/>
  </r>
  <r>
    <x v="0"/>
    <s v="101BBA1590"/>
    <n v="0"/>
    <x v="51"/>
    <s v="1590"/>
    <n v="-39.124816749593201"/>
    <n v="-12.657217730114001"/>
    <n v="-39.1844212301555"/>
    <n v="-12.7367068803182"/>
    <s v="101"/>
    <s v="BA"/>
    <s v="Eixo Principal"/>
    <s v="-"/>
    <s v="101BBA1590"/>
    <s v="ENTR BA-496 (CRUZ DAS ALMAS)"/>
    <s v="ENTR BR-242(A) (SAPEAÇÚ)"/>
    <n v="219.8"/>
    <n v="231.5"/>
    <n v="11.7"/>
    <x v="2"/>
    <m/>
    <m/>
    <s v="Federal"/>
    <m/>
    <m/>
    <m/>
    <s v="Federal"/>
    <s v="PAV"/>
    <s v="Cruz das Almas"/>
  </r>
  <r>
    <x v="0"/>
    <s v="101BBA1610"/>
    <n v="0"/>
    <x v="51"/>
    <s v="1610"/>
    <n v="-39.1844212301555"/>
    <n v="-12.7367068803182"/>
    <n v="-39.183512199928003"/>
    <n v="-12.766946809847299"/>
    <s v="101"/>
    <s v="BA"/>
    <s v="Eixo Principal"/>
    <s v="-"/>
    <s v="101BBA1610"/>
    <s v="ENTR BR-242(A) (SAPEAÇÚ)"/>
    <s v="ENTR BR-242(B) (CONCEIÇÃO DO ALMEIDA)"/>
    <n v="231.5"/>
    <n v="234.9"/>
    <n v="3.4"/>
    <x v="2"/>
    <m/>
    <m/>
    <s v="Federal"/>
    <m/>
    <m/>
    <m/>
    <s v="Federal"/>
    <s v="PAV"/>
    <s v="Cruz das Almas"/>
  </r>
  <r>
    <x v="0"/>
    <s v="101BBA1630"/>
    <n v="0"/>
    <x v="51"/>
    <s v="1630"/>
    <n v="-39.183512199928003"/>
    <n v="-12.766946809847299"/>
    <n v="-39.2219986104474"/>
    <n v="-12.8846937404237"/>
    <s v="101"/>
    <s v="BA"/>
    <s v="Eixo Principal"/>
    <s v="-"/>
    <s v="101BBA1630"/>
    <s v="ENTR BR-242(B) (CONCEIÇÃO DO ALMEIDA)"/>
    <s v="ENTR BA-026(A)"/>
    <n v="234.9"/>
    <n v="249.4"/>
    <n v="14.5"/>
    <x v="2"/>
    <m/>
    <m/>
    <s v="Federal"/>
    <m/>
    <m/>
    <m/>
    <s v="Federal"/>
    <s v="PAV"/>
    <s v="Cruz das Almas"/>
  </r>
  <r>
    <x v="0"/>
    <s v="101BBA1632"/>
    <n v="0"/>
    <x v="51"/>
    <s v="1632"/>
    <n v="-39.2219986104474"/>
    <n v="-12.8846937404237"/>
    <n v="-39.254125830242799"/>
    <n v="-12.950921240422799"/>
    <s v="101"/>
    <s v="BA"/>
    <s v="Eixo Principal"/>
    <s v="-"/>
    <s v="101BBA1632"/>
    <s v="ENTR BA-026(A)"/>
    <s v="ENTR BR-420(A)/BA-046(A) (SANTO ANTÔNIO DE JESUS)"/>
    <n v="249.4"/>
    <n v="258"/>
    <n v="8.6"/>
    <x v="2"/>
    <m/>
    <m/>
    <s v="Federal"/>
    <m/>
    <m/>
    <m/>
    <s v="Federal"/>
    <s v="PAV"/>
    <s v="Cruz das Almas"/>
  </r>
  <r>
    <x v="0"/>
    <s v="101BBA1650"/>
    <n v="0"/>
    <x v="51"/>
    <s v="1650"/>
    <n v="-39.254125830242799"/>
    <n v="-12.950921240422799"/>
    <n v="-39.291138219553098"/>
    <n v="-12.9849342198383"/>
    <s v="101"/>
    <s v="BA"/>
    <s v="Eixo Principal"/>
    <s v="-"/>
    <s v="101BBA1650"/>
    <s v="ENTR BR-420(A)/BA-046(A) (SANTO ANTÔNIO DE JESUS)"/>
    <s v="ENTR BA-026(B)/046(B)"/>
    <n v="258"/>
    <n v="264.39999999999998"/>
    <n v="6.4"/>
    <x v="2"/>
    <m/>
    <s v="420BBA0180"/>
    <s v="Federal"/>
    <m/>
    <m/>
    <m/>
    <s v="Federal"/>
    <s v="PAV"/>
    <s v="Cruz das Almas"/>
  </r>
  <r>
    <x v="0"/>
    <s v="101BBA1670"/>
    <n v="0"/>
    <x v="51"/>
    <s v="1670"/>
    <n v="-39.291138219553098"/>
    <n v="-12.9849342198383"/>
    <n v="-39.297112280107598"/>
    <n v="-13.145995309635699"/>
    <s v="101"/>
    <s v="BA"/>
    <s v="Eixo Principal"/>
    <s v="-"/>
    <s v="101BBA1670"/>
    <s v="ENTR BA-026(B)/046(B)"/>
    <s v="CAPÃO"/>
    <n v="264.39999999999998"/>
    <n v="284"/>
    <n v="19.600000000000001"/>
    <x v="2"/>
    <m/>
    <s v="420BBA0190"/>
    <s v="Federal"/>
    <m/>
    <m/>
    <m/>
    <s v="Federal"/>
    <s v="PAV"/>
    <s v="Cruz das Almas"/>
  </r>
  <r>
    <x v="0"/>
    <s v="101BBA1690"/>
    <n v="0"/>
    <x v="51"/>
    <s v="1690"/>
    <n v="-39.297112280107598"/>
    <n v="-13.145995309635699"/>
    <n v="-39.3174338197149"/>
    <n v="-13.1738177203114"/>
    <s v="101"/>
    <s v="BA"/>
    <s v="Eixo Principal"/>
    <s v="-"/>
    <s v="101BBA1690"/>
    <s v="CAPÃO"/>
    <s v="ENTR BR-420(B) (P/LAJE)"/>
    <n v="284"/>
    <n v="288.3"/>
    <n v="4.3"/>
    <x v="2"/>
    <m/>
    <s v="420BBA0200"/>
    <s v="Federal"/>
    <m/>
    <m/>
    <m/>
    <s v="Federal"/>
    <s v="PAV"/>
    <s v="Cruz das Almas"/>
  </r>
  <r>
    <x v="0"/>
    <s v="101BBA1695"/>
    <n v="0"/>
    <x v="51"/>
    <s v="1695"/>
    <n v="-39.3174338197149"/>
    <n v="-13.1738177203114"/>
    <n v="-39.321734709589101"/>
    <n v="-13.2841186195785"/>
    <s v="101"/>
    <s v="BA"/>
    <s v="Eixo Principal"/>
    <s v="-"/>
    <s v="101BBA1695"/>
    <s v="ENTR BR-420(B) (P/LAJE)"/>
    <s v="ENTR BA-542 (P/GUERÉM)"/>
    <n v="288.3"/>
    <n v="302.2"/>
    <n v="13.9"/>
    <x v="2"/>
    <m/>
    <m/>
    <s v="Federal"/>
    <m/>
    <m/>
    <m/>
    <s v="Federal"/>
    <s v="PAV"/>
    <s v="Cruz das Almas"/>
  </r>
  <r>
    <x v="0"/>
    <s v="101BBA1710"/>
    <n v="0"/>
    <x v="51"/>
    <s v="1710"/>
    <n v="-39.321734709589101"/>
    <n v="-13.2841186195785"/>
    <n v="-39.420529070160299"/>
    <n v="-13.453748910283901"/>
    <s v="101"/>
    <s v="BA"/>
    <s v="Eixo Principal"/>
    <s v="-"/>
    <s v="101BBA1710"/>
    <s v="ENTR BA-542 (P/GUERÉM)"/>
    <s v="PRESIDENTE TANCREDO NEVES"/>
    <n v="302.2"/>
    <n v="327.3"/>
    <n v="25.1"/>
    <x v="2"/>
    <m/>
    <m/>
    <s v="Federal"/>
    <m/>
    <m/>
    <m/>
    <s v="Federal"/>
    <s v="PAV"/>
    <s v="Cruz das Almas"/>
  </r>
  <r>
    <x v="0"/>
    <s v="101BBA1711"/>
    <n v="0"/>
    <x v="51"/>
    <s v="1711"/>
    <n v="-39.420529070160299"/>
    <n v="-13.453748910283901"/>
    <n v="-39.494346650377501"/>
    <n v="-13.604027779858001"/>
    <s v="101"/>
    <s v="BA"/>
    <s v="Eixo Principal"/>
    <s v="-"/>
    <s v="101BBA1711"/>
    <s v="PRESIDENTE TANCREDO NEVES"/>
    <s v="ENTR BA-120 (TEOLÂNDIA)"/>
    <n v="327.3"/>
    <n v="348.3"/>
    <n v="21"/>
    <x v="2"/>
    <m/>
    <m/>
    <s v="Federal"/>
    <m/>
    <m/>
    <m/>
    <s v="Federal"/>
    <s v="PAV"/>
    <s v="Cruz das Almas"/>
  </r>
  <r>
    <x v="0"/>
    <s v="101BBA1712"/>
    <n v="0"/>
    <x v="51"/>
    <s v="1712"/>
    <n v="-39.494346650377501"/>
    <n v="-13.604027779858001"/>
    <n v="-39.479361650020103"/>
    <n v="-13.736505149592899"/>
    <s v="101"/>
    <s v="BA"/>
    <s v="Eixo Principal"/>
    <s v="-"/>
    <s v="101BBA1712"/>
    <s v="ENTR BA-120 (TEOLÂNDIA)"/>
    <s v="ENTR BA-250(A) (P/ IRAÍ DO NORTE)"/>
    <n v="348.3"/>
    <n v="364.5"/>
    <n v="16.2"/>
    <x v="2"/>
    <m/>
    <m/>
    <s v="Federal"/>
    <m/>
    <m/>
    <m/>
    <s v="Federal"/>
    <s v="PAV"/>
    <s v="Cruz das Almas"/>
  </r>
  <r>
    <x v="0"/>
    <s v="101BBA1730"/>
    <n v="0"/>
    <x v="51"/>
    <s v="1730"/>
    <n v="-39.479361650020103"/>
    <n v="-13.736505149592899"/>
    <n v="-39.483946009800398"/>
    <n v="-13.746081770157501"/>
    <s v="101"/>
    <s v="BA"/>
    <s v="Eixo Principal"/>
    <s v="-"/>
    <s v="101BBA1730"/>
    <s v="ENTR BA-250(A) (P/ IRAÍ DO NORTE)"/>
    <s v="ENTR BA-120/250(B)/548 (GANDÚ)"/>
    <n v="364.5"/>
    <n v="365.7"/>
    <n v="1.2"/>
    <x v="2"/>
    <m/>
    <m/>
    <s v="Federal"/>
    <m/>
    <m/>
    <m/>
    <s v="Federal"/>
    <s v="PAV"/>
    <s v="Cruz das Almas"/>
  </r>
  <r>
    <x v="0"/>
    <s v="101BBA1732"/>
    <n v="0"/>
    <x v="51"/>
    <s v="1732"/>
    <n v="-39.483946009800398"/>
    <n v="-13.746081770157501"/>
    <n v="-39.473142099728001"/>
    <n v="-13.992166170032601"/>
    <s v="101"/>
    <s v="BA"/>
    <s v="Eixo Principal"/>
    <s v="-"/>
    <s v="101BBA1732"/>
    <s v="ENTR BA-120/250(B)/548 (GANDÚ)"/>
    <s v="ENTR BA-650(A)"/>
    <n v="365.7"/>
    <n v="396.4"/>
    <n v="30.7"/>
    <x v="2"/>
    <m/>
    <m/>
    <s v="Federal"/>
    <m/>
    <m/>
    <m/>
    <s v="Federal"/>
    <s v="PAV"/>
    <s v="Cruz das Almas"/>
  </r>
  <r>
    <x v="0"/>
    <s v="101BBA1734"/>
    <n v="0"/>
    <x v="51"/>
    <s v="1734"/>
    <n v="-39.473142099728001"/>
    <n v="-13.992166170032601"/>
    <n v="-39.348545030428703"/>
    <n v="-14.1488380996984"/>
    <s v="101"/>
    <s v="BA"/>
    <s v="Eixo Principal"/>
    <s v="-"/>
    <s v="101BBA1734"/>
    <s v="ENTR BA-650(A)"/>
    <s v="ENTR BA-650(B) (P/IBIRAPITANGA)"/>
    <n v="396.4"/>
    <n v="423.3"/>
    <n v="26.9"/>
    <x v="2"/>
    <m/>
    <m/>
    <s v="Federal"/>
    <m/>
    <m/>
    <m/>
    <s v="Federal"/>
    <s v="PAV"/>
    <s v="Cruz das Almas"/>
  </r>
  <r>
    <x v="0"/>
    <s v="101BBA1750"/>
    <n v="0"/>
    <x v="51"/>
    <s v="1750"/>
    <n v="-39.348545030428703"/>
    <n v="-14.1488380996984"/>
    <n v="-39.326385360196099"/>
    <n v="-14.2667068398487"/>
    <s v="101"/>
    <s v="BA"/>
    <s v="Eixo Principal"/>
    <s v="-"/>
    <s v="101BBA1750"/>
    <s v="ENTR BA-650(B) (P/IBIRAPITANGA)"/>
    <s v="ENTR BR-330 (P/UBATÃ)"/>
    <n v="423.3"/>
    <n v="439.1"/>
    <n v="15.8"/>
    <x v="2"/>
    <m/>
    <m/>
    <s v="Federal"/>
    <m/>
    <m/>
    <m/>
    <s v="Federal"/>
    <s v="PAV"/>
    <s v="Cruz das Almas"/>
  </r>
  <r>
    <x v="0"/>
    <s v="101BBA1751"/>
    <n v="0"/>
    <x v="51"/>
    <s v="1751"/>
    <n v="-39.326385360196099"/>
    <n v="-14.2667068398487"/>
    <n v="-39.322384039891404"/>
    <n v="-14.308185450398099"/>
    <s v="101"/>
    <s v="BA"/>
    <s v="Eixo Principal"/>
    <s v="-"/>
    <s v="101BBA1751"/>
    <s v="ENTR BR-330 (P/UBATÃ)"/>
    <s v="ENTR BR-030(A) (UBAITABA)"/>
    <n v="439.1"/>
    <n v="443.8"/>
    <n v="4.7"/>
    <x v="2"/>
    <m/>
    <m/>
    <s v="Federal"/>
    <m/>
    <m/>
    <m/>
    <s v="Federal"/>
    <s v="PAV"/>
    <s v="Cruz das Almas"/>
  </r>
  <r>
    <x v="0"/>
    <s v="101BBA1752"/>
    <n v="0"/>
    <x v="51"/>
    <s v="1752"/>
    <n v="-39.322384039891404"/>
    <n v="-14.308185450398099"/>
    <n v="-39.3144967903945"/>
    <n v="-14.317689789751901"/>
    <s v="101"/>
    <s v="BA"/>
    <s v="Eixo Principal"/>
    <s v="Coinc"/>
    <s v="101BBA1752"/>
    <s v="ENTR BR-030(A) (UBAITABA)"/>
    <s v="ENTR BR-030(B) (AURELINO LEAL)"/>
    <n v="443.8"/>
    <n v="445.4"/>
    <n v="1.6"/>
    <x v="2"/>
    <m/>
    <s v="030BBA0440"/>
    <s v="Federal"/>
    <m/>
    <m/>
    <m/>
    <s v="Federal"/>
    <s v="PAV"/>
    <s v="Cruz das Almas"/>
  </r>
  <r>
    <x v="0"/>
    <s v="101BBA1760"/>
    <n v="0"/>
    <x v="51"/>
    <s v="1760"/>
    <n v="-39.3144967903945"/>
    <n v="-14.317689789751901"/>
    <n v="-39.334780359725698"/>
    <n v="-14.565949950030101"/>
    <s v="101"/>
    <s v="BA"/>
    <s v="Eixo Principal"/>
    <s v="-"/>
    <s v="101BBA1760"/>
    <s v="ENTR BR-030(B) (AURELINO LEAL)"/>
    <s v="ENTR BA-969 (P/PONTO DO ZINCO)"/>
    <n v="445.4"/>
    <n v="474.5"/>
    <n v="29.1"/>
    <x v="2"/>
    <m/>
    <m/>
    <s v="Federal"/>
    <m/>
    <m/>
    <m/>
    <s v="Federal"/>
    <s v="PAV"/>
    <s v="Itabuna"/>
  </r>
  <r>
    <x v="0"/>
    <s v="101BBA1770"/>
    <n v="0"/>
    <x v="51"/>
    <s v="1770"/>
    <n v="-39.334780359725698"/>
    <n v="-14.565949950030101"/>
    <n v="-39.331567580279497"/>
    <n v="-14.6240515996016"/>
    <s v="101"/>
    <s v="BA"/>
    <s v="Eixo Principal"/>
    <s v="-"/>
    <s v="101BBA1770"/>
    <s v="ENTR BA-969 (P/PONTO DO ZINCO)"/>
    <s v="ENTR BA-262(A) (P/URUCUCA)"/>
    <n v="474.5"/>
    <n v="481.2"/>
    <n v="6.7"/>
    <x v="2"/>
    <m/>
    <m/>
    <s v="Federal"/>
    <m/>
    <m/>
    <m/>
    <s v="Federal"/>
    <s v="PAV"/>
    <s v="Itabuna"/>
  </r>
  <r>
    <x v="0"/>
    <s v="101BBA1790"/>
    <n v="0"/>
    <x v="51"/>
    <s v="1790"/>
    <n v="-39.331567580279497"/>
    <n v="-14.6240515996016"/>
    <n v="-39.365245150343299"/>
    <n v="-14.6952480400649"/>
    <s v="101"/>
    <s v="BA"/>
    <s v="Eixo Principal"/>
    <s v="-"/>
    <s v="101BBA1790"/>
    <s v="ENTR BA-262(A) (P/URUCUCA)"/>
    <s v="ENTR BA-120(A)/262(B) (P/ITAJUÍPE)"/>
    <n v="481.2"/>
    <n v="490.4"/>
    <n v="9.1999999999999993"/>
    <x v="2"/>
    <m/>
    <m/>
    <s v="Federal"/>
    <m/>
    <m/>
    <m/>
    <s v="Federal"/>
    <s v="PAV"/>
    <s v="Itabuna"/>
  </r>
  <r>
    <x v="0"/>
    <s v="101BBA1810"/>
    <n v="0"/>
    <x v="51"/>
    <s v="1810"/>
    <n v="-39.365245150343299"/>
    <n v="-14.6952480400649"/>
    <n v="-39.2971688096927"/>
    <n v="-14.8136507400895"/>
    <s v="101"/>
    <s v="BA"/>
    <s v="Eixo Principal"/>
    <s v="-"/>
    <s v="101BBA1810"/>
    <s v="ENTR BA-120(A)/262(B) (P/ITAJUÍPE)"/>
    <s v="ENTR BR-415(A)/BA-120(B) (ITABUNA)"/>
    <n v="490.4"/>
    <n v="507.5"/>
    <n v="17.100000000000001"/>
    <x v="2"/>
    <m/>
    <m/>
    <s v="Federal"/>
    <m/>
    <m/>
    <m/>
    <s v="Federal"/>
    <s v="PAV"/>
    <s v="Itabuna"/>
  </r>
  <r>
    <x v="0"/>
    <s v="101BBA1820"/>
    <n v="0"/>
    <x v="51"/>
    <s v="1820"/>
    <n v="-39.2971688096927"/>
    <n v="-14.8136507400895"/>
    <n v="-39.281952789689399"/>
    <n v="-14.8483117098174"/>
    <s v="101"/>
    <s v="BA"/>
    <s v="Eixo Principal"/>
    <s v="-"/>
    <s v="101BBA1820"/>
    <s v="ENTR BR-415(A)/BA-120(B) (ITABUNA)"/>
    <s v="ENTR BR-415(B)"/>
    <n v="507.5"/>
    <n v="512.4"/>
    <n v="4.9000000000000004"/>
    <x v="2"/>
    <m/>
    <s v="415BBA0030"/>
    <s v="Federal"/>
    <m/>
    <m/>
    <m/>
    <s v="Federal"/>
    <s v="PAV"/>
    <s v="Itabuna"/>
  </r>
  <r>
    <x v="0"/>
    <s v="101BBA1830"/>
    <n v="0"/>
    <x v="51"/>
    <s v="1830"/>
    <n v="-39.281952789689399"/>
    <n v="-14.8483117098174"/>
    <n v="-39.307801510431297"/>
    <n v="-14.9592687904223"/>
    <s v="101"/>
    <s v="BA"/>
    <s v="Eixo Principal"/>
    <s v="-"/>
    <s v="101BBA1830"/>
    <s v="ENTR BR-415(B)"/>
    <s v="ENTR BR-251(A) (BUERAREMA)"/>
    <n v="512.4"/>
    <n v="525"/>
    <n v="12.6"/>
    <x v="2"/>
    <m/>
    <m/>
    <s v="Federal"/>
    <m/>
    <m/>
    <m/>
    <s v="Federal"/>
    <s v="PAV"/>
    <s v="Itabuna"/>
  </r>
  <r>
    <x v="0"/>
    <s v="101BBA1832"/>
    <n v="0"/>
    <x v="51"/>
    <s v="1832"/>
    <n v="-39.307801510431297"/>
    <n v="-14.9592687904223"/>
    <n v="-39.338893349748197"/>
    <n v="-15.0795238798231"/>
    <s v="101"/>
    <s v="BA"/>
    <s v="Eixo Principal"/>
    <s v="-"/>
    <s v="101BBA1832"/>
    <s v="ENTR BR-251(A) (BUERAREMA)"/>
    <s v="SÃO JOSÉ"/>
    <n v="525"/>
    <n v="540.79999999999995"/>
    <n v="15.8"/>
    <x v="2"/>
    <m/>
    <s v="251BBA0030"/>
    <s v="Federal"/>
    <m/>
    <m/>
    <m/>
    <s v="Federal"/>
    <s v="PAV"/>
    <s v="Itabuna"/>
  </r>
  <r>
    <x v="0"/>
    <s v="101BBA1834"/>
    <n v="0"/>
    <x v="51"/>
    <s v="1834"/>
    <n v="-39.338893349748197"/>
    <n v="-15.0795238798231"/>
    <n v="-39.4427435900445"/>
    <n v="-15.195892549901201"/>
    <s v="101"/>
    <s v="BA"/>
    <s v="Eixo Principal"/>
    <s v="-"/>
    <s v="101BBA1834"/>
    <s v="SÃO JOSÉ"/>
    <s v="ENTR BA-671 (ITATINGUÍ)"/>
    <n v="540.79999999999995"/>
    <n v="559.79999999999995"/>
    <n v="19"/>
    <x v="2"/>
    <m/>
    <s v="251BBA0032"/>
    <s v="Federal"/>
    <m/>
    <m/>
    <m/>
    <s v="Federal"/>
    <s v="PAV"/>
    <s v="Itabuna"/>
  </r>
  <r>
    <x v="0"/>
    <s v="101BBA1836"/>
    <n v="0"/>
    <x v="51"/>
    <s v="1836"/>
    <n v="-39.4427435900445"/>
    <n v="-15.195892549901201"/>
    <n v="-39.4528033497946"/>
    <n v="-15.2554054300165"/>
    <s v="101"/>
    <s v="BA"/>
    <s v="Eixo Principal"/>
    <s v="-"/>
    <s v="101BBA1836"/>
    <s v="ENTR BA-671 (ITATINGUÍ)"/>
    <s v="ENTR BA-676 (P/ARATACA)"/>
    <n v="559.79999999999995"/>
    <n v="566.9"/>
    <n v="7.1"/>
    <x v="2"/>
    <m/>
    <s v="251BBA0034"/>
    <s v="Federal"/>
    <m/>
    <m/>
    <m/>
    <s v="Federal"/>
    <s v="PAV"/>
    <s v="Itabuna"/>
  </r>
  <r>
    <x v="0"/>
    <s v="101BBA1850"/>
    <n v="0"/>
    <x v="51"/>
    <s v="1850"/>
    <n v="-39.4528033497946"/>
    <n v="-15.2554054300165"/>
    <n v="-39.483771480169601"/>
    <n v="-15.3864184003888"/>
    <s v="101"/>
    <s v="BA"/>
    <s v="Eixo Principal"/>
    <s v="-"/>
    <s v="101BBA1850"/>
    <s v="ENTR BA-676 (P/ARATACA)"/>
    <s v="ENTR BR-251(B) (P/CAMACAN)"/>
    <n v="566.9"/>
    <n v="584.20000000000005"/>
    <n v="17.3"/>
    <x v="2"/>
    <m/>
    <s v="251BBA0036"/>
    <s v="Federal"/>
    <m/>
    <m/>
    <m/>
    <s v="Federal"/>
    <s v="PAV"/>
    <s v="Itabuna"/>
  </r>
  <r>
    <x v="0"/>
    <s v="101BBA1870"/>
    <n v="0"/>
    <x v="51"/>
    <s v="1870"/>
    <n v="-39.483771480169601"/>
    <n v="-15.3864184003888"/>
    <n v="-39.446903149660599"/>
    <n v="-15.4294426496584"/>
    <s v="101"/>
    <s v="BA"/>
    <s v="Eixo Principal"/>
    <s v="-"/>
    <s v="101BBA1870"/>
    <s v="ENTR BR-251(B) (P/CAMACAN)"/>
    <s v="ENTR BA-270 (P/ CANAVIEIRAS)"/>
    <n v="584.20000000000005"/>
    <n v="590.5"/>
    <n v="6.3"/>
    <x v="2"/>
    <m/>
    <m/>
    <s v="Federal"/>
    <m/>
    <m/>
    <m/>
    <s v="Federal"/>
    <s v="PAV"/>
    <s v="Itabuna"/>
  </r>
  <r>
    <x v="0"/>
    <s v="101BBA1890"/>
    <n v="0"/>
    <x v="51"/>
    <s v="1890"/>
    <n v="-39.446903149660599"/>
    <n v="-15.4294426496584"/>
    <n v="-39.432537169754497"/>
    <n v="-15.488730839556499"/>
    <s v="101"/>
    <s v="BA"/>
    <s v="Eixo Principal"/>
    <s v="-"/>
    <s v="101BBA1890"/>
    <s v="ENTR BA-270 (P/ CANAVIEIRAS)"/>
    <s v="ENTR BA-678 (P/ MASCOTE)"/>
    <n v="590.5"/>
    <n v="597.9"/>
    <n v="7.4"/>
    <x v="2"/>
    <m/>
    <m/>
    <s v="Federal"/>
    <m/>
    <m/>
    <m/>
    <s v="Federal"/>
    <s v="PAV"/>
    <s v="Itabuna"/>
  </r>
  <r>
    <x v="0"/>
    <s v="101BBA1892"/>
    <n v="0"/>
    <x v="51"/>
    <s v="1892"/>
    <n v="-39.432537169754497"/>
    <n v="-15.488730839556499"/>
    <n v="-39.482265249741403"/>
    <n v="-15.7547446503452"/>
    <s v="101"/>
    <s v="BA"/>
    <s v="Eixo Principal"/>
    <s v="-"/>
    <s v="101BBA1892"/>
    <s v="ENTR BA-678 (P/ MASCOTE)"/>
    <s v="ENTR BA-680 (P/ POTIRAGUÁ)"/>
    <n v="597.9"/>
    <n v="634.6"/>
    <n v="36.700000000000003"/>
    <x v="2"/>
    <m/>
    <m/>
    <s v="Federal"/>
    <m/>
    <m/>
    <m/>
    <s v="Federal"/>
    <s v="PAV"/>
    <s v="Itabuna"/>
  </r>
  <r>
    <x v="0"/>
    <s v="101BBA1894"/>
    <n v="0"/>
    <x v="51"/>
    <s v="1894"/>
    <n v="-39.482265249741403"/>
    <n v="-15.7547446503452"/>
    <n v="-39.520206029884299"/>
    <n v="-15.858465829834101"/>
    <s v="101"/>
    <s v="BA"/>
    <s v="Eixo Principal"/>
    <s v="-"/>
    <s v="101BBA1894"/>
    <s v="ENTR BA-680 (P/ POTIRAGUÁ)"/>
    <s v="ENTR BA-274 (P/ SANTA MARIA ETERNA)"/>
    <n v="634.6"/>
    <n v="648.5"/>
    <n v="13.9"/>
    <x v="2"/>
    <m/>
    <m/>
    <s v="Federal"/>
    <m/>
    <m/>
    <m/>
    <s v="Federal"/>
    <s v="PAV"/>
    <s v="Itabuna"/>
  </r>
  <r>
    <x v="0"/>
    <s v="101BBA1896"/>
    <n v="0"/>
    <x v="51"/>
    <s v="1896"/>
    <n v="-39.520206029884299"/>
    <n v="-15.858465829834101"/>
    <n v="-39.563291030156797"/>
    <n v="-15.978138699940899"/>
    <s v="101"/>
    <s v="BA"/>
    <s v="Eixo Principal"/>
    <s v="-"/>
    <s v="101BBA1896"/>
    <s v="ENTR BA-274 (P/ SANTA MARIA ETERNA)"/>
    <s v="ENTR BA-275(A) (P/ITABEPI)"/>
    <n v="648.5"/>
    <n v="665.1"/>
    <n v="16.600000000000001"/>
    <x v="2"/>
    <m/>
    <m/>
    <s v="Federal"/>
    <m/>
    <m/>
    <m/>
    <s v="Federal"/>
    <s v="PAV"/>
    <s v="Itabuna"/>
  </r>
  <r>
    <x v="0"/>
    <s v="101BBA1910"/>
    <n v="0"/>
    <x v="51"/>
    <s v="1910"/>
    <n v="-39.563291030156797"/>
    <n v="-15.978138699940899"/>
    <n v="-39.620529469959003"/>
    <n v="-16.080109320288798"/>
    <s v="101"/>
    <s v="BA"/>
    <s v="Eixo Principal"/>
    <s v="-"/>
    <s v="101BBA1910"/>
    <s v="ENTR BA-275(A) (P/ITABEPI)"/>
    <s v="ENTR BR-367(A)/BA-275(B) (ITAGIMIRIM)"/>
    <n v="665.1"/>
    <n v="679.8"/>
    <n v="14.7"/>
    <x v="2"/>
    <m/>
    <m/>
    <s v="Federal"/>
    <m/>
    <m/>
    <m/>
    <s v="Federal"/>
    <s v="PAV"/>
    <s v="Itabuna"/>
  </r>
  <r>
    <x v="0"/>
    <s v="101BBA1912"/>
    <n v="0"/>
    <x v="51"/>
    <s v="1912"/>
    <n v="-39.620529469959003"/>
    <n v="-16.080109320288798"/>
    <n v="-39.585529820045103"/>
    <n v="-16.263401320114699"/>
    <s v="101"/>
    <s v="BA"/>
    <s v="Eixo Principal"/>
    <s v="-"/>
    <s v="101BBA1912"/>
    <s v="ENTR BR-367(A)/BA-275(B) (ITAGIMIRIM)"/>
    <s v="ENTR BA-985 (MUNDO NOVO)"/>
    <n v="679.8"/>
    <n v="702.7"/>
    <n v="22.9"/>
    <x v="2"/>
    <m/>
    <s v="367BBA0040"/>
    <s v="Federal"/>
    <m/>
    <m/>
    <m/>
    <s v="Federal"/>
    <s v="PAV"/>
    <s v="Itabuna"/>
  </r>
  <r>
    <x v="0"/>
    <s v="101BBA1914"/>
    <n v="0"/>
    <x v="51"/>
    <s v="1914"/>
    <n v="-39.585529820045103"/>
    <n v="-16.263401320114699"/>
    <n v="-39.5810561299364"/>
    <n v="-16.374995400417301"/>
    <s v="101"/>
    <s v="BA"/>
    <s v="Eixo Principal"/>
    <s v="-"/>
    <s v="101BBA1914"/>
    <s v="ENTR BA-985 (MUNDO NOVO)"/>
    <s v="ENTR BR-367(B) (EUNÁPOLIS) (P/ PORTO SEGURO)"/>
    <n v="702.7"/>
    <n v="717.6"/>
    <n v="14.9"/>
    <x v="2"/>
    <m/>
    <s v="367BBA0030"/>
    <s v="Federal"/>
    <m/>
    <m/>
    <m/>
    <s v="Federal"/>
    <s v="PAV"/>
    <s v="Eunápolis"/>
  </r>
  <r>
    <x v="0"/>
    <s v="101BBA1930"/>
    <n v="0"/>
    <x v="51"/>
    <s v="1930"/>
    <n v="-39.5810561299364"/>
    <n v="-16.374995400417301"/>
    <n v="-39.559066429771804"/>
    <n v="-16.572051849712999"/>
    <s v="101"/>
    <s v="BA"/>
    <s v="Eixo Principal"/>
    <s v="-"/>
    <s v="101BBA1930"/>
    <s v="ENTR BR-367(B) (EUNÁPOLIS) (P/ PORTO SEGURO)"/>
    <s v="ENTR BA-283 (ITABELA)"/>
    <n v="717.6"/>
    <n v="744.8"/>
    <n v="27.2"/>
    <x v="2"/>
    <m/>
    <m/>
    <s v="Federal"/>
    <m/>
    <m/>
    <m/>
    <s v="Federal"/>
    <s v="PAV"/>
    <s v="Eunápolis"/>
  </r>
  <r>
    <x v="0"/>
    <s v="101BBA1932"/>
    <n v="0"/>
    <x v="51"/>
    <s v="1932"/>
    <n v="-39.559066429771804"/>
    <n v="-16.572051849712999"/>
    <n v="-39.523314819823"/>
    <n v="-16.911463810406399"/>
    <s v="101"/>
    <s v="BA"/>
    <s v="Eixo Principal"/>
    <s v="-"/>
    <s v="101BBA1932"/>
    <s v="ENTR BA-283 (ITABELA)"/>
    <s v="ENTR BR-498 (P/MONTE PASCOAL)"/>
    <n v="744.8"/>
    <n v="793.3"/>
    <n v="48.5"/>
    <x v="2"/>
    <m/>
    <m/>
    <s v="Federal"/>
    <m/>
    <m/>
    <m/>
    <s v="Federal"/>
    <s v="PAV"/>
    <s v="Eunápolis"/>
  </r>
  <r>
    <x v="0"/>
    <s v="101BBA1950"/>
    <n v="0"/>
    <x v="51"/>
    <s v="1950"/>
    <n v="-39.523314819823"/>
    <n v="-16.911463810406399"/>
    <n v="-39.540321179578697"/>
    <n v="-17.026437960243602"/>
    <s v="101"/>
    <s v="BA"/>
    <s v="Eixo Principal"/>
    <s v="-"/>
    <s v="101BBA1950"/>
    <s v="ENTR BR-498 (P/MONTE PASCOAL)"/>
    <s v="ENTR BR-489 (ITAMARAJU)"/>
    <n v="793.3"/>
    <n v="808.3"/>
    <n v="15"/>
    <x v="2"/>
    <m/>
    <m/>
    <s v="Federal"/>
    <m/>
    <m/>
    <m/>
    <s v="Federal"/>
    <s v="PAV"/>
    <s v="Eunápolis"/>
  </r>
  <r>
    <x v="0"/>
    <s v="101BBA1970"/>
    <n v="0"/>
    <x v="51"/>
    <s v="1970"/>
    <n v="-39.540321179578697"/>
    <n v="-17.026437960243602"/>
    <n v="-39.552940710245501"/>
    <n v="-17.060665349726001"/>
    <s v="101"/>
    <s v="BA"/>
    <s v="Eixo Principal"/>
    <s v="-"/>
    <s v="101BBA1970"/>
    <s v="ENTR BR-489 (ITAMARAJU)"/>
    <s v="ENTR BA-284 (P/ JUCURUÇÚ)"/>
    <n v="808.3"/>
    <n v="813"/>
    <n v="4.7"/>
    <x v="2"/>
    <m/>
    <m/>
    <s v="Federal"/>
    <m/>
    <m/>
    <m/>
    <s v="Federal"/>
    <s v="PAV"/>
    <s v="Eunápolis"/>
  </r>
  <r>
    <x v="0"/>
    <s v="101BBA1971"/>
    <n v="0"/>
    <x v="51"/>
    <s v="1971"/>
    <n v="-39.552940710245501"/>
    <n v="-17.060665349726001"/>
    <n v="-39.708722609660597"/>
    <n v="-17.5259156896573"/>
    <s v="101"/>
    <s v="BA"/>
    <s v="Eixo Principal"/>
    <s v="-"/>
    <s v="101BBA1971"/>
    <s v="ENTR BA-284 (P/ JUCURUÇÚ)"/>
    <s v="ENTR BA-290 (TEIXEIRA DE FREITAS) (P/ ALCOBAÇA)"/>
    <n v="813"/>
    <n v="874.8"/>
    <n v="61.8"/>
    <x v="2"/>
    <m/>
    <m/>
    <s v="Federal"/>
    <m/>
    <m/>
    <m/>
    <s v="Federal"/>
    <s v="PAV"/>
    <s v="Eunápolis"/>
  </r>
  <r>
    <x v="0"/>
    <s v="101BBA1990"/>
    <n v="0"/>
    <x v="51"/>
    <s v="1990"/>
    <n v="-39.708722609660597"/>
    <n v="-17.5259156896573"/>
    <n v="-39.817966569901202"/>
    <n v="-17.891499949862698"/>
    <s v="101"/>
    <s v="BA"/>
    <s v="Eixo Principal"/>
    <s v="-"/>
    <s v="101BBA1990"/>
    <s v="ENTR BA-290 (TEIXEIRA DE FREITAS) (P/ ALCOBAÇA)"/>
    <s v="ENTR BR-418 (P/ CARAVELAS)"/>
    <n v="874.8"/>
    <n v="919.7"/>
    <n v="44.9"/>
    <x v="2"/>
    <m/>
    <m/>
    <s v="Federal"/>
    <m/>
    <m/>
    <m/>
    <s v="Federal"/>
    <s v="PAV"/>
    <s v="Eunápolis"/>
  </r>
  <r>
    <x v="0"/>
    <s v="101BBA2010"/>
    <n v="0"/>
    <x v="51"/>
    <s v="2010"/>
    <n v="-39.817966569901202"/>
    <n v="-17.891499949862698"/>
    <n v="-39.866783339879099"/>
    <n v="-18.042485250393899"/>
    <s v="101"/>
    <s v="BA"/>
    <s v="Eixo Principal"/>
    <s v="-"/>
    <s v="101BBA2010"/>
    <s v="ENTR BR-418 (P/ CARAVELAS)"/>
    <s v="ENTR BA-698 (P/MUCURI)"/>
    <n v="919.7"/>
    <n v="938.6"/>
    <n v="18.899999999999999"/>
    <x v="2"/>
    <m/>
    <m/>
    <s v="Federal"/>
    <m/>
    <m/>
    <m/>
    <s v="Federal"/>
    <s v="PAV"/>
    <s v="Eunápolis"/>
  </r>
  <r>
    <x v="0"/>
    <s v="101BBA2012"/>
    <n v="0"/>
    <x v="51"/>
    <s v="2012"/>
    <n v="-39.866783339879099"/>
    <n v="-18.042485250393899"/>
    <n v="-39.9182118004342"/>
    <n v="-18.175084310092799"/>
    <s v="101"/>
    <s v="BA"/>
    <s v="Eixo Principal"/>
    <s v="-"/>
    <s v="101BBA2012"/>
    <s v="ENTR BA-698 (P/MUCURI)"/>
    <s v="DIV BA/ES"/>
    <n v="938.6"/>
    <n v="956.1"/>
    <n v="17.5"/>
    <x v="2"/>
    <m/>
    <m/>
    <s v="Concessão Federal"/>
    <m/>
    <m/>
    <m/>
    <s v="Federal"/>
    <s v="PAV"/>
    <s v="Eunápolis"/>
  </r>
  <r>
    <x v="0"/>
    <s v="101BES2030"/>
    <n v="0"/>
    <x v="52"/>
    <s v="2030"/>
    <n v="-39.9182118004342"/>
    <n v="-18.175084310092799"/>
    <n v="-39.957426999955999"/>
    <n v="-18.300573370164798"/>
    <s v="101"/>
    <s v="ES"/>
    <s v="Eixo Principal"/>
    <s v="-"/>
    <s v="101BES2030"/>
    <s v="DIV BA/ES"/>
    <s v="ENTR ES-209 (PEDRO CANÁRIO)"/>
    <n v="0"/>
    <n v="16.2"/>
    <n v="16.2"/>
    <x v="2"/>
    <m/>
    <m/>
    <s v="Concessão Federal"/>
    <m/>
    <m/>
    <m/>
    <s v="Federal"/>
    <s v="PAV"/>
    <s v="Eunápolis"/>
  </r>
  <r>
    <x v="0"/>
    <s v="101BES2050"/>
    <n v="0"/>
    <x v="52"/>
    <s v="2050"/>
    <n v="-39.957426999955999"/>
    <n v="-18.300573370164798"/>
    <n v="-39.934381559561302"/>
    <n v="-18.428918550250799"/>
    <s v="101"/>
    <s v="ES"/>
    <s v="Eixo Principal"/>
    <s v="-"/>
    <s v="101BES2050"/>
    <s v="ENTR ES-209 (PEDRO CANÁRIO)"/>
    <s v="ENTR ES-416 (BRAÇO DO RIO)"/>
    <n v="16.2"/>
    <n v="32.4"/>
    <n v="16.2"/>
    <x v="2"/>
    <m/>
    <m/>
    <s v="Concessão Federal"/>
    <m/>
    <m/>
    <m/>
    <s v="Federal"/>
    <s v="PAV"/>
    <s v="Colatina"/>
  </r>
  <r>
    <x v="0"/>
    <s v="101BES2070"/>
    <n v="0"/>
    <x v="52"/>
    <s v="2070"/>
    <n v="-39.934381559561302"/>
    <n v="-18.428918550250799"/>
    <n v="-39.9248761500142"/>
    <n v="-18.4789736902835"/>
    <s v="101"/>
    <s v="ES"/>
    <s v="Eixo Principal"/>
    <s v="-"/>
    <s v="101BES2070"/>
    <s v="ENTR ES-416 (BRAÇO DO RIO)"/>
    <s v="ENTR ES-313 (P/PINHEIROS)"/>
    <n v="32.4"/>
    <n v="37.6"/>
    <n v="5.2"/>
    <x v="2"/>
    <m/>
    <m/>
    <s v="Concessão Federal"/>
    <m/>
    <m/>
    <m/>
    <s v="Federal"/>
    <s v="PAV"/>
    <s v="Colatina"/>
  </r>
  <r>
    <x v="0"/>
    <s v="101BES2075"/>
    <n v="0"/>
    <x v="52"/>
    <s v="2075"/>
    <n v="-39.9248761500142"/>
    <n v="-18.4789736902835"/>
    <n v="-39.893089999903502"/>
    <n v="-18.5832730304259"/>
    <s v="101"/>
    <s v="ES"/>
    <s v="Eixo Principal"/>
    <s v="-"/>
    <s v="101BES2075"/>
    <s v="ENTR ES-313 (P/PINHEIROS)"/>
    <s v="ENTR ES-421 (P/CONCEIÇÃO DA BARRA)"/>
    <n v="37.6"/>
    <n v="49.7"/>
    <n v="12.1"/>
    <x v="2"/>
    <m/>
    <m/>
    <s v="Concessão Federal"/>
    <m/>
    <m/>
    <m/>
    <s v="Federal"/>
    <s v="PAV"/>
    <s v="Colatina"/>
  </r>
  <r>
    <x v="0"/>
    <s v="101BES2090"/>
    <n v="0"/>
    <x v="52"/>
    <s v="2090"/>
    <n v="-39.893089999903502"/>
    <n v="-18.5832730304259"/>
    <n v="-39.864671130068501"/>
    <n v="-18.678077660255699"/>
    <s v="101"/>
    <s v="ES"/>
    <s v="Eixo Principal"/>
    <s v="-"/>
    <s v="101BES2090"/>
    <s v="ENTR ES-421 (P/CONCEIÇÃO DA BARRA)"/>
    <s v="ENTR ES-315 (P/JACARANDÁ)"/>
    <n v="49.7"/>
    <n v="60.6"/>
    <n v="10.9"/>
    <x v="2"/>
    <m/>
    <m/>
    <s v="Concessão Federal"/>
    <m/>
    <m/>
    <m/>
    <s v="Federal"/>
    <s v="PAV"/>
    <s v="Colatina"/>
  </r>
  <r>
    <x v="0"/>
    <s v="101BES2120"/>
    <n v="0"/>
    <x v="52"/>
    <s v="2120"/>
    <n v="-39.864671130068501"/>
    <n v="-18.678077660255699"/>
    <n v="-39.877160320192502"/>
    <n v="-18.7085743498263"/>
    <s v="101"/>
    <s v="ES"/>
    <s v="Eixo Principal"/>
    <s v="-"/>
    <s v="101BES2120"/>
    <s v="ENTR ES-315 (P/JACARANDÁ)"/>
    <s v="ENTR BR-381 (SÃO MATEUS)"/>
    <n v="60.6"/>
    <n v="64.900000000000006"/>
    <n v="4.3"/>
    <x v="2"/>
    <m/>
    <m/>
    <s v="Concessão Federal"/>
    <m/>
    <m/>
    <m/>
    <s v="Federal"/>
    <s v="PAV"/>
    <s v="Colatina"/>
  </r>
  <r>
    <x v="0"/>
    <s v="101BES2130"/>
    <n v="0"/>
    <x v="52"/>
    <s v="2130"/>
    <n v="-39.877160320192502"/>
    <n v="-18.7085743498263"/>
    <n v="-39.9725964197888"/>
    <n v="-18.932507239917101"/>
    <s v="101"/>
    <s v="ES"/>
    <s v="Eixo Principal"/>
    <s v="-"/>
    <s v="101BES2130"/>
    <s v="ENTR BR-381 (SÃO MATEUS)"/>
    <s v="ENTR ES-430 (P/JAGUARÉ)"/>
    <n v="64.900000000000006"/>
    <n v="94.2"/>
    <n v="29.3"/>
    <x v="2"/>
    <m/>
    <m/>
    <s v="Concessão Federal"/>
    <m/>
    <m/>
    <m/>
    <s v="Federal"/>
    <s v="PAV"/>
    <s v="Colatina"/>
  </r>
  <r>
    <x v="0"/>
    <s v="101BES2135"/>
    <n v="0"/>
    <x v="52"/>
    <s v="2135"/>
    <n v="-39.9725964197888"/>
    <n v="-18.932507239917101"/>
    <n v="-40.095169859801103"/>
    <n v="-19.194695760101101"/>
    <s v="101"/>
    <s v="ES"/>
    <s v="Eixo Principal"/>
    <s v="-"/>
    <s v="101BES2135"/>
    <s v="ENTR ES-430 (P/JAGUARÉ)"/>
    <s v="ENTR BR-342(A) (SOORETAMA)"/>
    <n v="94.2"/>
    <n v="126.1"/>
    <n v="31.9"/>
    <x v="2"/>
    <m/>
    <m/>
    <s v="Concessão Federal"/>
    <m/>
    <m/>
    <m/>
    <s v="Federal"/>
    <s v="PAV"/>
    <s v="Colatina"/>
  </r>
  <r>
    <x v="0"/>
    <s v="101BES2150"/>
    <n v="0"/>
    <x v="52"/>
    <s v="2150"/>
    <n v="-40.095169859801103"/>
    <n v="-19.194695760101101"/>
    <n v="-40.086945629836897"/>
    <n v="-19.283158989595599"/>
    <s v="101"/>
    <s v="ES"/>
    <s v="Eixo Principal"/>
    <s v="-"/>
    <s v="101BES2150"/>
    <s v="ENTR BR-342(A) (SOORETAMA)"/>
    <s v="ENTR ES-358 (P/LAGOA)"/>
    <n v="126.1"/>
    <n v="135.9"/>
    <n v="9.8000000000000007"/>
    <x v="2"/>
    <m/>
    <s v="342BES0340"/>
    <s v="Concessão Federal"/>
    <m/>
    <m/>
    <m/>
    <s v="Federal"/>
    <s v="PAV"/>
    <s v="Colatina"/>
  </r>
  <r>
    <x v="0"/>
    <s v="101BES2170"/>
    <n v="0"/>
    <x v="52"/>
    <s v="2170"/>
    <n v="-40.086945629836897"/>
    <n v="-19.283158989595599"/>
    <n v="-40.064151200117699"/>
    <n v="-19.407459289814302"/>
    <s v="101"/>
    <s v="ES"/>
    <s v="Eixo Principal"/>
    <s v="-"/>
    <s v="101BES2170"/>
    <s v="ENTR ES-358 (P/LAGOA)"/>
    <s v="ENTR BR-342(B)/ES-245(A)/248 (LINHARES)"/>
    <n v="135.9"/>
    <n v="150.5"/>
    <n v="14.6"/>
    <x v="2"/>
    <m/>
    <s v="342BES0350"/>
    <s v="Concessão Federal"/>
    <m/>
    <m/>
    <m/>
    <s v="Federal"/>
    <s v="PAV"/>
    <s v="Colatina"/>
  </r>
  <r>
    <x v="0"/>
    <s v="101BES2190"/>
    <n v="0"/>
    <x v="52"/>
    <s v="2190"/>
    <n v="-40.064151200117699"/>
    <n v="-19.407459289814302"/>
    <n v="-40.068369800226002"/>
    <n v="-19.417335690389699"/>
    <s v="101"/>
    <s v="ES"/>
    <s v="Eixo Principal"/>
    <s v="-"/>
    <s v="101BES2190"/>
    <s v="ENTR BR-342(B)/ES-245(A)/248 (LINHARES)"/>
    <s v="ENTR ES-245(B)"/>
    <n v="150.5"/>
    <n v="151.69999999999999"/>
    <n v="1.2"/>
    <x v="2"/>
    <m/>
    <m/>
    <s v="Concessão Federal"/>
    <m/>
    <m/>
    <m/>
    <s v="Federal"/>
    <s v="PAV"/>
    <s v="Colatina"/>
  </r>
  <r>
    <x v="0"/>
    <s v="101BES2195"/>
    <n v="0"/>
    <x v="52"/>
    <s v="2195"/>
    <n v="-40.068369800226002"/>
    <n v="-19.417335690389699"/>
    <n v="-40.111141840023798"/>
    <n v="-19.469991720141699"/>
    <s v="101"/>
    <s v="ES"/>
    <s v="Eixo Principal"/>
    <s v="-"/>
    <s v="101BES2195"/>
    <s v="ENTR ES-245(B)"/>
    <s v="ENTR ES-440"/>
    <n v="151.69999999999999"/>
    <n v="159.19999999999999"/>
    <n v="7.5"/>
    <x v="2"/>
    <m/>
    <m/>
    <s v="Concessão Federal"/>
    <m/>
    <m/>
    <m/>
    <s v="Federal"/>
    <s v="PAV"/>
    <s v="Colatina"/>
  </r>
  <r>
    <x v="0"/>
    <s v="101BES2198"/>
    <n v="0"/>
    <x v="52"/>
    <s v="2198"/>
    <n v="-40.111141840023798"/>
    <n v="-19.469991720141699"/>
    <n v="-40.283200470225403"/>
    <n v="-19.686306829996099"/>
    <s v="101"/>
    <s v="ES"/>
    <s v="Eixo Principal"/>
    <s v="-"/>
    <s v="101BES2198"/>
    <s v="ENTR ES-440"/>
    <s v="ENTR ES-124 (GUARANÁ)"/>
    <n v="159.19999999999999"/>
    <n v="190.5"/>
    <n v="31.3"/>
    <x v="2"/>
    <m/>
    <m/>
    <s v="Concessão Federal"/>
    <m/>
    <m/>
    <m/>
    <s v="Federal"/>
    <s v="PAV"/>
    <s v="Colatina"/>
  </r>
  <r>
    <x v="0"/>
    <s v="101BES2210"/>
    <n v="0"/>
    <x v="52"/>
    <s v="2210"/>
    <n v="-40.283200470225403"/>
    <n v="-19.686306829996099"/>
    <n v="-40.376911000142499"/>
    <n v="-19.7466483103711"/>
    <s v="101"/>
    <s v="ES"/>
    <s v="Eixo Principal"/>
    <s v="-"/>
    <s v="101BES2210"/>
    <s v="ENTR ES-124 (GUARANÁ)"/>
    <s v="ENTR BR-259 (JOÃO NEIVA)"/>
    <n v="190.5"/>
    <n v="203.6"/>
    <n v="13.1"/>
    <x v="2"/>
    <m/>
    <m/>
    <s v="Concessão Federal"/>
    <m/>
    <m/>
    <m/>
    <s v="Federal"/>
    <s v="PAV"/>
    <s v="Colatina"/>
  </r>
  <r>
    <x v="0"/>
    <s v="101BES2230"/>
    <n v="0"/>
    <x v="52"/>
    <s v="2230"/>
    <n v="-40.376911000142499"/>
    <n v="-19.7466483103711"/>
    <n v="-40.373056440202497"/>
    <n v="-19.8300478198509"/>
    <s v="101"/>
    <s v="ES"/>
    <s v="Eixo Principal"/>
    <s v="-"/>
    <s v="101BES2230"/>
    <s v="ENTR BR-259 (JOÃO NEIVA)"/>
    <s v="ENTR ES-257 (IBIRAÇU)"/>
    <n v="203.6"/>
    <n v="214.1"/>
    <n v="10.5"/>
    <x v="2"/>
    <m/>
    <m/>
    <s v="Concessão Federal"/>
    <m/>
    <m/>
    <m/>
    <s v="Federal"/>
    <s v="PAV"/>
    <s v="Colatina"/>
  </r>
  <r>
    <x v="0"/>
    <s v="101BES2250"/>
    <n v="0"/>
    <x v="52"/>
    <s v="2250"/>
    <n v="-40.373056440202497"/>
    <n v="-19.8300478198509"/>
    <n v="-40.405546540040703"/>
    <n v="-19.931543039679401"/>
    <s v="101"/>
    <s v="ES"/>
    <s v="Eixo Principal"/>
    <s v="-"/>
    <s v="101BES2250"/>
    <s v="ENTR ES-257 (IBIRAÇU)"/>
    <s v="ENTR ES-261(A) (FUNDÃO)"/>
    <n v="214.1"/>
    <n v="229.5"/>
    <n v="15.4"/>
    <x v="2"/>
    <m/>
    <m/>
    <s v="Concessão Federal"/>
    <m/>
    <m/>
    <m/>
    <s v="Federal"/>
    <s v="PAV"/>
    <s v="Colatina"/>
  </r>
  <r>
    <x v="0"/>
    <s v="101BES2270"/>
    <n v="0"/>
    <x v="52"/>
    <s v="2270"/>
    <n v="-40.405546540040703"/>
    <n v="-19.931543039679401"/>
    <n v="-40.411458559964501"/>
    <n v="-20.006583619638199"/>
    <s v="101"/>
    <s v="ES"/>
    <s v="Eixo Principal"/>
    <s v="-"/>
    <s v="101BES2270"/>
    <s v="ENTR ES-261(A) (FUNDÃO)"/>
    <s v="ENTR ES-264"/>
    <n v="229.5"/>
    <n v="238.6"/>
    <n v="9.1"/>
    <x v="2"/>
    <m/>
    <m/>
    <s v="Concessão Federal"/>
    <m/>
    <m/>
    <m/>
    <s v="Federal"/>
    <s v="PAV"/>
    <s v="Colatina"/>
  </r>
  <r>
    <x v="0"/>
    <s v="101BES2290"/>
    <n v="0"/>
    <x v="52"/>
    <s v="2290"/>
    <n v="-40.411458559964501"/>
    <n v="-20.006583619638199"/>
    <n v="-40.310160104605004"/>
    <n v="-20.119552276815998"/>
    <s v="101"/>
    <s v="ES"/>
    <s v="Eixo Principal"/>
    <s v="-"/>
    <s v="101BES2290"/>
    <s v="ENTR ES-264"/>
    <s v="ACESSO À SERRA"/>
    <n v="238.6"/>
    <n v="256.10000000000002"/>
    <n v="17.5"/>
    <x v="2"/>
    <m/>
    <m/>
    <s v="Concessão Federal"/>
    <m/>
    <m/>
    <m/>
    <s v="Federal"/>
    <s v="PAV"/>
    <s v="Colatina"/>
  </r>
  <r>
    <x v="0"/>
    <s v="101BES2300"/>
    <n v="0"/>
    <x v="52"/>
    <s v="2300"/>
    <n v="-40.310160104605004"/>
    <n v="-20.119552276815998"/>
    <n v="-40.269854710026699"/>
    <n v="-20.2164806601542"/>
    <s v="101"/>
    <s v="ES"/>
    <s v="Eixo Principal"/>
    <s v="-"/>
    <s v="101BES2300"/>
    <s v="ACESSO À SERRA"/>
    <s v="ENTR ES-010(A) (P/LARANJEIRAS)"/>
    <n v="256.10000000000002"/>
    <n v="268.89999999999998"/>
    <n v="12.8"/>
    <x v="0"/>
    <m/>
    <m/>
    <s v="Concessão Federal"/>
    <m/>
    <m/>
    <m/>
    <s v="Federal"/>
    <s v="PAV"/>
    <s v="Santa Isabel"/>
  </r>
  <r>
    <x v="0"/>
    <s v="101BES2310"/>
    <n v="0"/>
    <x v="52"/>
    <s v="2310"/>
    <n v="-40.269854710026699"/>
    <n v="-20.2164806601542"/>
    <n v="-40.275729599641203"/>
    <n v="-20.233082340277701"/>
    <s v="101"/>
    <s v="ES"/>
    <s v="Eixo Principal"/>
    <s v="-"/>
    <s v="101BES2310"/>
    <s v="ENTR ES-010(A) (P/LARANJEIRAS)"/>
    <s v="ENTR ES-010(B) (CARAPINA)"/>
    <n v="268.89999999999998"/>
    <n v="270.89999999999998"/>
    <n v="2"/>
    <x v="0"/>
    <m/>
    <m/>
    <s v="Concessão Federal"/>
    <m/>
    <m/>
    <m/>
    <s v="Federal"/>
    <s v="PAV"/>
    <s v="Santa Isabel"/>
  </r>
  <r>
    <x v="0"/>
    <s v="101BES2330"/>
    <n v="0"/>
    <x v="52"/>
    <s v="2330"/>
    <n v="-40.275729599641203"/>
    <n v="-20.233082340277701"/>
    <n v="-40.3951909599947"/>
    <n v="-20.301992689710801"/>
    <s v="101"/>
    <s v="ES"/>
    <s v="Eixo Principal"/>
    <s v="-"/>
    <s v="101BES2330"/>
    <s v="ENTR ES-010(B) (CARAPINA)"/>
    <s v="ENTR ES-080 (TABAJARA)"/>
    <n v="270.89999999999998"/>
    <n v="291.5"/>
    <n v="20.6"/>
    <x v="0"/>
    <m/>
    <m/>
    <s v="Concessão Federal"/>
    <m/>
    <m/>
    <m/>
    <s v="Federal"/>
    <s v="PAV"/>
    <s v="Santa Isabel"/>
  </r>
  <r>
    <x v="0"/>
    <s v="101BES2350"/>
    <n v="0"/>
    <x v="52"/>
    <s v="2350"/>
    <n v="-40.3951909599947"/>
    <n v="-20.301992689710801"/>
    <n v="-40.405141380170498"/>
    <n v="-20.3434174704398"/>
    <s v="101"/>
    <s v="ES"/>
    <s v="Eixo Principal"/>
    <s v="-"/>
    <s v="101BES2350"/>
    <s v="ENTR ES-080 (TABAJARA)"/>
    <s v="ENTR BR-262(A) (COMPLEXO RODOVIÁRIO - P/CAMPO GRANDE)"/>
    <n v="291.5"/>
    <n v="296.39999999999998"/>
    <n v="4.9000000000000004"/>
    <x v="0"/>
    <m/>
    <m/>
    <s v="Concessão Federal"/>
    <m/>
    <m/>
    <m/>
    <s v="Federal"/>
    <s v="PAV"/>
    <s v="Santa Isabel"/>
  </r>
  <r>
    <x v="0"/>
    <s v="101BES2370"/>
    <n v="0"/>
    <x v="52"/>
    <s v="2370"/>
    <n v="-40.405141380170498"/>
    <n v="-20.3434174704398"/>
    <n v="-40.4627144199345"/>
    <n v="-20.385008579882001"/>
    <s v="101"/>
    <s v="ES"/>
    <s v="Eixo Principal"/>
    <s v="-"/>
    <s v="101BES2370"/>
    <s v="ENTR BR-262(A) (COMPLEXO RODOVIÁRIO - P/CAMPO GRANDE)"/>
    <s v="ENTR BR-262(B)"/>
    <n v="296.39999999999998"/>
    <n v="305.2"/>
    <n v="8.8000000000000007"/>
    <x v="0"/>
    <m/>
    <s v="262BES0050"/>
    <s v="Concessão Federal"/>
    <m/>
    <m/>
    <m/>
    <s v="Federal"/>
    <s v="PAV"/>
    <s v="Santa Isabel"/>
  </r>
  <r>
    <x v="0"/>
    <s v="101BES2390"/>
    <n v="0"/>
    <x v="52"/>
    <s v="2390"/>
    <n v="-40.4627144199345"/>
    <n v="-20.385008579882001"/>
    <n v="-40.478344049837901"/>
    <n v="-20.521817849913798"/>
    <s v="101"/>
    <s v="ES"/>
    <s v="Eixo Principal"/>
    <s v="-"/>
    <s v="101BES2390"/>
    <s v="ENTR BR-262(B)"/>
    <s v="ENTR ES-388"/>
    <n v="305.2"/>
    <n v="321.10000000000002"/>
    <n v="15.9"/>
    <x v="2"/>
    <m/>
    <m/>
    <s v="Concessão Federal"/>
    <m/>
    <m/>
    <m/>
    <s v="Federal"/>
    <s v="PAV"/>
    <s v="Santa Isabel"/>
  </r>
  <r>
    <x v="0"/>
    <s v="101BES2395"/>
    <n v="0"/>
    <x v="52"/>
    <s v="2395"/>
    <n v="-40.478344049837901"/>
    <n v="-20.521817849913798"/>
    <n v="-40.4793275403336"/>
    <n v="-20.523771629756801"/>
    <s v="101"/>
    <s v="ES"/>
    <s v="Eixo Principal"/>
    <s v="-"/>
    <s v="101BES2395"/>
    <s v="ENTR ES-388"/>
    <s v="ENTR ES-060(A) (P/PRAIA DO SOL)"/>
    <n v="321.10000000000002"/>
    <n v="321.39999999999998"/>
    <n v="0.3"/>
    <x v="2"/>
    <m/>
    <m/>
    <s v="Concessão Federal"/>
    <m/>
    <m/>
    <m/>
    <s v="Federal"/>
    <s v="PAV"/>
    <s v="Santa Isabel"/>
  </r>
  <r>
    <x v="0"/>
    <s v="101BES2397"/>
    <n v="0"/>
    <x v="52"/>
    <s v="2397"/>
    <n v="-40.4793275403336"/>
    <n v="-20.523771629756801"/>
    <n v="-40.528215149909201"/>
    <n v="-20.6276918696839"/>
    <s v="101"/>
    <s v="ES"/>
    <s v="Eixo Principal"/>
    <s v="-"/>
    <s v="101BES2397"/>
    <s v="ENTR ES-060(A) (P/PRAIA DO SOL)"/>
    <s v="ENTR ES-060(B) (P/GUARAPARI)"/>
    <n v="321.39999999999998"/>
    <n v="335.1"/>
    <n v="13.7"/>
    <x v="2"/>
    <m/>
    <m/>
    <s v="Concessão Federal"/>
    <m/>
    <m/>
    <m/>
    <s v="Federal"/>
    <s v="PAV"/>
    <s v="Santa Isabel"/>
  </r>
  <r>
    <x v="0"/>
    <s v="101BES2410"/>
    <n v="0"/>
    <x v="52"/>
    <s v="2410"/>
    <n v="-40.528215149909201"/>
    <n v="-20.6276918696839"/>
    <n v="-40.595722299744203"/>
    <n v="-20.663720360206401"/>
    <s v="101"/>
    <s v="ES"/>
    <s v="Eixo Principal"/>
    <s v="-"/>
    <s v="101BES2410"/>
    <s v="ENTR ES-060(B) (P/GUARAPARI)"/>
    <s v="ENTR ES-481"/>
    <n v="335.1"/>
    <n v="343.6"/>
    <n v="8.5"/>
    <x v="2"/>
    <m/>
    <m/>
    <s v="Concessão Federal"/>
    <m/>
    <m/>
    <m/>
    <s v="Federal"/>
    <s v="PAV"/>
    <s v="Santa Isabel"/>
  </r>
  <r>
    <x v="0"/>
    <s v="101BES2420"/>
    <n v="0"/>
    <x v="52"/>
    <s v="2420"/>
    <n v="-40.595722299744203"/>
    <n v="-20.663720360206401"/>
    <n v="-40.674790190414903"/>
    <n v="-20.685947510169299"/>
    <s v="101"/>
    <s v="ES"/>
    <s v="Eixo Principal"/>
    <s v="-"/>
    <s v="101BES2420"/>
    <s v="ENTR ES-481"/>
    <s v="ENTR ES-146(A) (JABAQUARA)"/>
    <n v="343.6"/>
    <n v="354.4"/>
    <n v="10.8"/>
    <x v="2"/>
    <m/>
    <m/>
    <s v="Concessão Federal"/>
    <m/>
    <m/>
    <m/>
    <s v="Federal"/>
    <s v="PAV"/>
    <s v="Santa Isabel"/>
  </r>
  <r>
    <x v="0"/>
    <s v="101BES2430"/>
    <n v="0"/>
    <x v="52"/>
    <s v="2430"/>
    <n v="-40.674790190414903"/>
    <n v="-20.685947510169299"/>
    <n v="-40.701617699996802"/>
    <n v="-20.6903420302604"/>
    <s v="101"/>
    <s v="ES"/>
    <s v="Eixo Principal"/>
    <s v="-"/>
    <s v="101BES2430"/>
    <s v="ENTR ES-146(A) (JABAQUARA)"/>
    <s v="ENTR ES-146(B) (P/ALFREDO CHAVES)"/>
    <n v="354.4"/>
    <n v="357.7"/>
    <n v="3.3"/>
    <x v="2"/>
    <m/>
    <m/>
    <s v="Concessão Federal"/>
    <m/>
    <m/>
    <m/>
    <s v="Federal"/>
    <s v="PAV"/>
    <s v="Santa Isabel"/>
  </r>
  <r>
    <x v="0"/>
    <s v="101BES2450"/>
    <n v="0"/>
    <x v="52"/>
    <s v="2450"/>
    <n v="-40.701617699996802"/>
    <n v="-20.6903420302604"/>
    <n v="-40.763571010093898"/>
    <n v="-20.770869470249799"/>
    <s v="101"/>
    <s v="ES"/>
    <s v="Eixo Principal"/>
    <s v="-"/>
    <s v="101BES2450"/>
    <s v="ENTR ES-146(B) (P/ALFREDO CHAVES)"/>
    <s v="ENTR ES-375(A) (P/PIÚMA)"/>
    <n v="357.7"/>
    <n v="370.5"/>
    <n v="12.8"/>
    <x v="2"/>
    <m/>
    <m/>
    <s v="Concessão Federal"/>
    <m/>
    <m/>
    <m/>
    <s v="Federal"/>
    <s v="PAV"/>
    <s v="Santa Isabel"/>
  </r>
  <r>
    <x v="0"/>
    <s v="101BES2470"/>
    <n v="0"/>
    <x v="52"/>
    <s v="2470"/>
    <n v="-40.763571010093898"/>
    <n v="-20.770869470249799"/>
    <n v="-40.785158730390997"/>
    <n v="-20.7875712602054"/>
    <s v="101"/>
    <s v="ES"/>
    <s v="Eixo Principal"/>
    <s v="-"/>
    <s v="101BES2470"/>
    <s v="ENTR ES-375(A) (P/PIÚMA)"/>
    <s v="ENTR INÍCIO TRAVESSIA URBANA DE ICONHA"/>
    <n v="370.5"/>
    <n v="374"/>
    <n v="3.5"/>
    <x v="2"/>
    <m/>
    <m/>
    <s v="Concessão Federal"/>
    <m/>
    <m/>
    <m/>
    <s v="Federal"/>
    <s v="PAV"/>
    <s v="Santa Isabel"/>
  </r>
  <r>
    <x v="0"/>
    <s v="101BES2480"/>
    <n v="0"/>
    <x v="52"/>
    <s v="2480"/>
    <n v="-40.785158730390997"/>
    <n v="-20.7875712602054"/>
    <n v="-40.829043940225603"/>
    <n v="-20.8029088002008"/>
    <s v="101"/>
    <s v="ES"/>
    <s v="Eixo Principal"/>
    <s v="-"/>
    <s v="101BES2480"/>
    <s v="ENTR INÍCIO TRAVESSIA URBANA DE ICONHA"/>
    <s v="ENTR FIM TRAVESSIA URBANA DE ICONHA"/>
    <n v="374"/>
    <n v="380.5"/>
    <n v="6.5"/>
    <x v="0"/>
    <m/>
    <m/>
    <s v="Concessão Federal"/>
    <m/>
    <m/>
    <m/>
    <s v="Federal"/>
    <s v="PAV"/>
    <s v="Santa Isabel"/>
  </r>
  <r>
    <x v="0"/>
    <s v="101BES2490"/>
    <n v="0"/>
    <x v="52"/>
    <s v="2490"/>
    <n v="-40.829043940225603"/>
    <n v="-20.8029088002008"/>
    <n v="-40.907779220234701"/>
    <n v="-20.8662914298055"/>
    <s v="101"/>
    <s v="ES"/>
    <s v="Eixo Principal"/>
    <s v="-"/>
    <s v="101BES2490"/>
    <s v="ENTR FIM TRAVESSIA URBANA DE ICONHA"/>
    <s v="ENTR ES-487 (P/ITAPEMIRIM)"/>
    <n v="380.5"/>
    <n v="393.9"/>
    <n v="13.4"/>
    <x v="2"/>
    <m/>
    <m/>
    <s v="Concessão Federal"/>
    <m/>
    <m/>
    <m/>
    <s v="Federal"/>
    <s v="PAV"/>
    <s v="Santa Isabel"/>
  </r>
  <r>
    <x v="0"/>
    <s v="101BES2510"/>
    <n v="0"/>
    <x v="52"/>
    <s v="2510"/>
    <n v="-40.907779220234701"/>
    <n v="-20.8662914298055"/>
    <n v="-40.9955291704348"/>
    <n v="-20.8892516198663"/>
    <s v="101"/>
    <s v="ES"/>
    <s v="Eixo Principal"/>
    <s v="-"/>
    <s v="101BES2510"/>
    <s v="ENTR ES-487 (P/ITAPEMIRIM)"/>
    <s v="ENTR ES-488"/>
    <n v="393.9"/>
    <n v="404.1"/>
    <n v="10.199999999999999"/>
    <x v="2"/>
    <m/>
    <m/>
    <s v="Concessão Federal"/>
    <m/>
    <m/>
    <m/>
    <s v="Federal"/>
    <s v="PAV"/>
    <s v="Santa Isabel"/>
  </r>
  <r>
    <x v="0"/>
    <s v="101BES2530"/>
    <n v="0"/>
    <x v="52"/>
    <s v="2530"/>
    <n v="-40.9955291704348"/>
    <n v="-20.8892516198663"/>
    <n v="-41.078275079631098"/>
    <n v="-20.925250320345899"/>
    <s v="101"/>
    <s v="ES"/>
    <s v="Eixo Principal"/>
    <s v="-"/>
    <s v="101BES2530"/>
    <s v="ENTR ES-488"/>
    <s v="ENTR BR-482/ES-490 (SAFRA)"/>
    <n v="404.1"/>
    <n v="415.7"/>
    <n v="11.6"/>
    <x v="2"/>
    <m/>
    <m/>
    <s v="Concessão Federal"/>
    <m/>
    <m/>
    <m/>
    <s v="Federal"/>
    <s v="PAV"/>
    <s v="Santa Isabel"/>
  </r>
  <r>
    <x v="0"/>
    <s v="101BES2550"/>
    <n v="0"/>
    <x v="52"/>
    <s v="2550"/>
    <n v="-41.078275079631098"/>
    <n v="-20.925250320345899"/>
    <n v="-41.111627179650498"/>
    <n v="-20.9774136798973"/>
    <s v="101"/>
    <s v="ES"/>
    <s v="Eixo Principal"/>
    <s v="-"/>
    <s v="101BES2550"/>
    <s v="ENTR BR-482/ES-490 (SAFRA)"/>
    <s v="ENTR ES-162 (P/PRESIDENTE KENNEDY)"/>
    <n v="415.7"/>
    <n v="422.9"/>
    <n v="7.2"/>
    <x v="2"/>
    <m/>
    <m/>
    <s v="Concessão Federal"/>
    <m/>
    <m/>
    <m/>
    <s v="Federal"/>
    <s v="PAV"/>
    <s v="Santa Isabel"/>
  </r>
  <r>
    <x v="0"/>
    <s v="101BES2570"/>
    <n v="0"/>
    <x v="52"/>
    <s v="2570"/>
    <n v="-41.111627179650498"/>
    <n v="-20.9774136798973"/>
    <n v="-41.1448379503111"/>
    <n v="-21.010787059675"/>
    <s v="101"/>
    <s v="ES"/>
    <s v="Eixo Principal"/>
    <s v="-"/>
    <s v="101BES2570"/>
    <s v="ENTR ES-162 (P/PRESIDENTE KENNEDY)"/>
    <s v="ENTR ES-289 (P/ATÍLIO VIVACQUA)"/>
    <n v="422.9"/>
    <n v="428.2"/>
    <n v="5.3"/>
    <x v="2"/>
    <m/>
    <m/>
    <s v="Concessão Federal"/>
    <m/>
    <m/>
    <m/>
    <s v="Federal"/>
    <s v="PAV"/>
    <s v="Santa Isabel"/>
  </r>
  <r>
    <x v="0"/>
    <s v="101BES2590"/>
    <n v="0"/>
    <x v="52"/>
    <s v="2590"/>
    <n v="-41.1448379503111"/>
    <n v="-21.010787059675"/>
    <n v="-41.280340390296701"/>
    <n v="-21.131170440063698"/>
    <s v="101"/>
    <s v="ES"/>
    <s v="Eixo Principal"/>
    <s v="-"/>
    <s v="101BES2590"/>
    <s v="ENTR ES-289 (P/ATÍLIO VIVACQUA)"/>
    <s v="ENTR ES-391 (P/MIMOSO DO SUL)"/>
    <n v="428.2"/>
    <n v="449.6"/>
    <n v="21.4"/>
    <x v="2"/>
    <m/>
    <m/>
    <s v="Concessão Federal"/>
    <m/>
    <m/>
    <m/>
    <s v="Federal"/>
    <s v="PAV"/>
    <s v="Santa Isabel"/>
  </r>
  <r>
    <x v="0"/>
    <s v="101BES2610"/>
    <n v="0"/>
    <x v="52"/>
    <s v="2610"/>
    <n v="-41.280340390296701"/>
    <n v="-21.131170440063698"/>
    <n v="-41.300816490088799"/>
    <n v="-21.199434880215499"/>
    <s v="101"/>
    <s v="ES"/>
    <s v="Eixo Principal"/>
    <s v="-"/>
    <s v="101BES2610"/>
    <s v="ENTR ES-391 (P/MIMOSO DO SUL)"/>
    <s v="ENTR ES-297"/>
    <n v="449.6"/>
    <n v="459.2"/>
    <n v="9.6"/>
    <x v="2"/>
    <m/>
    <m/>
    <s v="Concessão Federal"/>
    <m/>
    <m/>
    <m/>
    <s v="Federal"/>
    <s v="PAV"/>
    <s v="Santa Isabel"/>
  </r>
  <r>
    <x v="0"/>
    <s v="101BES2630"/>
    <n v="0"/>
    <x v="52"/>
    <s v="2630"/>
    <n v="-41.300816490088799"/>
    <n v="-21.199434880215499"/>
    <n v="-41.3091196103816"/>
    <n v="-21.222443739786701"/>
    <s v="101"/>
    <s v="ES"/>
    <s v="Eixo Principal"/>
    <s v="-"/>
    <s v="101BES2630"/>
    <s v="ENTR ES-297"/>
    <s v="DIV ES/RJ"/>
    <n v="459.2"/>
    <n v="462.6"/>
    <n v="3.4"/>
    <x v="2"/>
    <m/>
    <m/>
    <s v="Concessão Federal"/>
    <m/>
    <m/>
    <m/>
    <s v="Federal"/>
    <s v="PAV"/>
    <s v="Santa Isabel"/>
  </r>
  <r>
    <x v="0"/>
    <s v="101BPB0250"/>
    <n v="0"/>
    <x v="53"/>
    <s v="0250"/>
    <n v="-35.111238920140003"/>
    <n v="-6.5051504699181901"/>
    <n v="-35.129677130095402"/>
    <n v="-6.5545640201133804"/>
    <s v="101"/>
    <s v="PB"/>
    <s v="Eixo Principal"/>
    <s v="-"/>
    <s v="101BPB0250"/>
    <s v="DIV RN/PB"/>
    <s v="ENTR PB-065"/>
    <n v="0"/>
    <n v="6.1"/>
    <n v="6.1"/>
    <x v="0"/>
    <m/>
    <m/>
    <s v="Federal"/>
    <m/>
    <m/>
    <m/>
    <s v="Federal"/>
    <s v="PAV"/>
    <s v="Santa Isabel"/>
  </r>
  <r>
    <x v="0"/>
    <s v="101BPB0255"/>
    <n v="0"/>
    <x v="53"/>
    <s v="0255"/>
    <n v="-35.129677130095402"/>
    <n v="-6.5545640201133804"/>
    <n v="-35.133693940322999"/>
    <n v="-6.7479541501638698"/>
    <s v="101"/>
    <s v="PB"/>
    <s v="Eixo Principal"/>
    <s v="-"/>
    <s v="101BPB0255"/>
    <s v="ENTR PB-065"/>
    <s v="ENTR PB-071"/>
    <n v="6.1"/>
    <n v="29.9"/>
    <n v="23.8"/>
    <x v="0"/>
    <m/>
    <m/>
    <s v="Federal"/>
    <m/>
    <m/>
    <m/>
    <s v="Federal"/>
    <s v="PAV"/>
    <s v="Santa Rita"/>
  </r>
  <r>
    <x v="0"/>
    <s v="101BPB0260"/>
    <n v="0"/>
    <x v="53"/>
    <s v="0260"/>
    <n v="-35.133693940322999"/>
    <n v="-6.7479541501638698"/>
    <n v="-35.1363290195685"/>
    <n v="-6.8387366601687001"/>
    <s v="101"/>
    <s v="PB"/>
    <s v="Eixo Principal"/>
    <s v="-"/>
    <s v="101BPB0260"/>
    <s v="ENTR PB-071"/>
    <s v="ENTR PB-041 (MAMANGUAPE)"/>
    <n v="29.9"/>
    <n v="40"/>
    <n v="10.1"/>
    <x v="0"/>
    <m/>
    <m/>
    <s v="Federal"/>
    <m/>
    <m/>
    <m/>
    <s v="Federal"/>
    <s v="PAV"/>
    <s v="Santa Rita"/>
  </r>
  <r>
    <x v="0"/>
    <s v="101BPB0270"/>
    <n v="0"/>
    <x v="53"/>
    <s v="0270"/>
    <n v="-35.1363290195685"/>
    <n v="-6.8387366601687001"/>
    <n v="-34.984499100053299"/>
    <n v="-7.0808127502082199"/>
    <s v="101"/>
    <s v="PB"/>
    <s v="Eixo Principal"/>
    <s v="-"/>
    <s v="101BPB0270"/>
    <s v="ENTR PB-041 (MAMANGUAPE)"/>
    <s v="ENTR PB-025"/>
    <n v="40"/>
    <n v="73.5"/>
    <n v="33.5"/>
    <x v="0"/>
    <m/>
    <m/>
    <s v="Federal"/>
    <m/>
    <m/>
    <m/>
    <s v="Federal"/>
    <s v="PAV"/>
    <s v="Santa Rita"/>
  </r>
  <r>
    <x v="0"/>
    <s v="101BPB0280"/>
    <n v="0"/>
    <x v="53"/>
    <s v="0280"/>
    <n v="-34.984499100053299"/>
    <n v="-7.0808127502082199"/>
    <n v="-34.947918110132598"/>
    <n v="-7.1217836098256804"/>
    <s v="101"/>
    <s v="PB"/>
    <s v="Eixo Principal"/>
    <s v="-"/>
    <s v="101BPB0280"/>
    <s v="ENTR PB-025"/>
    <s v="ENTR PB-004 (P/BAYEUX)"/>
    <n v="73.5"/>
    <n v="80.5"/>
    <n v="7"/>
    <x v="0"/>
    <m/>
    <m/>
    <s v="Federal"/>
    <m/>
    <m/>
    <m/>
    <s v="Federal"/>
    <s v="PAV"/>
    <s v="Santa Rita"/>
  </r>
  <r>
    <x v="0"/>
    <s v="101BPB0290"/>
    <n v="0"/>
    <x v="53"/>
    <s v="0290"/>
    <n v="-34.947918110132598"/>
    <n v="-7.1217836098256804"/>
    <n v="-34.946590170299999"/>
    <n v="-7.1240474399373204"/>
    <s v="101"/>
    <s v="PB"/>
    <s v="Eixo Principal"/>
    <s v="-"/>
    <s v="101BPB0290"/>
    <s v="ENTR PB-004 (P/BAYEUX)"/>
    <s v="ENTR BR-230(A)"/>
    <n v="80.5"/>
    <n v="80.8"/>
    <n v="0.3"/>
    <x v="0"/>
    <m/>
    <m/>
    <s v="Federal"/>
    <m/>
    <m/>
    <m/>
    <s v="Federal"/>
    <s v="PAV"/>
    <s v="Santa Rita"/>
  </r>
  <r>
    <x v="0"/>
    <s v="101BPB0310"/>
    <n v="0"/>
    <x v="53"/>
    <s v="0310"/>
    <n v="-34.946590170299999"/>
    <n v="-7.1240474399373204"/>
    <n v="-34.932438800110504"/>
    <n v="-7.1316965498558602"/>
    <s v="101"/>
    <s v="PB"/>
    <s v="Eixo Principal"/>
    <s v="-"/>
    <s v="101BPB0310"/>
    <s v="ENTR BR-230(A)"/>
    <s v="ACESSO AEROPORTO"/>
    <n v="80.8"/>
    <n v="82.6"/>
    <n v="1.8"/>
    <x v="0"/>
    <m/>
    <s v="230BPB0060"/>
    <s v="Federal"/>
    <m/>
    <m/>
    <m/>
    <s v="Federal"/>
    <s v="PAV"/>
    <s v="Santa Rita"/>
  </r>
  <r>
    <x v="0"/>
    <s v="101BPB0320"/>
    <n v="0"/>
    <x v="53"/>
    <s v="0320"/>
    <n v="-34.932438800110504"/>
    <n v="-7.1316965498558602"/>
    <n v="-34.896682670169"/>
    <n v="-7.165777439777"/>
    <s v="101"/>
    <s v="PB"/>
    <s v="Eixo Principal"/>
    <s v="-"/>
    <s v="101BPB0320"/>
    <s v="ACESSO AEROPORTO"/>
    <s v="ENTR BR-230(B)"/>
    <n v="82.6"/>
    <n v="88.4"/>
    <n v="5.8"/>
    <x v="0"/>
    <m/>
    <s v="230BPB0050"/>
    <s v="Federal"/>
    <m/>
    <m/>
    <m/>
    <s v="Federal"/>
    <s v="PAV"/>
    <s v="Santa Rita"/>
  </r>
  <r>
    <x v="0"/>
    <s v="101BPB0330"/>
    <n v="0"/>
    <x v="53"/>
    <s v="0330"/>
    <n v="-34.896682670169"/>
    <n v="-7.165777439777"/>
    <n v="-34.907011269654298"/>
    <n v="-7.2002631199469498"/>
    <s v="101"/>
    <s v="PB"/>
    <s v="Eixo Principal"/>
    <s v="-"/>
    <s v="101BPB0330"/>
    <s v="ENTR BR-230(B)"/>
    <s v="DISTRITO INDUSTRIAL (TOALIA)"/>
    <n v="88.4"/>
    <n v="92.4"/>
    <n v="4"/>
    <x v="0"/>
    <m/>
    <m/>
    <s v="Federal"/>
    <m/>
    <m/>
    <m/>
    <s v="Federal"/>
    <s v="PAV"/>
    <s v="Santa Rita"/>
  </r>
  <r>
    <x v="0"/>
    <s v="101BPB0332"/>
    <n v="0"/>
    <x v="53"/>
    <s v="0332"/>
    <n v="-34.907011269654298"/>
    <n v="-7.2002631199469498"/>
    <n v="-34.9359700699627"/>
    <n v="-7.2593136801821698"/>
    <s v="101"/>
    <s v="PB"/>
    <s v="Eixo Principal"/>
    <s v="-"/>
    <s v="101BPB0332"/>
    <s v="DISTRITO INDUSTRIAL (TOALIA)"/>
    <s v="ENTR PB-018 (P/CONDE)"/>
    <n v="92.4"/>
    <n v="99.4"/>
    <n v="7"/>
    <x v="0"/>
    <m/>
    <m/>
    <s v="Federal"/>
    <m/>
    <m/>
    <m/>
    <s v="Federal"/>
    <s v="PAV"/>
    <s v="Santa Rita"/>
  </r>
  <r>
    <x v="0"/>
    <s v="101BPB0335"/>
    <n v="0"/>
    <x v="53"/>
    <s v="0335"/>
    <n v="-34.9359700699627"/>
    <n v="-7.2593136801821698"/>
    <n v="-34.9499388597905"/>
    <n v="-7.3542902900647897"/>
    <s v="101"/>
    <s v="PB"/>
    <s v="Eixo Principal"/>
    <s v="-"/>
    <s v="101BPB0335"/>
    <s v="ENTR PB-018 (P/CONDE)"/>
    <s v="ENTR PB-034"/>
    <n v="99.4"/>
    <n v="110.2"/>
    <n v="10.8"/>
    <x v="0"/>
    <m/>
    <m/>
    <s v="Federal"/>
    <m/>
    <m/>
    <m/>
    <s v="Federal"/>
    <s v="PAV"/>
    <s v="Santa Rita"/>
  </r>
  <r>
    <x v="0"/>
    <s v="101BPB0340"/>
    <n v="0"/>
    <x v="53"/>
    <s v="0340"/>
    <n v="-34.9499388597905"/>
    <n v="-7.3542902900647897"/>
    <n v="-34.9840507799195"/>
    <n v="-7.4961246902022296"/>
    <s v="101"/>
    <s v="PB"/>
    <s v="Eixo Principal"/>
    <s v="-"/>
    <s v="101BPB0340"/>
    <s v="ENTR PB-034"/>
    <s v="ENTR PB-044"/>
    <n v="110.2"/>
    <n v="127.3"/>
    <n v="17.100000000000001"/>
    <x v="0"/>
    <m/>
    <m/>
    <s v="Federal"/>
    <m/>
    <m/>
    <m/>
    <s v="Federal"/>
    <s v="PAV"/>
    <s v="Santa Rita"/>
  </r>
  <r>
    <x v="0"/>
    <s v="101BPB0345"/>
    <n v="0"/>
    <x v="53"/>
    <s v="0345"/>
    <n v="-34.9840507799195"/>
    <n v="-7.4961246902022296"/>
    <n v="-34.985035140059601"/>
    <n v="-7.5000614904453702"/>
    <s v="101"/>
    <s v="PB"/>
    <s v="Eixo Principal"/>
    <s v="-"/>
    <s v="101BPB0345"/>
    <s v="ENTR PB-044"/>
    <s v="DIV PB/PE"/>
    <n v="127.3"/>
    <n v="127.7"/>
    <n v="0.4"/>
    <x v="0"/>
    <m/>
    <m/>
    <s v="Federal"/>
    <m/>
    <m/>
    <m/>
    <s v="Federal"/>
    <s v="PAV"/>
    <s v="Santa Rita"/>
  </r>
  <r>
    <x v="0"/>
    <s v="101BPE0350"/>
    <n v="0"/>
    <x v="54"/>
    <s v="0350"/>
    <n v="-34.985035140059601"/>
    <n v="-7.5000614904453702"/>
    <n v="-34.989925579601703"/>
    <n v="-7.5663135500302499"/>
    <s v="101"/>
    <s v="PE"/>
    <s v="Eixo Principal"/>
    <s v="-"/>
    <s v="101BPE0350"/>
    <s v="DIV PB/PE"/>
    <s v="ENTR PE-062 (GOIANA)"/>
    <n v="0"/>
    <n v="7.7"/>
    <n v="7.7"/>
    <x v="0"/>
    <m/>
    <m/>
    <s v="Federal"/>
    <m/>
    <m/>
    <m/>
    <s v="Federal"/>
    <s v="PAV"/>
    <s v="Santa Rita"/>
  </r>
  <r>
    <x v="0"/>
    <s v="101BPE0355"/>
    <n v="0"/>
    <x v="54"/>
    <s v="0355"/>
    <n v="-34.989925579601703"/>
    <n v="-7.5663135500302499"/>
    <n v="-34.932657970289"/>
    <n v="-7.6677661303026499"/>
    <s v="101"/>
    <s v="PE"/>
    <s v="Eixo Principal"/>
    <s v="-"/>
    <s v="101BPE0355"/>
    <s v="ENTR PE-062 (GOIANA)"/>
    <s v="ENTR PE-049 (P/PONTAS DE PEDRAS)"/>
    <n v="7.7"/>
    <n v="21"/>
    <n v="13.3"/>
    <x v="0"/>
    <m/>
    <m/>
    <s v="Federal"/>
    <m/>
    <m/>
    <m/>
    <s v="Federal"/>
    <s v="PAV"/>
    <s v="Recife"/>
  </r>
  <r>
    <x v="0"/>
    <s v="101BPE0360"/>
    <n v="0"/>
    <x v="54"/>
    <s v="0360"/>
    <n v="-34.932657970289"/>
    <n v="-7.6677661303026499"/>
    <n v="-34.935299340292197"/>
    <n v="-7.7690903404467804"/>
    <s v="101"/>
    <s v="PE"/>
    <s v="Eixo Principal"/>
    <s v="-"/>
    <s v="101BPE0360"/>
    <s v="ENTR PE-049 (P/PONTAS DE PEDRAS)"/>
    <s v="ENTR PE-041 (P/ARAÇOIABA)"/>
    <n v="21"/>
    <n v="33.799999999999997"/>
    <n v="12.8"/>
    <x v="0"/>
    <m/>
    <m/>
    <s v="Federal"/>
    <m/>
    <m/>
    <m/>
    <s v="Federal"/>
    <s v="PAV"/>
    <s v="Recife"/>
  </r>
  <r>
    <x v="0"/>
    <s v="101BPE0370"/>
    <n v="0"/>
    <x v="54"/>
    <s v="0370"/>
    <n v="-34.935299340292197"/>
    <n v="-7.7690903404467804"/>
    <n v="-34.912768160122397"/>
    <n v="-7.8336777504277899"/>
    <s v="101"/>
    <s v="PE"/>
    <s v="Eixo Principal"/>
    <s v="-"/>
    <s v="101BPE0370"/>
    <s v="ENTR PE-041 (P/ARAÇOIABA)"/>
    <s v="ENTR PE-035 (IGARASSÚ - PONTE SOBRE O RIO IGARASSÚ)"/>
    <n v="33.799999999999997"/>
    <n v="41.4"/>
    <n v="7.6"/>
    <x v="0"/>
    <m/>
    <m/>
    <s v="Federal"/>
    <m/>
    <m/>
    <m/>
    <s v="Federal"/>
    <s v="PAV"/>
    <s v="Recife"/>
  </r>
  <r>
    <x v="0"/>
    <s v="101BPE0390"/>
    <n v="0"/>
    <x v="54"/>
    <s v="0390"/>
    <n v="-34.912768160122397"/>
    <n v="-7.8336777504277899"/>
    <n v="-34.893466840222402"/>
    <n v="-7.9210582798157203"/>
    <s v="101"/>
    <s v="PE"/>
    <s v="Eixo Principal"/>
    <s v="-"/>
    <s v="101BPE0390"/>
    <s v="ENTR PE-035 (IGARASSÚ - PONTE SOBRE O RIO IGARASSÚ)"/>
    <s v="ENTR PE-015 (P/PAULISTA - VIADUTO SOBRE PE-015)"/>
    <n v="41.4"/>
    <n v="51.6"/>
    <n v="10.199999999999999"/>
    <x v="0"/>
    <m/>
    <m/>
    <s v="Federal"/>
    <m/>
    <m/>
    <m/>
    <s v="Federal"/>
    <s v="PAV"/>
    <s v="Recife"/>
  </r>
  <r>
    <x v="0"/>
    <s v="101BPE0410"/>
    <n v="0"/>
    <x v="54"/>
    <s v="0410"/>
    <n v="-34.893466840222402"/>
    <n v="-7.9210582798157203"/>
    <n v="-34.941858780358302"/>
    <n v="-8.0390092998392699"/>
    <s v="101"/>
    <s v="PE"/>
    <s v="Eixo Principal"/>
    <s v="-"/>
    <s v="101BPE0410"/>
    <s v="ENTR PE-015 (P/PAULISTA - VIADUTO SOBRE PE-015)"/>
    <s v="VIADUTO SOBRE AVENIDA CAXANGÁ"/>
    <n v="51.6"/>
    <n v="66.599999999999994"/>
    <n v="15"/>
    <x v="0"/>
    <m/>
    <m/>
    <s v="Federal"/>
    <m/>
    <m/>
    <m/>
    <s v="Federal"/>
    <s v="PAV"/>
    <s v="Recife"/>
  </r>
  <r>
    <x v="0"/>
    <s v="101BPE0420"/>
    <n v="0"/>
    <x v="54"/>
    <s v="0420"/>
    <n v="-34.941858780358302"/>
    <n v="-8.0390092998392699"/>
    <n v="-34.942968460126203"/>
    <n v="-8.0669278696254292"/>
    <s v="101"/>
    <s v="PE"/>
    <s v="Eixo Principal"/>
    <s v="-"/>
    <s v="101BPE0420"/>
    <s v="VIADUTO SOBRE AVENIDA CAXANGÁ"/>
    <s v="ENTR BR-232 (RECIFE)"/>
    <n v="66.599999999999994"/>
    <n v="69.900000000000006"/>
    <n v="3.3"/>
    <x v="0"/>
    <m/>
    <m/>
    <s v="Federal"/>
    <m/>
    <m/>
    <m/>
    <s v="Federal"/>
    <s v="PAV"/>
    <s v="Recife"/>
  </r>
  <r>
    <x v="0"/>
    <s v="101BPE0430"/>
    <n v="0"/>
    <x v="54"/>
    <s v="0430"/>
    <n v="-34.942968460126203"/>
    <n v="-8.0669278696254292"/>
    <n v="-34.946986620236302"/>
    <n v="-8.0924916698546099"/>
    <s v="101"/>
    <s v="PE"/>
    <s v="Eixo Principal"/>
    <s v="-"/>
    <s v="101BPE0430"/>
    <s v="ENTR BR-232 (RECIFE)"/>
    <s v="ENTR PE-007 (RECIFE)"/>
    <n v="69.900000000000006"/>
    <n v="72.900000000000006"/>
    <n v="3"/>
    <x v="0"/>
    <m/>
    <m/>
    <s v="Federal"/>
    <m/>
    <m/>
    <m/>
    <s v="Federal"/>
    <s v="PAV"/>
    <s v="Recife"/>
  </r>
  <r>
    <x v="0"/>
    <s v="101BPE0435"/>
    <n v="0"/>
    <x v="54"/>
    <s v="0435"/>
    <n v="-34.946986620236302"/>
    <n v="-8.0924916698546099"/>
    <n v="-34.9375412098589"/>
    <n v="-8.1709638001391909"/>
    <s v="101"/>
    <s v="PE"/>
    <s v="Eixo Principal"/>
    <s v="-"/>
    <s v="101BPE0435"/>
    <s v="ENTR PE-007 (RECIFE)"/>
    <s v="PRAZERES (ENTR ANTIGA BR-101)"/>
    <n v="72.900000000000006"/>
    <n v="82.3"/>
    <n v="9.4"/>
    <x v="0"/>
    <m/>
    <m/>
    <s v="Federal"/>
    <m/>
    <m/>
    <m/>
    <s v="Federal"/>
    <s v="PAV"/>
    <s v="Recife"/>
  </r>
  <r>
    <x v="0"/>
    <s v="101BPE0440"/>
    <n v="0"/>
    <x v="54"/>
    <s v="0440"/>
    <n v="-34.9375412098589"/>
    <n v="-8.1709638001391909"/>
    <n v="-35.007684799613699"/>
    <n v="-8.2489154702726601"/>
    <s v="101"/>
    <s v="PE"/>
    <s v="Eixo Principal"/>
    <s v="-"/>
    <s v="101BPE0440"/>
    <s v="PRAZERES (ENTR ANTIGA BR-101)"/>
    <s v="VIADUTO RANDOM/METALGIL"/>
    <n v="82.3"/>
    <n v="94.1"/>
    <n v="11.8"/>
    <x v="0"/>
    <m/>
    <m/>
    <s v="Federal"/>
    <m/>
    <m/>
    <m/>
    <s v="Federal"/>
    <s v="PAV"/>
    <s v="Recife"/>
  </r>
  <r>
    <x v="0"/>
    <s v="101BPE0450"/>
    <n v="0"/>
    <x v="54"/>
    <s v="0450"/>
    <n v="-35.007684799613699"/>
    <n v="-8.2489154702726601"/>
    <n v="-35.026338899920198"/>
    <n v="-8.2517971400259196"/>
    <s v="101"/>
    <s v="PE"/>
    <s v="Eixo Principal"/>
    <s v="-"/>
    <s v="101BPE0450"/>
    <s v="VIADUTO RANDOM/METALGIL"/>
    <s v="ENTR PE-025 (P/USINA BOM JESUS)"/>
    <n v="94.1"/>
    <n v="96.6"/>
    <n v="2.5"/>
    <x v="0"/>
    <m/>
    <m/>
    <s v="Federal"/>
    <m/>
    <m/>
    <m/>
    <s v="Federal"/>
    <s v="PAV"/>
    <s v="Recife"/>
  </r>
  <r>
    <x v="0"/>
    <s v="101BPE0460"/>
    <n v="0"/>
    <x v="54"/>
    <s v="0460"/>
    <n v="-35.026338899920198"/>
    <n v="-8.2517971400259196"/>
    <n v="-35.057683710434802"/>
    <n v="-8.2828133202784695"/>
    <s v="101"/>
    <s v="PE"/>
    <s v="Eixo Principal"/>
    <s v="-"/>
    <s v="101BPE0460"/>
    <s v="ENTR PE-025 (P/USINA BOM JESUS)"/>
    <s v="ENTR PE-037 (P/DISTRITO INDUSTRIAL DO CABO)"/>
    <n v="96.6"/>
    <n v="101.9"/>
    <n v="5.3"/>
    <x v="0"/>
    <m/>
    <m/>
    <s v="Federal"/>
    <m/>
    <m/>
    <m/>
    <s v="Federal"/>
    <s v="PAV"/>
    <s v="Recife"/>
  </r>
  <r>
    <x v="0"/>
    <s v="101BPE0465"/>
    <n v="0"/>
    <x v="54"/>
    <s v="0465"/>
    <n v="-35.057683710434802"/>
    <n v="-8.2828133202784695"/>
    <n v="-35.056645409857701"/>
    <n v="-8.2941192301183193"/>
    <s v="101"/>
    <s v="PE"/>
    <s v="Eixo Principal"/>
    <s v="-"/>
    <s v="101BPE0465"/>
    <s v="ENTR PE-037 (P/DISTRITO INDUSTRIAL DO CABO)"/>
    <s v="VIADUTO DA CHARNECA (ENTR ANTIGA BR-101)"/>
    <n v="101.9"/>
    <n v="103.2"/>
    <n v="1.3"/>
    <x v="0"/>
    <m/>
    <m/>
    <s v="Federal"/>
    <m/>
    <m/>
    <m/>
    <s v="Federal"/>
    <s v="PAV"/>
    <s v="Recife"/>
  </r>
  <r>
    <x v="0"/>
    <s v="101BPE0468"/>
    <n v="0"/>
    <x v="54"/>
    <s v="0468"/>
    <n v="-35.056645409857701"/>
    <n v="-8.2941192301183193"/>
    <n v="-35.067856799151897"/>
    <n v="-8.2994008450729098"/>
    <s v="101"/>
    <s v="PE"/>
    <s v="Eixo Principal"/>
    <s v="-"/>
    <s v="101BPE0468"/>
    <s v="VIADUTO DA CHARNECA (ENTR ANTIGA BR-101)"/>
    <s v="FIM DA DUPLICAÇÃO"/>
    <n v="103.2"/>
    <n v="104.6"/>
    <n v="1.4"/>
    <x v="0"/>
    <m/>
    <m/>
    <s v="Federal"/>
    <m/>
    <m/>
    <m/>
    <s v="Federal"/>
    <s v="PAV"/>
    <s v="Recife"/>
  </r>
  <r>
    <x v="0"/>
    <s v="101BPE0470"/>
    <n v="0"/>
    <x v="54"/>
    <s v="0470"/>
    <n v="-35.067856799151897"/>
    <n v="-8.2994008450729098"/>
    <n v="-35.144635380118601"/>
    <n v="-8.34242916017757"/>
    <s v="101"/>
    <s v="PE"/>
    <s v="Eixo Principal"/>
    <s v="-"/>
    <s v="101BPE0470"/>
    <s v="FIM DA DUPLICAÇÃO"/>
    <s v="ENTR PE-042 (P/IPOJUCA)"/>
    <n v="104.6"/>
    <n v="115.6"/>
    <n v="11"/>
    <x v="0"/>
    <m/>
    <m/>
    <s v="Federal"/>
    <m/>
    <m/>
    <m/>
    <s v="Federal"/>
    <s v="PAV"/>
    <s v="Recife"/>
  </r>
  <r>
    <x v="0"/>
    <s v="101BPE0475"/>
    <n v="0"/>
    <x v="54"/>
    <s v="0475"/>
    <n v="-35.144635380118601"/>
    <n v="-8.34242916017757"/>
    <n v="-35.187958490291997"/>
    <n v="-8.3575006402422698"/>
    <s v="101"/>
    <s v="PE"/>
    <s v="Eixo Principal"/>
    <s v="-"/>
    <s v="101BPE0475"/>
    <s v="ENTR PE-042 (P/IPOJUCA)"/>
    <s v="ENTR PE-051 (P/CAMELA)"/>
    <n v="115.6"/>
    <n v="121.2"/>
    <n v="5.6"/>
    <x v="0"/>
    <m/>
    <m/>
    <s v="Federal"/>
    <m/>
    <m/>
    <m/>
    <s v="Federal"/>
    <s v="PAV"/>
    <s v="Recife"/>
  </r>
  <r>
    <x v="0"/>
    <s v="101BPE0480"/>
    <n v="0"/>
    <x v="54"/>
    <s v="0480"/>
    <n v="-35.187958490291997"/>
    <n v="-8.3575006402422698"/>
    <n v="-35.215531590010798"/>
    <n v="-8.36272344043436"/>
    <s v="101"/>
    <s v="PE"/>
    <s v="Eixo Principal"/>
    <s v="-"/>
    <s v="101BPE0480"/>
    <s v="ENTR PE-051 (P/CAMELA)"/>
    <s v="ENTR PE-045 (ESCADA)"/>
    <n v="121.2"/>
    <n v="124.3"/>
    <n v="3.1"/>
    <x v="0"/>
    <m/>
    <m/>
    <s v="Federal"/>
    <m/>
    <m/>
    <m/>
    <s v="Federal"/>
    <s v="PAV"/>
    <s v="Recife"/>
  </r>
  <r>
    <x v="0"/>
    <s v="101BPE0490"/>
    <n v="0"/>
    <x v="54"/>
    <s v="0490"/>
    <n v="-35.215531590010798"/>
    <n v="-8.36272344043436"/>
    <n v="-35.242548010282398"/>
    <n v="-8.3788830803898104"/>
    <s v="101"/>
    <s v="PE"/>
    <s v="Eixo Principal"/>
    <s v="-"/>
    <s v="101BPE0490"/>
    <s v="ENTR PE-045 (ESCADA)"/>
    <s v="ENTR PE-070"/>
    <n v="124.3"/>
    <n v="127.8"/>
    <n v="3.5"/>
    <x v="0"/>
    <m/>
    <m/>
    <s v="Federal"/>
    <m/>
    <m/>
    <m/>
    <s v="Federal"/>
    <s v="PAV"/>
    <s v="Recife"/>
  </r>
  <r>
    <x v="0"/>
    <s v="101BPE0495"/>
    <n v="0"/>
    <x v="54"/>
    <s v="0495"/>
    <n v="-35.242548010282398"/>
    <n v="-8.3788830803898104"/>
    <n v="-35.302798820109402"/>
    <n v="-8.4137900299858703"/>
    <s v="101"/>
    <s v="PE"/>
    <s v="Eixo Principal"/>
    <s v="-"/>
    <s v="101BPE0495"/>
    <s v="ENTR PE-070"/>
    <s v="ENTR PE-063 (P/AMARAJI)"/>
    <n v="127.8"/>
    <n v="135.80000000000001"/>
    <n v="8"/>
    <x v="0"/>
    <m/>
    <m/>
    <s v="Federal"/>
    <m/>
    <m/>
    <m/>
    <s v="Federal"/>
    <s v="PAV"/>
    <s v="Recife"/>
  </r>
  <r>
    <x v="0"/>
    <s v="101BPE0510"/>
    <n v="0"/>
    <x v="54"/>
    <s v="0510"/>
    <n v="-35.302798820109402"/>
    <n v="-8.4137900299858703"/>
    <n v="-35.376636010043697"/>
    <n v="-8.4933290997581103"/>
    <s v="101"/>
    <s v="PE"/>
    <s v="Eixo Principal"/>
    <s v="-"/>
    <s v="101BPE0510"/>
    <s v="ENTR PE-063 (P/AMARAJI)"/>
    <s v="ENTR PE-064/085 (RIBEIRÃO)"/>
    <n v="135.80000000000001"/>
    <n v="149.30000000000001"/>
    <n v="13.5"/>
    <x v="0"/>
    <m/>
    <m/>
    <s v="Federal"/>
    <m/>
    <m/>
    <m/>
    <s v="Federal"/>
    <s v="PAV"/>
    <s v="Recife"/>
  </r>
  <r>
    <x v="0"/>
    <s v="101BPE0530"/>
    <n v="0"/>
    <x v="54"/>
    <s v="0530"/>
    <n v="-35.376636010043697"/>
    <n v="-8.4933290997581103"/>
    <n v="-35.398231329612102"/>
    <n v="-8.5537777199657494"/>
    <s v="101"/>
    <s v="PE"/>
    <s v="Eixo Principal"/>
    <s v="-"/>
    <s v="101BPE0530"/>
    <s v="ENTR PE-064/085 (RIBEIRÃO)"/>
    <s v="ENTR PE-073 (P/GAMELEIRA)"/>
    <n v="149.30000000000001"/>
    <n v="157.19999999999999"/>
    <n v="7.9"/>
    <x v="0"/>
    <m/>
    <m/>
    <s v="Federal"/>
    <m/>
    <m/>
    <m/>
    <s v="Federal"/>
    <s v="PAV"/>
    <s v="Recife"/>
  </r>
  <r>
    <x v="0"/>
    <s v="101BPE0550"/>
    <n v="0"/>
    <x v="54"/>
    <s v="0550"/>
    <n v="-35.398231329612102"/>
    <n v="-8.5537777199657494"/>
    <n v="-35.577834369760197"/>
    <n v="-8.6804031597779296"/>
    <s v="101"/>
    <s v="PE"/>
    <s v="Eixo Principal"/>
    <s v="-"/>
    <s v="101BPE0550"/>
    <s v="ENTR PE-073 (P/GAMELEIRA)"/>
    <s v="ENTR PE-087/096 (PALMARES)"/>
    <n v="157.19999999999999"/>
    <n v="185.7"/>
    <n v="28.5"/>
    <x v="0"/>
    <m/>
    <m/>
    <s v="Federal"/>
    <m/>
    <m/>
    <m/>
    <s v="Federal"/>
    <s v="PAV"/>
    <s v="Recife"/>
  </r>
  <r>
    <x v="0"/>
    <s v="101BPE0570"/>
    <n v="0"/>
    <x v="54"/>
    <s v="0570"/>
    <n v="-35.577834369760197"/>
    <n v="-8.6804031597779296"/>
    <n v="-35.607046820254403"/>
    <n v="-8.6906351396999"/>
    <s v="101"/>
    <s v="PE"/>
    <s v="Eixo Principal"/>
    <s v="-"/>
    <s v="101BPE0570"/>
    <s v="ENTR PE-087/096 (PALMARES)"/>
    <s v="ENTR PE-103/126 (P/CATENDE)"/>
    <n v="185.7"/>
    <n v="189.3"/>
    <n v="3.6"/>
    <x v="2"/>
    <s v="EOD"/>
    <m/>
    <s v="Federal"/>
    <m/>
    <m/>
    <m/>
    <s v="Federal"/>
    <s v="PAV"/>
    <s v="Recife"/>
  </r>
  <r>
    <x v="0"/>
    <s v="101BPE0575"/>
    <n v="0"/>
    <x v="54"/>
    <s v="0575"/>
    <n v="-35.607046820254403"/>
    <n v="-8.6906351396999"/>
    <n v="-35.628926259938901"/>
    <n v="-8.8795824902396703"/>
    <s v="101"/>
    <s v="PE"/>
    <s v="Eixo Principal"/>
    <s v="-"/>
    <s v="101BPE0575"/>
    <s v="ENTR PE-103/126 (P/CATENDE)"/>
    <s v="DIV PE/AL (PONTE SOBRE O RIO JACUÍPE)"/>
    <n v="189.3"/>
    <n v="213.9"/>
    <n v="24.6"/>
    <x v="2"/>
    <s v="EOD"/>
    <m/>
    <s v="Federal"/>
    <m/>
    <m/>
    <m/>
    <s v="Federal"/>
    <s v="PAV"/>
    <s v="Recife"/>
  </r>
  <r>
    <x v="0"/>
    <s v="101BPR3740"/>
    <n v="0"/>
    <x v="55"/>
    <s v="3740"/>
    <n v="-48.189000599597897"/>
    <n v="-25.1192161802824"/>
    <n v="-48.420349140100697"/>
    <n v="-25.174056040054101"/>
    <s v="101"/>
    <s v="PR"/>
    <s v="Eixo Principal"/>
    <s v="-"/>
    <s v="101BPR3740"/>
    <s v="DIV SP/PR"/>
    <s v="ENTR PR-405"/>
    <n v="0"/>
    <n v="25"/>
    <n v="25"/>
    <x v="1"/>
    <m/>
    <m/>
    <s v="Federal"/>
    <m/>
    <m/>
    <m/>
    <s v="Federal"/>
    <s v="PLA"/>
    <s v="Recife"/>
  </r>
  <r>
    <x v="0"/>
    <s v="101BPR3750"/>
    <n v="0"/>
    <x v="55"/>
    <s v="3750"/>
    <n v="-48.420349140100697"/>
    <n v="-25.174056040054101"/>
    <n v="-48.7525622202701"/>
    <n v="-25.438480520359601"/>
    <s v="101"/>
    <s v="PR"/>
    <s v="Eixo Principal"/>
    <s v="-"/>
    <s v="101BPR3750"/>
    <s v="ENTR PR-405"/>
    <s v="ENTR PR-340 (ANTONINA)"/>
    <n v="25"/>
    <n v="75"/>
    <n v="50"/>
    <x v="1"/>
    <m/>
    <m/>
    <s v="Federal"/>
    <m/>
    <m/>
    <m/>
    <s v="Federal"/>
    <s v="PLA"/>
    <s v="Colombo"/>
  </r>
  <r>
    <x v="0"/>
    <s v="101BPR3760"/>
    <n v="0"/>
    <x v="55"/>
    <s v="3760"/>
    <n v="-48.7525622202701"/>
    <n v="-25.438480520359601"/>
    <n v="-48.743956110286199"/>
    <n v="-25.529123690305902"/>
    <s v="101"/>
    <s v="PR"/>
    <s v="Eixo Principal"/>
    <s v="-"/>
    <s v="101BPR3760"/>
    <s v="ENTR PR-340 (ANTONINA)"/>
    <s v="ENTR BR-277"/>
    <n v="75"/>
    <n v="95"/>
    <n v="20"/>
    <x v="1"/>
    <m/>
    <m/>
    <s v="Federal"/>
    <m/>
    <m/>
    <m/>
    <s v="Federal"/>
    <s v="PLA"/>
    <s v="Colombo"/>
  </r>
  <r>
    <x v="0"/>
    <s v="101BPR3790"/>
    <n v="0"/>
    <x v="55"/>
    <s v="3790"/>
    <n v="-48.743956110286199"/>
    <n v="-25.529123690305902"/>
    <n v="-48.886446100007397"/>
    <n v="-25.9816419701007"/>
    <s v="101"/>
    <s v="PR"/>
    <s v="Eixo Principal"/>
    <s v="-"/>
    <s v="101BPR3790"/>
    <s v="ENTR BR-277"/>
    <s v="DIV PR/SC (ENTR BR-376)"/>
    <n v="95"/>
    <n v="155"/>
    <n v="60"/>
    <x v="1"/>
    <m/>
    <m/>
    <s v="Federal"/>
    <m/>
    <m/>
    <m/>
    <s v="Federal"/>
    <s v="PLA"/>
    <s v="Colombo"/>
  </r>
  <r>
    <x v="0"/>
    <s v="101BRJ2650"/>
    <n v="0"/>
    <x v="56"/>
    <s v="2650"/>
    <n v="-41.3091196103816"/>
    <n v="-21.222443739786701"/>
    <n v="-41.329032339770599"/>
    <n v="-21.321958069709101"/>
    <s v="101"/>
    <s v="RJ"/>
    <s v="Eixo Principal"/>
    <s v="-"/>
    <s v="101BRJ2650"/>
    <s v="DIV ES/RJ"/>
    <s v="ENTR RJ-230"/>
    <n v="0"/>
    <n v="12.7"/>
    <n v="12.7"/>
    <x v="2"/>
    <m/>
    <m/>
    <s v="Concessão Federal"/>
    <m/>
    <m/>
    <m/>
    <s v="Federal"/>
    <s v="PAV"/>
    <s v="Colombo"/>
  </r>
  <r>
    <x v="0"/>
    <s v="101BRJ2670"/>
    <n v="0"/>
    <x v="56"/>
    <s v="2670"/>
    <n v="-41.329032339770599"/>
    <n v="-21.321958069709101"/>
    <n v="-41.343330240098403"/>
    <n v="-21.375841579625099"/>
    <s v="101"/>
    <s v="RJ"/>
    <s v="Eixo Principal"/>
    <s v="-"/>
    <s v="101BRJ2670"/>
    <s v="ENTR RJ-230"/>
    <s v="ENTR BR-492 (MORRO DO COCO)"/>
    <n v="12.7"/>
    <n v="19.2"/>
    <n v="6.5"/>
    <x v="2"/>
    <m/>
    <m/>
    <s v="Concessão Federal"/>
    <m/>
    <m/>
    <m/>
    <s v="Federal"/>
    <s v="PAV"/>
    <s v="Campos"/>
  </r>
  <r>
    <x v="0"/>
    <s v="101BRJ2690"/>
    <n v="0"/>
    <x v="56"/>
    <s v="2690"/>
    <n v="-41.343330240098403"/>
    <n v="-21.375841579625099"/>
    <n v="-41.340967419810497"/>
    <n v="-21.4977999004449"/>
    <s v="101"/>
    <s v="RJ"/>
    <s v="Eixo Principal"/>
    <s v="-"/>
    <s v="101BRJ2690"/>
    <s v="ENTR BR-492 (MORRO DO COCO)"/>
    <s v="ENTR RJ-228 (CONSELHEIRO JOSINO)"/>
    <n v="19.2"/>
    <n v="33.799999999999997"/>
    <n v="14.6"/>
    <x v="2"/>
    <m/>
    <m/>
    <s v="Concessão Federal"/>
    <m/>
    <m/>
    <m/>
    <s v="Federal"/>
    <s v="PAV"/>
    <s v="Campos"/>
  </r>
  <r>
    <x v="0"/>
    <s v="101BRJ2710"/>
    <n v="0"/>
    <x v="56"/>
    <s v="2710"/>
    <n v="-41.340967419810497"/>
    <n v="-21.4977999004449"/>
    <n v="-41.316639039859702"/>
    <n v="-21.6065475302442"/>
    <s v="101"/>
    <s v="RJ"/>
    <s v="Eixo Principal"/>
    <s v="-"/>
    <s v="101BRJ2710"/>
    <s v="ENTR RJ-228 (CONSELHEIRO JOSINO)"/>
    <s v="ENTR RJ-224 (ACESSO TRAVESSÃO)"/>
    <n v="33.799999999999997"/>
    <n v="46.9"/>
    <n v="13.1"/>
    <x v="2"/>
    <m/>
    <m/>
    <s v="Concessão Federal"/>
    <m/>
    <m/>
    <m/>
    <s v="Federal"/>
    <s v="PAV"/>
    <s v="Campos"/>
  </r>
  <r>
    <x v="0"/>
    <s v="101BRJ2730"/>
    <n v="0"/>
    <x v="56"/>
    <s v="2730"/>
    <n v="-41.316639039859702"/>
    <n v="-21.6065475302442"/>
    <n v="-41.330212440052001"/>
    <n v="-21.742021580431501"/>
    <s v="101"/>
    <s v="RJ"/>
    <s v="Eixo Principal"/>
    <s v="-"/>
    <s v="101BRJ2730"/>
    <s v="ENTR RJ-224 (ACESSO TRAVESSÃO)"/>
    <s v="ENTR BR-356(A)/RJ-194"/>
    <n v="46.9"/>
    <n v="63"/>
    <n v="16.100000000000001"/>
    <x v="2"/>
    <m/>
    <m/>
    <s v="Concessão Federal"/>
    <m/>
    <m/>
    <m/>
    <s v="Federal"/>
    <s v="PAV"/>
    <s v="Campos"/>
  </r>
  <r>
    <x v="0"/>
    <s v="101BRJ2732"/>
    <n v="0"/>
    <x v="56"/>
    <s v="2732"/>
    <n v="-41.330212440052001"/>
    <n v="-21.742021580431501"/>
    <n v="-41.332694239747198"/>
    <n v="-21.743609630280101"/>
    <s v="101"/>
    <s v="RJ"/>
    <s v="Eixo Principal"/>
    <s v="-"/>
    <s v="101BRJ2732"/>
    <s v="ENTR BR-356(A)/RJ-194"/>
    <s v="ENTR RJ-158 (CAMPOS)"/>
    <n v="63"/>
    <n v="63.3"/>
    <n v="0.3"/>
    <x v="2"/>
    <m/>
    <s v="356BRJ0391"/>
    <s v="Concessão Federal"/>
    <m/>
    <m/>
    <m/>
    <s v="Federal"/>
    <s v="PAV"/>
    <s v="Campos"/>
  </r>
  <r>
    <x v="0"/>
    <s v="101BRJ2750"/>
    <n v="0"/>
    <x v="56"/>
    <s v="2750"/>
    <n v="-41.332694239747198"/>
    <n v="-21.743609630280101"/>
    <n v="-41.345427120065402"/>
    <n v="-21.765814950099799"/>
    <s v="101"/>
    <s v="RJ"/>
    <s v="Eixo Principal"/>
    <s v="-"/>
    <s v="101BRJ2750"/>
    <s v="ENTR RJ-158 (CAMPOS)"/>
    <s v="ENTR BR-356(B) (TREVO SUL DE CAMPOS)"/>
    <n v="63.3"/>
    <n v="66.599999999999994"/>
    <n v="3.3"/>
    <x v="2"/>
    <m/>
    <s v="356BRJ0393"/>
    <s v="Concessão Federal"/>
    <m/>
    <m/>
    <m/>
    <s v="Federal"/>
    <s v="PAV"/>
    <s v="Campos"/>
  </r>
  <r>
    <x v="0"/>
    <s v="101BRJ2770"/>
    <n v="0"/>
    <x v="56"/>
    <s v="2770"/>
    <n v="-41.345427120065402"/>
    <n v="-21.765814950099799"/>
    <n v="-41.3827572803241"/>
    <n v="-21.786585940288798"/>
    <s v="101"/>
    <s v="RJ"/>
    <s v="Eixo Principal"/>
    <s v="-"/>
    <s v="101BRJ2770"/>
    <s v="ENTR BR-356(B) (TREVO SUL DE CAMPOS)"/>
    <s v="ENTR RJ-208 (URURAÍ)"/>
    <n v="66.599999999999994"/>
    <n v="73.8"/>
    <n v="7.2"/>
    <x v="2"/>
    <m/>
    <m/>
    <s v="Concessão Federal"/>
    <m/>
    <m/>
    <m/>
    <s v="Federal"/>
    <s v="PAV"/>
    <s v="Campos"/>
  </r>
  <r>
    <x v="0"/>
    <s v="101BRJ2790"/>
    <n v="0"/>
    <x v="56"/>
    <s v="2790"/>
    <n v="-41.3827572803241"/>
    <n v="-21.786585940288798"/>
    <n v="-41.427765350390501"/>
    <n v="-21.837148610020201"/>
    <s v="101"/>
    <s v="RJ"/>
    <s v="Eixo Principal"/>
    <s v="-"/>
    <s v="101BRJ2790"/>
    <s v="ENTR RJ-208 (URURAÍ)"/>
    <s v="ENTR RJ-180(A) (P/PONTA DA LAMA)"/>
    <n v="73.8"/>
    <n v="78.900000000000006"/>
    <n v="5.0999999999999996"/>
    <x v="2"/>
    <m/>
    <m/>
    <s v="Concessão Federal"/>
    <m/>
    <m/>
    <m/>
    <s v="Federal"/>
    <s v="PAV"/>
    <s v="Campos"/>
  </r>
  <r>
    <x v="0"/>
    <s v="101BRJ2810"/>
    <n v="0"/>
    <x v="56"/>
    <s v="2810"/>
    <n v="-41.427765350390501"/>
    <n v="-21.837148610020201"/>
    <n v="-41.6476849996629"/>
    <n v="-21.9617868799604"/>
    <s v="101"/>
    <s v="RJ"/>
    <s v="Eixo Principal"/>
    <s v="-"/>
    <s v="101BRJ2810"/>
    <s v="ENTR RJ-180(A) (P/PONTA DA LAMA)"/>
    <s v="ENTR RJ-180(B) (P/DORES DE MACABÚ)"/>
    <n v="78.900000000000006"/>
    <n v="110.9"/>
    <n v="32"/>
    <x v="2"/>
    <m/>
    <m/>
    <s v="Concessão Federal"/>
    <m/>
    <m/>
    <m/>
    <s v="Federal"/>
    <s v="PAV"/>
    <s v="Campos"/>
  </r>
  <r>
    <x v="0"/>
    <s v="101BRJ2811"/>
    <n v="0"/>
    <x v="56"/>
    <s v="2811"/>
    <n v="-41.6476849996629"/>
    <n v="-21.9617868799604"/>
    <n v="-41.691974940391098"/>
    <n v="-22.0270930200268"/>
    <s v="101"/>
    <s v="RJ"/>
    <s v="Eixo Principal"/>
    <s v="-"/>
    <s v="101BRJ2811"/>
    <s v="ENTR RJ-180(B) (P/DORES DE MACABÚ)"/>
    <s v="ENTR RJ-180(C) (P/SANTO ANTÔNIO DO IMBÉ)"/>
    <n v="110.9"/>
    <n v="120.1"/>
    <n v="9.1999999999999993"/>
    <x v="2"/>
    <m/>
    <m/>
    <s v="Concessão Federal"/>
    <m/>
    <m/>
    <m/>
    <s v="Federal"/>
    <s v="PAV"/>
    <s v="Campos"/>
  </r>
  <r>
    <x v="0"/>
    <s v="101BRJ2826"/>
    <n v="0"/>
    <x v="56"/>
    <s v="2826"/>
    <n v="-41.691974940391098"/>
    <n v="-22.0270930200268"/>
    <n v="-41.683207699775402"/>
    <n v="-22.051446170004599"/>
    <s v="101"/>
    <s v="RJ"/>
    <s v="Eixo Principal"/>
    <s v="-"/>
    <s v="101BRJ2826"/>
    <s v="ENTR RJ-180(C) (P/SANTO ANTÔNIO DO IMBÉ)"/>
    <s v="INÍCIO DE PISTA DUPLA"/>
    <n v="120.1"/>
    <n v="123.2"/>
    <n v="3.1"/>
    <x v="2"/>
    <m/>
    <m/>
    <s v="Concessão Federal"/>
    <m/>
    <m/>
    <m/>
    <s v="Federal"/>
    <s v="PAV"/>
    <s v="Campos"/>
  </r>
  <r>
    <x v="0"/>
    <s v="101BRJ2840"/>
    <n v="0"/>
    <x v="56"/>
    <s v="2840"/>
    <n v="-41.683207699775402"/>
    <n v="-22.051446170004599"/>
    <n v="-41.685207239822198"/>
    <n v="-22.066825940364801"/>
    <s v="101"/>
    <s v="RJ"/>
    <s v="Eixo Principal"/>
    <s v="-"/>
    <s v="101BRJ2840"/>
    <s v="INÍCIO DE PISTA DUPLA"/>
    <s v="ENTR RJ-196"/>
    <n v="123.2"/>
    <n v="125"/>
    <n v="1.8"/>
    <x v="0"/>
    <m/>
    <m/>
    <s v="Concessão Federal"/>
    <m/>
    <m/>
    <m/>
    <s v="Federal"/>
    <s v="PAV"/>
    <s v="Campos"/>
  </r>
  <r>
    <x v="0"/>
    <s v="101BRJ2850"/>
    <n v="0"/>
    <x v="56"/>
    <s v="2850"/>
    <n v="-41.685207239822198"/>
    <n v="-22.066825940364801"/>
    <n v="-41.741946949791803"/>
    <n v="-22.167319019556999"/>
    <s v="101"/>
    <s v="RJ"/>
    <s v="Eixo Principal"/>
    <s v="-"/>
    <s v="101BRJ2850"/>
    <s v="ENTR RJ-196"/>
    <s v="ENTR RJ-182"/>
    <n v="125"/>
    <n v="138.5"/>
    <n v="13.5"/>
    <x v="0"/>
    <m/>
    <m/>
    <s v="Concessão Federal"/>
    <m/>
    <m/>
    <m/>
    <s v="Federal"/>
    <s v="PAV"/>
    <s v="Campos"/>
  </r>
  <r>
    <x v="0"/>
    <s v="101BRJ2860"/>
    <n v="0"/>
    <x v="56"/>
    <s v="2860"/>
    <n v="-41.741946949791803"/>
    <n v="-22.167319019556999"/>
    <n v="-41.756692529936203"/>
    <n v="-22.216621990012801"/>
    <s v="101"/>
    <s v="RJ"/>
    <s v="Eixo Principal"/>
    <s v="-"/>
    <s v="101BRJ2860"/>
    <s v="ENTR RJ-182"/>
    <s v="ENTR RJ-106 (FAZENDA DOS QUARENTA)"/>
    <n v="138.5"/>
    <n v="144.5"/>
    <n v="6"/>
    <x v="0"/>
    <m/>
    <m/>
    <s v="Concessão Federal"/>
    <m/>
    <m/>
    <m/>
    <s v="Federal"/>
    <s v="PAV"/>
    <s v="Campos"/>
  </r>
  <r>
    <x v="0"/>
    <s v="101BRJ2890"/>
    <n v="0"/>
    <x v="56"/>
    <s v="2890"/>
    <n v="-41.756692529936203"/>
    <n v="-22.216621990012801"/>
    <n v="-41.758345380434797"/>
    <n v="-22.217901879967702"/>
    <s v="101"/>
    <s v="RJ"/>
    <s v="Eixo Principal"/>
    <s v="-"/>
    <s v="101BRJ2890"/>
    <s v="ENTR RJ-106 (FAZENDA DOS QUARENTA)"/>
    <s v="FIM DA DUPLICAÇÃO"/>
    <n v="144.5"/>
    <n v="144.69999999999999"/>
    <n v="0.2"/>
    <x v="2"/>
    <m/>
    <m/>
    <s v="Concessão Federal"/>
    <m/>
    <m/>
    <m/>
    <s v="Federal"/>
    <s v="PAV"/>
    <s v="Campos"/>
  </r>
  <r>
    <x v="0"/>
    <s v="101BRJ2900"/>
    <n v="0"/>
    <x v="56"/>
    <s v="2900"/>
    <n v="-41.758345380434797"/>
    <n v="-22.217901879967702"/>
    <n v="-41.925959609648203"/>
    <n v="-22.353858689826598"/>
    <s v="101"/>
    <s v="RJ"/>
    <s v="Eixo Principal"/>
    <s v="-"/>
    <s v="101BRJ2900"/>
    <s v="FIM DA DUPLICAÇÃO"/>
    <s v="ENTR RJ-168 (P/MACAÉ)"/>
    <n v="144.69999999999999"/>
    <n v="169.5"/>
    <n v="24.8"/>
    <x v="2"/>
    <m/>
    <m/>
    <s v="Concessão Federal"/>
    <m/>
    <m/>
    <m/>
    <s v="Federal"/>
    <s v="PAV"/>
    <s v="Campos"/>
  </r>
  <r>
    <x v="0"/>
    <s v="101BRJ2910"/>
    <n v="0"/>
    <x v="56"/>
    <s v="2910"/>
    <n v="-41.925959609648203"/>
    <n v="-22.353858689826598"/>
    <n v="-42.067176920178603"/>
    <n v="-22.464524470128101"/>
    <s v="101"/>
    <s v="RJ"/>
    <s v="Eixo Principal"/>
    <s v="-"/>
    <s v="101BRJ2910"/>
    <s v="ENTR RJ-168 (P/MACAÉ)"/>
    <s v="INÍCIO DA DUPLICAÇÃO"/>
    <n v="169.5"/>
    <n v="190.2"/>
    <n v="20.7"/>
    <x v="2"/>
    <m/>
    <m/>
    <s v="Concessão Federal"/>
    <m/>
    <m/>
    <m/>
    <s v="Federal"/>
    <s v="PAV"/>
    <s v="Campos"/>
  </r>
  <r>
    <x v="0"/>
    <s v="101BRJ2920"/>
    <n v="0"/>
    <x v="56"/>
    <s v="2920"/>
    <n v="-42.067176920178603"/>
    <n v="-22.464524470128101"/>
    <n v="-42.071077039773499"/>
    <n v="-22.4653909804093"/>
    <s v="101"/>
    <s v="RJ"/>
    <s v="Eixo Principal"/>
    <s v="-"/>
    <s v="101BRJ2920"/>
    <s v="INÍCIO DA DUPLICAÇÃO"/>
    <s v="ENTR RJ-162 (P/RIO DOURADO)"/>
    <n v="190.2"/>
    <n v="190.6"/>
    <n v="0.4"/>
    <x v="0"/>
    <m/>
    <m/>
    <s v="Concessão Federal"/>
    <m/>
    <m/>
    <m/>
    <s v="Federal"/>
    <s v="PAV"/>
    <s v="Campos"/>
  </r>
  <r>
    <x v="0"/>
    <s v="101BRJ2930"/>
    <n v="0"/>
    <x v="56"/>
    <s v="2930"/>
    <n v="-42.071077039773499"/>
    <n v="-22.4653909804093"/>
    <n v="-42.202703429619497"/>
    <n v="-22.476908419787701"/>
    <s v="101"/>
    <s v="RJ"/>
    <s v="Eixo Principal"/>
    <s v="-"/>
    <s v="101BRJ2930"/>
    <s v="ENTR RJ-162 (P/RIO DOURADO)"/>
    <s v="ENTR BR-120 (CASIMIRO DE ABREU)"/>
    <n v="190.6"/>
    <n v="206.1"/>
    <n v="15.5"/>
    <x v="2"/>
    <m/>
    <m/>
    <s v="Concessão Federal"/>
    <m/>
    <m/>
    <m/>
    <s v="Federal"/>
    <s v="PAV"/>
    <s v="Campos"/>
  </r>
  <r>
    <x v="0"/>
    <s v="101BRJ2950"/>
    <n v="0"/>
    <x v="56"/>
    <s v="2950"/>
    <n v="-42.202703429619497"/>
    <n v="-22.476908419787701"/>
    <n v="-42.410095219718499"/>
    <n v="-22.613220219937102"/>
    <s v="101"/>
    <s v="RJ"/>
    <s v="Eixo Principal"/>
    <s v="-"/>
    <s v="101BRJ2950"/>
    <s v="ENTR BR-120 (CASIMIRO DE ABREU)"/>
    <s v="ENTR RJ-140 (P/SILVA JARDIM)"/>
    <n v="206.1"/>
    <n v="236.7"/>
    <n v="30.6"/>
    <x v="2"/>
    <m/>
    <m/>
    <s v="Concessão Federal"/>
    <m/>
    <m/>
    <m/>
    <s v="Federal"/>
    <s v="PAV"/>
    <s v="Campos"/>
  </r>
  <r>
    <x v="0"/>
    <s v="101BRJ2970"/>
    <n v="0"/>
    <x v="56"/>
    <s v="2970"/>
    <n v="-42.410095219718499"/>
    <n v="-22.613220219937102"/>
    <n v="-42.617713340398304"/>
    <n v="-22.7134469900864"/>
    <s v="101"/>
    <s v="RJ"/>
    <s v="Eixo Principal"/>
    <s v="-"/>
    <s v="101BRJ2970"/>
    <s v="ENTR RJ-140 (P/SILVA JARDIM)"/>
    <s v="ENTR RJ-124 (RIO BONITO)"/>
    <n v="236.7"/>
    <n v="261.7"/>
    <n v="25"/>
    <x v="2"/>
    <m/>
    <m/>
    <s v="Concessão Federal"/>
    <m/>
    <m/>
    <m/>
    <s v="Federal"/>
    <s v="PAV"/>
    <s v="Campos"/>
  </r>
  <r>
    <x v="0"/>
    <s v="101BRJ2990"/>
    <n v="0"/>
    <x v="56"/>
    <s v="2990"/>
    <n v="-42.617713340398304"/>
    <n v="-22.7134469900864"/>
    <n v="-42.690315830411102"/>
    <n v="-22.720158910205399"/>
    <s v="101"/>
    <s v="RJ"/>
    <s v="Eixo Principal"/>
    <s v="-"/>
    <s v="101BRJ2990"/>
    <s v="ENTR RJ-124 (RIO BONITO)"/>
    <s v="ENTR RJ-120 (BASÍLIO)"/>
    <n v="261.7"/>
    <n v="270.39999999999998"/>
    <n v="8.6999999999999993"/>
    <x v="0"/>
    <m/>
    <m/>
    <s v="Concessão Federal"/>
    <m/>
    <m/>
    <m/>
    <s v="Federal"/>
    <s v="PAV"/>
    <s v="Campos"/>
  </r>
  <r>
    <x v="0"/>
    <s v="101BRJ3010"/>
    <n v="0"/>
    <x v="56"/>
    <s v="3010"/>
    <n v="-42.690315830411102"/>
    <n v="-22.720158910205399"/>
    <n v="-42.805111939664201"/>
    <n v="-22.735417749629299"/>
    <s v="101"/>
    <s v="RJ"/>
    <s v="Eixo Principal"/>
    <s v="-"/>
    <s v="101BRJ3010"/>
    <s v="ENTR RJ-120 (BASÍLIO)"/>
    <s v="ACESSO LESTE ITABORAÍ (DUQUES)"/>
    <n v="270.39999999999998"/>
    <n v="282.89999999999998"/>
    <n v="12.5"/>
    <x v="0"/>
    <m/>
    <m/>
    <s v="Concessão Federal"/>
    <m/>
    <m/>
    <m/>
    <s v="Federal"/>
    <s v="PAV"/>
    <s v="Campos"/>
  </r>
  <r>
    <x v="0"/>
    <s v="101BRJ3030"/>
    <n v="0"/>
    <x v="56"/>
    <s v="3030"/>
    <n v="-42.805111939664201"/>
    <n v="-22.735417749629299"/>
    <n v="-42.832682259578498"/>
    <n v="-22.754966080020498"/>
    <s v="101"/>
    <s v="RJ"/>
    <s v="Eixo Principal"/>
    <s v="-"/>
    <s v="101BRJ3030"/>
    <s v="ACESSO LESTE ITABORAÍ (DUQUES)"/>
    <s v="ENTR RJ-114"/>
    <n v="282.89999999999998"/>
    <n v="286.8"/>
    <n v="3.9"/>
    <x v="0"/>
    <m/>
    <m/>
    <s v="Concessão Federal"/>
    <m/>
    <m/>
    <m/>
    <s v="Federal"/>
    <s v="PAV"/>
    <s v="Campos"/>
  </r>
  <r>
    <x v="0"/>
    <s v="101BRJ3050"/>
    <n v="0"/>
    <x v="56"/>
    <s v="3050"/>
    <n v="-42.832682259578498"/>
    <n v="-22.754966080020498"/>
    <n v="-42.889866490046401"/>
    <n v="-22.755023650121299"/>
    <s v="101"/>
    <s v="RJ"/>
    <s v="Eixo Principal"/>
    <s v="-"/>
    <s v="101BRJ3050"/>
    <s v="ENTR RJ-114"/>
    <s v="ACESSO OESTE ITABORAÍ"/>
    <n v="286.8"/>
    <n v="293.3"/>
    <n v="6.5"/>
    <x v="0"/>
    <m/>
    <m/>
    <s v="Concessão Federal"/>
    <m/>
    <m/>
    <m/>
    <s v="Federal"/>
    <s v="PAV"/>
    <s v="Campos"/>
  </r>
  <r>
    <x v="0"/>
    <s v="101BRJ3060"/>
    <n v="0"/>
    <x v="56"/>
    <s v="3060"/>
    <n v="-42.889866490046401"/>
    <n v="-22.755023650121299"/>
    <n v="-42.922001270442202"/>
    <n v="-22.770935269646898"/>
    <s v="101"/>
    <s v="RJ"/>
    <s v="Eixo Principal"/>
    <s v="-"/>
    <s v="101BRJ3060"/>
    <s v="ACESSO OESTE ITABORAÍ"/>
    <s v="ENTR BR-493 (MANILHA)"/>
    <n v="293.3"/>
    <n v="297.39999999999998"/>
    <n v="4.0999999999999996"/>
    <x v="0"/>
    <m/>
    <m/>
    <s v="Concessão Federal"/>
    <m/>
    <m/>
    <m/>
    <s v="Federal"/>
    <s v="PAV"/>
    <s v="Campos"/>
  </r>
  <r>
    <x v="0"/>
    <s v="101BRJ3070"/>
    <n v="0"/>
    <x v="56"/>
    <s v="3070"/>
    <n v="-42.922001270442202"/>
    <n v="-22.770935269646898"/>
    <n v="-42.928960770323201"/>
    <n v="-22.771399659766399"/>
    <s v="101"/>
    <s v="RJ"/>
    <s v="Eixo Principal"/>
    <s v="-"/>
    <s v="101BRJ3070"/>
    <s v="ENTR BR-493 (MANILHA)"/>
    <s v="ENTR RJ-104"/>
    <n v="297.39999999999998"/>
    <n v="298"/>
    <n v="0.6"/>
    <x v="0"/>
    <m/>
    <m/>
    <s v="Concessão Federal"/>
    <m/>
    <m/>
    <m/>
    <s v="Federal"/>
    <s v="PAV"/>
    <s v="Campos"/>
  </r>
  <r>
    <x v="0"/>
    <s v="101BRJ3090"/>
    <n v="0"/>
    <x v="56"/>
    <s v="3090"/>
    <n v="-42.928960770323201"/>
    <n v="-22.771399659766399"/>
    <n v="-43.110434910242802"/>
    <n v="-22.8766336500228"/>
    <s v="101"/>
    <s v="RJ"/>
    <s v="Eixo Principal"/>
    <s v="-"/>
    <s v="101BRJ3090"/>
    <s v="ENTR RJ-104"/>
    <s v="ACESSO PTE PRES COSTA E SILVA (NITERÓI)"/>
    <n v="298"/>
    <n v="322.10000000000002"/>
    <n v="24.1"/>
    <x v="0"/>
    <m/>
    <m/>
    <s v="Concessão Federal"/>
    <m/>
    <m/>
    <m/>
    <s v="Federal"/>
    <s v="PAV"/>
    <s v="Campos"/>
  </r>
  <r>
    <x v="0"/>
    <s v="101BRJ3110"/>
    <n v="0"/>
    <x v="56"/>
    <s v="3110"/>
    <n v="-43.110434910242802"/>
    <n v="-22.8766336500228"/>
    <n v="-43.219041820423598"/>
    <n v="-22.8890334304484"/>
    <s v="101"/>
    <s v="RJ"/>
    <s v="Eixo Principal"/>
    <s v="-"/>
    <s v="101BRJ3110"/>
    <s v="ACESSO PTE PRES COSTA E SILVA (NITERÓI)"/>
    <s v="ENTR BR-040(A) (ACESSO PTE PRES COSTA E SILVA (RIO))"/>
    <n v="322.10000000000002"/>
    <n v="334.5"/>
    <n v="12.4"/>
    <x v="0"/>
    <m/>
    <m/>
    <s v="Concessão Federal"/>
    <m/>
    <m/>
    <m/>
    <s v="Federal"/>
    <s v="PAV"/>
    <s v="Campos"/>
  </r>
  <r>
    <x v="0"/>
    <s v="101BRJ3130"/>
    <n v="0"/>
    <x v="56"/>
    <s v="3130"/>
    <n v="-43.219041820423598"/>
    <n v="-22.8890334304484"/>
    <n v="-43.227631939562301"/>
    <n v="-22.885072079612701"/>
    <s v="101"/>
    <s v="RJ"/>
    <s v="Eixo Principal"/>
    <s v="Coinc"/>
    <s v="101BRJ3130"/>
    <s v="ENTR BR-040(A) (ACESSO PTE PRES COSTA E SILVA (RIO))"/>
    <s v="ENTR RJ-071 (LINHA VERMELHA)"/>
    <n v="334.5"/>
    <n v="335.3"/>
    <n v="0.8"/>
    <x v="0"/>
    <m/>
    <s v="040BRJ1050"/>
    <s v="Convênio de Administração"/>
    <m/>
    <m/>
    <m/>
    <s v="Federal"/>
    <s v="PAV"/>
    <s v="Seropédica"/>
  </r>
  <r>
    <x v="0"/>
    <s v="101BRJ3150"/>
    <n v="0"/>
    <x v="56"/>
    <s v="3150"/>
    <n v="-43.227631939562301"/>
    <n v="-22.885072079612701"/>
    <n v="-43.232554160246202"/>
    <n v="-22.887234309715499"/>
    <s v="101"/>
    <s v="RJ"/>
    <s v="Eixo Principal"/>
    <s v="Coinc"/>
    <s v="101BRJ3150"/>
    <s v="ENTR RJ-071 (LINHA VERMELHA)"/>
    <s v="ENTR RJ-077 (CAJÚ)"/>
    <n v="335.3"/>
    <n v="336.1"/>
    <n v="0.8"/>
    <x v="0"/>
    <m/>
    <s v="040BRJ1030"/>
    <s v="Convênio de Administração"/>
    <m/>
    <m/>
    <m/>
    <s v="Federal"/>
    <s v="PAV"/>
    <s v="Seropédica"/>
  </r>
  <r>
    <x v="0"/>
    <s v="101BRJ3160"/>
    <n v="0"/>
    <x v="56"/>
    <s v="3160"/>
    <n v="-43.232554160246202"/>
    <n v="-22.887234309715499"/>
    <n v="-43.2464285500375"/>
    <n v="-22.871018800277302"/>
    <s v="101"/>
    <s v="RJ"/>
    <s v="Eixo Principal"/>
    <s v="Coinc"/>
    <s v="101BRJ3160"/>
    <s v="ENTR RJ-077 (CAJÚ)"/>
    <s v="ENTR RJ-087 (VIADUTO DE MANGUINHOS)"/>
    <n v="336.1"/>
    <n v="339"/>
    <n v="2.9"/>
    <x v="0"/>
    <m/>
    <s v="040BRJ1010"/>
    <s v="Convênio de Administração"/>
    <m/>
    <m/>
    <m/>
    <s v="Federal"/>
    <s v="PAV"/>
    <s v="Seropédica"/>
  </r>
  <r>
    <x v="0"/>
    <s v="101BRJ3170"/>
    <n v="0"/>
    <x v="56"/>
    <s v="3170"/>
    <n v="-43.2464285500375"/>
    <n v="-22.871018800277302"/>
    <n v="-43.289015369963202"/>
    <n v="-22.816131100170001"/>
    <s v="101"/>
    <s v="RJ"/>
    <s v="Eixo Principal"/>
    <s v="Coinc"/>
    <s v="101BRJ3170"/>
    <s v="ENTR RJ-087 (VIADUTO DE MANGUINHOS)"/>
    <s v="ENTR BR-040(B)/116(A) (TREVO DAS MISSÕES)"/>
    <n v="339"/>
    <n v="347.1"/>
    <n v="8.1"/>
    <x v="0"/>
    <m/>
    <s v="040BRJ1000"/>
    <s v="Convênio de Administração"/>
    <m/>
    <m/>
    <m/>
    <s v="Federal"/>
    <s v="PAV"/>
    <s v="Seropédica"/>
  </r>
  <r>
    <x v="0"/>
    <s v="101BRJ3190"/>
    <n v="0"/>
    <x v="56"/>
    <s v="3190"/>
    <n v="-43.289015369963202"/>
    <n v="-22.816131100170001"/>
    <n v="-43.301484230013102"/>
    <n v="-22.815825759650998"/>
    <s v="101"/>
    <s v="RJ"/>
    <s v="Eixo Principal"/>
    <s v="-"/>
    <s v="101BRJ3190"/>
    <s v="ENTR BR-040(B)/116(A) (TREVO DAS MISSÕES)"/>
    <s v="ENTR RJ-101 (PARADA DE LUCAS)"/>
    <n v="347.1"/>
    <n v="348.4"/>
    <n v="1.3"/>
    <x v="0"/>
    <m/>
    <s v="116BRJ1770"/>
    <s v="Convênio de Administração"/>
    <m/>
    <m/>
    <m/>
    <s v="Federal"/>
    <s v="PAV"/>
    <s v="Seropédica"/>
  </r>
  <r>
    <x v="0"/>
    <s v="101BRJ3200"/>
    <n v="0"/>
    <x v="56"/>
    <s v="3200"/>
    <n v="-43.301484230013102"/>
    <n v="-22.815825759650998"/>
    <n v="-43.315760839790798"/>
    <n v="-22.819953969799801"/>
    <s v="101"/>
    <s v="RJ"/>
    <s v="Eixo Principal"/>
    <s v="-"/>
    <s v="101BRJ3200"/>
    <s v="ENTR RJ-101 (PARADA DE LUCAS)"/>
    <s v="ENTR BR-116(B) (P/SÃO PAULO)"/>
    <n v="348.4"/>
    <n v="350.4"/>
    <n v="2"/>
    <x v="0"/>
    <m/>
    <s v="116BRJ1780"/>
    <s v="Convênio de Administração"/>
    <m/>
    <m/>
    <m/>
    <s v="Federal"/>
    <s v="PAV"/>
    <s v="Seropédica"/>
  </r>
  <r>
    <x v="0"/>
    <s v="101BRJ3210"/>
    <n v="0"/>
    <x v="56"/>
    <s v="3210"/>
    <n v="-43.315760839790798"/>
    <n v="-22.819953969799801"/>
    <n v="-43.345552799921698"/>
    <n v="-22.829189470317701"/>
    <s v="101"/>
    <s v="RJ"/>
    <s v="Eixo Principal"/>
    <s v="-"/>
    <s v="101BRJ3210"/>
    <s v="ENTR BR-116(B) (P/SÃO PAULO)"/>
    <s v="ENTR RJ-083"/>
    <n v="350.4"/>
    <n v="353.2"/>
    <n v="2.8"/>
    <x v="0"/>
    <m/>
    <m/>
    <s v="Convênio de Administração"/>
    <m/>
    <m/>
    <m/>
    <s v="Federal"/>
    <s v="PAV"/>
    <s v="Seropédica"/>
  </r>
  <r>
    <x v="0"/>
    <s v="101BRJ3230"/>
    <n v="0"/>
    <x v="56"/>
    <s v="3230"/>
    <n v="-43.345552799921698"/>
    <n v="-22.829189470317701"/>
    <n v="-43.596418750325"/>
    <n v="-22.868934740145999"/>
    <s v="101"/>
    <s v="RJ"/>
    <s v="Eixo Principal"/>
    <s v="-"/>
    <s v="101BRJ3230"/>
    <s v="ENTR RJ-083"/>
    <s v="ENTR BR-465(A)/RJ-095"/>
    <n v="353.2"/>
    <n v="380.8"/>
    <n v="27.6"/>
    <x v="0"/>
    <m/>
    <m/>
    <s v="Convênio de Administração"/>
    <m/>
    <m/>
    <m/>
    <s v="Federal"/>
    <s v="PAV"/>
    <s v="Angra dos Reis"/>
  </r>
  <r>
    <x v="0"/>
    <s v="101BRJ3270"/>
    <n v="0"/>
    <x v="56"/>
    <s v="3270"/>
    <n v="-43.596418750325"/>
    <n v="-22.868934740145999"/>
    <n v="-43.676287159924399"/>
    <n v="-22.893751329659999"/>
    <s v="101"/>
    <s v="RJ"/>
    <s v="Eixo Principal"/>
    <s v="-"/>
    <s v="101BRJ3270"/>
    <s v="ENTR BR-465(A)/RJ-095"/>
    <s v="ENTR BR-465(B) (SANTA CRUZ)(AV. PADRE GUILHERME DECAMINADA)"/>
    <n v="380.8"/>
    <n v="390.1"/>
    <n v="9.3000000000000007"/>
    <x v="0"/>
    <m/>
    <s v="465BRJ0090"/>
    <s v="Convênio de Administração"/>
    <m/>
    <m/>
    <m/>
    <s v="Federal"/>
    <s v="PAV"/>
    <s v="Angra dos Reis"/>
  </r>
  <r>
    <x v="0"/>
    <s v="101BRJ3290"/>
    <n v="0"/>
    <x v="56"/>
    <s v="3290"/>
    <n v="-43.676287159924399"/>
    <n v="-22.893751329659999"/>
    <n v="-43.731923759673698"/>
    <n v="-22.878200969599"/>
    <s v="101"/>
    <s v="RJ"/>
    <s v="Eixo Principal"/>
    <s v="-"/>
    <s v="101BRJ3290"/>
    <s v="ENTR BR-465(B) (SANTA CRUZ)(AV. PADRE GUILHERME DECAMINADA)"/>
    <s v="DIV MUNICIPAL RIO DE JANEIRO/ITAGUAÍ (TREVO P/ CASA DA MOEDA)"/>
    <n v="390.1"/>
    <n v="396.1"/>
    <n v="6"/>
    <x v="0"/>
    <m/>
    <m/>
    <s v="Federal"/>
    <m/>
    <m/>
    <m/>
    <s v="Federal"/>
    <s v="PAV"/>
    <s v="Angra dos Reis"/>
  </r>
  <r>
    <x v="0"/>
    <s v="101BRJ3310"/>
    <n v="0"/>
    <x v="56"/>
    <s v="3310"/>
    <n v="-43.731923759673698"/>
    <n v="-22.878200969599"/>
    <n v="-43.7518013201747"/>
    <n v="-22.865175059581301"/>
    <s v="101"/>
    <s v="RJ"/>
    <s v="Eixo Principal"/>
    <s v="-"/>
    <s v="101BRJ3310"/>
    <s v="DIV MUNICIPAL RIO DE JANEIRO/ITAGUAÍ (TREVO P/ CASA DA MOEDA)"/>
    <s v="ENTR RJ-099/109 (P/ITAGUAÍ)"/>
    <n v="396.1"/>
    <n v="398.4"/>
    <n v="2.2999999999999998"/>
    <x v="0"/>
    <m/>
    <m/>
    <s v="Federal"/>
    <m/>
    <m/>
    <m/>
    <s v="Federal"/>
    <s v="PAV"/>
    <s v="Angra dos Reis"/>
  </r>
  <r>
    <x v="0"/>
    <s v="101BRJ3320"/>
    <n v="0"/>
    <x v="56"/>
    <s v="3320"/>
    <n v="-43.7518013201747"/>
    <n v="-22.865175059581301"/>
    <n v="-43.7668015100815"/>
    <n v="-22.850732450242301"/>
    <s v="101"/>
    <s v="RJ"/>
    <s v="Eixo Principal"/>
    <s v="-"/>
    <s v="101BRJ3320"/>
    <s v="ENTR RJ-099/109 (P/ITAGUAÍ)"/>
    <s v="ENTR RJ-125"/>
    <n v="398.4"/>
    <n v="400.4"/>
    <n v="2"/>
    <x v="0"/>
    <m/>
    <m/>
    <s v="Federal"/>
    <m/>
    <m/>
    <m/>
    <s v="Federal"/>
    <s v="PAV"/>
    <s v="Angra dos Reis"/>
  </r>
  <r>
    <x v="0"/>
    <s v="101BRJ3330"/>
    <n v="0"/>
    <x v="56"/>
    <s v="3330"/>
    <n v="-43.7668015100815"/>
    <n v="-22.850732450242301"/>
    <n v="-43.809552379838401"/>
    <n v="-22.8723575400683"/>
    <s v="101"/>
    <s v="RJ"/>
    <s v="Eixo Principal"/>
    <s v="-"/>
    <s v="101BRJ3330"/>
    <s v="ENTR RJ-125"/>
    <s v="ENTR RJ-079"/>
    <n v="400.4"/>
    <n v="406.1"/>
    <n v="5.7"/>
    <x v="0"/>
    <m/>
    <m/>
    <s v="Federal"/>
    <m/>
    <m/>
    <m/>
    <s v="Federal"/>
    <s v="PAV"/>
    <s v="Angra dos Reis"/>
  </r>
  <r>
    <x v="0"/>
    <s v="101BRJ3335"/>
    <n v="0"/>
    <x v="56"/>
    <s v="3335"/>
    <n v="-43.809552379838401"/>
    <n v="-22.8723575400683"/>
    <n v="-43.825688169773102"/>
    <n v="-22.8815337204048"/>
    <s v="101"/>
    <s v="RJ"/>
    <s v="Eixo Principal"/>
    <s v="-"/>
    <s v="101BRJ3335"/>
    <s v="ENTR RJ-079"/>
    <s v="ENTR BR-493"/>
    <n v="406.1"/>
    <n v="408"/>
    <n v="1.9"/>
    <x v="0"/>
    <m/>
    <m/>
    <s v="Federal"/>
    <m/>
    <m/>
    <m/>
    <s v="Federal"/>
    <s v="PAV"/>
    <s v="Angra dos Reis"/>
  </r>
  <r>
    <x v="0"/>
    <s v="101BRJ3337"/>
    <n v="0"/>
    <x v="56"/>
    <s v="3337"/>
    <n v="-43.825688169773102"/>
    <n v="-22.8815337204048"/>
    <n v="-43.893304099804297"/>
    <n v="-22.910508400042598"/>
    <s v="101"/>
    <s v="RJ"/>
    <s v="Eixo Principal"/>
    <s v="-"/>
    <s v="101BRJ3337"/>
    <s v="ENTR BR-493"/>
    <s v="TREVO DE ACESSO À ITACURUÇÁ"/>
    <n v="408"/>
    <n v="416.5"/>
    <n v="8.5"/>
    <x v="0"/>
    <m/>
    <m/>
    <s v="Federal"/>
    <m/>
    <m/>
    <m/>
    <s v="Federal"/>
    <s v="PAV"/>
    <s v="Angra dos Reis"/>
  </r>
  <r>
    <x v="0"/>
    <s v="101BRJ3340"/>
    <n v="0"/>
    <x v="56"/>
    <s v="3340"/>
    <n v="-43.893304099804297"/>
    <n v="-22.910508400042598"/>
    <n v="-43.995701860352497"/>
    <n v="-22.9349709201717"/>
    <s v="101"/>
    <s v="RJ"/>
    <s v="Eixo Principal"/>
    <s v="-"/>
    <s v="101BRJ3340"/>
    <s v="TREVO DE ACESSO À ITACURUÇÁ"/>
    <s v="ACESSO MANGARATIBA"/>
    <n v="416.5"/>
    <n v="428.6"/>
    <n v="12.1"/>
    <x v="2"/>
    <m/>
    <m/>
    <s v="Federal"/>
    <m/>
    <m/>
    <m/>
    <s v="Federal"/>
    <s v="PAV"/>
    <s v="Angra dos Reis"/>
  </r>
  <r>
    <x v="0"/>
    <s v="101BRJ3345"/>
    <n v="0"/>
    <x v="56"/>
    <s v="3345"/>
    <n v="-43.995701860352497"/>
    <n v="-22.9349709201717"/>
    <n v="-44.0375810802026"/>
    <n v="-22.938295559992"/>
    <s v="101"/>
    <s v="RJ"/>
    <s v="Eixo Principal"/>
    <s v="-"/>
    <s v="101BRJ3345"/>
    <s v="ACESSO MANGARATIBA"/>
    <s v="ENTR RJ-149 (P/RIO CLARO)"/>
    <n v="428.6"/>
    <n v="433.1"/>
    <n v="4.5"/>
    <x v="2"/>
    <m/>
    <m/>
    <s v="Federal"/>
    <m/>
    <m/>
    <m/>
    <s v="Federal"/>
    <s v="PAV"/>
    <s v="Angra dos Reis"/>
  </r>
  <r>
    <x v="0"/>
    <s v="101BRJ3350"/>
    <n v="0"/>
    <x v="56"/>
    <s v="3350"/>
    <n v="-44.0375810802026"/>
    <n v="-22.938295559992"/>
    <n v="-44.297104939741097"/>
    <n v="-23.005381339677001"/>
    <s v="101"/>
    <s v="RJ"/>
    <s v="Eixo Principal"/>
    <s v="-"/>
    <s v="101BRJ3350"/>
    <s v="ENTR RJ-149 (P/RIO CLARO)"/>
    <s v="ENTR BR-494(A) (ANGRA DOS REIS)"/>
    <n v="433.1"/>
    <n v="481.9"/>
    <n v="48.8"/>
    <x v="2"/>
    <m/>
    <m/>
    <s v="Federal"/>
    <m/>
    <m/>
    <m/>
    <s v="Federal"/>
    <s v="PAV"/>
    <s v="Angra dos Reis"/>
  </r>
  <r>
    <x v="0"/>
    <s v="101BRJ3370"/>
    <n v="0"/>
    <x v="56"/>
    <s v="3370"/>
    <n v="-44.297104939741097"/>
    <n v="-23.005381339677001"/>
    <n v="-44.321010819993298"/>
    <n v="-22.925878009862199"/>
    <s v="101"/>
    <s v="RJ"/>
    <s v="Eixo Principal"/>
    <s v="-"/>
    <s v="101BRJ3370"/>
    <s v="ENTR BR-494(A) (ANGRA DOS REIS)"/>
    <s v="ENTR BR-494(B)"/>
    <n v="481.9"/>
    <n v="495.7"/>
    <n v="13.8"/>
    <x v="2"/>
    <m/>
    <s v="494BRJ0430"/>
    <s v="Federal"/>
    <m/>
    <m/>
    <m/>
    <s v="Federal"/>
    <s v="PAV"/>
    <s v="Angra dos Reis"/>
  </r>
  <r>
    <x v="0"/>
    <s v="101BRJ3390"/>
    <n v="0"/>
    <x v="56"/>
    <s v="3390"/>
    <n v="-44.321010819993298"/>
    <n v="-22.925878009862199"/>
    <n v="-44.5106007496248"/>
    <n v="-23.024223640208699"/>
    <s v="101"/>
    <s v="RJ"/>
    <s v="Eixo Principal"/>
    <s v="-"/>
    <s v="101BRJ3390"/>
    <s v="ENTR BR-494(B)"/>
    <s v="ENTR BR-459(A) (ACESSO A MAMBUCABA)"/>
    <n v="495.7"/>
    <n v="529.20000000000005"/>
    <n v="33.5"/>
    <x v="2"/>
    <m/>
    <m/>
    <s v="Federal"/>
    <m/>
    <m/>
    <m/>
    <s v="Federal"/>
    <s v="PAV"/>
    <s v="Angra dos Reis"/>
  </r>
  <r>
    <x v="0"/>
    <s v="101BRJ3410"/>
    <n v="0"/>
    <x v="56"/>
    <s v="3410"/>
    <n v="-44.5106007496248"/>
    <n v="-23.024223640208699"/>
    <n v="-44.732119290073101"/>
    <n v="-23.2235654502852"/>
    <s v="101"/>
    <s v="RJ"/>
    <s v="Eixo Principal"/>
    <s v="-"/>
    <s v="101BRJ3410"/>
    <s v="ENTR BR-459(A) (ACESSO A MAMBUCABA)"/>
    <s v="ENTR BR-459(B) (PARATÍ)"/>
    <n v="529.20000000000005"/>
    <n v="575.5"/>
    <n v="46.3"/>
    <x v="2"/>
    <m/>
    <s v="459BRJ0310"/>
    <s v="Federal"/>
    <m/>
    <m/>
    <m/>
    <s v="Federal"/>
    <s v="PAV"/>
    <s v="Angra dos Reis"/>
  </r>
  <r>
    <x v="0"/>
    <s v="101BRJ3430"/>
    <n v="0"/>
    <x v="56"/>
    <s v="3430"/>
    <n v="-44.732119290073101"/>
    <n v="-23.2235654502852"/>
    <n v="-44.760311150339199"/>
    <n v="-23.3511876303048"/>
    <s v="101"/>
    <s v="RJ"/>
    <s v="Eixo Principal"/>
    <s v="-"/>
    <s v="101BRJ3430"/>
    <s v="ENTR BR-459(B) (PARATÍ)"/>
    <s v="DIV RJ/SP"/>
    <n v="575.5"/>
    <n v="599"/>
    <n v="23.5"/>
    <x v="2"/>
    <m/>
    <m/>
    <s v="Federal"/>
    <m/>
    <m/>
    <m/>
    <s v="Federal"/>
    <s v="PAV"/>
    <s v="Angra dos Reis"/>
  </r>
  <r>
    <x v="0"/>
    <s v="101BRN0010"/>
    <n v="0"/>
    <x v="57"/>
    <s v="0010"/>
    <n v="-35.499539449985598"/>
    <n v="-5.1567882396854499"/>
    <n v="-35.507063010049798"/>
    <n v="-5.1725676597696397"/>
    <s v="101"/>
    <s v="RN"/>
    <s v="Eixo Principal"/>
    <s v="-"/>
    <s v="101BRN0010"/>
    <s v="TOUROS (FAROL DO CALCANHAR)"/>
    <s v="ENTR RN-221 (P/SÃO MIGUEL DO GOSTOSO)"/>
    <n v="0"/>
    <n v="1.9"/>
    <n v="1.9"/>
    <x v="2"/>
    <m/>
    <m/>
    <s v="Federal"/>
    <m/>
    <m/>
    <m/>
    <s v="Federal"/>
    <s v="PAV"/>
    <s v="Angra dos Reis"/>
  </r>
  <r>
    <x v="0"/>
    <s v="101BRN0015"/>
    <n v="0"/>
    <x v="57"/>
    <s v="0015"/>
    <n v="-35.507063010049798"/>
    <n v="-5.1725676597696397"/>
    <n v="-35.4960720104148"/>
    <n v="-5.20364118978903"/>
    <s v="101"/>
    <s v="RN"/>
    <s v="Eixo Principal"/>
    <s v="-"/>
    <s v="101BRN0015"/>
    <s v="ENTR RN-221 (P/SÃO MIGUEL DO GOSTOSO)"/>
    <s v="ENTR RN-064/023 (P/TOUROS)"/>
    <n v="1.9"/>
    <n v="6.1"/>
    <n v="4.2"/>
    <x v="2"/>
    <m/>
    <m/>
    <s v="Federal"/>
    <m/>
    <m/>
    <m/>
    <s v="Federal"/>
    <s v="PAV"/>
    <s v="Macaíba"/>
  </r>
  <r>
    <x v="0"/>
    <s v="101BRN0020"/>
    <n v="0"/>
    <x v="57"/>
    <s v="0020"/>
    <n v="-35.4960720104148"/>
    <n v="-5.20364118978903"/>
    <n v="-35.426433720040102"/>
    <n v="-5.2976453798303798"/>
    <s v="101"/>
    <s v="RN"/>
    <s v="Eixo Principal"/>
    <s v="-"/>
    <s v="101BRN0020"/>
    <s v="ENTR RN-064/023 (P/TOUROS)"/>
    <s v="ENTR RN-021 (P/RIO DO FOGO)"/>
    <n v="6.1"/>
    <n v="20.399999999999999"/>
    <n v="14.3"/>
    <x v="2"/>
    <m/>
    <m/>
    <s v="Federal"/>
    <m/>
    <m/>
    <m/>
    <s v="Federal"/>
    <s v="PAV"/>
    <s v="Macaíba"/>
  </r>
  <r>
    <x v="0"/>
    <s v="101BRN0030"/>
    <n v="0"/>
    <x v="57"/>
    <s v="0030"/>
    <n v="-35.426433720040102"/>
    <n v="-5.2976453798303798"/>
    <n v="-35.375933209649801"/>
    <n v="-5.3714344002772796"/>
    <s v="101"/>
    <s v="RN"/>
    <s v="Eixo Principal"/>
    <s v="-"/>
    <s v="101BRN0030"/>
    <s v="ENTR RN-021 (P/RIO DO FOGO)"/>
    <s v="ACESSO ZUMBI"/>
    <n v="20.399999999999999"/>
    <n v="30.3"/>
    <n v="9.9"/>
    <x v="2"/>
    <m/>
    <m/>
    <s v="Federal"/>
    <m/>
    <m/>
    <m/>
    <s v="Federal"/>
    <s v="PAV"/>
    <s v="Macaíba"/>
  </r>
  <r>
    <x v="0"/>
    <s v="101BRN0032"/>
    <n v="0"/>
    <x v="57"/>
    <s v="0032"/>
    <n v="-35.375933209649801"/>
    <n v="-5.3714344002772796"/>
    <n v="-35.356241750356403"/>
    <n v="-5.40908774000712"/>
    <s v="101"/>
    <s v="RN"/>
    <s v="Eixo Principal"/>
    <s v="-"/>
    <s v="101BRN0032"/>
    <s v="ACESSO ZUMBI"/>
    <s v="ACESSO PITITINGA"/>
    <n v="30.3"/>
    <n v="35.1"/>
    <n v="4.8"/>
    <x v="2"/>
    <m/>
    <m/>
    <s v="Federal"/>
    <m/>
    <m/>
    <m/>
    <s v="Federal"/>
    <s v="PAV"/>
    <s v="Macaíba"/>
  </r>
  <r>
    <x v="0"/>
    <s v="101BRN0034"/>
    <n v="0"/>
    <x v="57"/>
    <s v="0034"/>
    <n v="-35.356241750356403"/>
    <n v="-5.40908774000712"/>
    <n v="-35.336500820256603"/>
    <n v="-5.4582817998651096"/>
    <s v="101"/>
    <s v="RN"/>
    <s v="Eixo Principal"/>
    <s v="-"/>
    <s v="101BRN0034"/>
    <s v="ACESSO PITITINGA"/>
    <s v="ACESSO MARACAJAÚ"/>
    <n v="35.1"/>
    <n v="41.5"/>
    <n v="6.4"/>
    <x v="2"/>
    <m/>
    <m/>
    <s v="Federal"/>
    <m/>
    <m/>
    <m/>
    <s v="Federal"/>
    <s v="PAV"/>
    <s v="Macaíba"/>
  </r>
  <r>
    <x v="0"/>
    <s v="101BRN0036"/>
    <n v="0"/>
    <x v="57"/>
    <s v="0036"/>
    <n v="-35.336500820256603"/>
    <n v="-5.4582817998651096"/>
    <n v="-35.3246919897434"/>
    <n v="-5.4833484602631799"/>
    <s v="101"/>
    <s v="RN"/>
    <s v="Eixo Principal"/>
    <s v="-"/>
    <s v="101BRN0036"/>
    <s v="ACESSO MARACAJAÚ"/>
    <s v="ACESSO CARAÚBAS"/>
    <n v="41.5"/>
    <n v="44.8"/>
    <n v="3.3"/>
    <x v="2"/>
    <m/>
    <m/>
    <s v="Federal"/>
    <m/>
    <m/>
    <m/>
    <s v="Federal"/>
    <s v="PAV"/>
    <s v="Macaíba"/>
  </r>
  <r>
    <x v="0"/>
    <s v="101BRN0040"/>
    <n v="0"/>
    <x v="57"/>
    <s v="0040"/>
    <n v="-35.3246919897434"/>
    <n v="-5.4833484602631799"/>
    <n v="-35.275458429862603"/>
    <n v="-5.5889504504029297"/>
    <s v="101"/>
    <s v="RN"/>
    <s v="Eixo Principal"/>
    <s v="-"/>
    <s v="101BRN0040"/>
    <s v="ACESSO CARAÚBAS"/>
    <s v="ENTR RN-160(A) (P/MURIÚ E MAXARANGUAPE)"/>
    <n v="44.8"/>
    <n v="58.2"/>
    <n v="13.4"/>
    <x v="2"/>
    <m/>
    <m/>
    <s v="Federal"/>
    <m/>
    <m/>
    <m/>
    <s v="Federal"/>
    <s v="PAV"/>
    <s v="Macaíba"/>
  </r>
  <r>
    <x v="0"/>
    <s v="101BRN0050"/>
    <n v="0"/>
    <x v="57"/>
    <s v="0050"/>
    <n v="-35.275458429862603"/>
    <n v="-5.5889504504029297"/>
    <n v="-35.250293510437103"/>
    <n v="-5.6435801404111299"/>
    <s v="101"/>
    <s v="RN"/>
    <s v="Eixo Principal"/>
    <s v="-"/>
    <s v="101BRN0050"/>
    <s v="ENTR RN-160(A) (P/MURIÚ E MAXARANGUAPE)"/>
    <s v="ENTR RN-160(B) (P/COQUEIROS)"/>
    <n v="58.2"/>
    <n v="65.3"/>
    <n v="7.1"/>
    <x v="2"/>
    <m/>
    <m/>
    <s v="Federal"/>
    <m/>
    <m/>
    <m/>
    <s v="Federal"/>
    <s v="PAV"/>
    <s v="Macaíba"/>
  </r>
  <r>
    <x v="0"/>
    <s v="101BRN0055"/>
    <n v="0"/>
    <x v="57"/>
    <s v="0055"/>
    <n v="-35.250293510437103"/>
    <n v="-5.6435801404111299"/>
    <n v="-35.249648749590001"/>
    <n v="-5.6522090302225303"/>
    <s v="101"/>
    <s v="RN"/>
    <s v="Eixo Principal"/>
    <s v="-"/>
    <s v="101BRN0055"/>
    <s v="ENTR RN-160(B) (P/COQUEIROS)"/>
    <s v="ENTR RN-305 (P/PITANGUI)"/>
    <n v="65.3"/>
    <n v="66.2"/>
    <n v="0.9"/>
    <x v="2"/>
    <m/>
    <m/>
    <s v="Federal"/>
    <m/>
    <m/>
    <m/>
    <s v="Federal"/>
    <s v="PAV"/>
    <s v="Macaíba"/>
  </r>
  <r>
    <x v="0"/>
    <s v="101BRN0060"/>
    <n v="0"/>
    <x v="57"/>
    <s v="0060"/>
    <n v="-35.249648749590001"/>
    <n v="-5.6522090302225303"/>
    <n v="-35.2590607402609"/>
    <n v="-5.6718745602627196"/>
    <s v="101"/>
    <s v="RN"/>
    <s v="Eixo Principal"/>
    <s v="-"/>
    <s v="101BRN0060"/>
    <s v="ENTR RN-305 (P/PITANGUI)"/>
    <s v="ENTR RN-160(C)/307(P/ GENIPABU)"/>
    <n v="66.2"/>
    <n v="69"/>
    <n v="2.8"/>
    <x v="2"/>
    <m/>
    <m/>
    <s v="Federal"/>
    <m/>
    <m/>
    <m/>
    <s v="Federal"/>
    <s v="PAV"/>
    <s v="Macaíba"/>
  </r>
  <r>
    <x v="0"/>
    <s v="101BRN0062"/>
    <n v="0"/>
    <x v="57"/>
    <s v="0062"/>
    <n v="-35.2590607402609"/>
    <n v="-5.6718745602627196"/>
    <n v="-35.265693209773701"/>
    <n v="-5.7044423597270599"/>
    <s v="101"/>
    <s v="RN"/>
    <s v="Eixo Principal"/>
    <s v="-"/>
    <s v="101BRN0062"/>
    <s v="ENTR RN-160(C)/307(P/ GENIPABU)"/>
    <s v="ACESSO PAJUÇARA (AV. MOEMA TINÔCO)"/>
    <n v="69"/>
    <n v="72.8"/>
    <n v="3.8"/>
    <x v="2"/>
    <m/>
    <m/>
    <s v="Federal"/>
    <m/>
    <m/>
    <m/>
    <s v="Federal"/>
    <s v="PAV"/>
    <s v="Macaíba"/>
  </r>
  <r>
    <x v="0"/>
    <s v="101BRN0065"/>
    <n v="0"/>
    <x v="57"/>
    <s v="0065"/>
    <n v="-35.265693209773701"/>
    <n v="-5.7044423597270599"/>
    <n v="-35.277384380184898"/>
    <n v="-5.7224754295973499"/>
    <s v="101"/>
    <s v="RN"/>
    <s v="Eixo Principal"/>
    <s v="-"/>
    <s v="101BRN0065"/>
    <s v="ACESSO PAJUÇARA (AV. MOEMA TINÔCO)"/>
    <s v="ENTR RN-160(D) (P/EXTREMOZ)*TRECHO URBANO*"/>
    <n v="72.8"/>
    <n v="75.2"/>
    <n v="2.4"/>
    <x v="2"/>
    <m/>
    <m/>
    <s v="Federal"/>
    <m/>
    <m/>
    <m/>
    <s v="Federal"/>
    <s v="PAV"/>
    <s v="Macaíba"/>
  </r>
  <r>
    <x v="0"/>
    <s v="101BRN0070"/>
    <n v="0"/>
    <x v="57"/>
    <s v="0070"/>
    <n v="-35.277384380184898"/>
    <n v="-5.7224754295973499"/>
    <n v="-35.287044980341499"/>
    <n v="-5.7628808296864804"/>
    <s v="101"/>
    <s v="RN"/>
    <s v="Eixo Principal"/>
    <s v="-"/>
    <s v="101BRN0070"/>
    <s v="ENTR RN-160(D) (P/EXTREMOZ)*TRECHO URBANO*"/>
    <s v="ENTR BR-406(A) (P/CEARÁ MIRIM)*TRECHO URBANO*"/>
    <n v="75.2"/>
    <n v="80.599999999999994"/>
    <n v="5.4"/>
    <x v="0"/>
    <m/>
    <m/>
    <s v="Federal"/>
    <m/>
    <m/>
    <m/>
    <s v="Federal"/>
    <s v="PAV"/>
    <s v="Macaíba"/>
  </r>
  <r>
    <x v="0"/>
    <s v="101BRN0075"/>
    <n v="0"/>
    <x v="57"/>
    <s v="0075"/>
    <n v="-35.287044980341499"/>
    <n v="-5.7628808296864804"/>
    <n v="-35.267815039632303"/>
    <n v="-5.7704022502635999"/>
    <s v="101"/>
    <s v="RN"/>
    <s v="Eixo Principal"/>
    <s v="-"/>
    <s v="101BRN0075"/>
    <s v="ENTR BR-406(A) (P/CEARÁ MIRIM)*TRECHO URBANO*"/>
    <s v="ENTR RN-160(E) (P/SÃO GONÇALO DO AMARANTE)*TRECHO URBANO*"/>
    <n v="80.599999999999994"/>
    <n v="82.9"/>
    <n v="2.2999999999999998"/>
    <x v="0"/>
    <m/>
    <s v="406BRN0150"/>
    <s v="Federal"/>
    <m/>
    <m/>
    <m/>
    <s v="Federal"/>
    <s v="PAV"/>
    <s v="Macaíba"/>
  </r>
  <r>
    <x v="0"/>
    <s v="101BRN0080"/>
    <n v="0"/>
    <x v="57"/>
    <s v="0080"/>
    <n v="-35.267815039632303"/>
    <n v="-5.7704022502635999"/>
    <n v="-35.2537206702726"/>
    <n v="-5.7755672501284598"/>
    <s v="101"/>
    <s v="RN"/>
    <s v="Eixo Principal"/>
    <s v="-"/>
    <s v="101BRN0080"/>
    <s v="ENTR RN-160(E) (P/SÃO GONÇALO DO AMARANTE)*TRECHO URBANO*"/>
    <s v="ENTR RN - 302 (P/ REDINHA - PONTE NEWTON NAVARRO)*TRECHO URBANO*"/>
    <n v="82.9"/>
    <n v="84.5"/>
    <n v="1.6"/>
    <x v="0"/>
    <m/>
    <s v="406BRN0160"/>
    <s v="Federal"/>
    <m/>
    <m/>
    <m/>
    <s v="Federal"/>
    <s v="PAV"/>
    <s v="Macaíba"/>
  </r>
  <r>
    <x v="0"/>
    <s v="101BRN0085"/>
    <n v="0"/>
    <x v="57"/>
    <s v="0085"/>
    <n v="-35.2537206702726"/>
    <n v="-5.7755672501284598"/>
    <n v="-35.248492330256703"/>
    <n v="-5.7793281097044602"/>
    <s v="101"/>
    <s v="RN"/>
    <s v="Eixo Principal"/>
    <s v="-"/>
    <s v="101BRN0085"/>
    <s v="ENTR RN - 302 (P/ REDINHA - PONTE NEWTON NAVARRO)*TRECHO URBANO*"/>
    <s v="ENTR BR-406(B) (PONTE PRESIDENTE COSTA E SILVA)*TRECHO URBANO*"/>
    <n v="84.5"/>
    <n v="85.4"/>
    <n v="0.9"/>
    <x v="0"/>
    <m/>
    <s v="406BRN0170"/>
    <s v="Federal"/>
    <m/>
    <m/>
    <m/>
    <s v="Federal"/>
    <s v="PAV"/>
    <s v="Macaíba"/>
  </r>
  <r>
    <x v="0"/>
    <s v="101BRN0090"/>
    <n v="0"/>
    <x v="57"/>
    <s v="0090"/>
    <n v="-35.248492330256703"/>
    <n v="-5.7793281097044602"/>
    <n v="-35.246500199724302"/>
    <n v="-5.7844402303323301"/>
    <s v="101"/>
    <s v="RN"/>
    <s v="Eixo Principal"/>
    <s v="-"/>
    <s v="101BRN0090"/>
    <s v="ENTR BR-406(B) (PONTE PRESIDENTE COSTA E SILVA)*TRECHO URBANO*"/>
    <s v="FIM DA PONTE S/ RIO POTENGI"/>
    <n v="85.4"/>
    <n v="86"/>
    <n v="0.6"/>
    <x v="0"/>
    <m/>
    <m/>
    <s v="Federal"/>
    <m/>
    <m/>
    <m/>
    <s v="Federal"/>
    <s v="PAV"/>
    <s v="Macaíba"/>
  </r>
  <r>
    <x v="0"/>
    <s v="101BRN0095"/>
    <n v="0"/>
    <x v="57"/>
    <s v="0095"/>
    <n v="-35.246500199724302"/>
    <n v="-5.7844402303323301"/>
    <n v="-35.238182950182903"/>
    <n v="-5.8000135698703099"/>
    <s v="101"/>
    <s v="RN"/>
    <s v="Eixo Principal"/>
    <s v="-"/>
    <s v="101BRN0095"/>
    <s v="FIM PONTE PRESIDENTE COSTA E SILVA"/>
    <s v="ENTR BR-226 (VIADUTO DA URBANA)*TRECHO URBANO*"/>
    <n v="86"/>
    <n v="88"/>
    <n v="2"/>
    <x v="0"/>
    <m/>
    <m/>
    <s v="Convênio de Administração"/>
    <m/>
    <m/>
    <m/>
    <s v="Federal"/>
    <s v="PAV"/>
    <s v="Macaíba"/>
  </r>
  <r>
    <x v="0"/>
    <s v="101BRN0100"/>
    <n v="0"/>
    <x v="57"/>
    <s v="0100"/>
    <n v="-35.238182950182903"/>
    <n v="-5.8000135698703099"/>
    <n v="-35.209428789706799"/>
    <n v="-5.82477358033639"/>
    <s v="101"/>
    <s v="RN"/>
    <s v="Eixo Principal"/>
    <s v="-"/>
    <s v="101BRN0100"/>
    <s v="ENTR BR-226 (VIADUTO DA URBANA)*TRECHO URBANO*"/>
    <s v="ENTR BR-304(A) (COMPLEXO VIÁRIO DO 4º CENTENÁRIO/NATAL) *TRECHO URBANO*"/>
    <n v="88"/>
    <n v="93.4"/>
    <n v="5.4"/>
    <x v="0"/>
    <m/>
    <m/>
    <s v="Federal"/>
    <m/>
    <m/>
    <m/>
    <s v="Federal"/>
    <s v="PAV"/>
    <s v="Macaíba"/>
  </r>
  <r>
    <x v="0"/>
    <s v="101BRN0110"/>
    <n v="0"/>
    <x v="57"/>
    <s v="0110"/>
    <n v="-35.209428789706799"/>
    <n v="-5.82477358033639"/>
    <n v="-35.208533590153003"/>
    <n v="-5.8486836001679796"/>
    <s v="101"/>
    <s v="RN"/>
    <s v="Eixo Principal"/>
    <s v="-"/>
    <s v="101BRN0110"/>
    <s v="ENTR BR-304(A) (COMPLEXO VIÁRIO DO 4º CENTENÁRIO/NATAL)*TRECHO URBANO*"/>
    <s v="ENTR RN-063 (P/PONTA NEGRA) *TRECHO URBANO*"/>
    <n v="93.4"/>
    <n v="95.8"/>
    <n v="2.4"/>
    <x v="0"/>
    <m/>
    <s v="304BRN0410"/>
    <s v="Federal"/>
    <m/>
    <m/>
    <m/>
    <s v="Federal"/>
    <s v="PAV"/>
    <s v="Macaíba"/>
  </r>
  <r>
    <x v="0"/>
    <s v="101BRN0130"/>
    <n v="0"/>
    <x v="57"/>
    <s v="0130"/>
    <n v="-35.208533590153003"/>
    <n v="-5.8486836001679796"/>
    <n v="-35.256848229961797"/>
    <n v="-5.8918122202576901"/>
    <s v="101"/>
    <s v="RN"/>
    <s v="Eixo Principal"/>
    <s v="-"/>
    <s v="101BRN0130"/>
    <s v="ENTR RN-063 (P/PONTA NEGRA)*TRECHO URBANO*"/>
    <s v="ENTR BR-304(B) (COMPLEXO VIÁRIO TRAMPOLIM DA VITÓRIA)*TRECHO URBANO*"/>
    <n v="95.8"/>
    <n v="104.1"/>
    <n v="8.3000000000000007"/>
    <x v="0"/>
    <m/>
    <s v="304BRN0390"/>
    <s v="Federal"/>
    <m/>
    <m/>
    <m/>
    <s v="Federal"/>
    <s v="PAV"/>
    <s v="Macaíba"/>
  </r>
  <r>
    <x v="0"/>
    <s v="101BRN0132"/>
    <n v="0"/>
    <x v="57"/>
    <s v="0132"/>
    <n v="-35.256848229961797"/>
    <n v="-5.8918122202576901"/>
    <n v="-35.264846550228"/>
    <n v="-5.9392108996632302"/>
    <s v="101"/>
    <s v="RN"/>
    <s v="Eixo Principal"/>
    <s v="-"/>
    <s v="101BRN0132"/>
    <s v="ENTR BR-304(B) (COMPLEXO VIÁRIO TRAMPOLIM DA VITÓRIA)*TRECHO URBANO*"/>
    <s v="ENTR RN-313 (P/PIUM)*TRECHO URBANO*"/>
    <n v="104.1"/>
    <n v="109.4"/>
    <n v="5.3"/>
    <x v="0"/>
    <m/>
    <m/>
    <s v="Federal"/>
    <m/>
    <m/>
    <m/>
    <s v="Federal"/>
    <s v="PAV"/>
    <s v="Macaíba"/>
  </r>
  <r>
    <x v="0"/>
    <s v="101BRN0150"/>
    <n v="0"/>
    <x v="57"/>
    <s v="0150"/>
    <n v="-35.264846550228"/>
    <n v="-5.9392108996632302"/>
    <n v="-35.260011120416799"/>
    <n v="-6.00004258969369"/>
    <s v="101"/>
    <s v="RN"/>
    <s v="Eixo Principal"/>
    <s v="-"/>
    <s v="101BRN0150"/>
    <s v="ENTR RN-313 (P/PIUM)"/>
    <s v="ENTR RN-316 (P/MONTE ALEGRE)"/>
    <n v="109.4"/>
    <n v="116.2"/>
    <n v="6.8"/>
    <x v="0"/>
    <m/>
    <m/>
    <s v="Federal"/>
    <m/>
    <m/>
    <m/>
    <s v="Federal"/>
    <s v="PAV"/>
    <s v="Macaíba"/>
  </r>
  <r>
    <x v="0"/>
    <s v="101BRN0165"/>
    <n v="0"/>
    <x v="57"/>
    <s v="0165"/>
    <n v="-35.260011120416799"/>
    <n v="-6.00004258969369"/>
    <n v="-35.252835570105397"/>
    <n v="-6.0175908998001502"/>
    <s v="101"/>
    <s v="RN"/>
    <s v="Eixo Principal"/>
    <s v="-"/>
    <s v="101BRN0165"/>
    <s v="ENTR RN-316 (P/MONTE ALEGRE)"/>
    <s v="ACESSO À LAGOA DO BONFIM"/>
    <n v="116.2"/>
    <n v="118.4"/>
    <n v="2.2000000000000002"/>
    <x v="0"/>
    <m/>
    <m/>
    <s v="Federal"/>
    <m/>
    <m/>
    <m/>
    <s v="Federal"/>
    <s v="PAV"/>
    <s v="Macaíba"/>
  </r>
  <r>
    <x v="0"/>
    <s v="101BRN0167"/>
    <n v="0"/>
    <x v="57"/>
    <s v="0167"/>
    <n v="-35.252835570105397"/>
    <n v="-6.0175908998001502"/>
    <n v="-35.234380329688399"/>
    <n v="-6.0809925302809802"/>
    <s v="101"/>
    <s v="RN"/>
    <s v="Eixo Principal"/>
    <s v="-"/>
    <s v="101BRN0167"/>
    <s v="ACESSO À LAGOA DO BONFIM"/>
    <s v="ENTR RN-063/002(A) (SÃO JOSÉ DE MIPIBÚ/NÍSIA FLORESTA)"/>
    <n v="118.4"/>
    <n v="125.5"/>
    <n v="7.1"/>
    <x v="0"/>
    <m/>
    <m/>
    <s v="Federal"/>
    <m/>
    <m/>
    <m/>
    <s v="Federal"/>
    <s v="PAV"/>
    <s v="Macaíba"/>
  </r>
  <r>
    <x v="0"/>
    <s v="101BRN0170"/>
    <n v="0"/>
    <x v="57"/>
    <s v="0170"/>
    <n v="-35.234380329688399"/>
    <n v="-6.0809925302809802"/>
    <n v="-35.232863489958"/>
    <n v="-6.1153378199843402"/>
    <s v="101"/>
    <s v="RN"/>
    <s v="Eixo Principal"/>
    <s v="-"/>
    <s v="101BRN0170"/>
    <s v="ENTR RN-063/002(A) (SÃO JOSÉ DE MIPIBÚ/NÍSIA FLORESTA)"/>
    <s v="ENTR RN-002(B)/317 (P/SENADOR GEORGINO AVELINO/BREJINHO)"/>
    <n v="125.5"/>
    <n v="129.6"/>
    <n v="4.0999999999999996"/>
    <x v="0"/>
    <m/>
    <m/>
    <s v="Federal"/>
    <m/>
    <m/>
    <m/>
    <s v="Federal"/>
    <s v="PAV"/>
    <s v="Macaíba"/>
  </r>
  <r>
    <x v="0"/>
    <s v="101BRN0180"/>
    <n v="0"/>
    <x v="57"/>
    <s v="0180"/>
    <n v="-35.232863489958"/>
    <n v="-6.1153378199843402"/>
    <n v="-35.215694629903197"/>
    <n v="-6.2182527797419302"/>
    <s v="101"/>
    <s v="RN"/>
    <s v="Eixo Principal"/>
    <s v="-"/>
    <s v="101BRN0180"/>
    <s v="ENTR RN-002(B)/317 (P/SENADOR GEORGINO AVELINO/BREJINHO)"/>
    <s v="ENTR RN-061 (P/AREZ)"/>
    <n v="129.6"/>
    <n v="141.5"/>
    <n v="11.9"/>
    <x v="0"/>
    <m/>
    <m/>
    <s v="Federal"/>
    <m/>
    <m/>
    <m/>
    <s v="Federal"/>
    <s v="PAV"/>
    <s v="Macaíba"/>
  </r>
  <r>
    <x v="0"/>
    <s v="101BRN0190"/>
    <n v="0"/>
    <x v="57"/>
    <s v="0190"/>
    <n v="-35.215694629903197"/>
    <n v="-6.2182527797419302"/>
    <n v="-35.209060270015399"/>
    <n v="-6.2699167403651996"/>
    <s v="101"/>
    <s v="RN"/>
    <s v="Eixo Principal"/>
    <s v="-"/>
    <s v="101BRN0190"/>
    <s v="ENTR RN-061 (P/AREZ)"/>
    <s v="ENTR RN-003 (GOIANINHA - P/ PRAIA DE PIPA)"/>
    <n v="141.5"/>
    <n v="147"/>
    <n v="5.5"/>
    <x v="0"/>
    <m/>
    <m/>
    <s v="Federal"/>
    <m/>
    <m/>
    <m/>
    <s v="Federal"/>
    <s v="PAV"/>
    <s v="Macaíba"/>
  </r>
  <r>
    <x v="0"/>
    <s v="101BRN0210"/>
    <n v="0"/>
    <x v="57"/>
    <s v="0210"/>
    <n v="-35.209060270015399"/>
    <n v="-6.2699167403651996"/>
    <n v="-35.139758370152599"/>
    <n v="-6.3935163895696903"/>
    <s v="101"/>
    <s v="RN"/>
    <s v="Eixo Principal"/>
    <s v="-"/>
    <s v="101BRN0210"/>
    <s v="ENTR RN-003 (GOIANINHA - P/ PRAIA DE PIPA)"/>
    <s v="ENTR RN-269 (P/GANGUARETAMA / P/PEDRO VELHO)"/>
    <n v="147"/>
    <n v="163.19999999999999"/>
    <n v="16.2"/>
    <x v="0"/>
    <m/>
    <m/>
    <s v="Federal"/>
    <m/>
    <m/>
    <m/>
    <s v="Federal"/>
    <s v="PAV"/>
    <s v="Macaíba"/>
  </r>
  <r>
    <x v="0"/>
    <s v="101BRN0230"/>
    <n v="0"/>
    <x v="57"/>
    <s v="0230"/>
    <n v="-35.139758370152599"/>
    <n v="-6.3935163895696903"/>
    <n v="-35.115180039826903"/>
    <n v="-6.4364164001966602"/>
    <s v="101"/>
    <s v="RN"/>
    <s v="Eixo Principal"/>
    <s v="-"/>
    <s v="101BRN0230"/>
    <s v="ENTR RN-269 (P/GANGUARETAMA / P/PEDRO VELHO)"/>
    <s v="ENTR RN-062 (P/BAIA FORMOSA)"/>
    <n v="163.19999999999999"/>
    <n v="168.7"/>
    <n v="5.5"/>
    <x v="0"/>
    <m/>
    <m/>
    <s v="Federal"/>
    <m/>
    <m/>
    <m/>
    <s v="Federal"/>
    <s v="PAV"/>
    <s v="Macaíba"/>
  </r>
  <r>
    <x v="0"/>
    <s v="101BRN0240"/>
    <n v="0"/>
    <x v="57"/>
    <s v="0240"/>
    <n v="-35.115180039826903"/>
    <n v="-6.4364164001966602"/>
    <n v="-35.111238920140003"/>
    <n v="-6.5051504699181901"/>
    <s v="101"/>
    <s v="RN"/>
    <s v="Eixo Principal"/>
    <s v="-"/>
    <s v="101BRN0240"/>
    <s v="ENTR RN-062 (P/BAIA FORMOSA)"/>
    <s v="DIV RN/PB"/>
    <n v="168.7"/>
    <n v="176.5"/>
    <n v="7.8"/>
    <x v="0"/>
    <m/>
    <m/>
    <s v="Federal"/>
    <m/>
    <m/>
    <m/>
    <s v="Federal"/>
    <s v="PAV"/>
    <s v="Macaíba"/>
  </r>
  <r>
    <x v="0"/>
    <s v="101BRS4300"/>
    <n v="0"/>
    <x v="58"/>
    <s v="4300"/>
    <n v="-49.769589900053802"/>
    <n v="-29.299076690136999"/>
    <n v="-49.770022779727398"/>
    <n v="-29.299711339906299"/>
    <s v="101"/>
    <s v="RS"/>
    <s v="Eixo Principal"/>
    <s v="-"/>
    <s v="101BRS4300"/>
    <s v="DIV SC/RS (INÍCIO PONTE S/RIO MAMPITUBA)"/>
    <s v="FIM PONTE S/RIO MAMPITUBA"/>
    <n v="0"/>
    <n v="0.1"/>
    <n v="0.1"/>
    <x v="0"/>
    <m/>
    <m/>
    <s v="Concessão Federal"/>
    <m/>
    <m/>
    <m/>
    <s v="Federal"/>
    <s v="PAV"/>
    <s v="Macaíba"/>
  </r>
  <r>
    <x v="0"/>
    <s v="101BRS4310"/>
    <n v="0"/>
    <x v="58"/>
    <s v="4310"/>
    <n v="-49.770022779727398"/>
    <n v="-29.299711339906299"/>
    <n v="-49.775143180413401"/>
    <n v="-29.319487500048002"/>
    <s v="101"/>
    <s v="RS"/>
    <s v="Eixo Principal"/>
    <s v="-"/>
    <s v="101BRS4310"/>
    <s v="FIM PONTE S/RIO MAMPITUBA"/>
    <s v="ENTR BR-453 (P/TORRES)"/>
    <n v="0.1"/>
    <n v="2.2999999999999998"/>
    <n v="2.2000000000000002"/>
    <x v="0"/>
    <m/>
    <m/>
    <s v="Concessão Federal"/>
    <m/>
    <m/>
    <m/>
    <s v="Federal"/>
    <s v="PAV"/>
    <s v="São Leopoldo"/>
  </r>
  <r>
    <x v="0"/>
    <s v="101BRS4320"/>
    <n v="0"/>
    <x v="58"/>
    <s v="4320"/>
    <n v="-49.775143180413401"/>
    <n v="-29.319487500048002"/>
    <n v="-49.847338399847203"/>
    <n v="-29.396325959675199"/>
    <s v="101"/>
    <s v="RS"/>
    <s v="Eixo Principal"/>
    <s v="-"/>
    <s v="101BRS4320"/>
    <s v="ENTR BR-453 (P/TORRES)"/>
    <s v="INÍCIO DA VARIANTE DA GRUTA"/>
    <n v="2.2999999999999998"/>
    <n v="13.5"/>
    <n v="11.2"/>
    <x v="0"/>
    <m/>
    <m/>
    <s v="Concessão Federal"/>
    <m/>
    <m/>
    <m/>
    <s v="Federal"/>
    <s v="PAV"/>
    <s v="São Leopoldo"/>
  </r>
  <r>
    <x v="0"/>
    <s v="101BRS4330"/>
    <n v="0"/>
    <x v="58"/>
    <s v="4330"/>
    <n v="-49.847338399847203"/>
    <n v="-29.396325959675199"/>
    <n v="-49.857374699882399"/>
    <n v="-29.409630600172001"/>
    <s v="101"/>
    <s v="RS"/>
    <s v="Eixo Principal"/>
    <s v="-"/>
    <s v="101BRS4330"/>
    <s v="INÍCIO DA VARIANTE DA GRUTA"/>
    <s v="FIM DA VARIANTE DA GRUTA"/>
    <n v="13.5"/>
    <n v="16"/>
    <n v="2.5"/>
    <x v="2"/>
    <m/>
    <m/>
    <s v="Concessão Federal"/>
    <m/>
    <m/>
    <m/>
    <s v="Federal"/>
    <s v="PAV"/>
    <s v="São Leopoldo"/>
  </r>
  <r>
    <x v="0"/>
    <s v="101BRS4340"/>
    <n v="0"/>
    <x v="58"/>
    <s v="4340"/>
    <n v="-49.857374699882399"/>
    <n v="-29.409630600172001"/>
    <n v="-49.887370709890298"/>
    <n v="-29.431446320191402"/>
    <s v="101"/>
    <s v="RS"/>
    <s v="Eixo Principal"/>
    <s v="-"/>
    <s v="101BRS4340"/>
    <s v="FIM DA VARIANTE DA GRUTA"/>
    <s v="ACESSO A MORRO AZUL"/>
    <n v="16"/>
    <n v="20.100000000000001"/>
    <n v="4.0999999999999996"/>
    <x v="0"/>
    <m/>
    <m/>
    <s v="Concessão Federal"/>
    <m/>
    <m/>
    <m/>
    <s v="Federal"/>
    <s v="PAV"/>
    <s v="São Leopoldo"/>
  </r>
  <r>
    <x v="0"/>
    <s v="101BRS4350"/>
    <n v="0"/>
    <x v="58"/>
    <s v="4350"/>
    <n v="-49.887370709890298"/>
    <n v="-29.431446320191402"/>
    <n v="-49.921848260188902"/>
    <n v="-29.453081829562699"/>
    <s v="101"/>
    <s v="RS"/>
    <s v="Eixo Principal"/>
    <s v="-"/>
    <s v="101BRS4350"/>
    <s v="ACESSO A MORRO AZUL"/>
    <s v="ENTR RS-494 (TRÊS CACHOEIRAS)"/>
    <n v="20.100000000000001"/>
    <n v="24.2"/>
    <n v="4.0999999999999996"/>
    <x v="0"/>
    <m/>
    <m/>
    <s v="Concessão Federal"/>
    <m/>
    <m/>
    <m/>
    <s v="Federal"/>
    <s v="PAV"/>
    <s v="São Leopoldo"/>
  </r>
  <r>
    <x v="0"/>
    <s v="101BRS4360"/>
    <n v="0"/>
    <x v="58"/>
    <s v="4360"/>
    <n v="-49.921848260188902"/>
    <n v="-29.453081829562699"/>
    <n v="-50.028114119970603"/>
    <n v="-29.5364296496085"/>
    <s v="101"/>
    <s v="RS"/>
    <s v="Eixo Principal"/>
    <s v="-"/>
    <s v="101BRS4360"/>
    <s v="ENTR RS-494 (TRÊS CACHOEIRAS)"/>
    <s v="ENTR RS-417 (TRÊS FORQUILHAS)"/>
    <n v="24.2"/>
    <n v="39.9"/>
    <n v="15.7"/>
    <x v="0"/>
    <m/>
    <m/>
    <s v="Concessão Federal"/>
    <m/>
    <m/>
    <m/>
    <s v="Federal"/>
    <s v="PAV"/>
    <s v="São Leopoldo"/>
  </r>
  <r>
    <x v="0"/>
    <s v="101BRS4370"/>
    <n v="0"/>
    <x v="58"/>
    <s v="4370"/>
    <n v="-50.028114119970603"/>
    <n v="-29.5364296496085"/>
    <n v="-50.051122609920398"/>
    <n v="-29.565775849975399"/>
    <s v="101"/>
    <s v="RS"/>
    <s v="Eixo Principal"/>
    <s v="-"/>
    <s v="101BRS4370"/>
    <s v="ENTR RS-417 (TRÊS FORQUILHAS)"/>
    <s v="ENTR RS-486 (TERRA DE AREIA)"/>
    <n v="39.9"/>
    <n v="44.1"/>
    <n v="4.2"/>
    <x v="0"/>
    <m/>
    <m/>
    <s v="Concessão Federal"/>
    <m/>
    <m/>
    <m/>
    <s v="Federal"/>
    <s v="PAV"/>
    <s v="São Leopoldo"/>
  </r>
  <r>
    <x v="0"/>
    <s v="101BRS4380"/>
    <n v="0"/>
    <x v="58"/>
    <s v="4380"/>
    <n v="-50.051122609920398"/>
    <n v="-29.565775849975399"/>
    <n v="-50.172675680038502"/>
    <n v="-29.697835300258799"/>
    <s v="101"/>
    <s v="RS"/>
    <s v="Eixo Principal"/>
    <s v="-"/>
    <s v="101BRS4380"/>
    <s v="ENTR RS-486 (TERRA DE AREIA)"/>
    <s v="ENTR ACESSO NORTE DE MAQUINÉ"/>
    <n v="44.1"/>
    <n v="63.5"/>
    <n v="19.399999999999999"/>
    <x v="0"/>
    <m/>
    <m/>
    <s v="Concessão Federal"/>
    <m/>
    <m/>
    <m/>
    <s v="Federal"/>
    <s v="PAV"/>
    <s v="São Leopoldo"/>
  </r>
  <r>
    <x v="0"/>
    <s v="101BRS4390"/>
    <n v="0"/>
    <x v="58"/>
    <s v="4390"/>
    <n v="-50.172675680038502"/>
    <n v="-29.697835300258799"/>
    <n v="-50.197993030054199"/>
    <n v="-29.723580439785401"/>
    <s v="101"/>
    <s v="RS"/>
    <s v="Eixo Principal"/>
    <s v="-"/>
    <s v="101BRS4390"/>
    <s v="ENTR ACESSO NORTE DE MAQUINÉ"/>
    <s v="ENTR ACESSO NORTE DE CAPÃO DA CANOA"/>
    <n v="63.5"/>
    <n v="67.2"/>
    <n v="3.7"/>
    <x v="0"/>
    <m/>
    <m/>
    <s v="Concessão Federal"/>
    <m/>
    <m/>
    <m/>
    <s v="Federal"/>
    <s v="PAV"/>
    <s v="São Leopoldo"/>
  </r>
  <r>
    <x v="0"/>
    <s v="101BRS4400"/>
    <n v="0"/>
    <x v="58"/>
    <s v="4400"/>
    <n v="-50.197993030054199"/>
    <n v="-29.723580439785401"/>
    <n v="-50.200249910205102"/>
    <n v="-29.726333840134501"/>
    <s v="101"/>
    <s v="RS"/>
    <s v="Eixo Principal"/>
    <s v="-"/>
    <s v="101BRS4400"/>
    <s v="ENTR ACESSO NORTE DE CAPÃO DA CANOA"/>
    <s v="INÍCIO DO TÚNEL"/>
    <n v="67.2"/>
    <n v="67.400000000000006"/>
    <n v="0.2"/>
    <x v="0"/>
    <m/>
    <m/>
    <s v="Concessão Federal"/>
    <m/>
    <m/>
    <m/>
    <s v="Federal"/>
    <s v="PAV"/>
    <s v="São Leopoldo"/>
  </r>
  <r>
    <x v="0"/>
    <s v="101BRS4410"/>
    <n v="0"/>
    <x v="58"/>
    <s v="4410"/>
    <n v="-50.200249910205102"/>
    <n v="-29.726333840134501"/>
    <n v="-50.210229779580601"/>
    <n v="-29.740367259741198"/>
    <s v="101"/>
    <s v="RS"/>
    <s v="Eixo Principal"/>
    <s v="-"/>
    <s v="101BRS4410"/>
    <s v="INÍCIO DO TÚNEL"/>
    <s v="FINAL DO TÚNEL"/>
    <n v="67.400000000000006"/>
    <n v="69.2"/>
    <n v="1.8"/>
    <x v="0"/>
    <m/>
    <m/>
    <s v="Concessão Federal"/>
    <m/>
    <m/>
    <m/>
    <s v="Federal"/>
    <s v="PAV"/>
    <s v="São Leopoldo"/>
  </r>
  <r>
    <x v="0"/>
    <s v="101BRS4420"/>
    <n v="0"/>
    <x v="58"/>
    <s v="4420"/>
    <n v="-50.210229779580601"/>
    <n v="-29.740367259741198"/>
    <n v="-50.21559021022"/>
    <n v="-29.756676689877199"/>
    <s v="101"/>
    <s v="RS"/>
    <s v="Eixo Principal"/>
    <s v="-"/>
    <s v="101BRS4420"/>
    <s v="FINAL DO TÚNEL"/>
    <s v="ENTR ACESSO SUL DE CAPÃO DA CANOA"/>
    <n v="69.2"/>
    <n v="71.3"/>
    <n v="2.1"/>
    <x v="0"/>
    <m/>
    <m/>
    <s v="Concessão Federal"/>
    <m/>
    <m/>
    <m/>
    <s v="Federal"/>
    <s v="PAV"/>
    <s v="São Leopoldo"/>
  </r>
  <r>
    <x v="0"/>
    <s v="101BRS4425"/>
    <n v="0"/>
    <x v="58"/>
    <s v="4425"/>
    <n v="-50.21559021022"/>
    <n v="-29.756676689877199"/>
    <n v="-50.278700359633802"/>
    <n v="-29.889116459856599"/>
    <s v="101"/>
    <s v="RS"/>
    <s v="Eixo Principal"/>
    <s v="-"/>
    <s v="101BRS4425"/>
    <s v="ENTR ACESSO SUL DE CAPÃO DA CANOA"/>
    <s v="ENTR BR-290(A) (OSÓRIO)"/>
    <n v="71.3"/>
    <n v="88.7"/>
    <n v="17.399999999999999"/>
    <x v="0"/>
    <m/>
    <m/>
    <s v="Concessão Federal"/>
    <m/>
    <m/>
    <m/>
    <s v="Federal"/>
    <s v="PAV"/>
    <s v="São Leopoldo"/>
  </r>
  <r>
    <x v="0"/>
    <s v="101BRS4430"/>
    <n v="0"/>
    <x v="58"/>
    <s v="4430"/>
    <n v="-50.278700359633802"/>
    <n v="-29.889116459856599"/>
    <n v="-50.284171510306898"/>
    <n v="-29.8938548995839"/>
    <s v="101"/>
    <s v="RS"/>
    <s v="Eixo Principal"/>
    <s v="-"/>
    <s v="101BRS4430"/>
    <s v="ENTR BR-290(A) (OSÓRIO)"/>
    <s v="ENTR RS-030 (P/TRAMANDAÍ)"/>
    <n v="88.7"/>
    <n v="89.4"/>
    <n v="0.7"/>
    <x v="0"/>
    <m/>
    <s v="290BRS0010"/>
    <s v="Concessão Federal"/>
    <m/>
    <m/>
    <m/>
    <s v="Federal"/>
    <s v="PAV"/>
    <s v="São Leopoldo"/>
  </r>
  <r>
    <x v="0"/>
    <s v="101BRS4435"/>
    <n v="0"/>
    <x v="58"/>
    <s v="4435"/>
    <n v="-50.284171510306898"/>
    <n v="-29.8938548995839"/>
    <n v="-50.321807389699202"/>
    <n v="-29.8974696004416"/>
    <s v="101"/>
    <s v="RS"/>
    <s v="Eixo Principal"/>
    <s v="-"/>
    <s v="101BRS4435"/>
    <s v="ENTR RS-030 (P/TRAMANDAÍ)"/>
    <s v="ENTR BR-290(B)"/>
    <n v="89.4"/>
    <n v="93.5"/>
    <n v="4.0999999999999996"/>
    <x v="0"/>
    <m/>
    <s v="290BRS0015"/>
    <s v="Concessão Federal"/>
    <m/>
    <m/>
    <m/>
    <s v="Federal"/>
    <s v="PAV"/>
    <s v="São Leopoldo"/>
  </r>
  <r>
    <x v="0"/>
    <s v="101BRS4440"/>
    <n v="0"/>
    <x v="58"/>
    <s v="4440"/>
    <n v="-50.321807389699202"/>
    <n v="-29.8974696004416"/>
    <n v="-50.318901920287303"/>
    <n v="-29.924859850002001"/>
    <s v="101"/>
    <s v="RS"/>
    <s v="Eixo Principal"/>
    <s v="-"/>
    <s v="101BRS4440"/>
    <s v="ENTR BR-290(B)"/>
    <s v="ENTR RS-389 (P/ OSÓRIO)"/>
    <n v="93.5"/>
    <n v="96.7"/>
    <n v="3.2"/>
    <x v="1"/>
    <m/>
    <m/>
    <s v="Estadual"/>
    <m/>
    <s v="RST-101"/>
    <s v="PAV"/>
    <s v="Estadual"/>
    <s v="PLA"/>
    <s v="São Leopoldo"/>
  </r>
  <r>
    <x v="0"/>
    <s v="101BRS4445"/>
    <n v="0"/>
    <x v="58"/>
    <s v="4445"/>
    <n v="-50.318901920287303"/>
    <n v="-29.924859850002001"/>
    <n v="-50.391203720175398"/>
    <n v="-30.033775900337499"/>
    <s v="101"/>
    <s v="RS"/>
    <s v="Eixo Principal"/>
    <s v="-"/>
    <s v="101BRS4445"/>
    <s v="ENTR RS-389 (P/ OSÓRIO)"/>
    <s v="PASSINHOS"/>
    <n v="96.7"/>
    <n v="110.8"/>
    <n v="14.1"/>
    <x v="1"/>
    <m/>
    <m/>
    <s v="Estadual"/>
    <m/>
    <s v="RST-101"/>
    <s v="PAV"/>
    <s v="Estadual"/>
    <s v="PLA"/>
    <s v="São Leopoldo"/>
  </r>
  <r>
    <x v="0"/>
    <s v="101BRS4450"/>
    <n v="0"/>
    <x v="58"/>
    <s v="4450"/>
    <n v="-50.391203720175398"/>
    <n v="-30.033775900337499"/>
    <n v="-50.513583010047803"/>
    <n v="-30.147134249945601"/>
    <s v="101"/>
    <s v="RS"/>
    <s v="Eixo Principal"/>
    <s v="-"/>
    <s v="101BRS4450"/>
    <s v="PASSINHOS"/>
    <s v="ENTR RS-040 (CAPIVARÍ DO SUL)"/>
    <n v="110.8"/>
    <n v="129.4"/>
    <n v="18.600000000000001"/>
    <x v="1"/>
    <m/>
    <m/>
    <s v="Estadual"/>
    <m/>
    <s v="RST-101"/>
    <s v="PAV"/>
    <s v="Estadual"/>
    <s v="PLA"/>
    <s v="São Leopoldo"/>
  </r>
  <r>
    <x v="0"/>
    <s v="101BRS4455"/>
    <n v="0"/>
    <x v="58"/>
    <s v="4455"/>
    <n v="-50.513583010047803"/>
    <n v="-30.147134249945601"/>
    <n v="-50.484457829764999"/>
    <n v="-30.243183420078701"/>
    <s v="101"/>
    <s v="RS"/>
    <s v="Eixo Principal"/>
    <s v="-"/>
    <s v="101BRS4455"/>
    <s v="ENTR RS-040 (CAPIVARÍ DO SUL)"/>
    <s v="ENTR RS-776 (P/PALMARES DO SUL)"/>
    <n v="129.4"/>
    <n v="140.4"/>
    <n v="11"/>
    <x v="1"/>
    <m/>
    <m/>
    <s v="Estadual"/>
    <m/>
    <s v="RSC-101"/>
    <s v="PAV"/>
    <s v="Estadual"/>
    <s v="PLA"/>
    <s v="São Leopoldo"/>
  </r>
  <r>
    <x v="0"/>
    <s v="101BRS4460"/>
    <n v="0"/>
    <x v="58"/>
    <s v="4460"/>
    <n v="-50.484457829764999"/>
    <n v="-30.243183420078701"/>
    <n v="-50.4661689900068"/>
    <n v="-30.477552769844401"/>
    <s v="101"/>
    <s v="RS"/>
    <s v="Eixo Principal"/>
    <s v="-"/>
    <s v="101BRS4460"/>
    <s v="ENTR RS-776 (P/PALMARES DO SUL)"/>
    <s v="BACOPARÍ"/>
    <n v="140.4"/>
    <n v="168.5"/>
    <n v="28.1"/>
    <x v="1"/>
    <m/>
    <m/>
    <s v="Estadual"/>
    <m/>
    <s v="RSC-101"/>
    <s v="PAV"/>
    <s v="Estadual"/>
    <s v="PLA"/>
    <s v="Pelotas"/>
  </r>
  <r>
    <x v="0"/>
    <s v="101BRS4465"/>
    <n v="0"/>
    <x v="58"/>
    <s v="4465"/>
    <n v="-50.4661689900068"/>
    <n v="-30.477552769844401"/>
    <n v="-50.923134220367899"/>
    <n v="-31.104031120040101"/>
    <s v="101"/>
    <s v="RS"/>
    <s v="Eixo Principal"/>
    <s v="-"/>
    <s v="101BRS4465"/>
    <s v="BACOPARÍ"/>
    <s v="ENTR AV. PADRE SIMÃO (MOSTARDAS)"/>
    <n v="168.5"/>
    <n v="253"/>
    <n v="84.5"/>
    <x v="1"/>
    <m/>
    <m/>
    <s v="Estadual"/>
    <m/>
    <s v="RSC-101"/>
    <s v="PAV"/>
    <s v="Estadual"/>
    <s v="PLA"/>
    <s v="Pelotas"/>
  </r>
  <r>
    <x v="0"/>
    <s v="101BRS4470"/>
    <n v="0"/>
    <x v="58"/>
    <s v="4470"/>
    <n v="-50.923134220367899"/>
    <n v="-31.104031120040101"/>
    <n v="-51.097158520349403"/>
    <n v="-31.300752480142801"/>
    <s v="101"/>
    <s v="RS"/>
    <s v="Eixo Principal"/>
    <s v="-"/>
    <s v="101BRS4470"/>
    <s v="ENTR AV. PADRE SIMÃO (MOSTARDAS)"/>
    <s v="ENTR R. ISIDORO TEIXEIRA MACHADO (TAVARES)"/>
    <n v="253"/>
    <n v="279.5"/>
    <n v="26.5"/>
    <x v="1"/>
    <m/>
    <m/>
    <s v="Estadual"/>
    <m/>
    <s v="RST-101"/>
    <s v="PAV"/>
    <s v="Estadual"/>
    <s v="PLA"/>
    <s v="Pelotas"/>
  </r>
  <r>
    <x v="0"/>
    <s v="101BRS4480"/>
    <n v="0"/>
    <x v="58"/>
    <s v="4480"/>
    <n v="-51.097158520349403"/>
    <n v="-31.300752480142801"/>
    <n v="-51.419970499738703"/>
    <n v="-31.6303986200002"/>
    <s v="101"/>
    <s v="RS"/>
    <s v="Eixo Principal"/>
    <s v="-"/>
    <s v="101BRS4480"/>
    <s v="ENTR R. ISIDORO TEIXEIRA MACHADO (TAVARES)"/>
    <s v="BOJURÚ"/>
    <n v="279.5"/>
    <n v="331.7"/>
    <n v="52.2"/>
    <x v="1"/>
    <m/>
    <m/>
    <s v="Estadual"/>
    <m/>
    <s v="RSC-101"/>
    <s v="PAV"/>
    <s v="Estadual"/>
    <s v="PLA"/>
    <s v="Pelotas"/>
  </r>
  <r>
    <x v="0"/>
    <s v="101BRS4490"/>
    <n v="0"/>
    <x v="58"/>
    <s v="4490"/>
    <n v="-51.419970499738703"/>
    <n v="-31.6303986200002"/>
    <n v="-51.739863910191197"/>
    <n v="-31.829001510211398"/>
    <s v="101"/>
    <s v="RS"/>
    <s v="Eixo Principal"/>
    <s v="-"/>
    <s v="101BRS4490"/>
    <s v="BOJURÚ"/>
    <s v="ESTREITO"/>
    <n v="331.7"/>
    <n v="370.2"/>
    <n v="38.5"/>
    <x v="1"/>
    <m/>
    <m/>
    <s v="Estadual"/>
    <m/>
    <s v="RSC-101"/>
    <s v="PAV"/>
    <s v="Estadual"/>
    <s v="PLA"/>
    <s v="Pelotas"/>
  </r>
  <r>
    <x v="0"/>
    <s v="101BRS4500"/>
    <n v="0"/>
    <x v="58"/>
    <s v="4500"/>
    <n v="-51.739863910191197"/>
    <n v="-31.829001510211398"/>
    <n v="-52.038270149947401"/>
    <n v="-32.006514759748299"/>
    <s v="101"/>
    <s v="RS"/>
    <s v="Eixo Principal"/>
    <s v="-"/>
    <s v="101BRS4500"/>
    <s v="ESTREITO"/>
    <s v="ENTR R. LUIZ GAUTÉRIO (SÃO JOSÉ DO NORTE)"/>
    <n v="370.2"/>
    <n v="405.5"/>
    <n v="35.299999999999997"/>
    <x v="2"/>
    <m/>
    <m/>
    <s v="Federal"/>
    <m/>
    <m/>
    <m/>
    <s v="Federal"/>
    <s v="PAV"/>
    <s v="Pelotas"/>
  </r>
  <r>
    <x v="0"/>
    <s v="101BRS4510"/>
    <n v="0"/>
    <x v="58"/>
    <s v="4510"/>
    <n v="-52.038270149947401"/>
    <n v="-32.006514759748299"/>
    <n v="-52.075779769920402"/>
    <n v="-32.045529879900002"/>
    <s v="101"/>
    <s v="RS"/>
    <s v="Eixo Principal"/>
    <s v="-"/>
    <s v="101BRS4510"/>
    <s v="ENTR R. LUIZ GAUTÉRIO (SÃO JOSÉ DO NORTE)"/>
    <s v="RIO GRANDE"/>
    <n v="405.5"/>
    <n v="410"/>
    <n v="4.5"/>
    <x v="4"/>
    <m/>
    <m/>
    <s v="Federal"/>
    <m/>
    <m/>
    <m/>
    <s v="Federal"/>
    <s v="N_PAV"/>
    <s v="Pelotas"/>
  </r>
  <r>
    <x v="0"/>
    <s v="101BSC3810"/>
    <n v="0"/>
    <x v="59"/>
    <s v="3810"/>
    <n v="-48.886446100007397"/>
    <n v="-25.9816419701007"/>
    <n v="-48.861226220313704"/>
    <n v="-26.028743330040498"/>
    <s v="101"/>
    <s v="SC"/>
    <s v="Eixo Principal"/>
    <s v="-"/>
    <s v="101BSC3810"/>
    <s v="DIV PR/SC (ENTR BR-376)"/>
    <s v="ENTR SC-417 (GARUVA)"/>
    <n v="0"/>
    <n v="6.2"/>
    <n v="6.2"/>
    <x v="0"/>
    <m/>
    <s v="376BSC0510"/>
    <s v="Concessão Federal"/>
    <m/>
    <m/>
    <m/>
    <s v="Federal"/>
    <s v="PAV"/>
    <s v="Pelotas"/>
  </r>
  <r>
    <x v="0"/>
    <s v="101BSC3830"/>
    <n v="0"/>
    <x v="59"/>
    <s v="3830"/>
    <n v="-48.861226220313704"/>
    <n v="-26.028743330040498"/>
    <n v="-48.913817249766197"/>
    <n v="-26.203053590151001"/>
    <s v="101"/>
    <s v="SC"/>
    <s v="Eixo Principal"/>
    <s v="-"/>
    <s v="101BSC3830"/>
    <s v="ENTR SC-417 (GARUVA)"/>
    <s v="ENTR SC-418 (PIRABEIRABA)"/>
    <n v="6.2"/>
    <n v="27.2"/>
    <n v="21"/>
    <x v="0"/>
    <m/>
    <m/>
    <s v="Concessão Federal"/>
    <m/>
    <m/>
    <m/>
    <s v="Federal"/>
    <s v="PAV"/>
    <s v="Joinville"/>
  </r>
  <r>
    <x v="0"/>
    <s v="101BSC3850"/>
    <n v="0"/>
    <x v="59"/>
    <s v="3850"/>
    <n v="-48.913817249766197"/>
    <n v="-26.203053590151001"/>
    <n v="-48.9048471202983"/>
    <n v="-26.2566093403487"/>
    <s v="101"/>
    <s v="SC"/>
    <s v="Eixo Principal"/>
    <s v="-"/>
    <s v="101BSC3850"/>
    <s v="ENTR SC-418 (PIRABEIRABA)"/>
    <s v="ENTR SC-108 (P/JOINVILLE)"/>
    <n v="27.2"/>
    <n v="38.4"/>
    <n v="11.2"/>
    <x v="0"/>
    <m/>
    <m/>
    <s v="Concessão Federal"/>
    <m/>
    <m/>
    <m/>
    <s v="Federal"/>
    <s v="PAV"/>
    <s v="Joinville"/>
  </r>
  <r>
    <x v="0"/>
    <s v="101BSC3870"/>
    <n v="0"/>
    <x v="59"/>
    <s v="3870"/>
    <n v="-48.9048471202983"/>
    <n v="-26.2566093403487"/>
    <n v="-48.806277070430397"/>
    <n v="-26.4376914397081"/>
    <s v="101"/>
    <s v="SC"/>
    <s v="Eixo Principal"/>
    <s v="-"/>
    <s v="101BSC3870"/>
    <s v="ENTR SC-108 (P/JOINVILLE)"/>
    <s v="ENTR BR-280"/>
    <n v="38.4"/>
    <n v="57.4"/>
    <n v="19"/>
    <x v="0"/>
    <m/>
    <m/>
    <s v="Concessão Federal"/>
    <m/>
    <m/>
    <m/>
    <s v="Federal"/>
    <s v="PAV"/>
    <s v="Joinville"/>
  </r>
  <r>
    <x v="0"/>
    <s v="101BSC3890"/>
    <n v="0"/>
    <x v="59"/>
    <s v="3890"/>
    <n v="-48.806277070430397"/>
    <n v="-26.4376914397081"/>
    <n v="-48.718934639921599"/>
    <n v="-26.617408250390302"/>
    <s v="101"/>
    <s v="SC"/>
    <s v="Eixo Principal"/>
    <s v="-"/>
    <s v="101BSC3890"/>
    <s v="ENTR BR-280"/>
    <s v="ENTR SC-415"/>
    <n v="57.4"/>
    <n v="82.8"/>
    <n v="25.4"/>
    <x v="0"/>
    <m/>
    <m/>
    <s v="Concessão Federal"/>
    <m/>
    <m/>
    <m/>
    <s v="Federal"/>
    <s v="PAV"/>
    <s v="Joinville"/>
  </r>
  <r>
    <x v="0"/>
    <s v="101BSC3895"/>
    <n v="0"/>
    <x v="59"/>
    <s v="3895"/>
    <n v="-48.718934639921599"/>
    <n v="-26.617408250390302"/>
    <n v="-48.687860000138798"/>
    <n v="-26.645109370400998"/>
    <s v="101"/>
    <s v="SC"/>
    <s v="Eixo Principal"/>
    <s v="-"/>
    <s v="101BSC3895"/>
    <s v="ENTR SC-415"/>
    <s v="ENTR R. ORNÉLIO GONÇALVES (BARRA VELHA)"/>
    <n v="82.8"/>
    <n v="87.5"/>
    <n v="4.7"/>
    <x v="0"/>
    <m/>
    <m/>
    <s v="Concessão Federal"/>
    <m/>
    <m/>
    <m/>
    <s v="Federal"/>
    <s v="PAV"/>
    <s v="Joinville"/>
  </r>
  <r>
    <x v="0"/>
    <s v="101BSC3900"/>
    <n v="0"/>
    <x v="59"/>
    <s v="3900"/>
    <n v="-48.687860000138798"/>
    <n v="-26.645109370400998"/>
    <n v="-48.679451880399903"/>
    <n v="-26.798576080321801"/>
    <s v="101"/>
    <s v="SC"/>
    <s v="Eixo Principal"/>
    <s v="-"/>
    <s v="101BSC3900"/>
    <s v="ENTR R. ORNÉLIO GONÇALVES (BARRA VELHA)"/>
    <s v="ACESSO P/PENHA (PASSAGEM INFERIOR)"/>
    <n v="87.5"/>
    <n v="104.6"/>
    <n v="17.100000000000001"/>
    <x v="0"/>
    <m/>
    <m/>
    <s v="Concessão Federal"/>
    <m/>
    <m/>
    <m/>
    <s v="Federal"/>
    <s v="PAV"/>
    <s v="Joinville"/>
  </r>
  <r>
    <x v="0"/>
    <s v="101BSC3910"/>
    <n v="0"/>
    <x v="59"/>
    <s v="3910"/>
    <n v="-48.679451880399903"/>
    <n v="-26.798576080321801"/>
    <n v="-48.716237529937999"/>
    <n v="-26.841556740351201"/>
    <s v="101"/>
    <s v="SC"/>
    <s v="Eixo Principal"/>
    <s v="-"/>
    <s v="101BSC3910"/>
    <s v="ACESSO P/PENHA (PASSAGEM INFERIOR)"/>
    <s v="ENTR BR-470 (P/NAVEGANTES)"/>
    <n v="104.6"/>
    <n v="111.3"/>
    <n v="6.7"/>
    <x v="0"/>
    <m/>
    <m/>
    <s v="Concessão Federal"/>
    <m/>
    <m/>
    <m/>
    <s v="Federal"/>
    <s v="PAV"/>
    <s v="Joinville"/>
  </r>
  <r>
    <x v="0"/>
    <s v="101BSC3931"/>
    <n v="0"/>
    <x v="59"/>
    <s v="3931"/>
    <n v="-48.716237529937999"/>
    <n v="-26.841556740351201"/>
    <n v="-48.7214865696494"/>
    <n v="-26.889999899575599"/>
    <s v="101"/>
    <s v="SC"/>
    <s v="Eixo Principal"/>
    <s v="-"/>
    <s v="101BSC3931"/>
    <s v="ENTR BR-470 (P/NAVEGANTES)"/>
    <s v="ENTR SC-412 (P/ILHOTA)"/>
    <n v="111.3"/>
    <n v="117.3"/>
    <n v="6"/>
    <x v="0"/>
    <m/>
    <m/>
    <s v="Concessão Federal"/>
    <m/>
    <m/>
    <m/>
    <s v="Federal"/>
    <s v="PAV"/>
    <s v="Joinville"/>
  </r>
  <r>
    <x v="0"/>
    <s v="101BSC3950"/>
    <n v="0"/>
    <x v="59"/>
    <s v="3950"/>
    <n v="-48.7214865696494"/>
    <n v="-26.889999899575599"/>
    <n v="-48.709621230235499"/>
    <n v="-26.918468929997001"/>
    <s v="101"/>
    <s v="SC"/>
    <s v="Eixo Principal"/>
    <s v="-"/>
    <s v="101BSC3950"/>
    <s v="ENTR SC-412 (P/ILHOTA)"/>
    <s v="ENTR BR-486(A) (P/ITAJAÍ)"/>
    <n v="117.3"/>
    <n v="120.7"/>
    <n v="3.4"/>
    <x v="0"/>
    <m/>
    <m/>
    <s v="Concessão Federal"/>
    <m/>
    <m/>
    <m/>
    <s v="Federal"/>
    <s v="PAV"/>
    <s v="Joinville"/>
  </r>
  <r>
    <x v="0"/>
    <s v="101BSC3970"/>
    <n v="0"/>
    <x v="59"/>
    <s v="3970"/>
    <n v="-48.709621230235499"/>
    <n v="-26.918468929997001"/>
    <n v="-48.6980955701544"/>
    <n v="-26.937370569595998"/>
    <s v="101"/>
    <s v="SC"/>
    <s v="Eixo Principal"/>
    <s v="-"/>
    <s v="101BSC3970"/>
    <s v="ENTR BR-486(A) (P/ITAJAÍ)"/>
    <s v="ENTR BR-486(B) (P/BRUSQUE)"/>
    <n v="120.7"/>
    <n v="123.1"/>
    <n v="2.4"/>
    <x v="0"/>
    <m/>
    <s v="486BSC0030"/>
    <s v="Concessão Federal"/>
    <m/>
    <m/>
    <m/>
    <s v="Federal"/>
    <s v="PAV"/>
    <s v="São José"/>
  </r>
  <r>
    <x v="0"/>
    <s v="101BSC3990"/>
    <n v="0"/>
    <x v="59"/>
    <s v="3990"/>
    <n v="-48.6980955701544"/>
    <n v="-26.937370569595998"/>
    <n v="-48.646091260203399"/>
    <n v="-26.999359949701802"/>
    <s v="101"/>
    <s v="SC"/>
    <s v="Eixo Principal"/>
    <s v="-"/>
    <s v="101BSC3990"/>
    <s v="ENTR BR-486(B) (P/BRUSQUE)"/>
    <s v="ENTR BLVD. DOS ESTADOS (BALNEÁRIO DE CAMBORIÚ)"/>
    <n v="123.1"/>
    <n v="133"/>
    <n v="9.9"/>
    <x v="0"/>
    <m/>
    <m/>
    <s v="Concessão Federal"/>
    <m/>
    <m/>
    <m/>
    <s v="Federal"/>
    <s v="PAV"/>
    <s v="São José"/>
  </r>
  <r>
    <x v="0"/>
    <s v="101BSC4010"/>
    <n v="0"/>
    <x v="59"/>
    <s v="4010"/>
    <n v="-48.646091260203399"/>
    <n v="-26.999359949701802"/>
    <n v="-48.611289900008799"/>
    <n v="-27.162920099882601"/>
    <s v="101"/>
    <s v="SC"/>
    <s v="Eixo Principal"/>
    <s v="-"/>
    <s v="101BSC4010"/>
    <s v="ENTR BLVD. DOS ESTADOS (BALNEÁRIO DE CAMBORIÚ)"/>
    <s v="ACESSO P/PORTO BELO"/>
    <n v="133"/>
    <n v="155"/>
    <n v="22"/>
    <x v="0"/>
    <m/>
    <m/>
    <s v="Concessão Federal"/>
    <m/>
    <m/>
    <m/>
    <s v="Federal"/>
    <s v="PAV"/>
    <s v="São José"/>
  </r>
  <r>
    <x v="0"/>
    <s v="101BSC4020"/>
    <n v="0"/>
    <x v="59"/>
    <s v="4020"/>
    <n v="-48.611289900008799"/>
    <n v="-27.162920099882601"/>
    <n v="-48.630713819986703"/>
    <n v="-27.240227299650002"/>
    <s v="101"/>
    <s v="SC"/>
    <s v="Eixo Principal"/>
    <s v="-"/>
    <s v="101BSC4020"/>
    <s v="ACESSO P/PORTO BELO"/>
    <s v="ENTR SC-410 (TIJUCAS)"/>
    <n v="155"/>
    <n v="163.6"/>
    <n v="8.6"/>
    <x v="0"/>
    <m/>
    <m/>
    <s v="Concessão Federal"/>
    <m/>
    <m/>
    <m/>
    <s v="Federal"/>
    <s v="PAV"/>
    <s v="São José"/>
  </r>
  <r>
    <x v="0"/>
    <s v="101BSC4030"/>
    <n v="0"/>
    <x v="59"/>
    <s v="4030"/>
    <n v="-48.630713819986703"/>
    <n v="-27.240227299650002"/>
    <n v="-48.631084040296102"/>
    <n v="-27.377753920207201"/>
    <s v="101"/>
    <s v="SC"/>
    <s v="Eixo Principal"/>
    <s v="-"/>
    <s v="101BSC4030"/>
    <s v="ENTR SC-410 (TIJUCAS)"/>
    <s v="ENTR ACESSO P/GOVERNADOR  CELSO RAMOS"/>
    <n v="163.6"/>
    <n v="179.6"/>
    <n v="16"/>
    <x v="0"/>
    <m/>
    <m/>
    <s v="Concessão Federal"/>
    <m/>
    <m/>
    <m/>
    <s v="Federal"/>
    <s v="PAV"/>
    <s v="São José"/>
  </r>
  <r>
    <x v="0"/>
    <s v="101BSC4040"/>
    <n v="0"/>
    <x v="59"/>
    <s v="4040"/>
    <n v="-48.631084040296102"/>
    <n v="-27.377753920207201"/>
    <n v="-48.629672580425201"/>
    <n v="-27.401345199621201"/>
    <s v="101"/>
    <s v="SC"/>
    <s v="Eixo Principal"/>
    <s v="-"/>
    <s v="101BSC4040"/>
    <s v="ENTR ACESSO P/GOVERNADOR  CELSO RAMOS"/>
    <s v="ENTR AV. PAPENBORG (P/ARMAÇÃO DA PIEDADE)"/>
    <n v="179.6"/>
    <n v="182.4"/>
    <n v="2.8"/>
    <x v="0"/>
    <m/>
    <m/>
    <s v="Concessão Federal"/>
    <m/>
    <m/>
    <m/>
    <s v="Federal"/>
    <s v="PAV"/>
    <s v="São José"/>
  </r>
  <r>
    <x v="0"/>
    <s v="101BSC4043"/>
    <n v="0"/>
    <x v="59"/>
    <s v="4043"/>
    <n v="-48.629672580425201"/>
    <n v="-27.401345199621201"/>
    <n v="-48.6559153499134"/>
    <n v="-27.489573890422601"/>
    <s v="101"/>
    <s v="SC"/>
    <s v="Eixo Principal"/>
    <s v="-"/>
    <s v="101BSC4043"/>
    <s v="ENTR AV. PAPENBORG (P/ARMAÇÃO DA PIEDADE)"/>
    <s v="ENTR SC-407 (BIGUAÇU)"/>
    <n v="182.4"/>
    <n v="193"/>
    <n v="10.6"/>
    <x v="0"/>
    <m/>
    <m/>
    <s v="Concessão Federal"/>
    <m/>
    <m/>
    <m/>
    <s v="Federal"/>
    <s v="PAV"/>
    <s v="São José"/>
  </r>
  <r>
    <x v="0"/>
    <s v="101BSC4050"/>
    <n v="0"/>
    <x v="59"/>
    <s v="4050"/>
    <n v="-48.6559153499134"/>
    <n v="-27.489573890422601"/>
    <n v="-48.614292370296504"/>
    <n v="-27.5658406501258"/>
    <s v="101"/>
    <s v="SC"/>
    <s v="Eixo Principal"/>
    <s v="-"/>
    <s v="101BSC4050"/>
    <s v="ENTR SC-407 (BIGUAÇU)"/>
    <s v="ACESSO NORTE FLORIANÓPOLIS"/>
    <n v="193"/>
    <n v="203.1"/>
    <n v="10.1"/>
    <x v="0"/>
    <m/>
    <m/>
    <s v="Concessão Federal"/>
    <m/>
    <m/>
    <m/>
    <s v="Federal"/>
    <s v="PAV"/>
    <s v="São José"/>
  </r>
  <r>
    <x v="0"/>
    <s v="101BSC4070"/>
    <n v="0"/>
    <x v="59"/>
    <s v="4070"/>
    <n v="-48.614292370296504"/>
    <n v="-27.5658406501258"/>
    <n v="-48.616449209863099"/>
    <n v="-27.5866917204464"/>
    <s v="101"/>
    <s v="SC"/>
    <s v="Eixo Principal"/>
    <s v="-"/>
    <s v="101BSC4070"/>
    <s v="ACESSO NORTE FLORIANÓPOLIS"/>
    <s v="ENTR BR-282(A)"/>
    <n v="203.1"/>
    <n v="205.4"/>
    <n v="2.2999999999999998"/>
    <x v="0"/>
    <m/>
    <m/>
    <s v="Concessão Federal"/>
    <m/>
    <m/>
    <m/>
    <s v="Federal"/>
    <s v="PAV"/>
    <s v="São José"/>
  </r>
  <r>
    <x v="0"/>
    <s v="101BSC4090"/>
    <n v="0"/>
    <x v="59"/>
    <s v="4090"/>
    <n v="-48.616449209863099"/>
    <n v="-27.5866917204464"/>
    <n v="-48.643059169844697"/>
    <n v="-27.614090189810302"/>
    <s v="101"/>
    <s v="SC"/>
    <s v="Eixo Principal"/>
    <s v="-"/>
    <s v="101BSC4090"/>
    <s v="ENTR BR-282(A)"/>
    <s v="ENTR SC-407 (SÃO JOSÉ)"/>
    <n v="205.4"/>
    <n v="209.6"/>
    <n v="4.2"/>
    <x v="0"/>
    <m/>
    <s v="282BSC0020"/>
    <s v="Concessão Federal"/>
    <m/>
    <m/>
    <m/>
    <s v="Federal"/>
    <s v="PAV"/>
    <s v="São José"/>
  </r>
  <r>
    <x v="0"/>
    <s v="101BSC4095"/>
    <n v="0"/>
    <x v="59"/>
    <s v="4095"/>
    <n v="-48.643059169844697"/>
    <n v="-27.614090189810302"/>
    <n v="-48.678454300225702"/>
    <n v="-27.6556866304335"/>
    <s v="101"/>
    <s v="SC"/>
    <s v="Eixo Principal"/>
    <s v="-"/>
    <s v="101BSC4095"/>
    <s v="ENTR SC-407 (SÃO JOSÉ)"/>
    <s v="ENTR BR-282(B) (PALHOÇA)"/>
    <n v="209.6"/>
    <n v="215.5"/>
    <n v="5.9"/>
    <x v="0"/>
    <m/>
    <s v="282BSC0025"/>
    <s v="Concessão Federal"/>
    <m/>
    <m/>
    <m/>
    <s v="Federal"/>
    <s v="PAV"/>
    <s v="São José"/>
  </r>
  <r>
    <x v="0"/>
    <s v="101BSC4100"/>
    <n v="0"/>
    <x v="59"/>
    <s v="4100"/>
    <n v="-48.678454300225702"/>
    <n v="-27.6556866304335"/>
    <n v="-48.6757712403504"/>
    <n v="-27.6638149998623"/>
    <s v="101"/>
    <s v="SC"/>
    <s v="Eixo Principal"/>
    <s v="-"/>
    <s v="101BSC4100"/>
    <s v="ENTR BR-282(B) (PALHOÇA)"/>
    <s v="ACESSO SUL PALHOÇA/STO A DA IMPERATRIZ"/>
    <n v="215.5"/>
    <n v="216.5"/>
    <n v="1"/>
    <x v="0"/>
    <m/>
    <m/>
    <s v="Concessão Federal"/>
    <m/>
    <m/>
    <m/>
    <s v="Federal"/>
    <s v="PAV"/>
    <s v="São José"/>
  </r>
  <r>
    <x v="0"/>
    <s v="101BSC4105"/>
    <n v="0"/>
    <x v="59"/>
    <s v="4105"/>
    <n v="-48.6757712403504"/>
    <n v="-27.6638149998623"/>
    <n v="-48.6605934703123"/>
    <n v="-27.699246259607101"/>
    <s v="101"/>
    <s v="SC"/>
    <s v="Eixo Principal"/>
    <s v="-"/>
    <s v="101BSC4105"/>
    <s v="ACESSO SUL PALHOÇA/STO A DA IMPERATRIZ"/>
    <s v="PONTE SOBRE O RIO CUBATÃO"/>
    <n v="216.5"/>
    <n v="220.9"/>
    <n v="4.4000000000000004"/>
    <x v="0"/>
    <m/>
    <m/>
    <s v="Concessão Federal"/>
    <m/>
    <m/>
    <m/>
    <s v="Federal"/>
    <s v="PAV"/>
    <s v="São José"/>
  </r>
  <r>
    <x v="0"/>
    <s v="101BSC4110"/>
    <n v="0"/>
    <x v="59"/>
    <s v="4110"/>
    <n v="-48.6605934703123"/>
    <n v="-27.699246259607101"/>
    <n v="-48.6383193595507"/>
    <n v="-27.792867809701502"/>
    <s v="101"/>
    <s v="SC"/>
    <s v="Eixo Principal"/>
    <s v="-"/>
    <s v="101BSC4110"/>
    <s v="PONTE SOBRE O RIO CUBATÃO"/>
    <s v="FIM DUPLICAÇÃO (MORRO DOS CAVALOS)"/>
    <n v="220.9"/>
    <n v="232"/>
    <n v="11.1"/>
    <x v="2"/>
    <s v="EOD"/>
    <m/>
    <s v="Concessão Federal"/>
    <m/>
    <m/>
    <m/>
    <s v="Federal"/>
    <s v="PAV"/>
    <s v="São José"/>
  </r>
  <r>
    <x v="0"/>
    <s v="101BSC4115"/>
    <n v="0"/>
    <x v="59"/>
    <s v="4115"/>
    <n v="-48.6383193595507"/>
    <n v="-27.792867809701502"/>
    <n v="-48.630905200214698"/>
    <n v="-27.8201827302487"/>
    <s v="101"/>
    <s v="SC"/>
    <s v="Eixo Principal"/>
    <s v="-"/>
    <s v="101BSC4115"/>
    <s v="FIM DUPLICAÇÃO (MORRO DOS CAVALOS)"/>
    <s v="PONTE SOBRE O RIO MASSIAMBÚ"/>
    <n v="232"/>
    <n v="235.3"/>
    <n v="3.3"/>
    <x v="2"/>
    <m/>
    <m/>
    <s v="Concessão Federal"/>
    <m/>
    <m/>
    <m/>
    <s v="Federal"/>
    <s v="PAV"/>
    <s v="São José"/>
  </r>
  <r>
    <x v="0"/>
    <s v="101BSC4120"/>
    <n v="0"/>
    <x v="59"/>
    <s v="4120"/>
    <n v="-48.630905200214698"/>
    <n v="-27.8201827302487"/>
    <n v="-48.648919619944401"/>
    <n v="-27.901681660180401"/>
    <s v="101"/>
    <s v="SC"/>
    <s v="Eixo Principal"/>
    <s v="-"/>
    <s v="101BSC4120"/>
    <s v="PONTE SOBRE O RIO MASSIAMBÚ"/>
    <s v="PONTE SOBRE O RIO DA MADRE"/>
    <n v="235.3"/>
    <n v="245"/>
    <n v="9.6999999999999993"/>
    <x v="0"/>
    <m/>
    <m/>
    <s v="Concessão Federal"/>
    <m/>
    <m/>
    <m/>
    <s v="Federal"/>
    <s v="PAV"/>
    <s v="São José"/>
  </r>
  <r>
    <x v="0"/>
    <s v="101BSC4125"/>
    <n v="0"/>
    <x v="59"/>
    <s v="4125"/>
    <n v="-48.648919619944401"/>
    <n v="-27.901681660180401"/>
    <n v="-48.700175460129302"/>
    <n v="-28.1159865298544"/>
    <s v="101"/>
    <s v="SC"/>
    <s v="Eixo Principal"/>
    <s v="-"/>
    <s v="101BSC4125"/>
    <s v="PONTE SOBRE O RIO DA MADRE"/>
    <s v="PONTE SOBRE O RIO ARAÇATUBA"/>
    <n v="245"/>
    <n v="271.7"/>
    <n v="26.7"/>
    <x v="0"/>
    <m/>
    <m/>
    <s v="Federal"/>
    <m/>
    <m/>
    <m/>
    <s v="Federal"/>
    <s v="PAV"/>
    <s v="São José"/>
  </r>
  <r>
    <x v="0"/>
    <s v="101BSC4130"/>
    <n v="0"/>
    <x v="59"/>
    <s v="4130"/>
    <n v="-48.700175460129302"/>
    <n v="-28.1159865298544"/>
    <n v="-48.693216550203601"/>
    <n v="-28.1298519695926"/>
    <s v="101"/>
    <s v="SC"/>
    <s v="Eixo Principal"/>
    <s v="-"/>
    <s v="101BSC4130"/>
    <s v="PONTE SOBRE O RIO ARAÇATUBA"/>
    <s v="ENTR SC-434 (P/GAROPABA)"/>
    <n v="271.7"/>
    <n v="274"/>
    <n v="2.2999999999999998"/>
    <x v="0"/>
    <m/>
    <m/>
    <s v="Federal"/>
    <m/>
    <m/>
    <m/>
    <s v="Federal"/>
    <s v="PAV"/>
    <s v="São José"/>
  </r>
  <r>
    <x v="0"/>
    <s v="101BSC4140"/>
    <n v="0"/>
    <x v="59"/>
    <s v="4140"/>
    <n v="-48.693216550203601"/>
    <n v="-28.1298519695926"/>
    <n v="-48.732776889741601"/>
    <n v="-28.336977740230498"/>
    <s v="101"/>
    <s v="SC"/>
    <s v="Eixo Principal"/>
    <s v="-"/>
    <s v="101BSC4140"/>
    <s v="ENTR SC-434 (P/GAROPABA)"/>
    <s v="ACESSO À ITAPIRUBÁ"/>
    <n v="274"/>
    <n v="300"/>
    <n v="26"/>
    <x v="0"/>
    <m/>
    <m/>
    <s v="Federal"/>
    <m/>
    <m/>
    <m/>
    <s v="Federal"/>
    <s v="PAV"/>
    <s v="São José"/>
  </r>
  <r>
    <x v="0"/>
    <s v="101BSC4150"/>
    <n v="0"/>
    <x v="59"/>
    <s v="4150"/>
    <n v="-48.732776889741601"/>
    <n v="-28.336977740230498"/>
    <n v="-48.8242032199026"/>
    <n v="-28.440654440150201"/>
    <s v="101"/>
    <s v="SC"/>
    <s v="Eixo Principal"/>
    <s v="-"/>
    <s v="101BSC4150"/>
    <s v="ACESSO À ITAPIRUBÁ"/>
    <s v="INÍCIO DA PONTE ANITA GARIBALDI"/>
    <n v="300"/>
    <n v="313.10000000000002"/>
    <n v="13.1"/>
    <x v="0"/>
    <m/>
    <m/>
    <s v="Federal"/>
    <m/>
    <m/>
    <m/>
    <s v="Federal"/>
    <s v="PAV"/>
    <s v="São José"/>
  </r>
  <r>
    <x v="0"/>
    <s v="101BSC4170"/>
    <n v="0"/>
    <x v="59"/>
    <s v="4170"/>
    <n v="-48.8242032199026"/>
    <n v="-28.440654440150201"/>
    <n v="-48.852161359858798"/>
    <n v="-28.427031060135199"/>
    <s v="101"/>
    <s v="SC"/>
    <s v="Eixo Principal"/>
    <s v="-"/>
    <s v="101BSC4170"/>
    <s v="INÍCIO DA PONTE ANITA GARIBALDI"/>
    <s v="FIM DA PONTE ANITA GARIBALDI"/>
    <n v="313.10000000000002"/>
    <n v="315.89999999999998"/>
    <n v="2.8"/>
    <x v="0"/>
    <m/>
    <m/>
    <s v="Federal"/>
    <m/>
    <m/>
    <m/>
    <s v="Federal"/>
    <s v="PAV"/>
    <s v="Tubarão"/>
  </r>
  <r>
    <x v="0"/>
    <s v="101BSC4175"/>
    <n v="0"/>
    <x v="59"/>
    <s v="4175"/>
    <n v="-48.852161359858798"/>
    <n v="-28.427031060135199"/>
    <n v="-48.9721181099627"/>
    <n v="-28.450597979613001"/>
    <s v="101"/>
    <s v="SC"/>
    <s v="Eixo Principal"/>
    <s v="-"/>
    <s v="101BSC4175"/>
    <s v="FIM DA PONTE ANITA GARIBALDI"/>
    <s v="PONTE SOBRE O RIO CAPIVARI"/>
    <n v="315.89999999999998"/>
    <n v="329.9"/>
    <n v="14"/>
    <x v="0"/>
    <m/>
    <m/>
    <s v="Federal"/>
    <m/>
    <m/>
    <m/>
    <s v="Federal"/>
    <s v="PAV"/>
    <s v="Tubarão"/>
  </r>
  <r>
    <x v="0"/>
    <s v="101BSC4180"/>
    <n v="0"/>
    <x v="59"/>
    <s v="4180"/>
    <n v="-48.9721181099627"/>
    <n v="-28.450597979613001"/>
    <n v="-49.038409770294599"/>
    <n v="-28.487149460079401"/>
    <s v="101"/>
    <s v="SC"/>
    <s v="Eixo Principal"/>
    <s v="-"/>
    <s v="101BSC4180"/>
    <s v="PONTE SOBRE O RIO CAPIVARI"/>
    <s v="ENTRADA TÚNEL MORRO DO FORMIGÃO"/>
    <n v="329.9"/>
    <n v="337.8"/>
    <n v="7.9"/>
    <x v="0"/>
    <m/>
    <m/>
    <s v="Federal"/>
    <m/>
    <m/>
    <m/>
    <s v="Federal"/>
    <s v="PAV"/>
    <s v="Tubarão"/>
  </r>
  <r>
    <x v="0"/>
    <s v="101BSC4190"/>
    <n v="0"/>
    <x v="59"/>
    <s v="4190"/>
    <n v="-49.038409770294599"/>
    <n v="-28.487149460079401"/>
    <n v="-49.039857730050102"/>
    <n v="-28.491758019716698"/>
    <s v="101"/>
    <s v="SC"/>
    <s v="Eixo Principal"/>
    <s v="-"/>
    <s v="101BSC4190"/>
    <s v="ENTRADA TÚNEL MORRO DO FORMIGÃO"/>
    <s v="SAÍDA TÚNEL MORRO DO FORMIGÃO"/>
    <n v="337.8"/>
    <n v="338.7"/>
    <n v="0.9"/>
    <x v="0"/>
    <m/>
    <m/>
    <s v="Federal"/>
    <m/>
    <m/>
    <m/>
    <s v="Federal"/>
    <s v="PAV"/>
    <s v="Tubarão"/>
  </r>
  <r>
    <x v="0"/>
    <s v="101BSC4200"/>
    <n v="0"/>
    <x v="59"/>
    <s v="4200"/>
    <n v="-49.039857730050102"/>
    <n v="-28.491758019716698"/>
    <n v="-49.100490740055498"/>
    <n v="-28.6429139899885"/>
    <s v="101"/>
    <s v="SC"/>
    <s v="Eixo Principal"/>
    <s v="-"/>
    <s v="101BSC4200"/>
    <s v="SAÍDA TÚNEL MORRO DO FORMIGÃO"/>
    <s v="ENTR SC-443/ACESSO AEROPORTO"/>
    <n v="338.7"/>
    <n v="359"/>
    <n v="20.3"/>
    <x v="0"/>
    <m/>
    <m/>
    <s v="Federal"/>
    <m/>
    <m/>
    <m/>
    <s v="Federal"/>
    <s v="PAV"/>
    <s v="Tubarão"/>
  </r>
  <r>
    <x v="0"/>
    <s v="101BSC4210"/>
    <n v="0"/>
    <x v="59"/>
    <s v="4210"/>
    <n v="-49.100490740055498"/>
    <n v="-28.6429139899885"/>
    <n v="-49.189866980176902"/>
    <n v="-28.698430600391799"/>
    <s v="101"/>
    <s v="SC"/>
    <s v="Eixo Principal"/>
    <s v="-"/>
    <s v="101BSC4210"/>
    <s v="ENTR SC-443/ACESSO AEROPORTO"/>
    <s v="ENTR SC-445(A) (P/BALNEÁRIO ESPLANADA)"/>
    <n v="359"/>
    <n v="370.3"/>
    <n v="11.3"/>
    <x v="0"/>
    <m/>
    <m/>
    <s v="Federal"/>
    <m/>
    <m/>
    <m/>
    <s v="Federal"/>
    <s v="PAV"/>
    <s v="Tubarão"/>
  </r>
  <r>
    <x v="0"/>
    <s v="101BSC4220"/>
    <n v="0"/>
    <x v="59"/>
    <s v="4220"/>
    <n v="-49.189866980176902"/>
    <n v="-28.698430600391799"/>
    <n v="-49.275490610203398"/>
    <n v="-28.7536989799239"/>
    <s v="101"/>
    <s v="SC"/>
    <s v="Eixo Principal"/>
    <s v="-"/>
    <s v="101BSC4220"/>
    <s v="ENTR SC-445(A) (P/BALNEÁRIO ESPLANADA)"/>
    <s v="ENTR SC-445(B) (P/BALNEÁRIO RINCÃO)"/>
    <n v="370.3"/>
    <n v="380.9"/>
    <n v="10.6"/>
    <x v="0"/>
    <m/>
    <m/>
    <s v="Federal"/>
    <m/>
    <m/>
    <m/>
    <s v="Federal"/>
    <s v="PAV"/>
    <s v="Tubarão"/>
  </r>
  <r>
    <x v="0"/>
    <s v="101BSC4230"/>
    <n v="0"/>
    <x v="59"/>
    <s v="4230"/>
    <n v="-49.275490610203398"/>
    <n v="-28.7536989799239"/>
    <n v="-49.448270830334501"/>
    <n v="-28.866074900236399"/>
    <s v="101"/>
    <s v="SC"/>
    <s v="Eixo Principal"/>
    <s v="-"/>
    <s v="101BSC4230"/>
    <s v="ENTR SC-445(B) (P/BALNEÁRIO RINCÃO)"/>
    <s v="ENTR SC-446 (MARACAJÁ)"/>
    <n v="380.9"/>
    <n v="402.2"/>
    <n v="21.3"/>
    <x v="0"/>
    <m/>
    <m/>
    <s v="Federal"/>
    <m/>
    <m/>
    <m/>
    <s v="Federal"/>
    <s v="PAV"/>
    <s v="Tubarão"/>
  </r>
  <r>
    <x v="0"/>
    <s v="101BSC4235"/>
    <n v="0"/>
    <x v="59"/>
    <s v="4235"/>
    <n v="-49.448270830334501"/>
    <n v="-28.866074900236399"/>
    <n v="-49.497512850137802"/>
    <n v="-28.939332270268"/>
    <s v="101"/>
    <s v="SC"/>
    <s v="Eixo Principal"/>
    <s v="-"/>
    <s v="101BSC4235"/>
    <s v="ENTR SC-446 (MARACAJÁ)"/>
    <s v="ENTR BR-447 (ARARANGUÁ)"/>
    <n v="402.2"/>
    <n v="412"/>
    <n v="9.8000000000000007"/>
    <x v="0"/>
    <m/>
    <m/>
    <s v="Federal"/>
    <m/>
    <m/>
    <m/>
    <s v="Federal"/>
    <s v="PAV"/>
    <s v="Tubarão"/>
  </r>
  <r>
    <x v="0"/>
    <s v="101BSC4240"/>
    <n v="0"/>
    <x v="59"/>
    <s v="4240"/>
    <n v="-49.497512850137802"/>
    <n v="-28.939332270268"/>
    <n v="-49.600547630168897"/>
    <n v="-29.0265213996428"/>
    <s v="101"/>
    <s v="SC"/>
    <s v="Eixo Principal"/>
    <s v="-"/>
    <s v="101BSC4240"/>
    <s v="ENTR BR-447 (ARARANGUÁ)"/>
    <s v="ENTR BR-285(B)/SC-285 (SANGA DA TOCA)"/>
    <n v="412"/>
    <n v="426.1"/>
    <n v="14.1"/>
    <x v="0"/>
    <m/>
    <s v="285BSC0010"/>
    <s v="Federal"/>
    <m/>
    <m/>
    <m/>
    <s v="Federal"/>
    <s v="PAV"/>
    <s v="Tubarão"/>
  </r>
  <r>
    <x v="0"/>
    <s v="101BSC4250"/>
    <n v="0"/>
    <x v="59"/>
    <s v="4250"/>
    <n v="-49.600547630168897"/>
    <n v="-29.0265213996428"/>
    <n v="-49.640406469982501"/>
    <n v="-29.116755420326299"/>
    <s v="101"/>
    <s v="SC"/>
    <s v="Eixo Principal"/>
    <s v="-"/>
    <s v="101BSC4250"/>
    <s v="ENTR BR-285(B)/SC-285 (SANGA DA TOCA)"/>
    <s v="PONTE SOBRE O RIO LAJE (SOMBRIO)"/>
    <n v="426.1"/>
    <n v="437"/>
    <n v="10.9"/>
    <x v="0"/>
    <m/>
    <m/>
    <s v="Federal"/>
    <m/>
    <m/>
    <m/>
    <s v="Federal"/>
    <s v="PAV"/>
    <s v="Tubarão"/>
  </r>
  <r>
    <x v="0"/>
    <s v="101BSC4290"/>
    <n v="0"/>
    <x v="59"/>
    <s v="4290"/>
    <n v="-49.640406469982501"/>
    <n v="-29.116755420326299"/>
    <n v="-49.769589900053802"/>
    <n v="-29.299076690136999"/>
    <s v="101"/>
    <s v="SC"/>
    <s v="Eixo Principal"/>
    <s v="-"/>
    <s v="101BSC4290"/>
    <s v="PONTE SOBRE O RIO LAJE (SOMBRIO)"/>
    <s v="DIV SC/RS (INÍCIO PONTE S/RIO MAMPITUBA)"/>
    <n v="437"/>
    <n v="465"/>
    <n v="28"/>
    <x v="0"/>
    <m/>
    <m/>
    <s v="Federal"/>
    <m/>
    <m/>
    <m/>
    <s v="Federal"/>
    <s v="PAV"/>
    <s v="Tubarão"/>
  </r>
  <r>
    <x v="0"/>
    <s v="101BSE0910"/>
    <n v="0"/>
    <x v="60"/>
    <s v="0910"/>
    <n v="-36.819894420191297"/>
    <n v="-10.207093119551701"/>
    <n v="-36.822497470082098"/>
    <n v="-10.214133130339601"/>
    <s v="101"/>
    <s v="SE"/>
    <s v="Eixo Principal"/>
    <s v="-"/>
    <s v="101BSE0910"/>
    <s v="DIV AL/SE"/>
    <s v="FIM DA PONTE S/ RIO SÃO FRANCISCO"/>
    <n v="0"/>
    <n v="0.9"/>
    <n v="0.9"/>
    <x v="2"/>
    <s v="EOD"/>
    <m/>
    <s v="Federal"/>
    <m/>
    <m/>
    <m/>
    <s v="Federal"/>
    <s v="PAV"/>
    <s v="Tubarão"/>
  </r>
  <r>
    <x v="0"/>
    <s v="101BSE0920"/>
    <n v="0"/>
    <x v="60"/>
    <s v="0920"/>
    <n v="-36.822497470082098"/>
    <n v="-10.214133130339601"/>
    <n v="-36.823701020185801"/>
    <n v="-10.216560680231099"/>
    <s v="101"/>
    <s v="SE"/>
    <s v="Eixo Principal"/>
    <s v="-"/>
    <s v="101BSE0920"/>
    <s v="FIM DA PONTE S/ RIO SÃO FRANCISCO"/>
    <s v="ENTR SE-200 (P/PROPRIÁ)"/>
    <n v="0.9"/>
    <n v="1.2"/>
    <n v="0.3"/>
    <x v="2"/>
    <s v="EOD"/>
    <m/>
    <s v="Federal"/>
    <m/>
    <m/>
    <m/>
    <s v="Federal"/>
    <s v="PAV"/>
    <s v="Nossa Senhora do Socorro"/>
  </r>
  <r>
    <x v="0"/>
    <s v="101BSE0930"/>
    <n v="0"/>
    <x v="60"/>
    <s v="0930"/>
    <n v="-36.823701020185801"/>
    <n v="-10.216560680231099"/>
    <n v="-36.8413627698759"/>
    <n v="-10.230632949650801"/>
    <s v="101"/>
    <s v="SE"/>
    <s v="Eixo Principal"/>
    <s v="-"/>
    <s v="101BSE0930"/>
    <s v="ENTR SE-200 (P/PROPRIÁ)"/>
    <s v="P/DISTRITO INDUSTRIAL PROPRIÁ"/>
    <n v="1.2"/>
    <n v="3.2"/>
    <n v="2"/>
    <x v="2"/>
    <s v="EOD"/>
    <m/>
    <s v="Federal"/>
    <m/>
    <m/>
    <m/>
    <s v="Federal"/>
    <s v="PAV"/>
    <s v="Nossa Senhora do Socorro"/>
  </r>
  <r>
    <x v="0"/>
    <s v="101BSE0950"/>
    <n v="0"/>
    <x v="60"/>
    <s v="0950"/>
    <n v="-36.8413627698759"/>
    <n v="-10.230632949650801"/>
    <n v="-36.868113509730598"/>
    <n v="-10.2685066403691"/>
    <s v="101"/>
    <s v="SE"/>
    <s v="Eixo Principal"/>
    <s v="-"/>
    <s v="101BSE0950"/>
    <s v="P/DISTRITO INDUSTRIAL PROPRIÁ"/>
    <s v="ENTR SE-204 (P/CEDRO DE SÃO JOÃO)"/>
    <n v="3.2"/>
    <n v="8.6"/>
    <n v="5.4"/>
    <x v="2"/>
    <s v="EOD"/>
    <m/>
    <s v="Federal"/>
    <m/>
    <m/>
    <m/>
    <s v="Federal"/>
    <s v="PAV"/>
    <s v="Nossa Senhora do Socorro"/>
  </r>
  <r>
    <x v="0"/>
    <s v="101BSE0970"/>
    <n v="0"/>
    <x v="60"/>
    <s v="0970"/>
    <n v="-36.868113509730598"/>
    <n v="-10.2685066403691"/>
    <n v="-36.888390169570599"/>
    <n v="-10.3051551100202"/>
    <s v="101"/>
    <s v="SE"/>
    <s v="Eixo Principal"/>
    <s v="-"/>
    <s v="101BSE0970"/>
    <s v="ENTR SE-204 (P/CEDRO DE SÃO JOÃO)"/>
    <s v="P/BANANEIRAS"/>
    <n v="8.6"/>
    <n v="13.2"/>
    <n v="4.5999999999999996"/>
    <x v="2"/>
    <s v="EOD"/>
    <m/>
    <s v="Federal"/>
    <m/>
    <m/>
    <m/>
    <s v="Federal"/>
    <s v="PAV"/>
    <s v="Nossa Senhora do Socorro"/>
  </r>
  <r>
    <x v="0"/>
    <s v="101BSE0975"/>
    <n v="0"/>
    <x v="60"/>
    <s v="0975"/>
    <n v="-36.888390169570599"/>
    <n v="-10.3051551100202"/>
    <n v="-36.900053169617998"/>
    <n v="-10.3493488898393"/>
    <s v="101"/>
    <s v="SE"/>
    <s v="Eixo Principal"/>
    <s v="-"/>
    <s v="101BSE0975"/>
    <s v="P/BANANEIRAS"/>
    <s v="ACESSO P/ SÃO FRANCISCO "/>
    <n v="13.2"/>
    <n v="18.399999999999999"/>
    <n v="5.2"/>
    <x v="2"/>
    <s v="EOD"/>
    <m/>
    <s v="Federal"/>
    <m/>
    <m/>
    <m/>
    <s v="Federal"/>
    <s v="PAV"/>
    <s v="Nossa Senhora do Socorro"/>
  </r>
  <r>
    <x v="0"/>
    <s v="101BSE0980"/>
    <n v="0"/>
    <x v="60"/>
    <s v="0980"/>
    <n v="-36.900053169617998"/>
    <n v="-10.3493488898393"/>
    <n v="-36.915813040239499"/>
    <n v="-10.387981299897"/>
    <s v="101"/>
    <s v="SE"/>
    <s v="Eixo Principal"/>
    <s v="-"/>
    <s v="101BSE0980"/>
    <s v="ACESSO P/ SÃO FRANCISCO"/>
    <s v="ENTR SE-335 (P/ JAPOATÃ)"/>
    <n v="18.399999999999999"/>
    <n v="23.1"/>
    <n v="4.7"/>
    <x v="2"/>
    <s v="EOD"/>
    <m/>
    <s v="Federal"/>
    <m/>
    <m/>
    <m/>
    <s v="Federal"/>
    <s v="PAV"/>
    <s v="Nossa Senhora do Socorro"/>
  </r>
  <r>
    <x v="0"/>
    <s v="101BSE0990"/>
    <n v="0"/>
    <x v="60"/>
    <s v="0990"/>
    <n v="-36.915813040239499"/>
    <n v="-10.387981299897"/>
    <n v="-36.917359150204497"/>
    <n v="-10.3969716901913"/>
    <s v="101"/>
    <s v="SE"/>
    <s v="Eixo Principal"/>
    <s v="-"/>
    <s v="101BSE0990"/>
    <s v="ENTR SE-335 (P/ JAPOATÃ)"/>
    <s v="ENTR SE-220 (AQUIDABÃ)"/>
    <n v="23.1"/>
    <n v="24.1"/>
    <n v="1"/>
    <x v="2"/>
    <s v="EOD"/>
    <m/>
    <s v="Federal"/>
    <m/>
    <m/>
    <m/>
    <s v="Federal"/>
    <s v="PAV"/>
    <s v="Nossa Senhora do Socorro"/>
  </r>
  <r>
    <x v="0"/>
    <s v="101BSE1030"/>
    <n v="0"/>
    <x v="60"/>
    <s v="1030"/>
    <n v="-36.917359150204497"/>
    <n v="-10.3969716901913"/>
    <n v="-36.949893690041698"/>
    <n v="-10.478774199769401"/>
    <s v="101"/>
    <s v="SE"/>
    <s v="Eixo Principal"/>
    <s v="-"/>
    <s v="101BSE1030"/>
    <s v="ENTR SE-220 (AQUIDABÃ)"/>
    <s v="ENTR SE-339 (P/CAPELA)"/>
    <n v="24.1"/>
    <n v="34.299999999999997"/>
    <n v="10.199999999999999"/>
    <x v="2"/>
    <s v="EOD"/>
    <m/>
    <s v="Federal"/>
    <m/>
    <m/>
    <m/>
    <s v="Federal"/>
    <s v="PAV"/>
    <s v="Nossa Senhora do Socorro"/>
  </r>
  <r>
    <x v="0"/>
    <s v="101BSE1040"/>
    <n v="0"/>
    <x v="60"/>
    <s v="1040"/>
    <n v="-36.949893690041698"/>
    <n v="-10.478774199769401"/>
    <n v="-36.9707366098066"/>
    <n v="-10.5473211601433"/>
    <s v="101"/>
    <s v="SE"/>
    <s v="Eixo Principal"/>
    <s v="-"/>
    <s v="101BSE1040"/>
    <s v="ENTR SE-339 (P/CAPELA)"/>
    <s v="ENTR SE-438 (P/ CAPELA)"/>
    <n v="34.299999999999997"/>
    <n v="43"/>
    <n v="8.6999999999999993"/>
    <x v="2"/>
    <s v="EOD"/>
    <m/>
    <s v="Federal"/>
    <m/>
    <m/>
    <m/>
    <s v="Federal"/>
    <s v="PAV"/>
    <s v="Nossa Senhora do Socorro"/>
  </r>
  <r>
    <x v="0"/>
    <s v="101BSE1050"/>
    <n v="0"/>
    <x v="60"/>
    <s v="1050"/>
    <n v="-36.9707366098066"/>
    <n v="-10.5473211601433"/>
    <n v="-36.968779009643498"/>
    <n v="-10.5852804600251"/>
    <s v="101"/>
    <s v="SE"/>
    <s v="Eixo Principal"/>
    <s v="-"/>
    <s v="101BSE1050"/>
    <s v="ENTR SE-438 (P/ CAPELA)"/>
    <s v="ENTR SE-226(A) (P/JAPARATUBA)"/>
    <n v="43"/>
    <n v="47.8"/>
    <n v="4.8"/>
    <x v="2"/>
    <s v="EOD"/>
    <m/>
    <s v="Federal"/>
    <m/>
    <m/>
    <m/>
    <s v="Federal"/>
    <s v="PAV"/>
    <s v="Nossa Senhora do Socorro"/>
  </r>
  <r>
    <x v="0"/>
    <s v="101BSE1070"/>
    <n v="0"/>
    <x v="60"/>
    <s v="1070"/>
    <n v="-36.968779009643498"/>
    <n v="-10.5852804600251"/>
    <n v="-36.974881389964096"/>
    <n v="-10.594229500391"/>
    <s v="101"/>
    <s v="SE"/>
    <s v="Eixo Principal"/>
    <s v="-"/>
    <s v="101BSE1070"/>
    <s v="ENTR SE-226(A) (P/JAPARATUBA)"/>
    <s v="ENTR SE-226(B) (P/ CAPELA)"/>
    <n v="47.8"/>
    <n v="49"/>
    <n v="1.2"/>
    <x v="2"/>
    <s v="EOD"/>
    <m/>
    <s v="Federal"/>
    <m/>
    <m/>
    <m/>
    <s v="Federal"/>
    <s v="PAV"/>
    <s v="Nossa Senhora do Socorro"/>
  </r>
  <r>
    <x v="0"/>
    <s v="101BSE1080"/>
    <n v="0"/>
    <x v="60"/>
    <s v="1080"/>
    <n v="-36.974881389964096"/>
    <n v="-10.594229500391"/>
    <n v="-37.0024273400496"/>
    <n v="-10.6318827699737"/>
    <s v="101"/>
    <s v="SE"/>
    <s v="Eixo Principal"/>
    <s v="-"/>
    <s v="101BSE1080"/>
    <s v="ENTR SE-226(B) (P/ CAPELA)"/>
    <s v="ENTR SE-228 (P/CARMÓPOLIS)"/>
    <n v="49"/>
    <n v="54.8"/>
    <n v="5.8"/>
    <x v="2"/>
    <s v="EOD"/>
    <m/>
    <s v="Federal"/>
    <m/>
    <m/>
    <m/>
    <s v="Federal"/>
    <s v="PAV"/>
    <s v="Nossa Senhora do Socorro"/>
  </r>
  <r>
    <x v="0"/>
    <s v="101BSE1090"/>
    <n v="0"/>
    <x v="60"/>
    <s v="1090"/>
    <n v="-37.0024273400496"/>
    <n v="-10.6318827699737"/>
    <n v="-37.028488760347898"/>
    <n v="-10.6596829700929"/>
    <s v="101"/>
    <s v="SE"/>
    <s v="Eixo Principal"/>
    <s v="-"/>
    <s v="101BSE1090"/>
    <s v="ENTR SE-228 (P/CARMÓPOLIS)"/>
    <s v="ENTR SE-230 (P/SIRIRI)"/>
    <n v="54.8"/>
    <n v="59"/>
    <n v="4.2"/>
    <x v="2"/>
    <s v="EOD"/>
    <m/>
    <s v="Federal"/>
    <m/>
    <m/>
    <m/>
    <s v="Federal"/>
    <s v="PAV"/>
    <s v="Nossa Senhora do Socorro"/>
  </r>
  <r>
    <x v="0"/>
    <s v="101BSE1110"/>
    <n v="0"/>
    <x v="60"/>
    <s v="1110"/>
    <n v="-37.028488760347898"/>
    <n v="-10.6596829700929"/>
    <n v="-37.042645580429102"/>
    <n v="-10.6939475195623"/>
    <s v="101"/>
    <s v="SE"/>
    <s v="Eixo Principal"/>
    <s v="-"/>
    <s v="101BSE1110"/>
    <s v="ENTR SE-230 (P/SIRIRI)"/>
    <s v="ENTR SE-426 (P/ROSÁRIO DO CATETE)"/>
    <n v="59"/>
    <n v="63.3"/>
    <n v="4.3"/>
    <x v="2"/>
    <s v="EOD"/>
    <m/>
    <s v="Federal"/>
    <m/>
    <m/>
    <m/>
    <s v="Federal"/>
    <s v="PAV"/>
    <s v="Nossa Senhora do Socorro"/>
  </r>
  <r>
    <x v="0"/>
    <s v="101BSE1130"/>
    <n v="0"/>
    <x v="60"/>
    <s v="1130"/>
    <n v="-37.042645580429102"/>
    <n v="-10.6939475195623"/>
    <n v="-37.076360500236802"/>
    <n v="-10.7262132295568"/>
    <s v="101"/>
    <s v="SE"/>
    <s v="Eixo Principal"/>
    <s v="-"/>
    <s v="101BSE1130"/>
    <s v="ENTR SE-426 (P/ROSÁRIO DO CATETE)"/>
    <s v="ENTR SE-240(A) (P/ PORTO DE SERGIPE)"/>
    <n v="63.3"/>
    <n v="68.400000000000006"/>
    <n v="5.0999999999999996"/>
    <x v="2"/>
    <s v="EOD"/>
    <m/>
    <s v="Federal"/>
    <m/>
    <m/>
    <m/>
    <s v="Federal"/>
    <s v="PAV"/>
    <s v="Nossa Senhora do Socorro"/>
  </r>
  <r>
    <x v="0"/>
    <s v="101BSE1140"/>
    <n v="0"/>
    <x v="60"/>
    <s v="1140"/>
    <n v="-37.076360500236802"/>
    <n v="-10.7262132295568"/>
    <n v="-37.0847567399315"/>
    <n v="-10.732170729995101"/>
    <s v="101"/>
    <s v="SE"/>
    <s v="Eixo Principal"/>
    <s v="-"/>
    <s v="101BSE1140"/>
    <s v="ENTR SE-240(A) (P/ PORTO DE SERGIPE)"/>
    <s v="ENTR SE-240(B) (MARUIM)"/>
    <n v="68.400000000000006"/>
    <n v="69.5"/>
    <n v="1.1000000000000001"/>
    <x v="2"/>
    <s v="EOD"/>
    <m/>
    <s v="Federal"/>
    <m/>
    <m/>
    <m/>
    <s v="Federal"/>
    <s v="PAV"/>
    <s v="Nossa Senhora do Socorro"/>
  </r>
  <r>
    <x v="0"/>
    <s v="101BSE1150"/>
    <n v="0"/>
    <x v="60"/>
    <s v="1150"/>
    <n v="-37.0847567399315"/>
    <n v="-10.732170729995101"/>
    <n v="-37.1392026498823"/>
    <n v="-10.778952680421799"/>
    <s v="101"/>
    <s v="SE"/>
    <s v="Eixo Principal"/>
    <s v="-"/>
    <s v="101BSE1150"/>
    <s v="ENTR SE-240(B) (MARUIM)"/>
    <s v="ENTR SE-245/429 (PEDRA BRANCA)"/>
    <n v="69.5"/>
    <n v="77.599999999999994"/>
    <n v="8.1"/>
    <x v="2"/>
    <s v="EOD"/>
    <m/>
    <s v="Federal"/>
    <m/>
    <m/>
    <m/>
    <s v="Federal"/>
    <s v="PAV"/>
    <s v="Nossa Senhora do Socorro"/>
  </r>
  <r>
    <x v="0"/>
    <s v="101BSE1170"/>
    <n v="0"/>
    <x v="60"/>
    <s v="1170"/>
    <n v="-37.1392026498823"/>
    <n v="-10.778952680421799"/>
    <n v="-37.139629780190099"/>
    <n v="-10.813594050324999"/>
    <s v="101"/>
    <s v="SE"/>
    <s v="Eixo Principal"/>
    <s v="-"/>
    <s v="101BSE1170"/>
    <s v="ENTR SE-245/429 (PEDRA BRANCA)"/>
    <s v="ENTR SE-448 (P/LARANJEIRAS)"/>
    <n v="77.599999999999994"/>
    <n v="81.5"/>
    <n v="3.9"/>
    <x v="0"/>
    <m/>
    <m/>
    <s v="Federal"/>
    <m/>
    <m/>
    <m/>
    <s v="Federal"/>
    <s v="PAV"/>
    <s v="Nossa Senhora do Socorro"/>
  </r>
  <r>
    <x v="0"/>
    <s v="101BSE1190"/>
    <n v="0"/>
    <x v="60"/>
    <s v="1190"/>
    <n v="-37.139629780190099"/>
    <n v="-10.813594050324999"/>
    <n v="-37.136433679570501"/>
    <n v="-10.849554960393"/>
    <s v="101"/>
    <s v="SE"/>
    <s v="Eixo Principal"/>
    <s v="-"/>
    <s v="101BSE1190"/>
    <s v="ENTR SE-448 (P/LARANJEIRAS)"/>
    <s v="ENTR SE-090 (P/ NOSSA SENHORA DO SOCORRO)"/>
    <n v="81.5"/>
    <n v="85.7"/>
    <n v="4.2"/>
    <x v="0"/>
    <m/>
    <m/>
    <s v="Federal"/>
    <m/>
    <m/>
    <m/>
    <s v="Federal"/>
    <s v="PAV"/>
    <s v="Nossa Senhora do Socorro"/>
  </r>
  <r>
    <x v="0"/>
    <s v="101BSE1200"/>
    <n v="0"/>
    <x v="60"/>
    <s v="1200"/>
    <n v="-37.136433679570501"/>
    <n v="-10.849554960393"/>
    <n v="-37.1331043102156"/>
    <n v="-10.8842450798464"/>
    <s v="101"/>
    <s v="SE"/>
    <s v="Eixo Principal"/>
    <s v="-"/>
    <s v="101BSE1200"/>
    <s v="ENTR SE-090 (P/ NOSSA SENHORA DO SOCORRO)"/>
    <s v="ENTR BR-235(A) (P/ ITABAIANA)"/>
    <n v="85.7"/>
    <n v="89.4"/>
    <n v="3.7"/>
    <x v="0"/>
    <m/>
    <m/>
    <s v="Federal"/>
    <m/>
    <m/>
    <m/>
    <s v="Federal"/>
    <s v="PAV"/>
    <s v="Nossa Senhora do Socorro"/>
  </r>
  <r>
    <x v="0"/>
    <s v="101BSE1210"/>
    <n v="0"/>
    <x v="60"/>
    <s v="1210"/>
    <n v="-37.1331043102156"/>
    <n v="-10.8842450798464"/>
    <n v="-37.1318142300426"/>
    <n v="-10.9029715998594"/>
    <s v="101"/>
    <s v="SE"/>
    <s v="Eixo Principal"/>
    <s v="-"/>
    <s v="101BSE1210"/>
    <s v="ENTR BR-235(A) (P/ ITABAIANA)"/>
    <s v="ENTR BR-235(B)/349(A) (P/ ARACAJÚ)"/>
    <n v="89.4"/>
    <n v="91.5"/>
    <n v="2.1"/>
    <x v="0"/>
    <m/>
    <s v="235BSE0030"/>
    <s v="Federal"/>
    <m/>
    <m/>
    <m/>
    <s v="Federal"/>
    <s v="PAV"/>
    <s v="Nossa Senhora do Socorro"/>
  </r>
  <r>
    <x v="0"/>
    <s v="101BSE1230"/>
    <n v="0"/>
    <x v="60"/>
    <s v="1230"/>
    <n v="-37.1318142300426"/>
    <n v="-10.9029715998594"/>
    <n v="-37.220836669676501"/>
    <n v="-10.953580429992799"/>
    <s v="101"/>
    <s v="SE"/>
    <s v="Eixo Principal"/>
    <s v="-"/>
    <s v="101BSE1230"/>
    <s v="ENTR BR-235(B)/349(A) (P/ ARACAJÚ)"/>
    <s v="ENTR SE-464 (P/SÃO CRISTOVÃO)"/>
    <n v="91.5"/>
    <n v="103.2"/>
    <n v="11.7"/>
    <x v="0"/>
    <m/>
    <s v="349BSE0030"/>
    <s v="Federal"/>
    <m/>
    <m/>
    <m/>
    <s v="Federal"/>
    <s v="PAV"/>
    <s v="Nossa Senhora do Socorro"/>
  </r>
  <r>
    <x v="0"/>
    <s v="101BSE1250"/>
    <n v="0"/>
    <x v="60"/>
    <s v="1250"/>
    <n v="-37.220836669676501"/>
    <n v="-10.953580429992799"/>
    <n v="-37.264489099891897"/>
    <n v="-10.964306709686801"/>
    <s v="101"/>
    <s v="SE"/>
    <s v="Eixo Principal"/>
    <s v="-"/>
    <s v="101BSE1250"/>
    <s v="ENTR SE-464 (P/SÃO CRISTOVÃO)"/>
    <s v="ENTR SE-258"/>
    <n v="103.2"/>
    <n v="108.3"/>
    <n v="5.0999999999999996"/>
    <x v="0"/>
    <m/>
    <s v="349BSE0040"/>
    <s v="Federal"/>
    <m/>
    <m/>
    <m/>
    <s v="Federal"/>
    <s v="PAV"/>
    <s v="Nossa Senhora do Socorro"/>
  </r>
  <r>
    <x v="0"/>
    <s v="101BSE1260"/>
    <n v="0"/>
    <x v="60"/>
    <s v="1260"/>
    <n v="-37.264489099891897"/>
    <n v="-10.964306709686801"/>
    <n v="-37.3059387603654"/>
    <n v="-11.001125650328399"/>
    <s v="101"/>
    <s v="SE"/>
    <s v="Eixo Principal"/>
    <s v="-"/>
    <s v="101BSE1260"/>
    <s v="ENTR SE-258"/>
    <s v="ENTR SE-265 (ITAPORANGA D`AJUDA)"/>
    <n v="108.3"/>
    <n v="114.5"/>
    <n v="6.2"/>
    <x v="0"/>
    <m/>
    <s v="349BSE0045"/>
    <s v="Federal"/>
    <m/>
    <m/>
    <m/>
    <s v="Federal"/>
    <s v="PAV"/>
    <s v="Nossa Senhora do Socorro"/>
  </r>
  <r>
    <x v="0"/>
    <s v="101BSE1270"/>
    <n v="0"/>
    <x v="60"/>
    <s v="1270"/>
    <n v="-37.3059387603654"/>
    <n v="-11.001125650328399"/>
    <n v="-37.3284878604263"/>
    <n v="-11.025869529654999"/>
    <s v="101"/>
    <s v="SE"/>
    <s v="Eixo Principal"/>
    <s v="-"/>
    <s v="101BSE1270"/>
    <s v="ENTR SE-265 (ITAPORANGA D`AJUDA)"/>
    <s v="ENTR SE-270(A) (P/ CAUÊRA)"/>
    <n v="114.5"/>
    <n v="118.4"/>
    <n v="3.9"/>
    <x v="0"/>
    <m/>
    <s v="349BSE0050"/>
    <s v="Federal"/>
    <m/>
    <m/>
    <m/>
    <s v="Federal"/>
    <s v="PAV"/>
    <s v="Nossa Senhora do Socorro"/>
  </r>
  <r>
    <x v="0"/>
    <s v="101BSE1280"/>
    <n v="0"/>
    <x v="60"/>
    <s v="1280"/>
    <n v="-37.3284878604263"/>
    <n v="-11.025869529654999"/>
    <n v="-37.3648148898952"/>
    <n v="-11.043742920399399"/>
    <s v="101"/>
    <s v="SE"/>
    <s v="Eixo Principal"/>
    <s v="-"/>
    <s v="101BSE1280"/>
    <s v="ENTR SE-270(A) (P/ CAUÊRA)"/>
    <s v="ENTR BR-349(B)/SE-270(B) (P/ SALGADO)"/>
    <n v="118.4"/>
    <n v="123.7"/>
    <n v="5.3"/>
    <x v="0"/>
    <m/>
    <s v="349BSE0060"/>
    <s v="Federal"/>
    <m/>
    <m/>
    <m/>
    <s v="Federal"/>
    <s v="PAV"/>
    <s v="Nossa Senhora do Socorro"/>
  </r>
  <r>
    <x v="0"/>
    <s v="101BSE1290"/>
    <n v="0"/>
    <x v="60"/>
    <s v="1290"/>
    <n v="-37.3648148898952"/>
    <n v="-11.043742920399399"/>
    <n v="-37.402357929574698"/>
    <n v="-11.183712099633601"/>
    <s v="101"/>
    <s v="SE"/>
    <s v="Eixo Principal"/>
    <s v="-"/>
    <s v="101BSE1290"/>
    <s v="ENTR BR-349(B)/SE-270(B) (P/ SALGADO)"/>
    <s v="ENTR SE-470(A) (P/ ABAÍS)"/>
    <n v="123.7"/>
    <n v="141.30000000000001"/>
    <n v="17.600000000000001"/>
    <x v="0"/>
    <m/>
    <m/>
    <s v="Federal"/>
    <m/>
    <m/>
    <m/>
    <s v="Federal"/>
    <s v="PAV"/>
    <s v="Nossa Senhora do Socorro"/>
  </r>
  <r>
    <x v="0"/>
    <s v="101BSE1300"/>
    <n v="0"/>
    <x v="60"/>
    <s v="1300"/>
    <n v="-37.402357929574698"/>
    <n v="-11.183712099633601"/>
    <n v="-37.430902660429403"/>
    <n v="-11.240187050092199"/>
    <s v="101"/>
    <s v="SE"/>
    <s v="Eixo Principal"/>
    <s v="-"/>
    <s v="101BSE1300"/>
    <s v="ENTR SE-470(A) (P/ ABAÍS)"/>
    <s v="FIM DUPLICAÇÃO"/>
    <n v="141.30000000000001"/>
    <n v="146.5"/>
    <n v="5.2"/>
    <x v="0"/>
    <m/>
    <m/>
    <s v="Federal"/>
    <m/>
    <m/>
    <m/>
    <s v="Federal"/>
    <s v="PAV"/>
    <s v="Nossa Senhora do Socorro"/>
  </r>
  <r>
    <x v="0"/>
    <s v="101BSE1305"/>
    <n v="0"/>
    <x v="60"/>
    <s v="1305"/>
    <n v="-37.430902660429403"/>
    <n v="-11.240187050092199"/>
    <n v="-37.441372109934797"/>
    <n v="-11.2625575798683"/>
    <s v="101"/>
    <s v="SE"/>
    <s v="Eixo Principal"/>
    <s v="-"/>
    <s v="101BSE1305"/>
    <s v="FIM DUPLICAÇÃO"/>
    <s v="ENTR SE-282 (P/BOQUIM)"/>
    <n v="146.5"/>
    <n v="151.1"/>
    <n v="4.5999999999999996"/>
    <x v="0"/>
    <m/>
    <m/>
    <s v="Federal"/>
    <m/>
    <m/>
    <m/>
    <s v="Federal"/>
    <s v="PAV"/>
    <s v="Nossa Senhora do Socorro"/>
  </r>
  <r>
    <x v="0"/>
    <s v="101BSE1310"/>
    <n v="0"/>
    <x v="60"/>
    <s v="1310"/>
    <n v="-37.441372109934797"/>
    <n v="-11.2625575798683"/>
    <n v="-37.451092899917299"/>
    <n v="-11.2843980699149"/>
    <s v="101"/>
    <s v="SE"/>
    <s v="Eixo Principal"/>
    <s v="-"/>
    <s v="101BSE1310"/>
    <s v="ENTR SE-282 (P/BOQUIM)"/>
    <s v="ENTR SE-368 (P/ STA LUZIA DO ITANHY)"/>
    <n v="151.1"/>
    <n v="153.9"/>
    <n v="2.8"/>
    <x v="2"/>
    <m/>
    <m/>
    <s v="Federal"/>
    <m/>
    <m/>
    <m/>
    <s v="Federal"/>
    <s v="PAV"/>
    <s v="Nossa Senhora do Socorro"/>
  </r>
  <r>
    <x v="0"/>
    <s v="101BSE1330"/>
    <n v="0"/>
    <x v="60"/>
    <s v="1330"/>
    <n v="-37.451092899917299"/>
    <n v="-11.2843980699149"/>
    <n v="-37.608219140101099"/>
    <n v="-11.341314899562899"/>
    <s v="101"/>
    <s v="SE"/>
    <s v="Eixo Principal"/>
    <s v="-"/>
    <s v="101BSE1330"/>
    <s v="ENTR SE-368 (P/ STA LUZIA DO ITANHY)"/>
    <s v="ENTR SE-285 (P/ ARAUÁ)"/>
    <n v="153.9"/>
    <n v="174.5"/>
    <n v="20.6"/>
    <x v="2"/>
    <m/>
    <m/>
    <s v="Federal"/>
    <m/>
    <m/>
    <m/>
    <s v="Federal"/>
    <s v="PAV"/>
    <s v="Nossa Senhora do Socorro"/>
  </r>
  <r>
    <x v="0"/>
    <s v="101BSE1350"/>
    <n v="0"/>
    <x v="60"/>
    <s v="1350"/>
    <n v="-37.608219140101099"/>
    <n v="-11.341314899562899"/>
    <n v="-37.6641512795578"/>
    <n v="-11.380418770209999"/>
    <s v="101"/>
    <s v="SE"/>
    <s v="Eixo Principal"/>
    <s v="-"/>
    <s v="101BSE1350"/>
    <s v="ENTR SE-285 (P/ ARAUÁ)"/>
    <s v="ENTR SE-290 (UMBAÚBA) (P/ ITABAIANINHA)"/>
    <n v="174.5"/>
    <n v="183.2"/>
    <n v="8.6999999999999993"/>
    <x v="2"/>
    <m/>
    <m/>
    <s v="Federal"/>
    <m/>
    <m/>
    <m/>
    <s v="Federal"/>
    <s v="PAV"/>
    <s v="Nossa Senhora do Socorro"/>
  </r>
  <r>
    <x v="0"/>
    <s v="101BSE1370"/>
    <n v="0"/>
    <x v="60"/>
    <s v="1370"/>
    <n v="-37.6641512795578"/>
    <n v="-11.380418770209999"/>
    <n v="-37.769387840076703"/>
    <n v="-11.4841125095845"/>
    <s v="101"/>
    <s v="SE"/>
    <s v="Eixo Principal"/>
    <s v="-"/>
    <s v="101BSE1370"/>
    <s v="ENTR SE-290 (UMBAÚBA) (P/ ITABAIANINHA)"/>
    <s v="ENTR SE-295 (P/ TOMAR DO GERÚ)"/>
    <n v="183.2"/>
    <n v="199.7"/>
    <n v="16.5"/>
    <x v="2"/>
    <m/>
    <m/>
    <s v="Federal"/>
    <m/>
    <m/>
    <m/>
    <s v="Federal"/>
    <s v="PAV"/>
    <s v="Nossa Senhora do Socorro"/>
  </r>
  <r>
    <x v="0"/>
    <s v="101BSE1390"/>
    <n v="0"/>
    <x v="60"/>
    <s v="1390"/>
    <n v="-37.769387840076703"/>
    <n v="-11.4841125095845"/>
    <n v="-37.800738460211697"/>
    <n v="-11.520138310234699"/>
    <s v="101"/>
    <s v="SE"/>
    <s v="Eixo Principal"/>
    <s v="-"/>
    <s v="101BSE1390"/>
    <s v="ENTR SE-295 (P/ TOMAR DO GERÚ)"/>
    <s v="DIV SE/BA"/>
    <n v="199.7"/>
    <n v="206.1"/>
    <n v="6.4"/>
    <x v="2"/>
    <m/>
    <m/>
    <s v="Federal"/>
    <m/>
    <m/>
    <m/>
    <s v="Federal"/>
    <s v="PAV"/>
    <s v="Nossa Senhora do Socorro"/>
  </r>
  <r>
    <x v="0"/>
    <s v="101BSP3450"/>
    <n v="0"/>
    <x v="61"/>
    <s v="3450"/>
    <n v="-44.760311150339199"/>
    <n v="-23.3511876303048"/>
    <n v="-45.085249490371602"/>
    <n v="-23.433505619588601"/>
    <s v="101"/>
    <s v="SP"/>
    <s v="Eixo Principal"/>
    <s v="-"/>
    <s v="101BSP3450"/>
    <s v="DIV RJ/SP"/>
    <s v="ENTR BR-383 (UBATUBA)"/>
    <n v="0"/>
    <n v="47.5"/>
    <n v="47.5"/>
    <x v="2"/>
    <m/>
    <m/>
    <s v="Federal"/>
    <m/>
    <m/>
    <m/>
    <s v="Federal"/>
    <s v="PAV"/>
    <s v="Nossa Senhora do Socorro"/>
  </r>
  <r>
    <x v="0"/>
    <s v="101BSP3470"/>
    <n v="0"/>
    <x v="61"/>
    <s v="3470"/>
    <n v="-45.085249490371602"/>
    <n v="-23.433505619588601"/>
    <n v="-45.062713970073602"/>
    <n v="-23.466833630367699"/>
    <s v="101"/>
    <s v="SP"/>
    <s v="Eixo Principal"/>
    <s v="-"/>
    <s v="101BSP3470"/>
    <s v="ENTR BR-383 (UBATUBA)"/>
    <s v="PRAIA GRANDE"/>
    <n v="47.5"/>
    <n v="52.1"/>
    <n v="4.5999999999999996"/>
    <x v="2"/>
    <m/>
    <m/>
    <s v="Federal"/>
    <m/>
    <m/>
    <m/>
    <s v="Federal"/>
    <s v="PAV"/>
    <s v="Taubaté"/>
  </r>
  <r>
    <x v="0"/>
    <s v="101BSP3475"/>
    <n v="0"/>
    <x v="61"/>
    <s v="3475"/>
    <n v="-45.062713970073602"/>
    <n v="-23.466833630367699"/>
    <n v="-45.317179490241202"/>
    <n v="-23.575804050116801"/>
    <s v="101"/>
    <s v="SP"/>
    <s v="Eixo Principal"/>
    <s v="-"/>
    <s v="101BSP3475"/>
    <s v="PRAIA GRANDE"/>
    <s v="INÍCIO - MASSAGUAÇU"/>
    <n v="52.1"/>
    <n v="85.8"/>
    <n v="33.700000000000003"/>
    <x v="1"/>
    <m/>
    <m/>
    <s v="Estadual"/>
    <m/>
    <s v="SP-055"/>
    <s v="PAV"/>
    <s v="Estadual"/>
    <s v="PLA"/>
    <s v="Taubaté"/>
  </r>
  <r>
    <x v="0"/>
    <s v="101BSP3478"/>
    <n v="0"/>
    <x v="61"/>
    <s v="3478"/>
    <n v="-45.317179490241202"/>
    <n v="-23.575804050116801"/>
    <n v="-45.330280730171502"/>
    <n v="-23.585846520400501"/>
    <s v="101"/>
    <s v="SP"/>
    <s v="Eixo Principal"/>
    <s v="-"/>
    <s v="101BSP3478"/>
    <s v="INÍCIO - MASSAGUAÇU"/>
    <s v="MASSAGUAÇU"/>
    <n v="85.8"/>
    <n v="87.7"/>
    <n v="1.9"/>
    <x v="2"/>
    <m/>
    <m/>
    <s v="Convênio de Administração"/>
    <m/>
    <m/>
    <m/>
    <s v="Federal"/>
    <s v="PAV"/>
    <s v="Taubaté"/>
  </r>
  <r>
    <x v="0"/>
    <s v="101BSP3480"/>
    <n v="0"/>
    <x v="61"/>
    <s v="3480"/>
    <n v="-45.330280730171502"/>
    <n v="-23.585846520400501"/>
    <n v="-45.424416199647801"/>
    <n v="-23.626001630171"/>
    <s v="101"/>
    <s v="SP"/>
    <s v="Eixo Principal"/>
    <s v="-"/>
    <s v="101BSP3480"/>
    <s v="MASSAGUAÇU"/>
    <s v="ENTR SP-099 (CARAGUATATUBA)"/>
    <n v="87.7"/>
    <n v="100.9"/>
    <n v="13.2"/>
    <x v="1"/>
    <m/>
    <m/>
    <s v="Estadual"/>
    <m/>
    <s v="SP-055"/>
    <s v="PAV"/>
    <s v="Estadual"/>
    <s v="PLA"/>
    <s v="Taubaté"/>
  </r>
  <r>
    <x v="0"/>
    <s v="101BSP3510"/>
    <n v="0"/>
    <x v="61"/>
    <s v="3510"/>
    <n v="-45.424416199647801"/>
    <n v="-23.626001630171"/>
    <n v="-45.4258157102268"/>
    <n v="-23.719072400370901"/>
    <s v="101"/>
    <s v="SP"/>
    <s v="Eixo Principal"/>
    <s v="-"/>
    <s v="101BSP3510"/>
    <s v="ENTR SP-099 (CARAGUATATUBA)"/>
    <s v="FIM DA DUPLICAÇÃO (SÃO SEBASTIÃO)"/>
    <n v="100.9"/>
    <n v="113.1"/>
    <n v="12.2"/>
    <x v="1"/>
    <m/>
    <m/>
    <s v="Estadual"/>
    <m/>
    <s v="SP-055"/>
    <s v="PAV"/>
    <s v="Estadual"/>
    <s v="PLA"/>
    <s v="Taubaté"/>
  </r>
  <r>
    <x v="0"/>
    <s v="101BSP3520"/>
    <n v="0"/>
    <x v="61"/>
    <s v="3520"/>
    <n v="-45.4258157102268"/>
    <n v="-23.719072400370901"/>
    <n v="-45.559392959817202"/>
    <n v="-23.7915792798598"/>
    <s v="101"/>
    <s v="SP"/>
    <s v="Eixo Principal"/>
    <s v="-"/>
    <s v="101BSP3520"/>
    <s v="FIM DA DUPLICAÇÃO (SÃO SEBASTIÃO)"/>
    <s v="ACESSO A MARESIAS"/>
    <n v="113.1"/>
    <n v="152.6"/>
    <n v="39.5"/>
    <x v="1"/>
    <m/>
    <m/>
    <s v="Estadual"/>
    <m/>
    <s v="SP-055"/>
    <s v="PAV"/>
    <s v="Estadual"/>
    <s v="PLA"/>
    <s v="Taubaté"/>
  </r>
  <r>
    <x v="0"/>
    <s v="101BSP3525"/>
    <n v="0"/>
    <x v="61"/>
    <s v="3525"/>
    <n v="-45.559392959817202"/>
    <n v="-23.7915792798598"/>
    <n v="-45.6405248503415"/>
    <n v="-23.775357580388"/>
    <s v="101"/>
    <s v="SP"/>
    <s v="Eixo Principal"/>
    <s v="-"/>
    <s v="101BSP3525"/>
    <s v="ACESSO A MARESIAS"/>
    <s v="PRAIA DO CAMBURI"/>
    <n v="152.6"/>
    <n v="164.5"/>
    <n v="11.9"/>
    <x v="1"/>
    <m/>
    <m/>
    <s v="Estadual"/>
    <m/>
    <s v="SP-055"/>
    <s v="PAV"/>
    <s v="Estadual"/>
    <s v="PLA"/>
    <s v="Taubaté"/>
  </r>
  <r>
    <x v="0"/>
    <s v="101BSP3530"/>
    <n v="0"/>
    <x v="61"/>
    <s v="3530"/>
    <n v="-45.6405248503415"/>
    <n v="-23.775357580388"/>
    <n v="-45.702645089898901"/>
    <n v="-23.770632209608699"/>
    <s v="101"/>
    <s v="SP"/>
    <s v="Eixo Principal"/>
    <s v="-"/>
    <s v="101BSP3530"/>
    <s v="PRAIA DO CAMBURI"/>
    <s v="PRAIA PRETA"/>
    <n v="164.5"/>
    <n v="173.2"/>
    <n v="8.6999999999999993"/>
    <x v="2"/>
    <m/>
    <m/>
    <s v="Convênio de Administração"/>
    <m/>
    <m/>
    <m/>
    <s v="Federal"/>
    <s v="PAV"/>
    <s v="Taubaté"/>
  </r>
  <r>
    <x v="0"/>
    <s v="101BSP3535"/>
    <n v="0"/>
    <x v="61"/>
    <s v="3535"/>
    <n v="-45.702645089898901"/>
    <n v="-23.770632209608699"/>
    <n v="-45.719573300367401"/>
    <n v="-23.7689621101132"/>
    <s v="101"/>
    <s v="SP"/>
    <s v="Eixo Principal"/>
    <s v="-"/>
    <s v="101BSP3535"/>
    <s v="PRAIA PRETA"/>
    <s v="ENTR SP-055 (PRAIA DO JUQUEI)"/>
    <n v="173.2"/>
    <n v="174.8"/>
    <n v="1.6"/>
    <x v="1"/>
    <m/>
    <m/>
    <s v="Estadual"/>
    <m/>
    <s v="SP-055"/>
    <s v="PAV"/>
    <s v="Estadual"/>
    <s v="PLA"/>
    <s v="Taubaté"/>
  </r>
  <r>
    <x v="0"/>
    <s v="101BSP3540"/>
    <n v="0"/>
    <x v="61"/>
    <s v="3540"/>
    <n v="-45.719573300367401"/>
    <n v="-23.7689621101132"/>
    <n v="-45.789883979661901"/>
    <n v="-23.7508895501126"/>
    <s v="101"/>
    <s v="SP"/>
    <s v="Eixo Principal"/>
    <s v="-"/>
    <s v="101BSP3540"/>
    <s v="ENTR SP-055 (PRAIA DO JUQUEI)"/>
    <s v="PRAIA DA JURÉIA"/>
    <n v="174.8"/>
    <n v="184.5"/>
    <n v="9.6999999999999993"/>
    <x v="2"/>
    <m/>
    <m/>
    <s v="Convênio de Administração"/>
    <m/>
    <m/>
    <m/>
    <s v="Federal"/>
    <s v="PAV"/>
    <s v="Taubaté"/>
  </r>
  <r>
    <x v="0"/>
    <s v="101BSP3545"/>
    <n v="0"/>
    <x v="61"/>
    <s v="3545"/>
    <n v="-45.789883979661901"/>
    <n v="-23.7508895501126"/>
    <n v="-46.058065060354203"/>
    <n v="-23.796680560059698"/>
    <s v="101"/>
    <s v="SP"/>
    <s v="Eixo Principal"/>
    <s v="-"/>
    <s v="101BSP3545"/>
    <s v="PRAIA DA JURÉIA"/>
    <s v="ENTR SP-098"/>
    <n v="184.5"/>
    <n v="213.2"/>
    <n v="28.7"/>
    <x v="1"/>
    <m/>
    <m/>
    <s v="Estadual"/>
    <m/>
    <s v="SP-055"/>
    <s v="PAV"/>
    <s v="Estadual"/>
    <s v="PLA"/>
    <s v="Taubaté"/>
  </r>
  <r>
    <x v="0"/>
    <s v="101BSP3550"/>
    <n v="0"/>
    <x v="61"/>
    <s v="3550"/>
    <n v="-46.058065060354203"/>
    <n v="-23.796680560059698"/>
    <n v="-46.114113549600503"/>
    <n v="-23.815690229820099"/>
    <s v="101"/>
    <s v="SP"/>
    <s v="Eixo Principal"/>
    <s v="-"/>
    <s v="101BSP3550"/>
    <s v="ENTR SP-098"/>
    <s v="ACESSO MUNICIPAL A BERTIOGA"/>
    <n v="213.2"/>
    <n v="219.1"/>
    <n v="5.9"/>
    <x v="1"/>
    <m/>
    <m/>
    <s v="Estadual"/>
    <m/>
    <s v="SP-055"/>
    <s v="PAV"/>
    <s v="Estadual"/>
    <s v="PLA"/>
    <s v="Taubaté"/>
  </r>
  <r>
    <x v="0"/>
    <s v="101BSP3570"/>
    <n v="0"/>
    <x v="61"/>
    <s v="3570"/>
    <n v="-46.114113549600503"/>
    <n v="-23.815690229820099"/>
    <n v="-46.289613569610403"/>
    <n v="-23.9158278195981"/>
    <s v="101"/>
    <s v="SP"/>
    <s v="Eixo Principal"/>
    <s v="-"/>
    <s v="101BSP3570"/>
    <s v="ACESSO MUNICIPAL A BERTIOGA"/>
    <s v="ENTR SP-055 (MONTE  CABRÃO)"/>
    <n v="219.1"/>
    <n v="246.8"/>
    <n v="27.7"/>
    <x v="2"/>
    <m/>
    <m/>
    <s v="Convênio de Administração"/>
    <m/>
    <m/>
    <m/>
    <s v="Federal"/>
    <s v="PAV"/>
    <s v="Taubaté"/>
  </r>
  <r>
    <x v="0"/>
    <s v="101BSP3580"/>
    <n v="0"/>
    <x v="61"/>
    <s v="3580"/>
    <n v="-46.289613569610403"/>
    <n v="-23.9158278195981"/>
    <n v="-46.4406802803706"/>
    <n v="-23.888475130223"/>
    <s v="101"/>
    <s v="SP"/>
    <s v="Eixo Principal"/>
    <s v="-"/>
    <s v="101BSP3580"/>
    <s v="ENTR SP-055 (MONTE  CABRÃO)"/>
    <s v="ENTR BR-050 (CUBATÃO)"/>
    <n v="246.8"/>
    <n v="269.39999999999998"/>
    <n v="22.6"/>
    <x v="1"/>
    <m/>
    <m/>
    <s v="Estadual"/>
    <m/>
    <s v="SP-055"/>
    <s v="DUP"/>
    <s v="Estadual"/>
    <s v="PLA"/>
    <s v="Taubaté"/>
  </r>
  <r>
    <x v="0"/>
    <s v="101BSP3590"/>
    <n v="0"/>
    <x v="61"/>
    <s v="3590"/>
    <n v="-46.4406802803706"/>
    <n v="-23.888475130223"/>
    <n v="-46.455534850253102"/>
    <n v="-23.902055240256999"/>
    <s v="101"/>
    <s v="SP"/>
    <s v="Eixo Principal"/>
    <s v="-"/>
    <s v="101BSP3590"/>
    <s v="ENTR BR-050 (CUBATÃO)"/>
    <s v="ENTR SP-160 (PRAIA GRANDE)"/>
    <n v="269.39999999999998"/>
    <n v="273"/>
    <n v="3.6"/>
    <x v="1"/>
    <m/>
    <m/>
    <s v="Estadual"/>
    <m/>
    <s v="SP-055"/>
    <s v="DUP"/>
    <s v="Estadual"/>
    <s v="PLA"/>
    <s v="Taubaté"/>
  </r>
  <r>
    <x v="0"/>
    <s v="101BSP3600"/>
    <n v="0"/>
    <x v="61"/>
    <s v="3600"/>
    <n v="-46.455534850253102"/>
    <n v="-23.902055240256999"/>
    <n v="-46.508044009922997"/>
    <n v="-24.031403769668199"/>
    <s v="101"/>
    <s v="SP"/>
    <s v="Eixo Principal"/>
    <s v="-"/>
    <s v="101BSP3600"/>
    <s v="ENTR SP-160 (PRAIA GRANDE)"/>
    <s v="PEDRO TAQUES (ACESSO PRAIA GRANDE)"/>
    <n v="273"/>
    <n v="289.7"/>
    <n v="16.7"/>
    <x v="1"/>
    <m/>
    <m/>
    <s v="Estadual"/>
    <m/>
    <s v="SP-055"/>
    <s v="DUP"/>
    <s v="Estadual"/>
    <s v="PLA"/>
    <s v="Taubaté"/>
  </r>
  <r>
    <x v="0"/>
    <s v="101BSP3610"/>
    <n v="0"/>
    <x v="61"/>
    <s v="3610"/>
    <n v="-46.508044009922997"/>
    <n v="-24.031403769668199"/>
    <n v="-46.6196541404261"/>
    <n v="-24.091601890015099"/>
    <s v="101"/>
    <s v="SP"/>
    <s v="Eixo Principal"/>
    <s v="-"/>
    <s v="101BSP3610"/>
    <s v="PEDRO TAQUES (ACESSO PRAIA GRANDE)"/>
    <s v="MONGAGUÁ"/>
    <n v="289.7"/>
    <n v="302.89999999999998"/>
    <n v="13.2"/>
    <x v="1"/>
    <m/>
    <m/>
    <s v="Estadual"/>
    <m/>
    <s v="SP-055"/>
    <s v="DUP"/>
    <s v="Estadual"/>
    <s v="PLA"/>
    <s v="Taubaté"/>
  </r>
  <r>
    <x v="0"/>
    <s v="101BSP3620"/>
    <n v="0"/>
    <x v="61"/>
    <s v="3620"/>
    <n v="-46.6196541404261"/>
    <n v="-24.091601890015099"/>
    <n v="-46.786897089928701"/>
    <n v="-24.178222379858799"/>
    <s v="101"/>
    <s v="SP"/>
    <s v="Eixo Principal"/>
    <s v="-"/>
    <s v="101BSP3620"/>
    <s v="MONGAGUÁ"/>
    <s v="ITANHAÉM"/>
    <n v="302.89999999999998"/>
    <n v="322.39999999999998"/>
    <n v="19.5"/>
    <x v="1"/>
    <m/>
    <m/>
    <s v="Estadual"/>
    <m/>
    <s v="SP-055"/>
    <s v="DUP"/>
    <s v="Estadual"/>
    <s v="PLA"/>
    <s v="Taubaté"/>
  </r>
  <r>
    <x v="0"/>
    <s v="101BSP3630"/>
    <n v="0"/>
    <x v="61"/>
    <s v="3630"/>
    <n v="-46.786897089928701"/>
    <n v="-24.178222379858799"/>
    <n v="-46.958698210054301"/>
    <n v="-24.2682575199685"/>
    <s v="101"/>
    <s v="SP"/>
    <s v="Eixo Principal"/>
    <s v="-"/>
    <s v="101BSP3630"/>
    <s v="ITANHAÉM"/>
    <s v="ACESSO A PERUÍBE"/>
    <n v="322.39999999999998"/>
    <n v="342.7"/>
    <n v="20.3"/>
    <x v="1"/>
    <m/>
    <m/>
    <s v="Estadual"/>
    <m/>
    <s v="SP-055"/>
    <s v="PAV"/>
    <s v="Estadual"/>
    <s v="PLA"/>
    <s v="Taubaté"/>
  </r>
  <r>
    <x v="0"/>
    <s v="101BSP3640"/>
    <n v="0"/>
    <x v="61"/>
    <s v="3640"/>
    <n v="-46.958698210054301"/>
    <n v="-24.2682575199685"/>
    <n v="-47.375413829884202"/>
    <n v="-24.254994039643101"/>
    <s v="101"/>
    <s v="SP"/>
    <s v="Eixo Principal"/>
    <s v="-"/>
    <s v="101BSP3640"/>
    <s v="ACESSO A PERUÍBE"/>
    <s v="ENTR BR-116(A) (PEDRO BARROS)"/>
    <n v="342.7"/>
    <n v="387.7"/>
    <n v="45"/>
    <x v="1"/>
    <m/>
    <m/>
    <s v="Estadual"/>
    <m/>
    <s v="SP-055"/>
    <s v="PAV"/>
    <s v="Estadual"/>
    <s v="PLA"/>
    <s v="Taubaté"/>
  </r>
  <r>
    <x v="0"/>
    <s v="101BSP3645"/>
    <n v="0"/>
    <x v="61"/>
    <s v="3645"/>
    <n v="-47.375413829884202"/>
    <n v="-24.254994039643101"/>
    <n v="-47.517823219665701"/>
    <n v="-24.313334050026299"/>
    <s v="101"/>
    <s v="SP"/>
    <s v="Eixo Principal"/>
    <s v="-"/>
    <s v="101BSP3645"/>
    <s v="ENTR BR-116(A) (PEDRO BARROS)"/>
    <s v="ENTR BR-116(B)/SP-222(A) (BIGUÁ)"/>
    <n v="387.7"/>
    <n v="405.1"/>
    <n v="17.399999999999999"/>
    <x v="0"/>
    <m/>
    <s v="116BSP2590"/>
    <s v="Concessão Federal"/>
    <m/>
    <m/>
    <m/>
    <s v="Federal"/>
    <s v="PAV"/>
    <s v="Taubaté"/>
  </r>
  <r>
    <x v="0"/>
    <s v="101BSP3660"/>
    <n v="0"/>
    <x v="61"/>
    <s v="3660"/>
    <n v="-47.517823219665701"/>
    <n v="-24.313334050026299"/>
    <n v="-47.563863359806099"/>
    <n v="-24.715148190436501"/>
    <s v="101"/>
    <s v="SP"/>
    <s v="Eixo Principal"/>
    <s v="-"/>
    <s v="101BSP3660"/>
    <s v="ENTR BR-116(B)/SP-222(A) (BIGUÁ)"/>
    <s v="IGUAPE (FERRY BOAT)"/>
    <n v="405.1"/>
    <n v="462.7"/>
    <n v="57.6"/>
    <x v="1"/>
    <m/>
    <m/>
    <s v="Estadual"/>
    <m/>
    <s v="SP-222"/>
    <s v="PAV"/>
    <s v="Estadual"/>
    <s v="PLA"/>
    <s v="Taubaté"/>
  </r>
  <r>
    <x v="0"/>
    <s v="101BSP3670"/>
    <n v="0"/>
    <x v="61"/>
    <s v="3670"/>
    <n v="-47.563863359806099"/>
    <n v="-24.715148190436501"/>
    <n v="-47.7499595402005"/>
    <n v="-24.809660539702101"/>
    <s v="101"/>
    <s v="SP"/>
    <s v="Eixo Principal"/>
    <s v="-"/>
    <s v="101BSP3670"/>
    <s v="IGUAPE (FERRY BOAT)"/>
    <s v="ENTR SP-222(B) (P/PARIQUERÁ-AÇU)"/>
    <n v="462.7"/>
    <n v="488.8"/>
    <n v="26.1"/>
    <x v="1"/>
    <m/>
    <m/>
    <s v="Estadual"/>
    <m/>
    <s v="SP-222"/>
    <s v="PAV"/>
    <s v="Estadual"/>
    <s v="PLA"/>
    <s v="Taubaté"/>
  </r>
  <r>
    <x v="0"/>
    <s v="101BSP3690"/>
    <n v="0"/>
    <x v="61"/>
    <s v="3690"/>
    <n v="-47.7499595402005"/>
    <n v="-24.809660539702101"/>
    <n v="-47.9525054899363"/>
    <n v="-24.923723000016299"/>
    <s v="101"/>
    <s v="SP"/>
    <s v="Eixo Principal"/>
    <s v="-"/>
    <s v="101BSP3690"/>
    <s v="ENTR SP-222(B) (P/PARIQUERÁ-AÇU)"/>
    <s v="ENTR BR-478/SP-226 *TRECHO MUNICIPAL*"/>
    <n v="488.8"/>
    <n v="532.79999999999995"/>
    <n v="44"/>
    <x v="1"/>
    <m/>
    <m/>
    <s v="Estadual"/>
    <m/>
    <s v="SPT-101"/>
    <s v="LEN"/>
    <s v="Estadual"/>
    <s v="PLA"/>
    <s v="Taubaté"/>
  </r>
  <r>
    <x v="0"/>
    <s v="101BSP3710"/>
    <n v="0"/>
    <x v="61"/>
    <s v="3710"/>
    <n v="-47.9525054899363"/>
    <n v="-24.923723000016299"/>
    <n v="-48.035092130097603"/>
    <n v="-24.996159229664599"/>
    <s v="101"/>
    <s v="SP"/>
    <s v="Eixo Principal"/>
    <s v="-"/>
    <s v="101BSP3710"/>
    <s v="ENTR BR-478/SP-226"/>
    <s v="COLÔNIA SANTA MARIA *TRECHO MUNICIPAL*"/>
    <n v="532.79999999999995"/>
    <n v="547.29999999999995"/>
    <n v="14.5"/>
    <x v="1"/>
    <m/>
    <m/>
    <s v="Estadual"/>
    <m/>
    <s v="SPT-101"/>
    <s v="IMP"/>
    <s v="Estadual"/>
    <s v="PLA"/>
    <s v="Taubaté"/>
  </r>
  <r>
    <x v="0"/>
    <s v="101BSP3730"/>
    <n v="0"/>
    <x v="61"/>
    <s v="3730"/>
    <n v="-48.035092130097603"/>
    <n v="-24.996159229664599"/>
    <n v="-48.189000599597897"/>
    <n v="-25.1192161802824"/>
    <s v="101"/>
    <s v="SP"/>
    <s v="Eixo Principal"/>
    <s v="-"/>
    <s v="101BSP3730"/>
    <s v="COLÔNIA SANTA MARIA"/>
    <s v="DIV SP/PR *TRECHO MUNICIPAL*"/>
    <n v="547.29999999999995"/>
    <n v="566.9"/>
    <n v="19.600000000000001"/>
    <x v="1"/>
    <m/>
    <m/>
    <s v="Estadual"/>
    <m/>
    <s v="SPT-101"/>
    <s v="LEN"/>
    <s v="Estadual"/>
    <s v="PLA"/>
    <s v="Taubaté"/>
  </r>
  <r>
    <x v="0"/>
    <s v="101CES1005"/>
    <n v="0"/>
    <x v="62"/>
    <s v="1005"/>
    <n v="-40.364711419596198"/>
    <n v="-20.0684676801392"/>
    <n v="-40.336995580381704"/>
    <n v="-20.217998990061201"/>
    <s v="101"/>
    <s v="ES"/>
    <s v="Contorno"/>
    <s v="-"/>
    <s v="101CES1005"/>
    <s v="ENTR BR-101 (KM 249)"/>
    <s v="ENTR BR-101 (KM 267) (CONTORNO DE SERRA)"/>
    <n v="0"/>
    <n v="18.7"/>
    <n v="18.7"/>
    <x v="1"/>
    <m/>
    <m/>
    <s v="Estadual"/>
    <m/>
    <s v="ES-120"/>
    <s v="EOI"/>
    <s v="Estadual"/>
    <s v="PLA"/>
    <s v="Taubaté"/>
  </r>
  <r>
    <x v="0"/>
    <s v="101CPE1005"/>
    <n v="0"/>
    <x v="63"/>
    <s v="1005"/>
    <n v="-34.934552330125797"/>
    <n v="-7.7748469701115202"/>
    <n v="-35.0585036700082"/>
    <n v="-8.0010767997544505"/>
    <s v="101"/>
    <s v="PE"/>
    <s v="Contorno"/>
    <s v="-"/>
    <s v="101CPE1005"/>
    <s v="ENTR BR-101 (IGARASSÚ)"/>
    <s v="ENTR BR-408 (ARCO METROPOLITANO DE RECIFE)"/>
    <n v="0"/>
    <n v="30"/>
    <n v="30"/>
    <x v="1"/>
    <m/>
    <m/>
    <s v="Federal"/>
    <m/>
    <m/>
    <m/>
    <s v="Federal"/>
    <s v="PLA"/>
    <s v="Santa Isabel"/>
  </r>
  <r>
    <x v="0"/>
    <s v="101CPE1010"/>
    <n v="0"/>
    <x v="63"/>
    <s v="1010"/>
    <n v="-35.0585036700082"/>
    <n v="-8.0010767997544505"/>
    <n v="-35.146877999719798"/>
    <n v="-8.1108425196664999"/>
    <s v="101"/>
    <s v="PE"/>
    <s v="Contorno"/>
    <s v="-"/>
    <s v="101CPE1010"/>
    <s v="ENTR BR-408 (ARCO METROPOLITANO DE RECIFE)"/>
    <s v="ENTR BR-232 (ARCO METROPOLITANO DE RECIFE)"/>
    <n v="30"/>
    <n v="50"/>
    <n v="20"/>
    <x v="1"/>
    <m/>
    <m/>
    <s v="Federal"/>
    <m/>
    <m/>
    <m/>
    <s v="Federal"/>
    <s v="PLA"/>
    <s v="Recife"/>
  </r>
  <r>
    <x v="0"/>
    <s v="101CPE1015"/>
    <n v="0"/>
    <x v="63"/>
    <s v="1015"/>
    <n v="-35.146877999719798"/>
    <n v="-8.1108425196664999"/>
    <n v="-35.026338899920198"/>
    <n v="-8.2517971400259196"/>
    <s v="101"/>
    <s v="PE"/>
    <s v="Contorno"/>
    <s v="-"/>
    <s v="101CPE1015"/>
    <s v="ENTR BR-232 (ARCO METROPOLITANO DE RECIFE)"/>
    <s v="ENTR BR-101 (CABO DE STO AGOSTINHO) (ARCO METR RECIFE)"/>
    <n v="50"/>
    <n v="76"/>
    <n v="26"/>
    <x v="1"/>
    <m/>
    <m/>
    <s v="Federal"/>
    <m/>
    <m/>
    <m/>
    <s v="Federal"/>
    <s v="PLA"/>
    <s v="Recife"/>
  </r>
  <r>
    <x v="0"/>
    <s v="101CPE2005"/>
    <n v="0"/>
    <x v="63"/>
    <s v="2005"/>
    <n v="-34.944746530427999"/>
    <n v="-8.1773041896365708"/>
    <n v="-35.005612460346597"/>
    <n v="-8.2517968000822108"/>
    <s v="101"/>
    <s v="PE"/>
    <s v="Contorno"/>
    <s v="-"/>
    <s v="101CPE2005"/>
    <s v="ENTR BR-101 (KM 82,3) (VIADUTO SOBRE LINHA FÉRREA)"/>
    <s v="TREVO RANDOM/METALGIL"/>
    <n v="0"/>
    <n v="11.3"/>
    <n v="11.3"/>
    <x v="2"/>
    <m/>
    <m/>
    <s v="Federal"/>
    <m/>
    <m/>
    <m/>
    <s v="Federal"/>
    <s v="PAV"/>
    <s v="Recife"/>
  </r>
  <r>
    <x v="0"/>
    <s v="101CPE2010"/>
    <n v="0"/>
    <x v="63"/>
    <s v="2010"/>
    <n v="-35.005612460346597"/>
    <n v="-8.2517968000822108"/>
    <n v="-35.0305422196476"/>
    <n v="-8.2789626301212103"/>
    <s v="101"/>
    <s v="PE"/>
    <s v="Contorno"/>
    <s v="-"/>
    <s v="101CPE2010"/>
    <s v="TREVO RANDOM/METALGIL"/>
    <s v="ENTR PE-060 (ACESSO AO PORTO DE SUAPE)"/>
    <n v="11.3"/>
    <n v="15.3"/>
    <n v="4"/>
    <x v="0"/>
    <m/>
    <m/>
    <s v="Federal"/>
    <m/>
    <m/>
    <m/>
    <s v="Federal"/>
    <s v="PAV"/>
    <s v="Recife"/>
  </r>
  <r>
    <x v="0"/>
    <s v="101CPE2015"/>
    <n v="0"/>
    <x v="63"/>
    <s v="2015"/>
    <n v="-35.0305422196476"/>
    <n v="-8.2789626301212103"/>
    <n v="-35.056645409857701"/>
    <n v="-8.2941192301183193"/>
    <s v="101"/>
    <s v="PE"/>
    <s v="Contorno"/>
    <s v="-"/>
    <s v="101CPE2015"/>
    <s v="ENTR PE-060 (ACESSO AO PORTO DE SUAPE)"/>
    <s v="ENTR BR-101 (KM 103,2) (VIADUTO DA CHARNECA)"/>
    <n v="15.3"/>
    <n v="18.399999999999999"/>
    <n v="3.1"/>
    <x v="2"/>
    <m/>
    <m/>
    <s v="Federal"/>
    <m/>
    <m/>
    <m/>
    <s v="Federal"/>
    <s v="PAV"/>
    <s v="Recife"/>
  </r>
  <r>
    <x v="0"/>
    <s v="101CRS1005"/>
    <n v="0"/>
    <x v="64"/>
    <s v="1005"/>
    <n v="-50.172675680038502"/>
    <n v="-29.697835300258799"/>
    <n v="-50.196185630162603"/>
    <n v="-29.7041546303318"/>
    <s v="101"/>
    <s v="RS"/>
    <s v="Contorno"/>
    <s v="-"/>
    <s v="101CRS1005"/>
    <s v="ENTR BR-101 (ACESSO NORTE P/MAQUINÉ)"/>
    <s v="ENTR RS-484 (P/MAQUINÉ)"/>
    <n v="0"/>
    <n v="3.1"/>
    <n v="3.1"/>
    <x v="2"/>
    <m/>
    <m/>
    <s v="Federal"/>
    <m/>
    <m/>
    <m/>
    <s v="Federal"/>
    <s v="PAV"/>
    <s v="Recife"/>
  </r>
  <r>
    <x v="0"/>
    <s v="101CRS1010"/>
    <n v="0"/>
    <x v="64"/>
    <s v="1010"/>
    <n v="-50.196185630162603"/>
    <n v="-29.7041546303318"/>
    <n v="-50.197993030054199"/>
    <n v="-29.723580439785401"/>
    <s v="101"/>
    <s v="RS"/>
    <s v="Contorno"/>
    <s v="-"/>
    <s v="101CRS1010"/>
    <s v="ENTR RS-484 (P/MAQUINÉ)"/>
    <s v="ACESSO NORTE A CAPÃO DA CANOA"/>
    <n v="3.1"/>
    <n v="5.5"/>
    <n v="2.4"/>
    <x v="2"/>
    <m/>
    <m/>
    <s v="Federal"/>
    <m/>
    <m/>
    <m/>
    <s v="Federal"/>
    <s v="PAV"/>
    <s v="São Leopoldo"/>
  </r>
  <r>
    <x v="0"/>
    <s v="101CRS1015"/>
    <n v="0"/>
    <x v="64"/>
    <s v="1015"/>
    <n v="-50.197993030054199"/>
    <n v="-29.723580439785401"/>
    <n v="-50.174881639675903"/>
    <n v="-29.778473110445599"/>
    <s v="101"/>
    <s v="RS"/>
    <s v="Contorno"/>
    <s v="-"/>
    <s v="101CRS1015"/>
    <s v="ACESSO NORTE A CAPÃO DA CANOA"/>
    <s v="ENTR RS-407 (P/CAPÃO DA CANOA)"/>
    <n v="5.5"/>
    <n v="12.9"/>
    <n v="7.4"/>
    <x v="2"/>
    <m/>
    <m/>
    <s v="Federal"/>
    <m/>
    <m/>
    <m/>
    <s v="Federal"/>
    <s v="PAV"/>
    <s v="São Leopoldo"/>
  </r>
  <r>
    <x v="0"/>
    <s v="101CRS1020"/>
    <n v="0"/>
    <x v="64"/>
    <s v="1020"/>
    <n v="-50.174881639675903"/>
    <n v="-29.778473110445599"/>
    <n v="-50.21559021022"/>
    <n v="-29.756676689877199"/>
    <s v="101"/>
    <s v="RS"/>
    <s v="Contorno"/>
    <s v="-"/>
    <s v="101CRS1020"/>
    <s v="ENTR RS-407 (P/CAPÃO DA CANOA)"/>
    <s v="ENTR BR-101 (ACESSO SUL P/CAPÃO DA CANOA)"/>
    <n v="12.9"/>
    <n v="19.399999999999999"/>
    <n v="6.5"/>
    <x v="2"/>
    <m/>
    <m/>
    <s v="Federal"/>
    <m/>
    <m/>
    <m/>
    <s v="Federal"/>
    <s v="PAV"/>
    <s v="São Leopoldo"/>
  </r>
  <r>
    <x v="0"/>
    <s v="101CSE1005"/>
    <n v="0"/>
    <x v="65"/>
    <s v="1005"/>
    <n v="-37.416448359903796"/>
    <n v="-11.2159581297638"/>
    <n v="-37.487990280327097"/>
    <n v="-11.303490599611401"/>
    <s v="101"/>
    <s v="SE"/>
    <s v="Contorno"/>
    <s v="-"/>
    <s v="101CSE1005"/>
    <s v="ENTR BR-101 (KM 149)"/>
    <s v="ENTR BR-101 (KM 159 - CONTORNO DE ESTÂNCIA)"/>
    <n v="0"/>
    <n v="9.5"/>
    <n v="9.5"/>
    <x v="1"/>
    <m/>
    <m/>
    <s v="Federal"/>
    <m/>
    <m/>
    <m/>
    <s v="Federal"/>
    <s v="PLA"/>
    <s v="São Leopoldo"/>
  </r>
  <r>
    <x v="0"/>
    <s v="101CSE2005"/>
    <n v="0"/>
    <x v="65"/>
    <s v="2005"/>
    <n v="-37.641005580043398"/>
    <n v="-11.3649602399231"/>
    <n v="-37.682618960296701"/>
    <n v="-11.399323040325999"/>
    <s v="101"/>
    <s v="SE"/>
    <s v="Contorno"/>
    <s v="-"/>
    <s v="101CSE2005"/>
    <s v="ENTR BR-101 (KM 178)"/>
    <s v="ENTR BR-101 (KM 187 - CONTORNO DE UMBAÚBA)"/>
    <n v="0"/>
    <n v="7.7"/>
    <n v="7.7"/>
    <x v="1"/>
    <m/>
    <m/>
    <s v="Federal"/>
    <m/>
    <m/>
    <m/>
    <s v="Federal"/>
    <s v="PLA"/>
    <s v="Nossa Senhora do Socorro"/>
  </r>
  <r>
    <x v="0"/>
    <s v="101CSE3005"/>
    <n v="0"/>
    <x v="65"/>
    <s v="3005"/>
    <n v="-37.7367696902689"/>
    <n v="-11.4621344898147"/>
    <n v="-37.775981760150003"/>
    <n v="-11.490100599562901"/>
    <s v="101"/>
    <s v="SE"/>
    <s v="Contorno"/>
    <s v="-"/>
    <s v="101CSE3005"/>
    <s v="ENTR BR-101 (KM 196)"/>
    <s v="ENTR BR-101 (KM 202 - CONTORNO DE CRISTINÁPOLIS)"/>
    <n v="0"/>
    <n v="6.5"/>
    <n v="6.5"/>
    <x v="1"/>
    <m/>
    <m/>
    <s v="Federal"/>
    <m/>
    <m/>
    <m/>
    <s v="Federal"/>
    <s v="PLA"/>
    <s v="Nossa Senhora do Socorro"/>
  </r>
  <r>
    <x v="0"/>
    <s v="101UAL1005"/>
    <n v="0"/>
    <x v="66"/>
    <s v="1005"/>
    <n v="-35.655192589865997"/>
    <n v="-8.9376455301170896"/>
    <n v="-35.6683521796093"/>
    <n v="-8.9499139798462508"/>
    <s v="101"/>
    <s v="AL"/>
    <s v="Travessia Urbana"/>
    <s v="-"/>
    <s v="101UAL1005"/>
    <s v="INÍCIO TRAVESSIA URBANA (NOVO LINO) "/>
    <s v="FIM TRAVESSIA URBANA (NOVO LINO)"/>
    <n v="0"/>
    <n v="2.1"/>
    <n v="2.1"/>
    <x v="2"/>
    <m/>
    <m/>
    <s v="Federal"/>
    <m/>
    <m/>
    <m/>
    <s v="Federal"/>
    <s v="PAV"/>
    <s v="Nossa Senhora do Socorro"/>
  </r>
  <r>
    <x v="0"/>
    <s v="101UAL2005"/>
    <n v="0"/>
    <x v="66"/>
    <s v="2005"/>
    <n v="-35.832135250141597"/>
    <n v="-9.3686194000651906"/>
    <n v="-35.840242689648299"/>
    <n v="-9.40613100034534"/>
    <s v="101"/>
    <s v="AL"/>
    <s v="Travessia Urbana"/>
    <s v="-"/>
    <s v="101UAL2005"/>
    <s v="ENTR BR-101/104 (INÍCIO TRAVESSIA URBANA)"/>
    <s v="ENTR BR101/104 (FIM TRAVESSIA URBANA)"/>
    <n v="0"/>
    <n v="4.5999999999999996"/>
    <n v="4.5999999999999996"/>
    <x v="2"/>
    <m/>
    <m/>
    <s v="Federal"/>
    <m/>
    <m/>
    <m/>
    <s v="Federal"/>
    <s v="PAV"/>
    <s v="Maceió"/>
  </r>
  <r>
    <x v="0"/>
    <s v="101UES1005"/>
    <n v="0"/>
    <x v="67"/>
    <s v="1005"/>
    <n v="-40.785158730390997"/>
    <n v="-20.7875712602054"/>
    <n v="-40.811725620041202"/>
    <n v="-20.794270720217501"/>
    <s v="101"/>
    <s v="ES"/>
    <s v="Travessia Urbana"/>
    <s v="-"/>
    <s v="101UES1005"/>
    <s v="ENTR BR-101 (INÍCIO CONTORNO DE ICONHA)"/>
    <s v="ENTR ES-375(B) (ICONHA)"/>
    <n v="0"/>
    <n v="3"/>
    <n v="3"/>
    <x v="2"/>
    <m/>
    <m/>
    <s v="Concessão Federal"/>
    <m/>
    <m/>
    <m/>
    <s v="Federal"/>
    <s v="PAV"/>
    <s v="Santa Isabel"/>
  </r>
  <r>
    <x v="0"/>
    <s v="101UES1010"/>
    <n v="0"/>
    <x v="67"/>
    <s v="1010"/>
    <n v="-40.811725620041202"/>
    <n v="-20.794270720217501"/>
    <n v="-40.829043940225603"/>
    <n v="-20.8029088002008"/>
    <s v="101"/>
    <s v="ES"/>
    <s v="Travessia Urbana"/>
    <s v="-"/>
    <s v="101UES1010"/>
    <s v="ENTR ES-375(B) (ICONHA)"/>
    <s v="ENTR BR-101 (FIM CONTORNO DE ICONHA)"/>
    <n v="3"/>
    <n v="5"/>
    <n v="2"/>
    <x v="2"/>
    <m/>
    <m/>
    <s v="Concessão Federal"/>
    <m/>
    <m/>
    <m/>
    <s v="Federal"/>
    <s v="PAV"/>
    <s v="Santa Isabel"/>
  </r>
  <r>
    <x v="0"/>
    <s v="101VRS1005"/>
    <n v="0"/>
    <x v="68"/>
    <s v="1005"/>
    <n v="-49.847338399847203"/>
    <n v="-29.396325959675199"/>
    <n v="-49.857374699882399"/>
    <n v="-29.409630600172001"/>
    <s v="101"/>
    <s v="RS"/>
    <s v="Variante"/>
    <s v="-"/>
    <s v="101VRS1005"/>
    <s v="INÍCIO PISTA INVERSA / VARIANTE DA GRUTA"/>
    <s v="FIM PISTA INVERSA / VARIANTE DA GRUTA"/>
    <n v="0"/>
    <n v="2.2999999999999998"/>
    <n v="2.2999999999999998"/>
    <x v="2"/>
    <m/>
    <m/>
    <s v="Concessão Federal"/>
    <m/>
    <m/>
    <m/>
    <s v="Federal"/>
    <s v="PAV"/>
    <s v="São Leopoldo"/>
  </r>
  <r>
    <x v="0"/>
    <s v="104BAL0570"/>
    <n v="0"/>
    <x v="69"/>
    <s v="0570"/>
    <n v="-36.019567740358802"/>
    <n v="-8.8995042596138205"/>
    <n v="-36.017855229734998"/>
    <n v="-8.9702010601307602"/>
    <s v="104"/>
    <s v="AL"/>
    <s v="Eixo Principal"/>
    <s v="-"/>
    <s v="104BAL0570"/>
    <s v="DIV PE/AL"/>
    <s v="ENTR BR-416(A)/AL-110"/>
    <n v="0"/>
    <n v="8.9"/>
    <n v="8.9"/>
    <x v="2"/>
    <m/>
    <m/>
    <s v="Federal"/>
    <m/>
    <m/>
    <m/>
    <s v="Federal"/>
    <s v="PAV"/>
    <s v="Maceió"/>
  </r>
  <r>
    <x v="0"/>
    <s v="104BAL0580"/>
    <n v="0"/>
    <x v="69"/>
    <s v="0580"/>
    <n v="-36.017855229734998"/>
    <n v="-8.9702010601307602"/>
    <n v="-36.038732980242699"/>
    <n v="-9.0283847701409705"/>
    <s v="104"/>
    <s v="AL"/>
    <s v="Eixo Principal"/>
    <s v="-"/>
    <s v="104BAL0580"/>
    <s v="ENTR BR-416(A)/AL-110"/>
    <s v="ENTR BR-416(B) (SÃO JOSÉ DA LAGE)"/>
    <n v="8.9"/>
    <n v="16.5"/>
    <n v="7.6"/>
    <x v="2"/>
    <m/>
    <s v="416BAL0060"/>
    <s v="Federal"/>
    <m/>
    <m/>
    <m/>
    <s v="Federal"/>
    <s v="PAV"/>
    <s v="Maceió"/>
  </r>
  <r>
    <x v="0"/>
    <s v="104BAL0590"/>
    <n v="0"/>
    <x v="69"/>
    <s v="0590"/>
    <n v="-36.038732980242699"/>
    <n v="-9.0283847701409705"/>
    <n v="-36.0211455604192"/>
    <n v="-9.1664977900409195"/>
    <s v="104"/>
    <s v="AL"/>
    <s v="Eixo Principal"/>
    <s v="-"/>
    <s v="104BAL0590"/>
    <s v="ENTR BR-416(B) (SÃO JOSÉ DA LAGE)"/>
    <s v="ENTR AL-205 (P/UNIÃO DOS PALMARES)"/>
    <n v="16.5"/>
    <n v="35.700000000000003"/>
    <n v="19.2"/>
    <x v="2"/>
    <m/>
    <m/>
    <s v="Federal"/>
    <m/>
    <m/>
    <m/>
    <s v="Federal"/>
    <s v="PAV"/>
    <s v="Maceió"/>
  </r>
  <r>
    <x v="0"/>
    <s v="104BAL0610"/>
    <n v="0"/>
    <x v="69"/>
    <s v="0610"/>
    <n v="-36.0211455604192"/>
    <n v="-9.1664977900409195"/>
    <n v="-36.012446619715597"/>
    <n v="-9.24134187982383"/>
    <s v="104"/>
    <s v="AL"/>
    <s v="Eixo Principal"/>
    <s v="-"/>
    <s v="104BAL0610"/>
    <s v="ENTR AL-205 (P/UNIÃO DOS PALMARES)"/>
    <s v="ACESSO BRANQUINHA"/>
    <n v="35.700000000000003"/>
    <n v="46.1"/>
    <n v="10.4"/>
    <x v="2"/>
    <m/>
    <m/>
    <s v="Federal"/>
    <m/>
    <m/>
    <m/>
    <s v="Federal"/>
    <s v="PAV"/>
    <s v="Maceió"/>
  </r>
  <r>
    <x v="0"/>
    <s v="104BAL0615"/>
    <n v="0"/>
    <x v="69"/>
    <s v="0615"/>
    <n v="-36.012446619715597"/>
    <n v="-9.24134187982383"/>
    <n v="-35.940855910171997"/>
    <n v="-9.3068733396328795"/>
    <s v="104"/>
    <s v="AL"/>
    <s v="Eixo Principal"/>
    <s v="-"/>
    <s v="104BAL0615"/>
    <s v="ACESSO BRANQUINHA"/>
    <s v="ACESSO MURICI"/>
    <n v="46.1"/>
    <n v="58.9"/>
    <n v="12.8"/>
    <x v="2"/>
    <m/>
    <m/>
    <s v="Federal"/>
    <m/>
    <m/>
    <m/>
    <s v="Federal"/>
    <s v="PAV"/>
    <s v="Maceió"/>
  </r>
  <r>
    <x v="0"/>
    <s v="104BAL0620"/>
    <n v="0"/>
    <x v="69"/>
    <s v="0620"/>
    <n v="-35.940855910171997"/>
    <n v="-9.3068733396328795"/>
    <n v="-35.832135250141597"/>
    <n v="-9.3686194000651906"/>
    <s v="104"/>
    <s v="AL"/>
    <s v="Eixo Principal"/>
    <s v="-"/>
    <s v="104BAL0620"/>
    <s v="ACESSO MURICI"/>
    <s v="ENTR BR-101(A)/INÍCIO TRAVESSIA URBANA DE MESSIAS"/>
    <n v="58.9"/>
    <n v="74.400000000000006"/>
    <n v="15.5"/>
    <x v="2"/>
    <m/>
    <m/>
    <s v="Federal"/>
    <m/>
    <m/>
    <m/>
    <s v="Federal"/>
    <s v="PAV"/>
    <s v="Maceió"/>
  </r>
  <r>
    <x v="0"/>
    <s v="104BAL0630"/>
    <n v="0"/>
    <x v="69"/>
    <s v="0630"/>
    <n v="-35.832135250141597"/>
    <n v="-9.3686194000651906"/>
    <n v="-35.840242689648299"/>
    <n v="-9.40613100034534"/>
    <s v="104"/>
    <s v="AL"/>
    <s v="Eixo Principal"/>
    <s v="Coinc"/>
    <s v="104BAL0630"/>
    <s v="ENTR BR-101(A)/INÍCIO TRAVESSIA URBANA DE MESSIAS"/>
    <s v="ENTR. FIM TRAVESSIA URBANA DE MESSIAS"/>
    <n v="74.400000000000006"/>
    <n v="79.5"/>
    <n v="5.0999999999999996"/>
    <x v="0"/>
    <m/>
    <s v="101BAL0660"/>
    <s v="Federal"/>
    <m/>
    <m/>
    <m/>
    <s v="Federal"/>
    <s v="PAV"/>
    <s v="Maceió"/>
  </r>
  <r>
    <x v="0"/>
    <s v="104BAL0640"/>
    <n v="0"/>
    <x v="69"/>
    <s v="0640"/>
    <n v="-35.840242689648299"/>
    <n v="-9.40613100034534"/>
    <n v="-35.836446510098298"/>
    <n v="-9.4402605795620502"/>
    <s v="104"/>
    <s v="AL"/>
    <s v="Eixo Principal"/>
    <s v="Coinc"/>
    <s v="104BAL0640"/>
    <s v="ENTR FIM TRAVESSIA URBANA DE MESSIAS"/>
    <s v="ENTR BR-101(B)"/>
    <n v="79.5"/>
    <n v="83.3"/>
    <n v="3.8"/>
    <x v="0"/>
    <m/>
    <s v="101BAL0680"/>
    <s v="Federal"/>
    <m/>
    <m/>
    <m/>
    <s v="Federal"/>
    <s v="PAV"/>
    <s v="Maceió"/>
  </r>
  <r>
    <x v="0"/>
    <s v="104BAL0650"/>
    <n v="0"/>
    <x v="69"/>
    <s v="0650"/>
    <n v="-35.836446510098298"/>
    <n v="-9.4402605795620502"/>
    <n v="-35.8054306104342"/>
    <n v="-9.5139201399024902"/>
    <s v="104"/>
    <s v="AL"/>
    <s v="Eixo Principal"/>
    <s v="-"/>
    <s v="104BAL0650"/>
    <s v="ENTR BR-101(B)"/>
    <s v="ENTR AL-210"/>
    <n v="83.3"/>
    <n v="92.1"/>
    <n v="8.8000000000000007"/>
    <x v="0"/>
    <m/>
    <m/>
    <s v="Federal"/>
    <m/>
    <m/>
    <m/>
    <s v="Federal"/>
    <s v="PAV"/>
    <s v="Maceió"/>
  </r>
  <r>
    <x v="0"/>
    <s v="104BAL0670"/>
    <n v="0"/>
    <x v="69"/>
    <s v="0670"/>
    <n v="-35.8054306104342"/>
    <n v="-9.5139201399024902"/>
    <n v="-35.795118789600302"/>
    <n v="-9.5341038296280001"/>
    <s v="104"/>
    <s v="AL"/>
    <s v="Eixo Principal"/>
    <s v="-"/>
    <s v="104BAL0670"/>
    <s v="ENTR AL-210"/>
    <s v="ENTR AL-404 (ACESSO CEASA)"/>
    <n v="92.1"/>
    <n v="94"/>
    <n v="1.9"/>
    <x v="0"/>
    <m/>
    <m/>
    <s v="Federal"/>
    <m/>
    <m/>
    <m/>
    <s v="Federal"/>
    <s v="PAV"/>
    <s v="Maceió"/>
  </r>
  <r>
    <x v="0"/>
    <s v="104BAL0680"/>
    <n v="0"/>
    <x v="69"/>
    <s v="0680"/>
    <n v="-35.795118789600302"/>
    <n v="-9.5341038296280001"/>
    <n v="-35.777402239721503"/>
    <n v="-9.5660395199078607"/>
    <s v="104"/>
    <s v="AL"/>
    <s v="Eixo Principal"/>
    <s v="-"/>
    <s v="104BAL0680"/>
    <s v="ENTR AL-404 (ACESSO CEASA)"/>
    <s v="ENTR BR-316 (TABULEIRO DO MARTINS)"/>
    <n v="94"/>
    <n v="98.7"/>
    <n v="4.7"/>
    <x v="0"/>
    <m/>
    <m/>
    <s v="Convênio de Administração"/>
    <m/>
    <m/>
    <m/>
    <s v="Federal"/>
    <s v="PAV"/>
    <s v="Maceió"/>
  </r>
  <r>
    <x v="0"/>
    <s v="104BAL0690"/>
    <n v="0"/>
    <x v="69"/>
    <s v="0690"/>
    <n v="-35.777402239721503"/>
    <n v="-9.5660395199078607"/>
    <n v="-35.733385940208898"/>
    <n v="-9.6508747403769295"/>
    <s v="104"/>
    <s v="AL"/>
    <s v="Eixo Principal"/>
    <s v="-"/>
    <s v="104BAL0690"/>
    <s v="ENTR BR-316 (TABULEIRO DO MARTINS)"/>
    <s v="PRACA CENTENÁRIO (MACEIÓ)"/>
    <n v="98.7"/>
    <n v="109.6"/>
    <n v="10.9"/>
    <x v="0"/>
    <m/>
    <m/>
    <s v="Convênio de Administração"/>
    <m/>
    <m/>
    <m/>
    <s v="Federal"/>
    <s v="PAV"/>
    <s v="Maceió"/>
  </r>
  <r>
    <x v="0"/>
    <s v="104BPB0210"/>
    <n v="0"/>
    <x v="70"/>
    <s v="0210"/>
    <n v="-36.203862960007498"/>
    <n v="-6.4329549797884598"/>
    <n v="-36.204065089832"/>
    <n v="-6.4554295899035798"/>
    <s v="104"/>
    <s v="PB"/>
    <s v="Eixo Principal"/>
    <s v="-"/>
    <s v="104BPB0210"/>
    <s v="DIV RN/PB"/>
    <s v="ACESSO NOVA FLORESTA"/>
    <n v="0"/>
    <n v="2.4"/>
    <n v="2.4"/>
    <x v="2"/>
    <m/>
    <m/>
    <s v="Federal"/>
    <m/>
    <m/>
    <m/>
    <s v="Federal"/>
    <s v="PAV"/>
    <s v="Campina Grande"/>
  </r>
  <r>
    <x v="0"/>
    <s v="104BPB0220"/>
    <n v="0"/>
    <x v="70"/>
    <s v="0220"/>
    <n v="-36.204065089832"/>
    <n v="-6.4554295899035798"/>
    <n v="-36.198958670006498"/>
    <n v="-6.4561912797037699"/>
    <s v="104"/>
    <s v="PB"/>
    <s v="Eixo Principal"/>
    <s v="-"/>
    <s v="104BPB0220"/>
    <s v="ACESSO NOVA FLORESTA"/>
    <s v="FIM DUPLICAÇÃO"/>
    <n v="2.4"/>
    <n v="3"/>
    <n v="0.6"/>
    <x v="0"/>
    <m/>
    <m/>
    <s v="Federal"/>
    <m/>
    <m/>
    <m/>
    <s v="Federal"/>
    <s v="PAV"/>
    <s v="Campina Grande"/>
  </r>
  <r>
    <x v="0"/>
    <s v="104BPB0222"/>
    <n v="0"/>
    <x v="70"/>
    <s v="0222"/>
    <n v="-36.198958670006498"/>
    <n v="-6.4561912797037699"/>
    <n v="-36.162387300133702"/>
    <n v="-6.4816610603096398"/>
    <s v="104"/>
    <s v="PB"/>
    <s v="Eixo Principal"/>
    <s v="-"/>
    <s v="104BPB0222"/>
    <s v="FIM DUPLICAÇÃO"/>
    <s v="CUITÉ (RUA 25 DE JANEIRO)"/>
    <n v="3"/>
    <n v="8.1"/>
    <n v="5.0999999999999996"/>
    <x v="2"/>
    <m/>
    <m/>
    <s v="Federal"/>
    <m/>
    <m/>
    <m/>
    <s v="Federal"/>
    <s v="PAV"/>
    <s v="Campina Grande"/>
  </r>
  <r>
    <x v="0"/>
    <s v="104BPB0225"/>
    <n v="0"/>
    <x v="70"/>
    <s v="0225"/>
    <n v="-36.162387300133702"/>
    <n v="-6.4816610603096398"/>
    <n v="-36.151817849613998"/>
    <n v="-6.6474038695928304"/>
    <s v="104"/>
    <s v="PB"/>
    <s v="Eixo Principal"/>
    <s v="-"/>
    <s v="104BPB0225"/>
    <s v="CUITÉ (RUA 25 DE JANEIRO)"/>
    <s v="ENTR PB-137 (JACÚ)"/>
    <n v="8.1"/>
    <n v="29.6"/>
    <n v="21.5"/>
    <x v="2"/>
    <m/>
    <m/>
    <s v="Federal"/>
    <m/>
    <m/>
    <m/>
    <s v="Federal"/>
    <s v="PAV"/>
    <s v="Campina Grande"/>
  </r>
  <r>
    <x v="0"/>
    <s v="104BPB0230"/>
    <n v="0"/>
    <x v="70"/>
    <s v="0230"/>
    <n v="-36.151817849613998"/>
    <n v="-6.6474038695928304"/>
    <n v="-36.059419429662903"/>
    <n v="-6.7218018596680604"/>
    <s v="104"/>
    <s v="PB"/>
    <s v="Eixo Principal"/>
    <s v="-"/>
    <s v="104BPB0230"/>
    <s v="ENTR PB-137 (JACÚ)"/>
    <s v="BARRA DE SANTA ROSA"/>
    <n v="29.6"/>
    <n v="43.9"/>
    <n v="14.3"/>
    <x v="2"/>
    <m/>
    <m/>
    <s v="Federal"/>
    <m/>
    <m/>
    <m/>
    <s v="Federal"/>
    <s v="PAV"/>
    <s v="Campina Grande"/>
  </r>
  <r>
    <x v="0"/>
    <s v="104BPB0240"/>
    <n v="0"/>
    <x v="70"/>
    <s v="0240"/>
    <n v="-36.059419429662903"/>
    <n v="-6.7218018596680604"/>
    <n v="-35.795983330366298"/>
    <n v="-6.9675858203293002"/>
    <s v="104"/>
    <s v="PB"/>
    <s v="Eixo Principal"/>
    <s v="-"/>
    <s v="104BPB0240"/>
    <s v="BARRA DE SANTA ROSA"/>
    <s v="ENTR PB-079/105 (REMÍGIO)"/>
    <n v="43.9"/>
    <n v="87.4"/>
    <n v="43.5"/>
    <x v="2"/>
    <m/>
    <m/>
    <s v="Federal"/>
    <m/>
    <m/>
    <m/>
    <s v="Federal"/>
    <s v="PAV"/>
    <s v="Campina Grande"/>
  </r>
  <r>
    <x v="0"/>
    <s v="104BPB0250"/>
    <n v="0"/>
    <x v="70"/>
    <s v="0250"/>
    <n v="-35.795983330366298"/>
    <n v="-6.9675858203293002"/>
    <n v="-35.858513769594701"/>
    <n v="-7.01929166957484"/>
    <s v="104"/>
    <s v="PB"/>
    <s v="Eixo Principal"/>
    <s v="-"/>
    <s v="104BPB0250"/>
    <s v="ENTR PB-079/105 (REMÍGIO)"/>
    <s v="ESPERANÇA"/>
    <n v="87.4"/>
    <n v="96.9"/>
    <n v="9.5"/>
    <x v="2"/>
    <m/>
    <m/>
    <s v="Federal"/>
    <m/>
    <m/>
    <m/>
    <s v="Federal"/>
    <s v="PAV"/>
    <s v="Campina Grande"/>
  </r>
  <r>
    <x v="0"/>
    <s v="104BPB0270"/>
    <n v="0"/>
    <x v="70"/>
    <s v="0270"/>
    <n v="-35.858513769594701"/>
    <n v="-7.01929166957484"/>
    <n v="-35.854099840335302"/>
    <n v="-7.1485019498050999"/>
    <s v="104"/>
    <s v="PB"/>
    <s v="Eixo Principal"/>
    <s v="-"/>
    <s v="104BPB0270"/>
    <s v="ESPERANÇA"/>
    <s v="ENTR PB-097 (LAGOA SECA)"/>
    <n v="96.9"/>
    <n v="112.5"/>
    <n v="15.6"/>
    <x v="2"/>
    <m/>
    <m/>
    <s v="Federal"/>
    <m/>
    <m/>
    <m/>
    <s v="Federal"/>
    <s v="PAV"/>
    <s v="Campina Grande"/>
  </r>
  <r>
    <x v="0"/>
    <s v="104BPB0275"/>
    <n v="0"/>
    <x v="70"/>
    <s v="0275"/>
    <n v="-35.854099840335302"/>
    <n v="-7.1485019498050999"/>
    <n v="-35.878327880227403"/>
    <n v="-7.1980954102748997"/>
    <s v="104"/>
    <s v="PB"/>
    <s v="Eixo Principal"/>
    <s v="-"/>
    <s v="104BPB0275"/>
    <s v="ENTR PB-097 (LAGOA SECA)"/>
    <s v="ACESSO CAMPINA GRANDE"/>
    <n v="112.5"/>
    <n v="119.2"/>
    <n v="6.7"/>
    <x v="2"/>
    <m/>
    <m/>
    <s v="Federal"/>
    <m/>
    <m/>
    <m/>
    <s v="Federal"/>
    <s v="PAV"/>
    <s v="Campina Grande"/>
  </r>
  <r>
    <x v="0"/>
    <s v="104BPB0280"/>
    <n v="0"/>
    <x v="70"/>
    <s v="0280"/>
    <n v="-35.878327880227403"/>
    <n v="-7.1980954102748997"/>
    <n v="-35.867801959592697"/>
    <n v="-7.2371725503728603"/>
    <s v="104"/>
    <s v="PB"/>
    <s v="Eixo Principal"/>
    <s v="-"/>
    <s v="104BPB0280"/>
    <s v="ACESSO CAMPINA GRANDE"/>
    <s v="ENTR BR-230(A)/408 (CAMPINA GRANDE)"/>
    <n v="119.2"/>
    <n v="124.4"/>
    <n v="5.2"/>
    <x v="0"/>
    <m/>
    <m/>
    <s v="Federal"/>
    <m/>
    <m/>
    <m/>
    <s v="Federal"/>
    <s v="PAV"/>
    <s v="Campina Grande"/>
  </r>
  <r>
    <x v="0"/>
    <s v="104BPB0290"/>
    <n v="0"/>
    <x v="70"/>
    <s v="0290"/>
    <n v="-35.867801959592697"/>
    <n v="-7.2371725503728603"/>
    <n v="-35.878393390442497"/>
    <n v="-7.2594747298748503"/>
    <s v="104"/>
    <s v="PB"/>
    <s v="Eixo Principal"/>
    <s v="-"/>
    <s v="104BPB0290"/>
    <s v="ENTR BR-230(A)/408 (CAMPINA GRANDE)"/>
    <s v="FIM DA DUPLICAÇÃO"/>
    <n v="124.4"/>
    <n v="127.3"/>
    <n v="2.9"/>
    <x v="2"/>
    <s v="EOD"/>
    <s v="230BPB0220"/>
    <s v="Federal"/>
    <m/>
    <m/>
    <m/>
    <s v="Federal"/>
    <s v="PAV"/>
    <s v="Campina Grande"/>
  </r>
  <r>
    <x v="0"/>
    <s v="104BPB0295"/>
    <n v="0"/>
    <x v="70"/>
    <s v="0295"/>
    <n v="-35.878393390442497"/>
    <n v="-7.2594747298748503"/>
    <n v="-35.888687910118897"/>
    <n v="-7.2786110196827796"/>
    <s v="104"/>
    <s v="PB"/>
    <s v="Eixo Principal"/>
    <s v="-"/>
    <s v="104BPB0295"/>
    <s v="FIM DA DUPLICAÇÃO"/>
    <s v="ENTR BR-230(B)"/>
    <n v="127.3"/>
    <n v="129.6"/>
    <n v="2.2999999999999998"/>
    <x v="2"/>
    <m/>
    <s v="230BPB0225"/>
    <s v="Federal"/>
    <m/>
    <m/>
    <m/>
    <s v="Federal"/>
    <s v="PAV"/>
    <s v="Campina Grande"/>
  </r>
  <r>
    <x v="0"/>
    <s v="104BPB0300"/>
    <n v="0"/>
    <x v="70"/>
    <s v="0300"/>
    <n v="-35.888687910118897"/>
    <n v="-7.2786110196827796"/>
    <n v="-35.902384350157597"/>
    <n v="-7.3637564397078501"/>
    <s v="104"/>
    <s v="PB"/>
    <s v="Eixo Principal"/>
    <s v="-"/>
    <s v="104BPB0300"/>
    <s v="ENTR BR-230(B)"/>
    <s v="ENTR PB-148 (QUEIMADAS)"/>
    <n v="129.6"/>
    <n v="139.19999999999999"/>
    <n v="9.6"/>
    <x v="2"/>
    <m/>
    <m/>
    <s v="Federal"/>
    <m/>
    <m/>
    <m/>
    <s v="Federal"/>
    <s v="PAV"/>
    <s v="Campina Grande"/>
  </r>
  <r>
    <x v="0"/>
    <s v="104BPB0310"/>
    <n v="0"/>
    <x v="70"/>
    <s v="0310"/>
    <n v="-35.902384350157597"/>
    <n v="-7.3637564397078501"/>
    <n v="-35.901423890400103"/>
    <n v="-7.4384716800239499"/>
    <s v="104"/>
    <s v="PB"/>
    <s v="Eixo Principal"/>
    <s v="-"/>
    <s v="104BPB0310"/>
    <s v="ENTR PB-148 (QUEIMADAS)"/>
    <s v="ENTR PB-102 (P/AROEIRAS)"/>
    <n v="139.19999999999999"/>
    <n v="147.80000000000001"/>
    <n v="8.6"/>
    <x v="2"/>
    <m/>
    <m/>
    <s v="Federal"/>
    <m/>
    <m/>
    <m/>
    <s v="Federal"/>
    <s v="PAV"/>
    <s v="Campina Grande"/>
  </r>
  <r>
    <x v="0"/>
    <s v="104BPB0320"/>
    <n v="0"/>
    <x v="70"/>
    <s v="0320"/>
    <n v="-35.901423890400103"/>
    <n v="-7.4384716800239499"/>
    <n v="-35.996305840342103"/>
    <n v="-7.5270448804168302"/>
    <s v="104"/>
    <s v="PB"/>
    <s v="Eixo Principal"/>
    <s v="-"/>
    <s v="104BPB0320"/>
    <s v="ENTR PB-102 (P/AROEIRAS)"/>
    <s v="ACESSO P/ BARRA DE SANTANA"/>
    <n v="147.80000000000001"/>
    <n v="162.4"/>
    <n v="14.6"/>
    <x v="2"/>
    <m/>
    <m/>
    <s v="Federal"/>
    <m/>
    <m/>
    <m/>
    <s v="Federal"/>
    <s v="PAV"/>
    <s v="Campina Grande"/>
  </r>
  <r>
    <x v="0"/>
    <s v="104BPB0322"/>
    <n v="0"/>
    <x v="70"/>
    <s v="0322"/>
    <n v="-35.996305840342103"/>
    <n v="-7.5270448804168302"/>
    <n v="-36.079767209688903"/>
    <n v="-7.6599507600195098"/>
    <s v="104"/>
    <s v="PB"/>
    <s v="Eixo Principal"/>
    <s v="-"/>
    <s v="104BPB0322"/>
    <s v="ACESSO P/ BARRA DE SANTANA"/>
    <s v="ENTR PB-196 (P/RIACHO DE SANTO ANTÔNIO)"/>
    <n v="162.4"/>
    <n v="182.2"/>
    <n v="19.8"/>
    <x v="2"/>
    <m/>
    <m/>
    <s v="Federal"/>
    <m/>
    <m/>
    <m/>
    <s v="Federal"/>
    <s v="PAV"/>
    <s v="Campina Grande"/>
  </r>
  <r>
    <x v="0"/>
    <s v="104BPB0325"/>
    <n v="0"/>
    <x v="70"/>
    <s v="0325"/>
    <n v="-36.079767209688903"/>
    <n v="-7.6599507600195098"/>
    <n v="-36.103302259891301"/>
    <n v="-7.7830353504010601"/>
    <s v="104"/>
    <s v="PB"/>
    <s v="Eixo Principal"/>
    <s v="-"/>
    <s v="104BPB0325"/>
    <s v="ENTR PB-196 (P/RIACHO DE SANTO ANTÔNIO)"/>
    <s v="DIV PB/PE"/>
    <n v="182.2"/>
    <n v="198.7"/>
    <n v="16.5"/>
    <x v="2"/>
    <m/>
    <m/>
    <s v="Federal"/>
    <m/>
    <m/>
    <m/>
    <s v="Federal"/>
    <s v="PAV"/>
    <s v="Campina Grande"/>
  </r>
  <r>
    <x v="0"/>
    <s v="104BPE0330"/>
    <n v="0"/>
    <x v="71"/>
    <s v="0330"/>
    <n v="-36.103302259891301"/>
    <n v="-7.7830353504010601"/>
    <n v="-36.110437019652601"/>
    <n v="-7.8886568603257903"/>
    <s v="104"/>
    <s v="PE"/>
    <s v="Eixo Principal"/>
    <s v="-"/>
    <s v="104BPE0330"/>
    <s v="DIV PB/PE"/>
    <s v="ENTR PE-130 (P/TAQUARITINGA)"/>
    <n v="0"/>
    <n v="12"/>
    <n v="12"/>
    <x v="2"/>
    <m/>
    <m/>
    <s v="Federal"/>
    <m/>
    <m/>
    <m/>
    <s v="Federal"/>
    <s v="PAV"/>
    <s v="Caruaru"/>
  </r>
  <r>
    <x v="0"/>
    <s v="104BPE0350"/>
    <n v="0"/>
    <x v="71"/>
    <s v="0350"/>
    <n v="-36.110437019652601"/>
    <n v="-7.8886568603257903"/>
    <n v="-36.128274489675903"/>
    <n v="-7.95472010994507"/>
    <s v="104"/>
    <s v="PE"/>
    <s v="Eixo Principal"/>
    <s v="-"/>
    <s v="104BPE0350"/>
    <s v="ENTR PE-130 (P/TAQUARITINGA)"/>
    <s v="ENTR PE-160 (PÃO DE AÇÚCAR)"/>
    <n v="12"/>
    <n v="19.8"/>
    <n v="7.8"/>
    <x v="2"/>
    <m/>
    <m/>
    <s v="Federal"/>
    <m/>
    <m/>
    <m/>
    <s v="Federal"/>
    <s v="PAV"/>
    <s v="Caruaru"/>
  </r>
  <r>
    <x v="0"/>
    <s v="104BPE0370"/>
    <n v="0"/>
    <x v="71"/>
    <s v="0370"/>
    <n v="-36.128274489675903"/>
    <n v="-7.95472010994507"/>
    <n v="-36.061073069766302"/>
    <n v="-8.0079291202326797"/>
    <s v="104"/>
    <s v="PE"/>
    <s v="Eixo Principal"/>
    <s v="-"/>
    <s v="104BPE0370"/>
    <s v="ENTR PE-160 (PÃO DE AÇÚCAR)"/>
    <s v="ENTR PE-090"/>
    <n v="19.8"/>
    <n v="30.5"/>
    <n v="10.7"/>
    <x v="2"/>
    <s v="EOD"/>
    <m/>
    <s v="Federal"/>
    <m/>
    <m/>
    <m/>
    <s v="Federal"/>
    <s v="PAV"/>
    <s v="Caruaru"/>
  </r>
  <r>
    <x v="0"/>
    <s v="104BPE0390"/>
    <n v="0"/>
    <x v="71"/>
    <s v="0390"/>
    <n v="-36.061073069766302"/>
    <n v="-8.0079291202326797"/>
    <n v="-36.057402690082"/>
    <n v="-8.0112254898644402"/>
    <s v="104"/>
    <s v="PE"/>
    <s v="Eixo Principal"/>
    <s v="-"/>
    <s v="104BPE0390"/>
    <s v="ENTR PE-090"/>
    <s v="INÍCIO PONTE S/ RIO CAPIBARIBE (TORITAMA)"/>
    <n v="30.5"/>
    <n v="31.1"/>
    <n v="0.6"/>
    <x v="2"/>
    <s v="EOD"/>
    <m/>
    <s v="Federal"/>
    <m/>
    <m/>
    <m/>
    <s v="Federal"/>
    <s v="PAV"/>
    <s v="Caruaru"/>
  </r>
  <r>
    <x v="0"/>
    <s v="104BPE0410"/>
    <n v="0"/>
    <x v="71"/>
    <s v="0410"/>
    <n v="-36.057402690082"/>
    <n v="-8.0112254898644402"/>
    <n v="-36.021716039963202"/>
    <n v="-8.1070416600444997"/>
    <s v="104"/>
    <s v="PE"/>
    <s v="Eixo Principal"/>
    <s v="-"/>
    <s v="104BPE0410"/>
    <s v="INÍCIO PONTE S/ RIO CAPIBARIBE (TORITAMA)"/>
    <s v="ENTR PE-145 (P/FAZENDA NOVA)"/>
    <n v="31.1"/>
    <n v="43.4"/>
    <n v="12.3"/>
    <x v="2"/>
    <s v="EOD"/>
    <m/>
    <s v="Federal"/>
    <m/>
    <m/>
    <m/>
    <s v="Federal"/>
    <s v="PAV"/>
    <s v="Caruaru"/>
  </r>
  <r>
    <x v="0"/>
    <s v="104BPE0430"/>
    <n v="0"/>
    <x v="71"/>
    <s v="0430"/>
    <n v="-36.021716039963202"/>
    <n v="-8.1070416600444997"/>
    <n v="-35.975106199991103"/>
    <n v="-8.2523377602793708"/>
    <s v="104"/>
    <s v="PE"/>
    <s v="Eixo Principal"/>
    <s v="-"/>
    <s v="104BPE0430"/>
    <s v="ENTR PE-145 (P/FAZENDA NOVA)"/>
    <s v="ENTR PE-095 (P/RIACHO DAS ALMAS)"/>
    <n v="43.4"/>
    <n v="62.4"/>
    <n v="19"/>
    <x v="0"/>
    <m/>
    <m/>
    <s v="Federal"/>
    <m/>
    <m/>
    <m/>
    <s v="Federal"/>
    <s v="PAV"/>
    <s v="Caruaru"/>
  </r>
  <r>
    <x v="0"/>
    <s v="104BPE0440"/>
    <n v="0"/>
    <x v="71"/>
    <s v="0440"/>
    <n v="-35.975106199991103"/>
    <n v="-8.2523377602793708"/>
    <n v="-35.988773959750397"/>
    <n v="-8.3000104298374104"/>
    <s v="104"/>
    <s v="PE"/>
    <s v="Eixo Principal"/>
    <s v="-"/>
    <s v="104BPE0440"/>
    <s v="ENTR PE-095 (P/RIACHO DAS ALMAS)"/>
    <s v="ENTR BR-232/423 (CARUARÚ)"/>
    <n v="62.4"/>
    <n v="68.099999999999994"/>
    <n v="5.7"/>
    <x v="0"/>
    <m/>
    <m/>
    <s v="Federal"/>
    <m/>
    <m/>
    <m/>
    <s v="Federal"/>
    <s v="PAV"/>
    <s v="Caruaru"/>
  </r>
  <r>
    <x v="0"/>
    <s v="104BPE0445"/>
    <n v="0"/>
    <x v="71"/>
    <s v="0445"/>
    <n v="-35.988773959750397"/>
    <n v="-8.3000104298374104"/>
    <n v="-35.983691120148997"/>
    <n v="-8.3285404801590008"/>
    <s v="104"/>
    <s v="PE"/>
    <s v="Eixo Principal"/>
    <s v="-"/>
    <s v="104BPE0445"/>
    <s v="ENTR BR-232/423 (CARUARÚ)"/>
    <s v="ENTR ESTRADA P/ AGRESTINA"/>
    <n v="68.099999999999994"/>
    <n v="71.599999999999994"/>
    <n v="3.5"/>
    <x v="0"/>
    <m/>
    <m/>
    <s v="Federal"/>
    <m/>
    <m/>
    <m/>
    <s v="Federal"/>
    <s v="PAV"/>
    <s v="Caruaru"/>
  </r>
  <r>
    <x v="0"/>
    <s v="104BPE0450"/>
    <n v="0"/>
    <x v="71"/>
    <s v="0450"/>
    <n v="-35.983691120148997"/>
    <n v="-8.3285404801590008"/>
    <n v="-35.952816420341399"/>
    <n v="-8.4435719500853494"/>
    <s v="104"/>
    <s v="PE"/>
    <s v="Eixo Principal"/>
    <s v="-"/>
    <s v="104BPE0450"/>
    <s v="ENTR ESTRADA P/ AGRESTINA"/>
    <s v="ENTR PE-149 (AGRESTINA)"/>
    <n v="71.599999999999994"/>
    <n v="85.8"/>
    <n v="14.2"/>
    <x v="2"/>
    <m/>
    <m/>
    <s v="Federal"/>
    <m/>
    <m/>
    <m/>
    <s v="Federal"/>
    <s v="PAV"/>
    <s v="Caruaru"/>
  </r>
  <r>
    <x v="0"/>
    <s v="104BPE0470"/>
    <n v="0"/>
    <x v="71"/>
    <s v="0470"/>
    <n v="-35.952816420341399"/>
    <n v="-8.4435719500853494"/>
    <n v="-35.940612079683603"/>
    <n v="-8.4607406203832607"/>
    <s v="104"/>
    <s v="PE"/>
    <s v="Eixo Principal"/>
    <s v="-"/>
    <s v="104BPE0470"/>
    <s v="ENTR PE-149 (AGRESTINA)"/>
    <s v="ENTR PE-120 (BARRA DO RIACHÃO)"/>
    <n v="85.8"/>
    <n v="88.1"/>
    <n v="2.2999999999999998"/>
    <x v="2"/>
    <m/>
    <m/>
    <s v="Federal"/>
    <m/>
    <m/>
    <m/>
    <s v="Federal"/>
    <s v="PAV"/>
    <s v="Caruaru"/>
  </r>
  <r>
    <x v="0"/>
    <s v="104BPE0490"/>
    <n v="0"/>
    <x v="71"/>
    <s v="0490"/>
    <n v="-35.940612079683603"/>
    <n v="-8.4607406203832607"/>
    <n v="-35.967781999839303"/>
    <n v="-8.6135769397239397"/>
    <s v="104"/>
    <s v="PE"/>
    <s v="Eixo Principal"/>
    <s v="-"/>
    <s v="104BPE0490"/>
    <s v="ENTR PE-120 (BARRA DO RIACHÃO)"/>
    <s v="ENTR PE-123 (CUPIRA)"/>
    <n v="88.1"/>
    <n v="106.3"/>
    <n v="18.2"/>
    <x v="2"/>
    <m/>
    <m/>
    <s v="Federal"/>
    <m/>
    <m/>
    <m/>
    <s v="Federal"/>
    <s v="PAV"/>
    <s v="Caruaru"/>
  </r>
  <r>
    <x v="0"/>
    <s v="104BPE0510"/>
    <n v="0"/>
    <x v="71"/>
    <s v="0510"/>
    <n v="-35.967781999839303"/>
    <n v="-8.6135769397239397"/>
    <n v="-36.014416510013803"/>
    <n v="-8.6626875802675691"/>
    <s v="104"/>
    <s v="PE"/>
    <s v="Eixo Principal"/>
    <s v="-"/>
    <s v="104BPE0510"/>
    <s v="ENTR PE-123 (CUPIRA)"/>
    <s v="ENTR PE-158"/>
    <n v="106.3"/>
    <n v="115.4"/>
    <n v="9.1"/>
    <x v="2"/>
    <m/>
    <m/>
    <s v="Federal"/>
    <m/>
    <m/>
    <m/>
    <s v="Federal"/>
    <s v="PAV"/>
    <s v="Caruaru"/>
  </r>
  <r>
    <x v="0"/>
    <s v="104BPE0520"/>
    <n v="0"/>
    <x v="71"/>
    <s v="0520"/>
    <n v="-36.014416510013803"/>
    <n v="-8.6626875802675691"/>
    <n v="-36.012368340026804"/>
    <n v="-8.8113184098166908"/>
    <s v="104"/>
    <s v="PE"/>
    <s v="Eixo Principal"/>
    <s v="-"/>
    <s v="104BPE0520"/>
    <s v="ENTR PE-158"/>
    <s v="ENTR PE-126 (P/QUIPAPÁ)"/>
    <n v="115.4"/>
    <n v="134.4"/>
    <n v="19"/>
    <x v="2"/>
    <m/>
    <m/>
    <s v="Federal"/>
    <m/>
    <m/>
    <m/>
    <s v="Federal"/>
    <s v="PAV"/>
    <s v="Caruaru"/>
  </r>
  <r>
    <x v="0"/>
    <s v="104BPE0530"/>
    <n v="0"/>
    <x v="71"/>
    <s v="0530"/>
    <n v="-36.012368340026804"/>
    <n v="-8.8113184098166908"/>
    <n v="-36.039687460407897"/>
    <n v="-8.8316169996247709"/>
    <s v="104"/>
    <s v="PE"/>
    <s v="Eixo Principal"/>
    <s v="-"/>
    <s v="104BPE0530"/>
    <s v="ENTR PE-126 (P/QUIPAPÁ)"/>
    <s v="ENTR PE-177 (P/GARANHUNS)"/>
    <n v="134.4"/>
    <n v="138.6"/>
    <n v="4.2"/>
    <x v="2"/>
    <m/>
    <m/>
    <s v="Federal"/>
    <m/>
    <m/>
    <m/>
    <s v="Federal"/>
    <s v="PAV"/>
    <s v="Caruaru"/>
  </r>
  <r>
    <x v="0"/>
    <s v="104BPE0550"/>
    <n v="0"/>
    <x v="71"/>
    <s v="0550"/>
    <n v="-36.039687460407897"/>
    <n v="-8.8316169996247709"/>
    <n v="-36.019567740358802"/>
    <n v="-8.8995042596138205"/>
    <s v="104"/>
    <s v="PE"/>
    <s v="Eixo Principal"/>
    <s v="-"/>
    <s v="104BPE0550"/>
    <s v="ENTR PE-177 (P/GARANHUNS)"/>
    <s v="DIV PE/AL"/>
    <n v="138.6"/>
    <n v="146.9"/>
    <n v="8.3000000000000007"/>
    <x v="2"/>
    <m/>
    <m/>
    <s v="Federal"/>
    <m/>
    <m/>
    <m/>
    <s v="Federal"/>
    <s v="PAV"/>
    <s v="Caruaru"/>
  </r>
  <r>
    <x v="0"/>
    <s v="104BRN0010"/>
    <n v="0"/>
    <x v="72"/>
    <s v="0010"/>
    <n v="-36.630272880289098"/>
    <n v="-5.1184675103672799"/>
    <n v="-36.5956991501955"/>
    <n v="-5.1506125502289697"/>
    <s v="104"/>
    <s v="RN"/>
    <s v="Eixo Principal"/>
    <s v="-"/>
    <s v="104BRN0010"/>
    <s v="ENTR BR-406(A)/RN-118(A) (MACAU)"/>
    <s v="ENTR BR-406(B)/RN-118(B) (P/PENDÊNCIAS)"/>
    <n v="0"/>
    <n v="5.5"/>
    <n v="5.5"/>
    <x v="2"/>
    <m/>
    <s v="406BRN0010"/>
    <s v="Federal"/>
    <m/>
    <m/>
    <m/>
    <s v="Federal"/>
    <s v="PAV"/>
    <s v="Macaíba"/>
  </r>
  <r>
    <x v="0"/>
    <s v="104BRN0020"/>
    <n v="0"/>
    <x v="72"/>
    <s v="0020"/>
    <n v="-36.5956991501955"/>
    <n v="-5.1506125502289697"/>
    <n v="-36.594035050077402"/>
    <n v="-5.1598539898697"/>
    <s v="104"/>
    <s v="RN"/>
    <s v="Eixo Principal"/>
    <s v="-"/>
    <s v="104BRN0020"/>
    <s v="ENTR BR-406(B)/RN-118(B) (P/PENDÊNCIAS)"/>
    <s v="ENTR RN-118(C) (P/PENDÊNCIAS)"/>
    <n v="5.5"/>
    <n v="6.6"/>
    <n v="1.1000000000000001"/>
    <x v="1"/>
    <m/>
    <m/>
    <s v="Estadual"/>
    <m/>
    <s v="RNT-118"/>
    <s v="PAV"/>
    <s v="Estadual"/>
    <s v="PLA"/>
    <s v="Mossoró"/>
  </r>
  <r>
    <x v="0"/>
    <s v="104BRN0030"/>
    <n v="0"/>
    <x v="72"/>
    <s v="0030"/>
    <n v="-36.594035050077402"/>
    <n v="-5.1598539898697"/>
    <n v="-36.386714690430502"/>
    <n v="-5.5207476398916198"/>
    <s v="104"/>
    <s v="RN"/>
    <s v="Eixo Principal"/>
    <s v="-"/>
    <s v="104BRN0030"/>
    <s v="ENTR RN-118(C) (P/PENDÊNCIAS)"/>
    <s v="ENTR RN-263 (PEDRO AVELINO)"/>
    <n v="6.6"/>
    <n v="57"/>
    <n v="50.4"/>
    <x v="1"/>
    <m/>
    <m/>
    <s v="Estadual"/>
    <m/>
    <s v="RNT-104"/>
    <s v="LEN"/>
    <s v="Estadual"/>
    <s v="PLA"/>
    <s v="Mossoró"/>
  </r>
  <r>
    <x v="0"/>
    <s v="104BRN0050"/>
    <n v="0"/>
    <x v="72"/>
    <s v="0050"/>
    <n v="-36.386714690430502"/>
    <n v="-5.5207476398916198"/>
    <n v="-36.307412049726203"/>
    <n v="-5.6899711501484296"/>
    <s v="104"/>
    <s v="RN"/>
    <s v="Eixo Principal"/>
    <s v="-"/>
    <s v="104BRN0050"/>
    <s v="ENTR RN-263 (PEDRO AVELINO)"/>
    <s v="ENTR BR-304(A) *TRECHO MUNICIPAL*"/>
    <n v="57"/>
    <n v="77.2"/>
    <n v="20.2"/>
    <x v="1"/>
    <m/>
    <m/>
    <s v="Estadual"/>
    <m/>
    <s v="RNT-104"/>
    <s v="PAV"/>
    <s v="Estadual"/>
    <s v="PLA"/>
    <s v="Mossoró"/>
  </r>
  <r>
    <x v="0"/>
    <s v="104BRN0070"/>
    <n v="0"/>
    <x v="72"/>
    <s v="0070"/>
    <n v="-36.307412049726203"/>
    <n v="-5.6899711501484296"/>
    <n v="-36.240734799671202"/>
    <n v="-5.7055556601655404"/>
    <s v="104"/>
    <s v="RN"/>
    <s v="Eixo Principal"/>
    <s v="-"/>
    <s v="104BRN0070"/>
    <s v="ENTR BR-304(A)"/>
    <s v="ENTR BR-304(B) (LAJES)"/>
    <n v="77.2"/>
    <n v="85"/>
    <n v="7.8"/>
    <x v="2"/>
    <m/>
    <s v="304BRN0250"/>
    <s v="Federal"/>
    <m/>
    <m/>
    <m/>
    <s v="Federal"/>
    <s v="PAV"/>
    <s v="Mossoró"/>
  </r>
  <r>
    <x v="0"/>
    <s v="104BRN0090"/>
    <n v="0"/>
    <x v="72"/>
    <s v="0090"/>
    <n v="-36.240734799671202"/>
    <n v="-5.7055556601655404"/>
    <n v="-36.322121739726398"/>
    <n v="-5.9132899498712197"/>
    <s v="104"/>
    <s v="RN"/>
    <s v="Eixo Principal"/>
    <s v="-"/>
    <s v="104BRN0090"/>
    <s v="ENTR BR-304(B) (LAJES)"/>
    <s v="ENTR RN-042"/>
    <n v="85"/>
    <n v="115.9"/>
    <n v="30.9"/>
    <x v="1"/>
    <m/>
    <m/>
    <s v="Estadual"/>
    <m/>
    <s v="RNT-104"/>
    <s v="LEN"/>
    <s v="Estadual"/>
    <s v="PLA"/>
    <s v="Currais Novos"/>
  </r>
  <r>
    <x v="0"/>
    <s v="104BRN0110"/>
    <n v="0"/>
    <x v="72"/>
    <s v="0110"/>
    <n v="-36.322121739726398"/>
    <n v="-5.9132899498712197"/>
    <n v="-36.368980739569402"/>
    <n v="-6.0233467398601297"/>
    <s v="104"/>
    <s v="RN"/>
    <s v="Eixo Principal"/>
    <s v="-"/>
    <s v="104BRN0110"/>
    <s v="ENTR RN-042"/>
    <s v="ENTR RN-203(A)"/>
    <n v="115.9"/>
    <n v="131.6"/>
    <n v="15.7"/>
    <x v="1"/>
    <m/>
    <m/>
    <s v="Estadual"/>
    <m/>
    <s v="RN-042"/>
    <s v="IMP"/>
    <s v="Estadual"/>
    <s v="PLA"/>
    <s v="Currais Novos"/>
  </r>
  <r>
    <x v="0"/>
    <s v="104BRN0120"/>
    <n v="0"/>
    <x v="72"/>
    <s v="0120"/>
    <n v="-36.368980739569402"/>
    <n v="-6.0233467398601297"/>
    <n v="-36.346572539890701"/>
    <n v="-6.0352252102752004"/>
    <s v="104"/>
    <s v="RN"/>
    <s v="Eixo Principal"/>
    <s v="-"/>
    <s v="104BRN0120"/>
    <s v="ENTR RN-203(A)"/>
    <s v="ENTR RN-203(B) (CERRO CORÁ)"/>
    <n v="131.6"/>
    <n v="134.9"/>
    <n v="3.3"/>
    <x v="1"/>
    <m/>
    <m/>
    <s v="Estadual"/>
    <m/>
    <s v="RN-042"/>
    <s v="PAV"/>
    <s v="Estadual"/>
    <s v="PLA"/>
    <s v="Currais Novos"/>
  </r>
  <r>
    <x v="0"/>
    <s v="104BRN0130"/>
    <n v="0"/>
    <x v="72"/>
    <s v="0130"/>
    <n v="-36.346572539890701"/>
    <n v="-6.0352252102752004"/>
    <n v="-36.360568949697203"/>
    <n v="-6.0567539899046698"/>
    <s v="104"/>
    <s v="RN"/>
    <s v="Eixo Principal"/>
    <s v="-"/>
    <s v="104BRN0130"/>
    <s v="ENTR RN-203(B) (CERRO CORÁ)"/>
    <s v="ENTR RN-087"/>
    <n v="134.9"/>
    <n v="138.1"/>
    <n v="3.2"/>
    <x v="1"/>
    <m/>
    <m/>
    <s v="Estadual"/>
    <m/>
    <s v="RN-042"/>
    <s v="PAV"/>
    <s v="Estadual"/>
    <s v="PLA"/>
    <s v="Currais Novos"/>
  </r>
  <r>
    <x v="0"/>
    <s v="104BRN0140"/>
    <n v="0"/>
    <x v="72"/>
    <s v="0140"/>
    <n v="-36.360568949697203"/>
    <n v="-6.0567539899046698"/>
    <n v="-36.398534200392902"/>
    <n v="-6.2027626598688199"/>
    <s v="104"/>
    <s v="RN"/>
    <s v="Eixo Principal"/>
    <s v="-"/>
    <s v="104BRN0140"/>
    <s v="ENTR RN-087"/>
    <s v="ENTR BR-226(A) (P/CURRAIS NOVOS)"/>
    <n v="138.1"/>
    <n v="159.6"/>
    <n v="21.5"/>
    <x v="1"/>
    <m/>
    <m/>
    <s v="Estadual"/>
    <m/>
    <s v="RN-042"/>
    <s v="PAV"/>
    <s v="Estadual"/>
    <s v="PLA"/>
    <s v="Currais Novos"/>
  </r>
  <r>
    <x v="0"/>
    <s v="104BRN0150"/>
    <n v="0"/>
    <x v="72"/>
    <s v="0150"/>
    <n v="-36.398534200392902"/>
    <n v="-6.2027626598688199"/>
    <n v="-36.1741231704478"/>
    <n v="-6.2158007404117903"/>
    <s v="104"/>
    <s v="RN"/>
    <s v="Eixo Principal"/>
    <s v="-"/>
    <s v="104BRN0150"/>
    <s v="ENTR BR-226(A) (P/CURRAIS NOVOS)"/>
    <s v="ENTR BR-226(B) (CAMPO REDONDO)"/>
    <n v="159.6"/>
    <n v="186.3"/>
    <n v="26.7"/>
    <x v="2"/>
    <m/>
    <s v="226BRN0175"/>
    <s v="Federal"/>
    <m/>
    <m/>
    <m/>
    <s v="Federal"/>
    <s v="PAV"/>
    <s v="Currais Novos"/>
  </r>
  <r>
    <x v="0"/>
    <s v="104BRN0155"/>
    <n v="0"/>
    <x v="72"/>
    <s v="0155"/>
    <n v="-36.1741231704478"/>
    <n v="-6.2158007404117903"/>
    <n v="-36.182944659968001"/>
    <n v="-6.2420031798028504"/>
    <s v="104"/>
    <s v="RN"/>
    <s v="Eixo Principal"/>
    <s v="-"/>
    <s v="104BRN0155"/>
    <s v="ENTR BR-226(B) (CAMPO REDONDO)"/>
    <s v="CAMPO REDONDO"/>
    <n v="186.3"/>
    <n v="189.4"/>
    <n v="3.1"/>
    <x v="1"/>
    <m/>
    <m/>
    <s v="Estadual"/>
    <m/>
    <s v="RNT-104"/>
    <s v="PAV"/>
    <s v="Estadual"/>
    <s v="PLA"/>
    <s v="Currais Novos"/>
  </r>
  <r>
    <x v="0"/>
    <s v="104BRN0160"/>
    <n v="0"/>
    <x v="72"/>
    <s v="0160"/>
    <n v="-36.182944659968001"/>
    <n v="-6.2420031798028504"/>
    <n v="-36.215362570326299"/>
    <n v="-6.3833790803802204"/>
    <s v="104"/>
    <s v="RN"/>
    <s v="Eixo Principal"/>
    <s v="-"/>
    <s v="104BRN0160"/>
    <s v="CAMPO REDONDO"/>
    <s v="ENTR RN-023(A) (CORONEL EZEQUIEL)"/>
    <n v="189.4"/>
    <n v="208.6"/>
    <n v="19.2"/>
    <x v="1"/>
    <m/>
    <m/>
    <s v="Estadual"/>
    <m/>
    <s v="RNT-104"/>
    <s v="LEN"/>
    <s v="Estadual"/>
    <s v="PLA"/>
    <s v="Currais Novos"/>
  </r>
  <r>
    <x v="0"/>
    <s v="104BRN0165"/>
    <n v="0"/>
    <x v="72"/>
    <s v="0165"/>
    <n v="-36.215362570326299"/>
    <n v="-6.3833790803802204"/>
    <n v="-36.203414229782801"/>
    <n v="-6.4263190397917898"/>
    <s v="104"/>
    <s v="RN"/>
    <s v="Eixo Principal"/>
    <s v="-"/>
    <s v="104BRN0165"/>
    <s v="ENTR RN-023(A) (CORONEL EZEQUIEL)"/>
    <s v="P/JAÇANÃ"/>
    <n v="208.6"/>
    <n v="214.9"/>
    <n v="6.3"/>
    <x v="1"/>
    <m/>
    <m/>
    <s v="Estadual"/>
    <m/>
    <s v="RN-023"/>
    <s v="PAV"/>
    <s v="Estadual"/>
    <s v="PLA"/>
    <s v="Currais Novos"/>
  </r>
  <r>
    <x v="0"/>
    <s v="104BRN0170"/>
    <n v="0"/>
    <x v="72"/>
    <s v="0170"/>
    <n v="-36.203414229782801"/>
    <n v="-6.4263190397917898"/>
    <n v="-36.203862960007498"/>
    <n v="-6.4329549797884598"/>
    <s v="104"/>
    <s v="RN"/>
    <s v="Eixo Principal"/>
    <s v="-"/>
    <s v="104BRN0170"/>
    <s v="P/JAÇANÃ"/>
    <s v="ENTR RN-023(B) (DIV RN/PB)"/>
    <n v="214.9"/>
    <n v="215.7"/>
    <n v="0.8"/>
    <x v="1"/>
    <m/>
    <m/>
    <s v="Estadual"/>
    <m/>
    <s v="RN-023"/>
    <s v="PAV"/>
    <s v="Estadual"/>
    <s v="PLA"/>
    <s v="Currais Novos"/>
  </r>
  <r>
    <x v="0"/>
    <s v="104CPE1005"/>
    <n v="0"/>
    <x v="73"/>
    <s v="1005"/>
    <n v="-36.080504040429098"/>
    <n v="-8.0050697203912407"/>
    <n v="-36.05336551021"/>
    <n v="-8.0283944299589507"/>
    <s v="104"/>
    <s v="PE"/>
    <s v="Contorno"/>
    <s v="-"/>
    <s v="104CPE1005"/>
    <s v="ENTR BR-104 (KM 28,7)"/>
    <s v="ENTR BR-104 (KM 33,8 - CONTORNO DE TORITAMA)"/>
    <n v="0"/>
    <n v="5.0999999999999996"/>
    <n v="5.0999999999999996"/>
    <x v="1"/>
    <m/>
    <m/>
    <s v="Federal"/>
    <m/>
    <m/>
    <m/>
    <s v="Federal"/>
    <s v="PLA"/>
    <s v="Caruaru"/>
  </r>
  <r>
    <x v="0"/>
    <s v="110BAL0530"/>
    <n v="0"/>
    <x v="74"/>
    <s v="0530"/>
    <n v="-38.202921400002502"/>
    <n v="-9.2951610504420596"/>
    <n v="-38.201374790014398"/>
    <n v="-9.2975574001538295"/>
    <s v="110"/>
    <s v="AL"/>
    <s v="Eixo Principal"/>
    <s v="-"/>
    <s v="110BAL0530"/>
    <s v="DIV PE/AL (INÍCIO DA PONTE SOBRE O RIO MOXOTÓ)"/>
    <s v="FIM DA PONTE SOBRE O RIO MOXOTÓ"/>
    <n v="0"/>
    <n v="0.4"/>
    <n v="0.4"/>
    <x v="2"/>
    <m/>
    <m/>
    <s v="Federal"/>
    <m/>
    <m/>
    <m/>
    <s v="Federal"/>
    <s v="PAV"/>
    <s v="Santana do Ipanema"/>
  </r>
  <r>
    <x v="0"/>
    <s v="110BAL0535"/>
    <n v="0"/>
    <x v="74"/>
    <s v="0535"/>
    <n v="-38.201374790014398"/>
    <n v="-9.2975574001538295"/>
    <n v="-38.168773259678098"/>
    <n v="-9.3960905796164909"/>
    <s v="110"/>
    <s v="AL"/>
    <s v="Eixo Principal"/>
    <s v="-"/>
    <s v="110BAL0535"/>
    <s v="FIM DA PONTE SOBRE O RIO MOXOTÓ"/>
    <s v="ENTR BR-423(A)"/>
    <n v="0.4"/>
    <n v="11.9"/>
    <n v="11.5"/>
    <x v="2"/>
    <m/>
    <m/>
    <s v="Federal"/>
    <m/>
    <m/>
    <m/>
    <s v="Federal"/>
    <s v="PAV"/>
    <s v="Santana do Ipanema"/>
  </r>
  <r>
    <x v="0"/>
    <s v="110BAL0540"/>
    <n v="0"/>
    <x v="74"/>
    <s v="0540"/>
    <n v="-38.168773259678098"/>
    <n v="-9.3960905796164909"/>
    <n v="-38.197424759844701"/>
    <n v="-9.4185442598097193"/>
    <s v="110"/>
    <s v="AL"/>
    <s v="Eixo Principal"/>
    <s v="-"/>
    <s v="110BAL0540"/>
    <s v="ENTR BR-423(A)"/>
    <s v="INÍCIO DA PONTE SOBRE O RIO SÃO FRANCISCO"/>
    <n v="11.9"/>
    <n v="16.100000000000001"/>
    <n v="4.2"/>
    <x v="2"/>
    <m/>
    <s v="423BAL0255"/>
    <s v="Federal"/>
    <m/>
    <m/>
    <m/>
    <s v="Federal"/>
    <s v="PAV"/>
    <s v="Santana do Ipanema"/>
  </r>
  <r>
    <x v="0"/>
    <s v="110BBA0550"/>
    <n v="0"/>
    <x v="75"/>
    <s v="0550"/>
    <n v="-38.197424759844701"/>
    <n v="-9.4185442598097193"/>
    <n v="-38.198299249810397"/>
    <n v="-9.4212130303570198"/>
    <s v="110"/>
    <s v="BA"/>
    <s v="Eixo Principal"/>
    <s v="-"/>
    <s v="110BBA0550"/>
    <s v="INÍCIO DA PONTE SOBRE O RIO SÃO FRANCISCO (DIV AL/BA)"/>
    <s v="FIM DA PONTE SOBRE O RIO SÃO FRANCISCO"/>
    <n v="0"/>
    <n v="0.3"/>
    <n v="0.3"/>
    <x v="2"/>
    <m/>
    <s v="423BBA0270"/>
    <s v="Federal"/>
    <m/>
    <m/>
    <m/>
    <s v="Federal"/>
    <s v="PAV"/>
    <s v="Euclides da Cunha"/>
  </r>
  <r>
    <x v="0"/>
    <s v="110BBA0560"/>
    <n v="0"/>
    <x v="75"/>
    <s v="0560"/>
    <n v="-38.198299249810397"/>
    <n v="-9.4212130303570198"/>
    <n v="-38.204088520368799"/>
    <n v="-9.4384202500943903"/>
    <s v="110"/>
    <s v="BA"/>
    <s v="Eixo Principal"/>
    <s v="-"/>
    <s v="110BBA0560"/>
    <s v="FIM DA PONTE SOBRE O RIO SÃO FRANCISCO"/>
    <s v="ENTR BR-423(B)/BA-210 (PAULO AFONSO)"/>
    <n v="0.3"/>
    <n v="2.4"/>
    <n v="2.1"/>
    <x v="2"/>
    <m/>
    <s v="423BBA0280"/>
    <s v="Federal"/>
    <m/>
    <m/>
    <m/>
    <s v="Federal"/>
    <s v="PAV"/>
    <s v="Euclides da Cunha"/>
  </r>
  <r>
    <x v="0"/>
    <s v="110BBA0570"/>
    <n v="0"/>
    <x v="75"/>
    <s v="0570"/>
    <n v="-38.204088520368799"/>
    <n v="-9.4384202500943903"/>
    <n v="-38.243527689750998"/>
    <n v="-9.7482765799002191"/>
    <s v="110"/>
    <s v="BA"/>
    <s v="Eixo Principal"/>
    <s v="-"/>
    <s v="110BBA0570"/>
    <s v="ENTR BR-423(B)/BA-210 (PAULO AFONSO)"/>
    <s v="ENTR BA-305 (P/SANTA BRÍGIDA)"/>
    <n v="2.4"/>
    <n v="37.700000000000003"/>
    <n v="35.299999999999997"/>
    <x v="2"/>
    <m/>
    <m/>
    <s v="Federal"/>
    <m/>
    <m/>
    <m/>
    <s v="Federal"/>
    <s v="PAV"/>
    <s v="Euclides da Cunha"/>
  </r>
  <r>
    <x v="0"/>
    <s v="110BBA0572"/>
    <n v="0"/>
    <x v="75"/>
    <s v="0572"/>
    <n v="-38.243527689750998"/>
    <n v="-9.7482765799002191"/>
    <n v="-38.344690690123201"/>
    <n v="-10.0619071997574"/>
    <s v="110"/>
    <s v="BA"/>
    <s v="Eixo Principal"/>
    <s v="-"/>
    <s v="110BBA0572"/>
    <s v="ENTR BA-305 (P/SANTA BRÍGIDA)"/>
    <s v="JEREMOABO"/>
    <n v="37.700000000000003"/>
    <n v="75.5"/>
    <n v="37.799999999999997"/>
    <x v="2"/>
    <m/>
    <m/>
    <s v="Federal"/>
    <m/>
    <m/>
    <m/>
    <s v="Federal"/>
    <s v="PAV"/>
    <s v="Euclides da Cunha"/>
  </r>
  <r>
    <x v="0"/>
    <s v="110BBA0590"/>
    <n v="0"/>
    <x v="75"/>
    <s v="0590"/>
    <n v="-38.344690690123201"/>
    <n v="-10.0619071997574"/>
    <n v="-38.320849769700999"/>
    <n v="-10.091031309847001"/>
    <s v="110"/>
    <s v="BA"/>
    <s v="Eixo Principal"/>
    <s v="-"/>
    <s v="110BBA0590"/>
    <s v="JEREMOABO"/>
    <s v="ENTR BR-235"/>
    <n v="75.5"/>
    <n v="80.2"/>
    <n v="4.7"/>
    <x v="2"/>
    <m/>
    <m/>
    <m/>
    <s v="MP082/2005"/>
    <m/>
    <m/>
    <m/>
    <s v="PAV"/>
    <s v="Euclides da Cunha"/>
  </r>
  <r>
    <x v="0"/>
    <s v="110BBA0610"/>
    <n v="0"/>
    <x v="75"/>
    <s v="0610"/>
    <n v="-38.320849769700999"/>
    <n v="-10.091031309847001"/>
    <n v="-38.336784199630998"/>
    <n v="-10.3684848397035"/>
    <s v="110"/>
    <s v="BA"/>
    <s v="Eixo Principal"/>
    <s v="-"/>
    <s v="110BBA0610"/>
    <s v="ENTR BR-235"/>
    <s v="ENTR BA-392 (ANTAS)"/>
    <n v="80.2"/>
    <n v="113.8"/>
    <n v="33.6"/>
    <x v="2"/>
    <m/>
    <m/>
    <m/>
    <s v="MP082/2005"/>
    <m/>
    <m/>
    <m/>
    <s v="PAV"/>
    <s v="Euclides da Cunha"/>
  </r>
  <r>
    <x v="0"/>
    <s v="110BBA0612"/>
    <n v="0"/>
    <x v="75"/>
    <s v="0612"/>
    <n v="-38.336784199630998"/>
    <n v="-10.3684848397035"/>
    <n v="-38.373013249761598"/>
    <n v="-10.592934589959301"/>
    <s v="110"/>
    <s v="BA"/>
    <s v="Eixo Principal"/>
    <s v="-"/>
    <s v="110BBA0612"/>
    <s v="ENTR BA-392 (ANTAS)"/>
    <s v="ENTR BA-220 (CÍCERO DANTAS)"/>
    <n v="113.8"/>
    <n v="141.19999999999999"/>
    <n v="27.4"/>
    <x v="2"/>
    <m/>
    <m/>
    <m/>
    <s v="MP082/2005"/>
    <m/>
    <m/>
    <m/>
    <s v="PAV"/>
    <s v="Euclides da Cunha"/>
  </r>
  <r>
    <x v="0"/>
    <s v="110BBA0630"/>
    <n v="0"/>
    <x v="75"/>
    <s v="0630"/>
    <n v="-38.373013249761598"/>
    <n v="-10.592934589959301"/>
    <n v="-38.393045060181301"/>
    <n v="-10.614523439804801"/>
    <s v="110"/>
    <s v="BA"/>
    <s v="Eixo Principal"/>
    <s v="-"/>
    <s v="110BBA0630"/>
    <s v="ENTR BA-220 (CÍCERO DANTAS)"/>
    <s v="ENTR BA-393"/>
    <n v="141.19999999999999"/>
    <n v="144.6"/>
    <n v="3.4"/>
    <x v="2"/>
    <m/>
    <m/>
    <m/>
    <s v="MP082/2005"/>
    <m/>
    <m/>
    <m/>
    <s v="PAV"/>
    <s v="Euclides da Cunha"/>
  </r>
  <r>
    <x v="0"/>
    <s v="110BBA0632"/>
    <n v="0"/>
    <x v="75"/>
    <s v="0632"/>
    <n v="-38.393045060181301"/>
    <n v="-10.614523439804801"/>
    <n v="-38.529609809944702"/>
    <n v="-10.815191749899199"/>
    <s v="110"/>
    <s v="BA"/>
    <s v="Eixo Principal"/>
    <s v="-"/>
    <s v="110BBA0632"/>
    <s v="ENTR BA-393"/>
    <s v="ENTR BR-410 (RIBEIRA DO POMBAL)"/>
    <n v="144.6"/>
    <n v="172.1"/>
    <n v="27.5"/>
    <x v="2"/>
    <m/>
    <m/>
    <m/>
    <s v="MP082/2005"/>
    <m/>
    <m/>
    <m/>
    <s v="PAV"/>
    <s v="Euclides da Cunha"/>
  </r>
  <r>
    <x v="0"/>
    <s v="110BBA0650"/>
    <n v="0"/>
    <x v="75"/>
    <s v="0650"/>
    <n v="-38.529609809944702"/>
    <n v="-10.815191749899199"/>
    <n v="-38.508903450433799"/>
    <n v="-11.082925860340101"/>
    <s v="110"/>
    <s v="BA"/>
    <s v="Eixo Principal"/>
    <s v="-"/>
    <s v="110BBA0650"/>
    <s v="ENTR BR-410 (RIBEIRA DO POMBAL)"/>
    <s v="ENTR BA-084(A) (CIPÓ)"/>
    <n v="172.1"/>
    <n v="202.3"/>
    <n v="30.2"/>
    <x v="2"/>
    <m/>
    <m/>
    <m/>
    <s v="MP082/2005"/>
    <m/>
    <m/>
    <m/>
    <s v="PAV"/>
    <s v="Cruz das Almas"/>
  </r>
  <r>
    <x v="0"/>
    <s v="110BBA0670"/>
    <n v="0"/>
    <x v="75"/>
    <s v="0670"/>
    <n v="-38.508903450433799"/>
    <n v="-11.082925860340101"/>
    <n v="-38.476456230270699"/>
    <n v="-11.242807189799899"/>
    <s v="110"/>
    <s v="BA"/>
    <s v="Eixo Principal"/>
    <s v="-"/>
    <s v="110BBA0670"/>
    <s v="ENTR BA-084(A) (CIPÓ)"/>
    <s v="ENTR BA-084(B) (NOVA SOURE)"/>
    <n v="202.3"/>
    <n v="221.3"/>
    <n v="19"/>
    <x v="2"/>
    <m/>
    <m/>
    <m/>
    <s v="MP082/2005"/>
    <m/>
    <m/>
    <m/>
    <s v="PAV"/>
    <s v="Cruz das Almas"/>
  </r>
  <r>
    <x v="0"/>
    <s v="110BBA0672"/>
    <n v="0"/>
    <x v="75"/>
    <s v="0672"/>
    <n v="-38.476456230270699"/>
    <n v="-11.242807189799899"/>
    <n v="-38.333224000387197"/>
    <n v="-11.357943099794101"/>
    <s v="110"/>
    <s v="BA"/>
    <s v="Eixo Principal"/>
    <s v="-"/>
    <s v="110BBA0672"/>
    <s v="ENTR BA-084(B) (NOVA SOURE)"/>
    <s v="ENTR BR-349 (OLINDINA)"/>
    <n v="221.3"/>
    <n v="241.6"/>
    <n v="20.3"/>
    <x v="2"/>
    <m/>
    <m/>
    <m/>
    <s v="MP082/2005"/>
    <m/>
    <m/>
    <m/>
    <s v="PAV"/>
    <s v="Cruz das Almas"/>
  </r>
  <r>
    <x v="0"/>
    <s v="110BBA0690"/>
    <n v="0"/>
    <x v="75"/>
    <s v="0690"/>
    <n v="-38.333224000387197"/>
    <n v="-11.357943099794101"/>
    <n v="-38.292939280323402"/>
    <n v="-11.416862160260401"/>
    <s v="110"/>
    <s v="BA"/>
    <s v="Eixo Principal"/>
    <s v="-"/>
    <s v="110BBA0690"/>
    <s v="ENTR BR-349 (OLINDINA)"/>
    <s v="ENTR BA-398 (P/CRISÓPOLIS)"/>
    <n v="241.6"/>
    <n v="249.6"/>
    <n v="8"/>
    <x v="2"/>
    <m/>
    <m/>
    <m/>
    <s v="MP082/2005"/>
    <m/>
    <m/>
    <m/>
    <s v="PAV"/>
    <s v="Cruz das Almas"/>
  </r>
  <r>
    <x v="0"/>
    <s v="110BBA0710"/>
    <n v="0"/>
    <x v="75"/>
    <s v="0710"/>
    <n v="-38.292939280323402"/>
    <n v="-11.416862160260401"/>
    <n v="-38.315858019731699"/>
    <n v="-11.683067110258801"/>
    <s v="110"/>
    <s v="BA"/>
    <s v="Eixo Principal"/>
    <s v="-"/>
    <s v="110BBA0710"/>
    <s v="ENTR BA-398 (P/CRISÓPOLIS)"/>
    <s v="ENTR BA-233(A) (P/ SÁTIRO DIAS)"/>
    <n v="249.6"/>
    <n v="279.7"/>
    <n v="30.1"/>
    <x v="2"/>
    <m/>
    <m/>
    <m/>
    <s v="MP082/2005"/>
    <m/>
    <m/>
    <m/>
    <s v="PAV"/>
    <s v="Cruz das Almas"/>
  </r>
  <r>
    <x v="0"/>
    <s v="110BBA0712"/>
    <n v="0"/>
    <x v="75"/>
    <s v="0712"/>
    <n v="-38.315858019731699"/>
    <n v="-11.683067110258801"/>
    <n v="-38.327232769976298"/>
    <n v="-11.7073720997425"/>
    <s v="110"/>
    <s v="BA"/>
    <s v="Eixo Principal"/>
    <s v="-"/>
    <s v="110BBA0712"/>
    <s v="ENTR BA-233(A) (P/ SÁTIRO DIAS)"/>
    <s v="ENTR BA-233(B) (P/ITAMIRA)"/>
    <n v="279.7"/>
    <n v="282.89999999999998"/>
    <n v="3.2"/>
    <x v="2"/>
    <m/>
    <m/>
    <m/>
    <s v="MP082/2005"/>
    <m/>
    <m/>
    <m/>
    <s v="PAV"/>
    <s v="Cruz das Almas"/>
  </r>
  <r>
    <x v="0"/>
    <s v="110BBA0714"/>
    <n v="0"/>
    <x v="75"/>
    <s v="0714"/>
    <n v="-38.327232769976298"/>
    <n v="-11.7073720997425"/>
    <n v="-38.342023970030098"/>
    <n v="-11.7787088299484"/>
    <s v="110"/>
    <s v="BA"/>
    <s v="Eixo Principal"/>
    <s v="-"/>
    <s v="110BBA0714"/>
    <s v="ENTR BA-233(B) (P/ITAMIRA)"/>
    <s v="INHAMBUPE"/>
    <n v="282.89999999999998"/>
    <n v="293.60000000000002"/>
    <n v="10.7"/>
    <x v="2"/>
    <m/>
    <m/>
    <m/>
    <s v="MP082/2005"/>
    <m/>
    <m/>
    <m/>
    <s v="PAV"/>
    <s v="Cruz das Almas"/>
  </r>
  <r>
    <x v="0"/>
    <s v="110BBA0716"/>
    <n v="0"/>
    <x v="75"/>
    <s v="0716"/>
    <n v="-38.342023970030098"/>
    <n v="-11.7787088299484"/>
    <n v="-38.369799980184801"/>
    <n v="-11.938503230039901"/>
    <s v="110"/>
    <s v="BA"/>
    <s v="Eixo Principal"/>
    <s v="-"/>
    <s v="110BBA0716"/>
    <s v="INHAMBUPE"/>
    <s v="ENTR BA-400"/>
    <n v="293.60000000000002"/>
    <n v="310.3"/>
    <n v="16.7"/>
    <x v="2"/>
    <m/>
    <m/>
    <m/>
    <s v="MP082/2005"/>
    <m/>
    <m/>
    <m/>
    <s v="PAV"/>
    <s v="Cruz das Almas"/>
  </r>
  <r>
    <x v="0"/>
    <s v="110BBA0730"/>
    <n v="0"/>
    <x v="75"/>
    <s v="0730"/>
    <n v="-38.369799980184801"/>
    <n v="-11.938503230039901"/>
    <n v="-38.344391740186602"/>
    <n v="-12.0777310000855"/>
    <s v="110"/>
    <s v="BA"/>
    <s v="Eixo Principal"/>
    <s v="-"/>
    <s v="110BBA0730"/>
    <s v="ENTR BA-400"/>
    <s v="ENTR BR-101(A)"/>
    <n v="310.3"/>
    <n v="328.4"/>
    <n v="18.100000000000001"/>
    <x v="2"/>
    <m/>
    <m/>
    <m/>
    <s v="MP082/2006"/>
    <m/>
    <m/>
    <m/>
    <s v="PAV"/>
    <s v="Cruz das Almas"/>
  </r>
  <r>
    <x v="0"/>
    <s v="110BBA0750"/>
    <n v="0"/>
    <x v="75"/>
    <s v="0750"/>
    <n v="-38.344391740186602"/>
    <n v="-12.0777310000855"/>
    <n v="-38.416261539937999"/>
    <n v="-12.1628731798533"/>
    <s v="110"/>
    <s v="BA"/>
    <s v="Eixo Principal"/>
    <s v="Coinc"/>
    <s v="110BBA0750"/>
    <s v="ENTR BR-101(A)"/>
    <s v="ENTR BR-101(B) (P/ALAGOINHAS)"/>
    <n v="328.4"/>
    <n v="341.4"/>
    <n v="13"/>
    <x v="2"/>
    <s v="EOD"/>
    <s v="101BBA1470"/>
    <s v="Federal"/>
    <m/>
    <m/>
    <m/>
    <s v="Federal"/>
    <s v="PAV"/>
    <s v="Cruz das Almas"/>
  </r>
  <r>
    <x v="0"/>
    <s v="110BBA0770"/>
    <n v="0"/>
    <x v="75"/>
    <s v="0770"/>
    <n v="-38.416261539937999"/>
    <n v="-12.1628731798533"/>
    <n v="-38.416044180094701"/>
    <n v="-12.197499180342801"/>
    <s v="110"/>
    <s v="BA"/>
    <s v="Eixo Principal"/>
    <s v="-"/>
    <s v="110BBA0770"/>
    <s v="ENTR BR-101(B) (P/ALAGOINHAS)"/>
    <s v="ENTR BA-516 (P/BURACICA)"/>
    <n v="341.4"/>
    <n v="345.9"/>
    <n v="4.5"/>
    <x v="2"/>
    <m/>
    <m/>
    <m/>
    <s v="MP082/2005"/>
    <m/>
    <m/>
    <m/>
    <s v="PAV"/>
    <s v="Cruz das Almas"/>
  </r>
  <r>
    <x v="0"/>
    <s v="110BBA0772"/>
    <n v="0"/>
    <x v="75"/>
    <s v="0772"/>
    <n v="-38.416044180094701"/>
    <n v="-12.197499180342801"/>
    <n v="-38.3854391096271"/>
    <n v="-12.3702048898437"/>
    <s v="110"/>
    <s v="BA"/>
    <s v="Eixo Principal"/>
    <s v="-"/>
    <s v="110BBA0772"/>
    <s v="ENTR BA-516 (P/BURACICA)"/>
    <s v="CATÚ"/>
    <n v="345.9"/>
    <n v="368.7"/>
    <n v="22.8"/>
    <x v="2"/>
    <m/>
    <m/>
    <m/>
    <s v="MP082/2005"/>
    <m/>
    <m/>
    <m/>
    <s v="PAV"/>
    <s v="Cruz das Almas"/>
  </r>
  <r>
    <x v="0"/>
    <s v="110BBA0774"/>
    <n v="0"/>
    <x v="75"/>
    <s v="0774"/>
    <n v="-38.3854391096271"/>
    <n v="-12.3702048898437"/>
    <n v="-38.373069489765101"/>
    <n v="-12.3980481396098"/>
    <s v="110"/>
    <s v="BA"/>
    <s v="Eixo Principal"/>
    <s v="-"/>
    <s v="110BBA0774"/>
    <s v="CATÚ"/>
    <s v="ENTR BR-420(A)"/>
    <n v="368.7"/>
    <n v="372.1"/>
    <n v="3.4"/>
    <x v="2"/>
    <m/>
    <m/>
    <m/>
    <s v="MP082/2005"/>
    <m/>
    <m/>
    <m/>
    <s v="PAV"/>
    <s v="Cruz das Almas"/>
  </r>
  <r>
    <x v="0"/>
    <s v="110BBA0790"/>
    <n v="0"/>
    <x v="75"/>
    <s v="0790"/>
    <n v="-38.373069489765101"/>
    <n v="-12.3980481396098"/>
    <n v="-38.474194470398402"/>
    <n v="-12.4145987103621"/>
    <s v="110"/>
    <s v="BA"/>
    <s v="Eixo Principal"/>
    <s v="-"/>
    <s v="110BBA0790"/>
    <s v="ENTR BR-420(A)"/>
    <s v="P/CASSARONGONGO"/>
    <n v="372.1"/>
    <n v="384"/>
    <n v="11.9"/>
    <x v="2"/>
    <m/>
    <s v="420BBA0030"/>
    <m/>
    <s v="MP082/2005"/>
    <m/>
    <m/>
    <m/>
    <s v="PAV"/>
    <s v="Cruz das Almas"/>
  </r>
  <r>
    <x v="0"/>
    <s v="110BBA0792"/>
    <n v="0"/>
    <x v="75"/>
    <s v="0792"/>
    <n v="-38.474194470398402"/>
    <n v="-12.4145987103621"/>
    <n v="-38.496262520398901"/>
    <n v="-12.509926090017"/>
    <s v="110"/>
    <s v="BA"/>
    <s v="Eixo Principal"/>
    <s v="-"/>
    <s v="110BBA0792"/>
    <s v="P/CASSARONGONGO"/>
    <s v="ENTR BA-512 (SÃO SEBASTIÃO DO PASSÉ)"/>
    <n v="384"/>
    <n v="394.9"/>
    <n v="10.9"/>
    <x v="2"/>
    <m/>
    <s v="420BBA0035"/>
    <m/>
    <s v="MP082/2005"/>
    <m/>
    <m/>
    <m/>
    <s v="PAV"/>
    <s v="Cruz das Almas"/>
  </r>
  <r>
    <x v="0"/>
    <s v="110BBA0810"/>
    <n v="0"/>
    <x v="75"/>
    <s v="0810"/>
    <n v="-38.496262520398901"/>
    <n v="-12.509926090017"/>
    <n v="-38.540049160040603"/>
    <n v="-12.576757039605599"/>
    <s v="110"/>
    <s v="BA"/>
    <s v="Eixo Principal"/>
    <s v="-"/>
    <s v="110BBA0810"/>
    <s v="ENTR BA-512 (SÃO SEBASTIÃO DO PASSÉ)"/>
    <s v="ENTR BR-324/420(B)"/>
    <n v="394.9"/>
    <n v="404.6"/>
    <n v="9.6999999999999993"/>
    <x v="2"/>
    <m/>
    <s v="420BBA0040"/>
    <m/>
    <s v="MP082/2005"/>
    <m/>
    <m/>
    <m/>
    <s v="PAV"/>
    <s v="Cruz das Almas"/>
  </r>
  <r>
    <x v="0"/>
    <s v="110BPB0110"/>
    <n v="0"/>
    <x v="76"/>
    <s v="0110"/>
    <n v="-37.406949439864697"/>
    <n v="-6.1126353302562304"/>
    <n v="-37.496952899556597"/>
    <n v="-6.3493045999272804"/>
    <s v="110"/>
    <s v="PB"/>
    <s v="Eixo Principal"/>
    <s v="-"/>
    <s v="110BPB0110"/>
    <s v="DIV RN/PB"/>
    <s v="ENTR PB-323(A) (BREJO DO CRUZ)"/>
    <n v="0"/>
    <n v="26"/>
    <n v="26"/>
    <x v="1"/>
    <m/>
    <m/>
    <s v="Federal"/>
    <m/>
    <m/>
    <m/>
    <s v="Federal"/>
    <s v="PLA"/>
    <s v="Patos"/>
  </r>
  <r>
    <x v="0"/>
    <s v="110BPB0120"/>
    <n v="0"/>
    <x v="76"/>
    <s v="0120"/>
    <n v="-37.496952899556597"/>
    <n v="-6.3493045999272804"/>
    <n v="-37.465852999616096"/>
    <n v="-6.3582299998145597"/>
    <s v="110"/>
    <s v="PB"/>
    <s v="Eixo Principal"/>
    <s v="-"/>
    <s v="110BPB0120"/>
    <s v="ENTR PB-323(A) (BREJO DO CRUZ)"/>
    <s v="ENTR PB-323(B)"/>
    <n v="26"/>
    <n v="29"/>
    <n v="3"/>
    <x v="1"/>
    <m/>
    <m/>
    <s v="Estadual"/>
    <m/>
    <s v="PB-293"/>
    <s v="PAV"/>
    <s v="Estadual"/>
    <s v="PLA"/>
    <s v="Patos"/>
  </r>
  <r>
    <x v="0"/>
    <s v="110BPB0130"/>
    <n v="0"/>
    <x v="76"/>
    <s v="0130"/>
    <n v="-37.465852999616096"/>
    <n v="-6.3582299998145597"/>
    <n v="-37.448556999705701"/>
    <n v="-6.4957650002544902"/>
    <s v="110"/>
    <s v="PB"/>
    <s v="Eixo Principal"/>
    <s v="-"/>
    <s v="110BPB0130"/>
    <s v="ENTR PB-323(B)"/>
    <s v="ENTR PB-293 (SÃO BENTO)"/>
    <n v="29"/>
    <n v="44.1"/>
    <n v="15.1"/>
    <x v="1"/>
    <m/>
    <m/>
    <s v="Estadual"/>
    <m/>
    <s v="PB-293"/>
    <s v="PAV"/>
    <s v="Estadual"/>
    <s v="PLA"/>
    <s v="Patos"/>
  </r>
  <r>
    <x v="0"/>
    <s v="110BPB0135"/>
    <n v="0"/>
    <x v="76"/>
    <s v="0135"/>
    <n v="-37.448556999705701"/>
    <n v="-6.4957650002544902"/>
    <n v="-37.4443997801257"/>
    <n v="-6.5330952702304899"/>
    <s v="110"/>
    <s v="PB"/>
    <s v="Eixo Principal"/>
    <s v="-"/>
    <s v="110BPB0135"/>
    <s v="ENTR PB-293 (SÃO BENTO)"/>
    <s v="DIV PB/RN"/>
    <n v="44.1"/>
    <n v="48.8"/>
    <n v="4.7"/>
    <x v="1"/>
    <m/>
    <m/>
    <s v="Estadual"/>
    <m/>
    <s v="PBT-110"/>
    <s v="LEN"/>
    <s v="Estadual"/>
    <s v="PLA"/>
    <s v="Patos"/>
  </r>
  <r>
    <x v="0"/>
    <s v="110BPB0190"/>
    <n v="0"/>
    <x v="76"/>
    <s v="0190"/>
    <n v="-37.425885400290902"/>
    <n v="-6.7068951596838202"/>
    <n v="-37.400864560351103"/>
    <n v="-6.8407616995926901"/>
    <s v="110"/>
    <s v="PB"/>
    <s v="Eixo Principal"/>
    <s v="-"/>
    <s v="110BPB0190"/>
    <s v="DIV RN/PB"/>
    <s v="ENTR PB-275"/>
    <n v="48.8"/>
    <n v="65.3"/>
    <n v="16.5"/>
    <x v="2"/>
    <m/>
    <m/>
    <s v="Federal"/>
    <m/>
    <m/>
    <m/>
    <s v="Federal"/>
    <s v="PAV"/>
    <s v="Patos"/>
  </r>
  <r>
    <x v="0"/>
    <s v="110BPB0200"/>
    <n v="0"/>
    <x v="76"/>
    <s v="0200"/>
    <n v="-37.400864560351103"/>
    <n v="-6.8407616995926901"/>
    <n v="-37.406799780085699"/>
    <n v="-6.9404486399926597"/>
    <s v="110"/>
    <s v="PB"/>
    <s v="Eixo Principal"/>
    <s v="-"/>
    <s v="110BPB0200"/>
    <s v="ENTR PB-275"/>
    <s v="ENTR BR-230(A) (SANTA GERTRUDES)"/>
    <n v="65.3"/>
    <n v="76.599999999999994"/>
    <n v="11.3"/>
    <x v="2"/>
    <m/>
    <m/>
    <s v="Federal"/>
    <m/>
    <m/>
    <m/>
    <s v="Federal"/>
    <s v="PAV"/>
    <s v="Patos"/>
  </r>
  <r>
    <x v="0"/>
    <s v="110BPB0208"/>
    <n v="0"/>
    <x v="76"/>
    <s v="0208"/>
    <n v="-37.406799780085699"/>
    <n v="-6.9404486399926597"/>
    <n v="-37.304156810388399"/>
    <n v="-7.0026790698831203"/>
    <s v="110"/>
    <s v="PB"/>
    <s v="Eixo Principal"/>
    <s v="-"/>
    <s v="110BPB0208"/>
    <s v="ENTR BR-230(A) (SANTA GERTRUDES)"/>
    <s v="INÍCIO DUPLICAÇÃO"/>
    <n v="76.599999999999994"/>
    <n v="90.1"/>
    <n v="13.5"/>
    <x v="2"/>
    <m/>
    <s v="230BPB0340"/>
    <s v="Federal"/>
    <m/>
    <m/>
    <m/>
    <s v="Federal"/>
    <s v="PAV"/>
    <s v="Patos"/>
  </r>
  <r>
    <x v="0"/>
    <s v="110BPB0212"/>
    <n v="0"/>
    <x v="76"/>
    <s v="0212"/>
    <n v="-37.304156810388399"/>
    <n v="-7.0026790698831203"/>
    <n v="-37.298628100406397"/>
    <n v="-7.00635902015261"/>
    <s v="110"/>
    <s v="PB"/>
    <s v="Eixo Principal"/>
    <s v="-"/>
    <s v="110BPB0212"/>
    <s v="INÍCIO DUPLICAÇÃO"/>
    <s v="ACESSO PATOS"/>
    <n v="90.1"/>
    <n v="90.9"/>
    <n v="0.8"/>
    <x v="0"/>
    <m/>
    <s v="230BPB0335"/>
    <s v="Federal"/>
    <m/>
    <m/>
    <m/>
    <s v="Federal"/>
    <s v="PAV"/>
    <s v="Patos"/>
  </r>
  <r>
    <x v="0"/>
    <s v="110BPB0215"/>
    <n v="0"/>
    <x v="76"/>
    <s v="0215"/>
    <n v="-37.298628100406397"/>
    <n v="-7.00635902015261"/>
    <n v="-37.266059460075901"/>
    <n v="-7.0123619903135301"/>
    <s v="110"/>
    <s v="PB"/>
    <s v="Eixo Principal"/>
    <s v="-"/>
    <s v="110BPB0215"/>
    <s v="ACESSO PATOS"/>
    <s v="ENTR PB-275(A) (P/SÃO JOSÉ DE ESPINHARA)"/>
    <n v="90.9"/>
    <n v="94.5"/>
    <n v="3.6"/>
    <x v="2"/>
    <m/>
    <s v="230BPB0330"/>
    <s v="Federal"/>
    <m/>
    <m/>
    <m/>
    <s v="Federal"/>
    <s v="PAV"/>
    <s v="Patos"/>
  </r>
  <r>
    <x v="0"/>
    <s v="110BPB0220"/>
    <n v="0"/>
    <x v="76"/>
    <s v="0220"/>
    <n v="-37.266059460075901"/>
    <n v="-7.0123619903135301"/>
    <n v="-37.259195850408098"/>
    <n v="-7.0181584302672997"/>
    <s v="110"/>
    <s v="PB"/>
    <s v="Eixo Principal"/>
    <s v="-"/>
    <s v="110BPB0220"/>
    <s v="ENTR PB-275(A) (P/SÃO JOSÉ DE ESPINHARA)"/>
    <s v="ENTR BR-230(B)/361/PB-228/275(B) (PATOS)"/>
    <n v="94.5"/>
    <n v="95.5"/>
    <n v="1"/>
    <x v="2"/>
    <m/>
    <m/>
    <s v="Federal"/>
    <m/>
    <m/>
    <m/>
    <s v="Federal"/>
    <s v="PAV"/>
    <s v="Patos"/>
  </r>
  <r>
    <x v="0"/>
    <s v="110BPB0230"/>
    <n v="0"/>
    <x v="76"/>
    <s v="0230"/>
    <n v="-37.259195850408098"/>
    <n v="-7.0181584302672997"/>
    <n v="-37.308380159816402"/>
    <n v="-7.1619072100496597"/>
    <s v="110"/>
    <s v="PB"/>
    <s v="Eixo Principal"/>
    <s v="-"/>
    <s v="110BPB0230"/>
    <s v="ENTR BR-230(B)/361/PB-228/275(B) (PATOS)"/>
    <s v="ENTR PB-276 (SÃO JOSÉ DO BONFIM)"/>
    <n v="95.5"/>
    <n v="112.9"/>
    <n v="17.399999999999999"/>
    <x v="1"/>
    <m/>
    <m/>
    <s v="Estadual"/>
    <m/>
    <s v="PB-262"/>
    <s v="PAV"/>
    <s v="Estadual"/>
    <s v="PLA"/>
    <s v="Patos"/>
  </r>
  <r>
    <x v="0"/>
    <s v="110BPB0240"/>
    <n v="0"/>
    <x v="76"/>
    <s v="0240"/>
    <n v="-37.308380159816402"/>
    <n v="-7.1619072100496597"/>
    <n v="-37.2547717498163"/>
    <n v="-7.22172617981931"/>
    <s v="110"/>
    <s v="PB"/>
    <s v="Eixo Principal"/>
    <s v="-"/>
    <s v="110BPB0240"/>
    <s v="ENTR PB-276 (SÃO JOSÉ DO BONFIM)"/>
    <s v="TEIXEIRA"/>
    <n v="112.9"/>
    <n v="125.7"/>
    <n v="12.8"/>
    <x v="1"/>
    <m/>
    <m/>
    <s v="Estadual"/>
    <m/>
    <s v="PB-262"/>
    <s v="PAV"/>
    <s v="Estadual"/>
    <s v="PLA"/>
    <s v="Patos"/>
  </r>
  <r>
    <x v="0"/>
    <s v="110BPB0250"/>
    <n v="0"/>
    <x v="76"/>
    <s v="0250"/>
    <n v="-37.2547717498163"/>
    <n v="-7.22172617981931"/>
    <n v="-37.2551130002647"/>
    <n v="-7.2385640003283198"/>
    <s v="110"/>
    <s v="PB"/>
    <s v="Eixo Principal"/>
    <s v="-"/>
    <s v="110BPB0250"/>
    <s v="TEIXEIRA"/>
    <s v="ENTR PB-238"/>
    <n v="125.7"/>
    <n v="127.5"/>
    <n v="1.8"/>
    <x v="1"/>
    <m/>
    <m/>
    <s v="Estadual"/>
    <m/>
    <s v="PB-262"/>
    <s v="PAV"/>
    <s v="Estadual"/>
    <s v="PLA"/>
    <s v="Patos"/>
  </r>
  <r>
    <x v="0"/>
    <s v="110BPB0252"/>
    <n v="0"/>
    <x v="76"/>
    <s v="0252"/>
    <n v="-37.2551130002647"/>
    <n v="-7.2385640003283198"/>
    <n v="-37.261155000103102"/>
    <n v="-7.2536119999937796"/>
    <s v="110"/>
    <s v="PB"/>
    <s v="Eixo Principal"/>
    <s v="-"/>
    <s v="110BPB0252"/>
    <s v="ENTR PB-238"/>
    <s v="ENTR PB-306"/>
    <n v="127.5"/>
    <n v="129.69999999999999"/>
    <n v="2.2000000000000002"/>
    <x v="1"/>
    <m/>
    <m/>
    <s v="Estadual"/>
    <m/>
    <s v="PB-262"/>
    <s v="PAV"/>
    <s v="Estadual"/>
    <s v="PLA"/>
    <s v="Patos"/>
  </r>
  <r>
    <x v="0"/>
    <s v="110BPB0255"/>
    <n v="0"/>
    <x v="76"/>
    <s v="0255"/>
    <n v="-37.261155000103102"/>
    <n v="-7.2536119999937796"/>
    <n v="-37.2607752002152"/>
    <n v="-7.27359277029006"/>
    <s v="110"/>
    <s v="PB"/>
    <s v="Eixo Principal"/>
    <s v="-"/>
    <s v="110BPB0255"/>
    <s v="ENTR PB-306"/>
    <s v="DIV PB/PE"/>
    <n v="129.69999999999999"/>
    <n v="132.69999999999999"/>
    <n v="3"/>
    <x v="1"/>
    <m/>
    <m/>
    <s v="Estadual"/>
    <m/>
    <s v="PB-262"/>
    <s v="PAV"/>
    <s v="Estadual"/>
    <s v="PLA"/>
    <s v="Patos"/>
  </r>
  <r>
    <x v="0"/>
    <s v="110BPB0310"/>
    <n v="0"/>
    <x v="76"/>
    <s v="0310"/>
    <n v="-37.180663489828099"/>
    <n v="-7.6023400800306096"/>
    <n v="-37.151001999742398"/>
    <n v="-7.6200900001533096"/>
    <s v="110"/>
    <s v="PB"/>
    <s v="Eixo Principal"/>
    <s v="-"/>
    <s v="110BPB0310"/>
    <s v="DIV PE/PB"/>
    <s v="OURO VELHO"/>
    <n v="132.69999999999999"/>
    <n v="137.19999999999999"/>
    <n v="4.5"/>
    <x v="1"/>
    <m/>
    <m/>
    <s v="Estadual"/>
    <m/>
    <s v="PB-250"/>
    <s v="PAV"/>
    <s v="Estadual"/>
    <s v="PLA"/>
    <s v="Campina Grande"/>
  </r>
  <r>
    <x v="0"/>
    <s v="110BPB0315"/>
    <n v="0"/>
    <x v="76"/>
    <s v="0315"/>
    <n v="-37.151001999742398"/>
    <n v="-7.6200900001533096"/>
    <n v="-37.082808999935303"/>
    <n v="-7.6933539999870302"/>
    <s v="110"/>
    <s v="PB"/>
    <s v="Eixo Principal"/>
    <s v="-"/>
    <s v="110BPB0315"/>
    <s v="OURO VELHO"/>
    <s v="PRATA"/>
    <n v="137.19999999999999"/>
    <n v="151.19999999999999"/>
    <n v="14"/>
    <x v="1"/>
    <m/>
    <m/>
    <s v="Estadual"/>
    <m/>
    <s v="PB-250"/>
    <s v="PAV"/>
    <s v="Estadual"/>
    <s v="PLA"/>
    <s v="Campina Grande"/>
  </r>
  <r>
    <x v="0"/>
    <s v="110BPB0320"/>
    <n v="0"/>
    <x v="76"/>
    <s v="0320"/>
    <n v="-37.082808999935303"/>
    <n v="-7.6933539999870302"/>
    <n v="-37.0184825902992"/>
    <n v="-7.7935823097757204"/>
    <s v="110"/>
    <s v="PB"/>
    <s v="Eixo Principal"/>
    <s v="-"/>
    <s v="110BPB0320"/>
    <s v="PRATA"/>
    <s v="ENTR BR-412(A)"/>
    <n v="151.19999999999999"/>
    <n v="164.2"/>
    <n v="13"/>
    <x v="1"/>
    <m/>
    <m/>
    <s v="Estadual"/>
    <m/>
    <s v="PB-250"/>
    <s v="PAV"/>
    <s v="Estadual"/>
    <s v="PLA"/>
    <s v="Campina Grande"/>
  </r>
  <r>
    <x v="0"/>
    <s v="110BPB0330"/>
    <n v="0"/>
    <x v="76"/>
    <s v="0330"/>
    <n v="-37.0184825902992"/>
    <n v="-7.7935823097757204"/>
    <n v="-37.121369279868297"/>
    <n v="-7.9031041497366896"/>
    <s v="110"/>
    <s v="PB"/>
    <s v="Eixo Principal"/>
    <s v="-"/>
    <s v="110BPB0330"/>
    <s v="ENTR BR-412(A)"/>
    <s v="ENTR BR-412(B)/PB-242/264 (MONTEIRO)"/>
    <n v="164.2"/>
    <n v="180.9"/>
    <n v="16.7"/>
    <x v="2"/>
    <m/>
    <s v="412BPB0090"/>
    <s v="Federal"/>
    <m/>
    <m/>
    <m/>
    <s v="Federal"/>
    <s v="PAV"/>
    <s v="Campina Grande"/>
  </r>
  <r>
    <x v="0"/>
    <s v="110BPB0350"/>
    <n v="0"/>
    <x v="76"/>
    <s v="0350"/>
    <n v="-37.121369279868297"/>
    <n v="-7.9031041497366896"/>
    <n v="-37.206722329971498"/>
    <n v="-7.9522262899113203"/>
    <s v="110"/>
    <s v="PB"/>
    <s v="Eixo Principal"/>
    <s v="-"/>
    <s v="110BPB0350"/>
    <s v="ENTR BR-412(B)/PB-242/264 (MONTEIRO)"/>
    <s v="DIV PB/PE"/>
    <n v="180.9"/>
    <n v="192.3"/>
    <n v="11.4"/>
    <x v="2"/>
    <m/>
    <m/>
    <s v="Federal"/>
    <m/>
    <m/>
    <m/>
    <s v="Federal"/>
    <s v="PAV"/>
    <s v="Campina Grande"/>
  </r>
  <r>
    <x v="0"/>
    <s v="110BPE0270"/>
    <n v="0"/>
    <x v="77"/>
    <s v="0270"/>
    <n v="-37.2607752002152"/>
    <n v="-7.27359277029006"/>
    <n v="-37.270189610062403"/>
    <n v="-7.3931009997112902"/>
    <s v="110"/>
    <s v="PE"/>
    <s v="Eixo Principal"/>
    <s v="-"/>
    <s v="110BPE0270"/>
    <s v="DIV PB/PE"/>
    <s v="ENTR PE-263 (P/ITAPETIM)"/>
    <n v="0"/>
    <n v="14.4"/>
    <n v="14.4"/>
    <x v="1"/>
    <m/>
    <m/>
    <s v="Estadual"/>
    <m/>
    <s v="PE-275"/>
    <s v="PAV"/>
    <s v="Estadual"/>
    <s v="PLA"/>
    <s v="Arcoverde"/>
  </r>
  <r>
    <x v="0"/>
    <s v="110BPE0280"/>
    <n v="0"/>
    <x v="77"/>
    <s v="0280"/>
    <n v="-37.270189610062403"/>
    <n v="-7.3931009997112902"/>
    <n v="-37.274447149916"/>
    <n v="-7.4837210202088604"/>
    <s v="110"/>
    <s v="PE"/>
    <s v="Eixo Principal"/>
    <s v="-"/>
    <s v="110BPE0280"/>
    <s v="ENTR PE-263 (P/ITAPETIM)"/>
    <s v="ENTR PE-320 (SÃO JOSÉ DO EGITO)"/>
    <n v="14.4"/>
    <n v="24.6"/>
    <n v="10.199999999999999"/>
    <x v="1"/>
    <m/>
    <m/>
    <s v="Estadual"/>
    <m/>
    <s v="PE-275"/>
    <s v="PAV"/>
    <s v="Estadual"/>
    <s v="PLA"/>
    <s v="Arcoverde"/>
  </r>
  <r>
    <x v="0"/>
    <s v="110BPE0290"/>
    <n v="0"/>
    <x v="77"/>
    <s v="0290"/>
    <n v="-37.274447149916"/>
    <n v="-7.4837210202088604"/>
    <n v="-37.180663489828099"/>
    <n v="-7.6023400800306096"/>
    <s v="110"/>
    <s v="PE"/>
    <s v="Eixo Principal"/>
    <s v="-"/>
    <s v="110BPE0290"/>
    <s v="ENTR PE-320 (SÃO JOSÉ DO EGITO)"/>
    <s v="DIV PE/PB"/>
    <n v="24.6"/>
    <n v="46"/>
    <n v="21.4"/>
    <x v="1"/>
    <m/>
    <m/>
    <s v="Estadual"/>
    <m/>
    <s v="PE-275"/>
    <s v="PAV"/>
    <s v="Estadual"/>
    <s v="PLA"/>
    <s v="Arcoverde"/>
  </r>
  <r>
    <x v="0"/>
    <s v="110BPE0370"/>
    <n v="0"/>
    <x v="77"/>
    <s v="0370"/>
    <n v="-37.206722329971498"/>
    <n v="-7.9522262899113203"/>
    <n v="-37.266231569631202"/>
    <n v="-8.0764695398373103"/>
    <s v="110"/>
    <s v="PE"/>
    <s v="Eixo Principal"/>
    <s v="-"/>
    <s v="110BPE0370"/>
    <s v="DIV PB/PE"/>
    <s v="ENTR PE-280 (SERTÂNIA)"/>
    <n v="46"/>
    <n v="62.3"/>
    <n v="16.3"/>
    <x v="1"/>
    <m/>
    <m/>
    <s v="Estadual"/>
    <m/>
    <s v="PE-265"/>
    <s v="PAV"/>
    <s v="Estadual"/>
    <s v="PLA"/>
    <s v="Arcoverde"/>
  </r>
  <r>
    <x v="0"/>
    <s v="110BPE0390"/>
    <n v="0"/>
    <x v="77"/>
    <s v="0390"/>
    <n v="-37.266231569631202"/>
    <n v="-8.0764695398373103"/>
    <n v="-37.2732735697194"/>
    <n v="-8.3598847402884608"/>
    <s v="110"/>
    <s v="PE"/>
    <s v="Eixo Principal"/>
    <s v="-"/>
    <s v="110BPE0390"/>
    <s v="ENTR PE-280 (SERTÂNIA)"/>
    <s v="ENTR BR-232 (CRUZEIRO DO NORDESTE)"/>
    <n v="62.3"/>
    <n v="94.3"/>
    <n v="32"/>
    <x v="1"/>
    <m/>
    <m/>
    <s v="Estadual"/>
    <m/>
    <s v="PE-265"/>
    <s v="PAV"/>
    <s v="Estadual"/>
    <s v="PLA"/>
    <s v="Arcoverde"/>
  </r>
  <r>
    <x v="0"/>
    <s v="110BPE0410"/>
    <n v="0"/>
    <x v="77"/>
    <s v="0410"/>
    <n v="-37.2732735697194"/>
    <n v="-8.3598847402884608"/>
    <n v="-37.695224600035203"/>
    <n v="-8.5342132404486506"/>
    <s v="110"/>
    <s v="PE"/>
    <s v="Eixo Principal"/>
    <s v="-"/>
    <s v="110BPE0410"/>
    <s v="ENTR BR-232 (CRUZEIRO DO NORDESTE)"/>
    <s v="ENTR PE-290/312/360 (IBIMIRIM)"/>
    <n v="94.3"/>
    <n v="148"/>
    <n v="53.7"/>
    <x v="2"/>
    <m/>
    <m/>
    <s v="Federal"/>
    <m/>
    <m/>
    <m/>
    <s v="Federal"/>
    <s v="PAV"/>
    <s v="Arcoverde"/>
  </r>
  <r>
    <x v="0"/>
    <s v="110BPE0430"/>
    <n v="0"/>
    <x v="77"/>
    <s v="0430"/>
    <n v="-37.695224600035203"/>
    <n v="-8.5342132404486506"/>
    <n v="-37.916567199816299"/>
    <n v="-8.7355582103430702"/>
    <s v="110"/>
    <s v="PE"/>
    <s v="Eixo Principal"/>
    <s v="-"/>
    <s v="110BPE0430"/>
    <s v="ENTR PE-290/312/360 (IBIMIRIM)"/>
    <s v="ENTR BR-316(A)/PE-355 (HOTEL DO PEBA)"/>
    <n v="148"/>
    <n v="178.2"/>
    <n v="30.2"/>
    <x v="5"/>
    <m/>
    <m/>
    <s v="Federal"/>
    <m/>
    <m/>
    <m/>
    <s v="Federal"/>
    <s v="N_PAV"/>
    <s v="Salgueiro"/>
  </r>
  <r>
    <x v="0"/>
    <s v="110BPE0450"/>
    <n v="0"/>
    <x v="77"/>
    <s v="0450"/>
    <n v="-37.916567199816299"/>
    <n v="-8.7355582103430702"/>
    <n v="-38.173052230376001"/>
    <n v="-8.9640737200261302"/>
    <s v="110"/>
    <s v="PE"/>
    <s v="Eixo Principal"/>
    <s v="-"/>
    <s v="110BPE0450"/>
    <s v="ENTR BR-316(A)/PE-355 (HOTEL DO PEBA)"/>
    <s v="ACESSO PARA PETROLÂNDIA"/>
    <n v="178.2"/>
    <n v="216.4"/>
    <n v="38.200000000000003"/>
    <x v="5"/>
    <m/>
    <s v="316BPE0780"/>
    <s v="Federal"/>
    <m/>
    <m/>
    <m/>
    <s v="Federal"/>
    <s v="N_PAV"/>
    <s v="Salgueiro"/>
  </r>
  <r>
    <x v="0"/>
    <s v="110BPE0460"/>
    <n v="0"/>
    <x v="77"/>
    <s v="0460"/>
    <n v="-38.173052230376001"/>
    <n v="-8.9640737200261302"/>
    <n v="-38.214895280392803"/>
    <n v="-9.0009703504012997"/>
    <s v="110"/>
    <s v="PE"/>
    <s v="Eixo Principal"/>
    <s v="-"/>
    <s v="110BPE0460"/>
    <s v="ACESSO PARA PETROLÂNDIA"/>
    <s v="ENTR BR-316(B) (P/FLORESTA)"/>
    <n v="216.4"/>
    <n v="219.6"/>
    <n v="3.2"/>
    <x v="5"/>
    <m/>
    <s v="316BPE0770"/>
    <s v="Federal"/>
    <m/>
    <m/>
    <m/>
    <s v="Federal"/>
    <s v="N_PAV"/>
    <s v="Salgueiro"/>
  </r>
  <r>
    <x v="0"/>
    <s v="110BPE0470"/>
    <n v="0"/>
    <x v="77"/>
    <s v="0470"/>
    <n v="-38.214895280392803"/>
    <n v="-9.0009703504012997"/>
    <n v="-38.255935990353599"/>
    <n v="-9.0368344898197908"/>
    <s v="110"/>
    <s v="PE"/>
    <s v="Eixo Principal"/>
    <s v="-"/>
    <s v="110BPE0470"/>
    <s v="ENTR BR-316(B) (P/FLORESTA)"/>
    <s v="ENTR PE-375"/>
    <n v="219.6"/>
    <n v="225.7"/>
    <n v="6.1"/>
    <x v="2"/>
    <m/>
    <m/>
    <s v="Federal"/>
    <m/>
    <m/>
    <m/>
    <s v="Federal"/>
    <s v="PAV"/>
    <s v="Salgueiro"/>
  </r>
  <r>
    <x v="0"/>
    <s v="110BPE0510"/>
    <n v="0"/>
    <x v="77"/>
    <s v="0510"/>
    <n v="-38.255935990353599"/>
    <n v="-9.0368344898197908"/>
    <n v="-38.202921400002502"/>
    <n v="-9.2951610504420596"/>
    <s v="110"/>
    <s v="PE"/>
    <s v="Eixo Principal"/>
    <s v="-"/>
    <s v="110BPE0510"/>
    <s v="ENTR PE-375"/>
    <s v="DIV PE/AL"/>
    <n v="225.7"/>
    <n v="260.7"/>
    <n v="35"/>
    <x v="2"/>
    <m/>
    <m/>
    <s v="Federal"/>
    <m/>
    <m/>
    <m/>
    <s v="Federal"/>
    <s v="PAV"/>
    <s v="Salgueiro"/>
  </r>
  <r>
    <x v="0"/>
    <s v="110BRN0010"/>
    <n v="0"/>
    <x v="78"/>
    <s v="0010"/>
    <n v="-37.129382629604599"/>
    <n v="-4.9541602403028202"/>
    <n v="-37.094366919597597"/>
    <n v="-4.95063922002395"/>
    <s v="110"/>
    <s v="RN"/>
    <s v="Eixo Principal"/>
    <s v="-"/>
    <s v="110BRN0010"/>
    <s v="ENTR R. R. BERNARDO (AREIA BRANCA)"/>
    <s v="ACESSO COMUNIDADE DE PEDRINHAS"/>
    <n v="0"/>
    <n v="4.8"/>
    <n v="4.8"/>
    <x v="2"/>
    <m/>
    <m/>
    <s v="Federal"/>
    <m/>
    <m/>
    <m/>
    <s v="Federal"/>
    <s v="PAV"/>
    <s v="Mossoró"/>
  </r>
  <r>
    <x v="0"/>
    <s v="110BRN0015"/>
    <n v="0"/>
    <x v="78"/>
    <s v="0015"/>
    <n v="-37.094366919597597"/>
    <n v="-4.95063922002395"/>
    <n v="-37.084574139784699"/>
    <n v="-4.9794975498719998"/>
    <s v="110"/>
    <s v="RN"/>
    <s v="Eixo Principal"/>
    <s v="-"/>
    <s v="110BRN0015"/>
    <s v="ACESSO COMUNIDADE DE PEDRINHAS"/>
    <s v="ACESSO P/ PONTA DO MEL"/>
    <n v="4.8"/>
    <n v="8.1999999999999993"/>
    <n v="3.4"/>
    <x v="2"/>
    <m/>
    <m/>
    <s v="Federal"/>
    <m/>
    <m/>
    <m/>
    <s v="Federal"/>
    <s v="PAV"/>
    <s v="Mossoró"/>
  </r>
  <r>
    <x v="0"/>
    <s v="110BRN0020"/>
    <n v="0"/>
    <x v="78"/>
    <s v="0020"/>
    <n v="-37.084574139784699"/>
    <n v="-4.9794975498719998"/>
    <n v="-37.092735570090397"/>
    <n v="-4.9980580001765098"/>
    <s v="110"/>
    <s v="RN"/>
    <s v="Eixo Principal"/>
    <s v="-"/>
    <s v="110BRN0020"/>
    <s v="ACESSO P/ PONTA DO MEL"/>
    <s v="ENTR RN-011 (P/ SERRA DO MEL)"/>
    <n v="8.1999999999999993"/>
    <n v="10.5"/>
    <n v="2.2999999999999998"/>
    <x v="2"/>
    <m/>
    <m/>
    <s v="Federal"/>
    <m/>
    <m/>
    <m/>
    <s v="Federal"/>
    <s v="PAV"/>
    <s v="Mossoró"/>
  </r>
  <r>
    <x v="0"/>
    <s v="110BRN0022"/>
    <n v="0"/>
    <x v="78"/>
    <s v="0022"/>
    <n v="-37.092735570090397"/>
    <n v="-4.9980580001765098"/>
    <n v="-37.323444150327198"/>
    <n v="-5.2017917402965201"/>
    <s v="110"/>
    <s v="RN"/>
    <s v="Eixo Principal"/>
    <s v="-"/>
    <s v="110BRN0022"/>
    <s v="ENTR RN-011 (P/ SERRA DO MEL)"/>
    <s v="ENTR RN-117 (AV LESTE - OESTE) *TRECHO URBANO*"/>
    <n v="10.5"/>
    <n v="46.6"/>
    <n v="36.1"/>
    <x v="2"/>
    <m/>
    <m/>
    <s v="Federal"/>
    <m/>
    <m/>
    <m/>
    <s v="Federal"/>
    <s v="PAV"/>
    <s v="Mossoró"/>
  </r>
  <r>
    <x v="0"/>
    <s v="110BRN0025"/>
    <n v="0"/>
    <x v="78"/>
    <s v="0025"/>
    <n v="-37.323444150327198"/>
    <n v="-5.2017917402965201"/>
    <n v="-37.333476579680301"/>
    <n v="-5.2094414698478797"/>
    <s v="110"/>
    <s v="RN"/>
    <s v="Eixo Principal"/>
    <s v="-"/>
    <s v="110BRN0025"/>
    <s v="ENTR RN-117 (AV LESTE - OESTE) *TRECHO URBANO*"/>
    <s v="ENTR AV PRES DUTRA (INIC TRECHO DUP) *TRECHO URBANO*"/>
    <n v="46.6"/>
    <n v="48.1"/>
    <n v="1.5"/>
    <x v="2"/>
    <m/>
    <m/>
    <s v="Federal"/>
    <m/>
    <m/>
    <m/>
    <s v="Federal"/>
    <s v="PAV"/>
    <s v="Mossoró"/>
  </r>
  <r>
    <x v="0"/>
    <s v="110BRN0030"/>
    <n v="0"/>
    <x v="78"/>
    <s v="0030"/>
    <n v="-37.333476579680301"/>
    <n v="-5.2094414698478797"/>
    <n v="-37.325118029673199"/>
    <n v="-5.2235296797508601"/>
    <s v="110"/>
    <s v="RN"/>
    <s v="Eixo Principal"/>
    <s v="-"/>
    <s v="110BRN0030"/>
    <s v="ENTR AV PRES DUTRA (INIC TRECHO DUP) *TRECHO URBANO*"/>
    <s v="FIM TRECHO DUP (TRAVESSIA DE MOSSORÓ) *TRECHO URBANO*"/>
    <n v="48.1"/>
    <n v="49.9"/>
    <n v="1.8"/>
    <x v="0"/>
    <m/>
    <m/>
    <s v="Federal"/>
    <m/>
    <m/>
    <m/>
    <s v="Federal"/>
    <s v="PAV"/>
    <s v="Mossoró"/>
  </r>
  <r>
    <x v="0"/>
    <s v="110BRN0035"/>
    <n v="0"/>
    <x v="78"/>
    <s v="0035"/>
    <n v="-37.325118029673199"/>
    <n v="-5.2235296797508601"/>
    <n v="-37.324358519829701"/>
    <n v="-5.2259760200772103"/>
    <s v="110"/>
    <s v="RN"/>
    <s v="Eixo Principal"/>
    <s v="-"/>
    <s v="110BRN0035"/>
    <s v="FIM TRECHO DUPLICADO (TRAVESSIA MOSSORÓ)*TRECHO URBANO*"/>
    <s v="ENTR BR-304(A)*TRECHO URBANO*"/>
    <n v="49.9"/>
    <n v="50.2"/>
    <n v="0.3"/>
    <x v="2"/>
    <m/>
    <m/>
    <s v="Federal"/>
    <m/>
    <m/>
    <m/>
    <s v="Federal"/>
    <s v="PAV"/>
    <s v="Mossoró"/>
  </r>
  <r>
    <x v="0"/>
    <s v="110BRN0040"/>
    <n v="0"/>
    <x v="78"/>
    <s v="0040"/>
    <n v="-37.324358519829701"/>
    <n v="-5.2259760200772103"/>
    <n v="-37.331956040139097"/>
    <n v="-5.2259442398347398"/>
    <s v="110"/>
    <s v="RN"/>
    <s v="Eixo Principal"/>
    <s v="-"/>
    <s v="110BRN0040"/>
    <s v="ENTR BR-304(A)*TRECHO URBANO*"/>
    <s v="ENTR BR-304(B)*TRECHO URBANO*"/>
    <n v="50.2"/>
    <n v="50.9"/>
    <n v="0.7"/>
    <x v="0"/>
    <m/>
    <s v="304BRN0100"/>
    <s v="Federal"/>
    <m/>
    <m/>
    <m/>
    <s v="Federal"/>
    <s v="PAV"/>
    <s v="Mossoró"/>
  </r>
  <r>
    <x v="0"/>
    <s v="110BRN0045"/>
    <n v="0"/>
    <x v="78"/>
    <s v="0045"/>
    <n v="-37.331956040139097"/>
    <n v="-5.2259442398347398"/>
    <n v="-37.320954170398501"/>
    <n v="-5.55755352957169"/>
    <s v="110"/>
    <s v="RN"/>
    <s v="Eixo Principal"/>
    <s v="-"/>
    <s v="110BRN0045"/>
    <s v="ENTR BR-304(B)*TRECHO URBANO*"/>
    <s v="ENTR RN-405"/>
    <n v="50.9"/>
    <n v="87.6"/>
    <n v="36.700000000000003"/>
    <x v="2"/>
    <m/>
    <m/>
    <s v="Federal"/>
    <m/>
    <m/>
    <m/>
    <s v="Federal"/>
    <s v="PAV"/>
    <s v="Mossoró"/>
  </r>
  <r>
    <x v="0"/>
    <s v="110BRN0050"/>
    <n v="0"/>
    <x v="78"/>
    <s v="0050"/>
    <n v="-37.320954170398501"/>
    <n v="-5.55755352957169"/>
    <n v="-37.262551110345399"/>
    <n v="-5.63553603026355"/>
    <s v="110"/>
    <s v="RN"/>
    <s v="Eixo Principal"/>
    <s v="-"/>
    <s v="110BRN0050"/>
    <s v="ENTR RN-405"/>
    <s v="INÍCIO DUP (UPANEMA)*TRECHO URBANO*"/>
    <n v="87.6"/>
    <n v="98.6"/>
    <n v="11"/>
    <x v="2"/>
    <m/>
    <m/>
    <s v="Federal"/>
    <m/>
    <m/>
    <m/>
    <s v="Federal"/>
    <s v="PAV"/>
    <s v="Mossoró"/>
  </r>
  <r>
    <x v="0"/>
    <s v="110BRN0060"/>
    <n v="0"/>
    <x v="78"/>
    <s v="0060"/>
    <n v="-37.262551110345399"/>
    <n v="-5.63553603026355"/>
    <n v="-37.2590434198179"/>
    <n v="-5.6497648599602703"/>
    <s v="110"/>
    <s v="RN"/>
    <s v="Eixo Principal"/>
    <s v="-"/>
    <s v="110BRN0060"/>
    <s v="INÍCIO DUP (UPANEMA) *TRECHO URBANO*"/>
    <s v="FIM DUP (UPANEMA)*TRECHO URBANO"/>
    <n v="98.6"/>
    <n v="100.3"/>
    <n v="1.7"/>
    <x v="0"/>
    <m/>
    <m/>
    <s v="Federal"/>
    <m/>
    <m/>
    <m/>
    <s v="Federal"/>
    <s v="PAV"/>
    <s v="Mossoró"/>
  </r>
  <r>
    <x v="0"/>
    <s v="110BRN0062"/>
    <n v="0"/>
    <x v="78"/>
    <s v="0062"/>
    <n v="-37.2590434198179"/>
    <n v="-5.6497648599602703"/>
    <n v="-37.311298840269203"/>
    <n v="-5.8609117701620299"/>
    <s v="110"/>
    <s v="RN"/>
    <s v="Eixo Principal"/>
    <s v="-"/>
    <s v="110BRN0062"/>
    <s v="FIM DUP (UPANEMA)*TRECHO URBANO"/>
    <s v="INÍCIO DUPLICAÇÃO"/>
    <n v="100.3"/>
    <n v="127.4"/>
    <n v="27.1"/>
    <x v="2"/>
    <m/>
    <m/>
    <s v="Federal"/>
    <m/>
    <m/>
    <m/>
    <s v="Federal"/>
    <s v="PAV"/>
    <s v="Mossoró"/>
  </r>
  <r>
    <x v="0"/>
    <s v="110BRN0063"/>
    <n v="0"/>
    <x v="78"/>
    <s v="0063"/>
    <n v="-37.311298840269203"/>
    <n v="-5.8609117701620299"/>
    <n v="-37.312997530111801"/>
    <n v="-5.8648649398650097"/>
    <s v="110"/>
    <s v="RN"/>
    <s v="Eixo Principal"/>
    <s v="-"/>
    <s v="110BRN0063"/>
    <s v="INÍCIO DUPLICAÇÃO"/>
    <s v="FIM DUPLICAÇÃO"/>
    <n v="127.4"/>
    <n v="127.8"/>
    <n v="0.4"/>
    <x v="0"/>
    <m/>
    <m/>
    <s v="Federal"/>
    <m/>
    <m/>
    <m/>
    <s v="Federal"/>
    <s v="PAV"/>
    <s v="Mossoró"/>
  </r>
  <r>
    <x v="0"/>
    <s v="110BRN0065"/>
    <n v="0"/>
    <x v="78"/>
    <s v="0065"/>
    <n v="-37.312997530111801"/>
    <n v="-5.8648649398650097"/>
    <n v="-37.316443310410399"/>
    <n v="-5.8704956095846796"/>
    <s v="110"/>
    <s v="RN"/>
    <s v="Eixo Principal"/>
    <s v="-"/>
    <s v="110BRN0065"/>
    <s v="FIM DUPLICAÇÃO"/>
    <s v="ENTR BR-226(A) (P/ TRIUNFO POTIGUAR)"/>
    <n v="127.8"/>
    <n v="128.6"/>
    <n v="0.8"/>
    <x v="2"/>
    <m/>
    <m/>
    <s v="Federal"/>
    <m/>
    <m/>
    <m/>
    <s v="Federal"/>
    <s v="PAV"/>
    <s v="Mossoró"/>
  </r>
  <r>
    <x v="0"/>
    <s v="110BRN0070"/>
    <n v="0"/>
    <x v="78"/>
    <s v="0070"/>
    <n v="-37.316443310410399"/>
    <n v="-5.8704956095846796"/>
    <n v="-37.407943320228"/>
    <n v="-6.0181242904036401"/>
    <s v="110"/>
    <s v="RN"/>
    <s v="Eixo Principal"/>
    <s v="-"/>
    <s v="110BRN0070"/>
    <s v="ENTR BR-226(A) (P/ TRIUNFO POTIGUAR)"/>
    <s v="ENTR BR-226(B) (JANDUÍS)"/>
    <n v="128.6"/>
    <n v="148.19999999999999"/>
    <n v="19.600000000000001"/>
    <x v="2"/>
    <m/>
    <s v="226BRN0305"/>
    <s v="Federal"/>
    <m/>
    <m/>
    <m/>
    <s v="Federal"/>
    <s v="PAV"/>
    <s v="Pau dos Ferros"/>
  </r>
  <r>
    <x v="0"/>
    <s v="110BRN0090"/>
    <n v="0"/>
    <x v="78"/>
    <s v="0090"/>
    <n v="-37.407943320228"/>
    <n v="-6.0181242904036401"/>
    <n v="-37.406949439864697"/>
    <n v="-6.1126353302562304"/>
    <s v="110"/>
    <s v="RN"/>
    <s v="Eixo Principal"/>
    <s v="-"/>
    <s v="110BRN0090"/>
    <s v="ENTR BR-226(B) (JANDUÍS)"/>
    <s v="DIV RN/PB *TRECHO MUNICIPAL*"/>
    <n v="148.19999999999999"/>
    <n v="161.9"/>
    <n v="13.7"/>
    <x v="1"/>
    <m/>
    <m/>
    <s v="Federal"/>
    <m/>
    <m/>
    <m/>
    <s v="Federal"/>
    <s v="PLA"/>
    <s v="Pau dos Ferros"/>
  </r>
  <r>
    <x v="0"/>
    <s v="110BRN0150"/>
    <n v="0"/>
    <x v="78"/>
    <s v="0150"/>
    <n v="-37.4443997801257"/>
    <n v="-6.5330952702304899"/>
    <n v="-37.461262769960697"/>
    <n v="-6.6427080001740197"/>
    <s v="110"/>
    <s v="RN"/>
    <s v="Eixo Principal"/>
    <s v="-"/>
    <s v="110BRN0150"/>
    <s v="DIV PB/RN"/>
    <s v="ENTR BR-427(A) *TRECHO MUNICIPAL*"/>
    <n v="161.9"/>
    <n v="177.6"/>
    <n v="15.7"/>
    <x v="1"/>
    <m/>
    <m/>
    <s v="Federal"/>
    <m/>
    <m/>
    <m/>
    <s v="Federal"/>
    <s v="PLA"/>
    <s v="Mossoró"/>
  </r>
  <r>
    <x v="0"/>
    <s v="110BRN0170"/>
    <n v="0"/>
    <x v="78"/>
    <s v="0170"/>
    <n v="-37.413460109696203"/>
    <n v="-6.6707946496533097"/>
    <n v="-37.461262769960697"/>
    <n v="-6.6427080001740197"/>
    <s v="110"/>
    <s v="RN"/>
    <s v="Eixo Principal"/>
    <s v="-"/>
    <s v="110BRN0170"/>
    <s v="ENTR BR-427(A)"/>
    <s v="ENTR BR-427(B) (P/ SERRA NEGRA DO NORTE)"/>
    <n v="177.6"/>
    <n v="184.2"/>
    <n v="6.6"/>
    <x v="2"/>
    <m/>
    <s v="427BRN0190"/>
    <s v="Federal"/>
    <m/>
    <m/>
    <m/>
    <s v="Federal"/>
    <s v="PAV"/>
    <s v="Currais Novos"/>
  </r>
  <r>
    <x v="0"/>
    <s v="110BRN0180"/>
    <n v="0"/>
    <x v="78"/>
    <s v="0180"/>
    <n v="-37.413460109696203"/>
    <n v="-6.6707946496533097"/>
    <n v="-37.425885400290902"/>
    <n v="-6.7068951596838202"/>
    <s v="110"/>
    <s v="RN"/>
    <s v="Eixo Principal"/>
    <s v="-"/>
    <s v="110BRN0180"/>
    <s v="ENTR BR-427(B) (P/ SERRA NEGRA DO NORTE)"/>
    <s v="DIV RN/PB"/>
    <n v="184.2"/>
    <n v="187.9"/>
    <n v="3.7"/>
    <x v="1"/>
    <m/>
    <m/>
    <s v="Estadual"/>
    <m/>
    <s v="RNT-110"/>
    <s v="PAV"/>
    <s v="Estadual"/>
    <s v="PLA"/>
    <s v="Mossoró"/>
  </r>
  <r>
    <x v="0"/>
    <s v="110CRN1005"/>
    <n v="0"/>
    <x v="79"/>
    <s v="1005"/>
    <n v="-37.307540720028101"/>
    <n v="-5.8452624496023304"/>
    <n v="-37.323200989833701"/>
    <n v="-5.8683532895726103"/>
    <s v="110"/>
    <s v="RN"/>
    <s v="Contorno"/>
    <s v="-"/>
    <s v="110CRN1005"/>
    <s v="ENTR BR-110 (KM 123,8)"/>
    <s v="ENTR RN-233 (CONT DE CAMPO GRANDE)"/>
    <n v="0"/>
    <n v="3.5"/>
    <n v="3.5"/>
    <x v="1"/>
    <m/>
    <m/>
    <s v="Federal"/>
    <m/>
    <m/>
    <m/>
    <s v="Federal"/>
    <s v="PLA"/>
    <s v="Mossoró"/>
  </r>
  <r>
    <x v="0"/>
    <s v="110CRN1010"/>
    <n v="0"/>
    <x v="79"/>
    <s v="1010"/>
    <n v="-37.323200989833701"/>
    <n v="-5.8683532895726103"/>
    <n v="-37.318672190169401"/>
    <n v="-5.8740425600161004"/>
    <s v="110"/>
    <s v="RN"/>
    <s v="Contorno"/>
    <s v="-"/>
    <s v="110CRN1010"/>
    <s v="ENTR RN-233 (CONT DE CAMPO GRANDE)"/>
    <s v="ENTR BR-110 (CONT DE CAMPO GRANDE)"/>
    <n v="3.5"/>
    <n v="4.2"/>
    <n v="0.7"/>
    <x v="1"/>
    <m/>
    <m/>
    <s v="Federal"/>
    <m/>
    <m/>
    <m/>
    <s v="Federal"/>
    <s v="PLA"/>
    <s v="Mossoró"/>
  </r>
  <r>
    <x v="0"/>
    <s v="116ACE1005"/>
    <n v="0"/>
    <x v="80"/>
    <s v="1005"/>
    <n v="-38.502606789571601"/>
    <n v="-4.0902872002940196"/>
    <n v="-38.496821840255599"/>
    <n v="-4.0908637403692802"/>
    <s v="116"/>
    <s v="CE"/>
    <s v="Acesso"/>
    <s v="-"/>
    <s v="116ACE1005"/>
    <s v="ENTR BR-116 (KM 39)"/>
    <s v="TRAV URBANA DE HORIZONTE (116BCE9010)"/>
    <n v="0"/>
    <n v="0.7"/>
    <n v="0.7"/>
    <x v="1"/>
    <m/>
    <m/>
    <s v="Federal"/>
    <m/>
    <m/>
    <m/>
    <s v="Federal"/>
    <s v="PLA"/>
    <s v="Fortaleza"/>
  </r>
  <r>
    <x v="0"/>
    <s v="116APR1005"/>
    <n v="0"/>
    <x v="81"/>
    <s v="1005"/>
    <n v="-49.045693459585401"/>
    <n v="-25.3459872498116"/>
    <n v="-49.081698629787802"/>
    <n v="-25.362575950019998"/>
    <s v="116"/>
    <s v="PR"/>
    <s v="Acesso"/>
    <s v="-"/>
    <s v="116APR1005"/>
    <s v="ACESSO CONT LESTE CURITIBA (ANT KM 71,1)"/>
    <s v="ENTR PR-506 (QUATRO BARRAS (ANTIGO KM 75,7))"/>
    <n v="0"/>
    <n v="4"/>
    <n v="4"/>
    <x v="0"/>
    <m/>
    <m/>
    <s v="Concessão Federal"/>
    <m/>
    <m/>
    <m/>
    <s v="Federal"/>
    <s v="PAV"/>
    <s v="Colombo"/>
  </r>
  <r>
    <x v="0"/>
    <s v="116APR1010"/>
    <n v="0"/>
    <x v="81"/>
    <s v="1010"/>
    <n v="-49.081698629787802"/>
    <n v="-25.362575950019998"/>
    <n v="-49.149141720014299"/>
    <n v="-25.375278339723501"/>
    <s v="116"/>
    <s v="PR"/>
    <s v="Acesso"/>
    <s v="-"/>
    <s v="116APR1010"/>
    <s v="ENTR PR-506 (QUATRO BARRAS (ANTIGO KM 75,7))"/>
    <s v="ACESSO CONT NORTE CURITIBA (ANT KM 81,7)"/>
    <n v="4"/>
    <n v="10.4"/>
    <n v="6.4"/>
    <x v="0"/>
    <m/>
    <m/>
    <s v="Concessão Federal"/>
    <m/>
    <m/>
    <m/>
    <s v="Federal"/>
    <s v="PAV"/>
    <s v="Colombo"/>
  </r>
  <r>
    <x v="0"/>
    <s v="116APR1015"/>
    <n v="0"/>
    <x v="81"/>
    <s v="1015"/>
    <n v="-49.149141720014299"/>
    <n v="-25.375278339723501"/>
    <n v="-49.1999780597396"/>
    <n v="-25.388891300193201"/>
    <s v="116"/>
    <s v="PR"/>
    <s v="Acesso"/>
    <s v="-"/>
    <s v="116APR1015"/>
    <s v="ACESSO CONT NORTE CURITIBA (ANT KM 81,7)"/>
    <s v="FIM DA CONCESSÃO"/>
    <n v="10.4"/>
    <n v="16.5"/>
    <n v="6.1"/>
    <x v="0"/>
    <m/>
    <m/>
    <s v="Concessão Federal"/>
    <m/>
    <m/>
    <m/>
    <s v="Federal"/>
    <s v="PAV"/>
    <s v="Colombo"/>
  </r>
  <r>
    <x v="0"/>
    <s v="116APR1020"/>
    <n v="0"/>
    <x v="81"/>
    <s v="1020"/>
    <n v="-49.1999780597396"/>
    <n v="-25.388891300193201"/>
    <n v="-49.205974669894999"/>
    <n v="-25.388517929558699"/>
    <s v="116"/>
    <s v="PR"/>
    <s v="Acesso"/>
    <s v="-"/>
    <s v="116APR1020"/>
    <s v="FIM DA CONCESSÃO"/>
    <s v="ENTR BR-476 (CURITIBA NORTE/ATUBÁ (ANTIGO KM 88,3)"/>
    <n v="16.5"/>
    <n v="17.100000000000001"/>
    <n v="0.6"/>
    <x v="0"/>
    <m/>
    <m/>
    <s v="Federal"/>
    <m/>
    <m/>
    <m/>
    <s v="Federal"/>
    <s v="PAV"/>
    <s v="Colombo"/>
  </r>
  <r>
    <x v="0"/>
    <s v="116APR2005"/>
    <n v="0"/>
    <x v="81"/>
    <s v="2005"/>
    <n v="-49.164286789803398"/>
    <n v="-25.349313250306199"/>
    <n v="-49.149142069850498"/>
    <n v="-25.3752739303475"/>
    <s v="116"/>
    <s v="PR"/>
    <s v="Acesso"/>
    <s v="-"/>
    <s v="116APR2005"/>
    <s v="ENTR BR-116 (ACESSO NORTE CURITIBA)"/>
    <s v="ENTR BR-476"/>
    <n v="0"/>
    <n v="3.7"/>
    <n v="3.7"/>
    <x v="1"/>
    <m/>
    <m/>
    <s v="Federal"/>
    <m/>
    <m/>
    <m/>
    <s v="Federal"/>
    <s v="PLA"/>
    <s v="Colombo"/>
  </r>
  <r>
    <x v="0"/>
    <s v="116APR2010"/>
    <n v="0"/>
    <x v="81"/>
    <s v="2010"/>
    <n v="-49.164286789803398"/>
    <n v="-25.349313250306199"/>
    <n v="-49.221058250337897"/>
    <n v="-25.329004830008799"/>
    <s v="116"/>
    <s v="PR"/>
    <s v="Acesso"/>
    <s v="-"/>
    <s v="116APR2010"/>
    <s v="ENTR BR-476"/>
    <s v="ENTR PR-417 (P/COLOMBO)"/>
    <n v="3.7"/>
    <n v="10.7"/>
    <n v="7"/>
    <x v="1"/>
    <m/>
    <m/>
    <s v="Federal"/>
    <m/>
    <m/>
    <m/>
    <s v="Federal"/>
    <s v="PLA"/>
    <s v="Colombo"/>
  </r>
  <r>
    <x v="0"/>
    <s v="116APR3005"/>
    <n v="0"/>
    <x v="81"/>
    <s v="3005"/>
    <n v="-49.149142069850498"/>
    <n v="-25.3752739303475"/>
    <n v="-49.139100759692198"/>
    <n v="-25.445685129565"/>
    <s v="116"/>
    <s v="PR"/>
    <s v="Acesso"/>
    <s v="-"/>
    <s v="116APR3005"/>
    <s v="ENTR BR-116 (ACESSO NORTE CURITIBA)"/>
    <s v="ENTR PR-415 (P/PIRAQUARA)"/>
    <n v="0"/>
    <n v="8.1999999999999993"/>
    <n v="8.1999999999999993"/>
    <x v="1"/>
    <m/>
    <m/>
    <s v="Federal"/>
    <m/>
    <m/>
    <m/>
    <s v="Federal"/>
    <s v="PLA"/>
    <s v="Colombo"/>
  </r>
  <r>
    <x v="0"/>
    <s v="116APR3010"/>
    <n v="0"/>
    <x v="81"/>
    <s v="3010"/>
    <n v="-49.139100759692198"/>
    <n v="-25.445685129565"/>
    <n v="-49.184469560421803"/>
    <n v="-25.486303019668501"/>
    <s v="116"/>
    <s v="PR"/>
    <s v="Acesso"/>
    <s v="-"/>
    <s v="116APR3010"/>
    <s v="ENTR PR-415 (P/PIRAQUARA)"/>
    <s v="ENTR BR-277"/>
    <n v="8.1999999999999993"/>
    <n v="15.6"/>
    <n v="7.4"/>
    <x v="1"/>
    <m/>
    <m/>
    <s v="Federal"/>
    <m/>
    <m/>
    <m/>
    <s v="Federal"/>
    <s v="PLA"/>
    <s v="Colombo"/>
  </r>
  <r>
    <x v="0"/>
    <s v="116ARJ1005"/>
    <n v="0"/>
    <x v="82"/>
    <s v="1005"/>
    <n v="-42.949732450292203"/>
    <n v="-22.414278039799601"/>
    <n v="-42.966844420133803"/>
    <n v="-22.404731780347301"/>
    <s v="116"/>
    <s v="RJ"/>
    <s v="Acesso"/>
    <s v="-"/>
    <s v="116ARJ1005"/>
    <s v="ENTR BR-116"/>
    <s v="ACESSO TERESÓPOLIS"/>
    <n v="0"/>
    <n v="1.8"/>
    <n v="1.8"/>
    <x v="2"/>
    <m/>
    <m/>
    <s v="Concessão Federal"/>
    <m/>
    <m/>
    <m/>
    <s v="Federal"/>
    <s v="PAV"/>
    <s v="Seropédica"/>
  </r>
  <r>
    <x v="0"/>
    <s v="116ARS1005"/>
    <n v="0"/>
    <x v="83"/>
    <s v="1005"/>
    <n v="-51.176838709938401"/>
    <n v="-29.9719161098405"/>
    <n v="-51.190051869598001"/>
    <n v="-29.996495149731299"/>
    <s v="116"/>
    <s v="RS"/>
    <s v="Acesso"/>
    <s v="-"/>
    <s v="116ARS1005"/>
    <s v="ENTR BR-116"/>
    <s v="ENTR R. EDU CHAVES"/>
    <n v="0"/>
    <n v="3"/>
    <n v="3"/>
    <x v="0"/>
    <m/>
    <m/>
    <s v="Federal"/>
    <m/>
    <m/>
    <m/>
    <s v="Federal"/>
    <s v="PAV"/>
    <s v="São Leopoldo"/>
  </r>
  <r>
    <x v="0"/>
    <s v="116ARS2005"/>
    <n v="0"/>
    <x v="83"/>
    <s v="2005"/>
    <n v="-53.350639199739199"/>
    <n v="-32.527791399953102"/>
    <n v="-53.446664580106201"/>
    <n v="-32.533620479901103"/>
    <s v="116"/>
    <s v="RS"/>
    <s v="Acesso"/>
    <s v="-"/>
    <s v="116ARS2005"/>
    <s v="ENTR BR-116 (KM 652,5)"/>
    <s v="FRONT BRASIL/URUGUAI (ACESSO 2A PONTE R JAGUARÃO)"/>
    <n v="0"/>
    <n v="9.1999999999999993"/>
    <n v="9.1999999999999993"/>
    <x v="1"/>
    <m/>
    <m/>
    <s v="Federal"/>
    <m/>
    <m/>
    <m/>
    <s v="Federal"/>
    <s v="PLA"/>
    <s v="Pelotas"/>
  </r>
  <r>
    <x v="0"/>
    <s v="116ASC1005"/>
    <n v="0"/>
    <x v="84"/>
    <s v="1005"/>
    <n v="-50.341506690181497"/>
    <n v="-27.627418649750801"/>
    <n v="-50.353012080443101"/>
    <n v="-27.628699990312199"/>
    <s v="116"/>
    <s v="SC"/>
    <s v="Acesso"/>
    <s v="-"/>
    <s v="116ASC1005"/>
    <s v="ENTR BR-116 (KM 225)"/>
    <s v="AEROPORTO DO PLANALTO SERRANO (C PINTO)"/>
    <n v="0"/>
    <n v="1.3"/>
    <n v="1.3"/>
    <x v="5"/>
    <s v="EOP"/>
    <m/>
    <s v="Federal"/>
    <m/>
    <m/>
    <m/>
    <s v="Federal"/>
    <s v="N_PAV"/>
    <s v="Lages"/>
  </r>
  <r>
    <x v="0"/>
    <s v="116ASP1005"/>
    <n v="0"/>
    <x v="85"/>
    <s v="1005"/>
    <n v="-45.261646389868901"/>
    <n v="-22.842227229802699"/>
    <n v="-45.275294280006896"/>
    <n v="-22.8800034097295"/>
    <s v="116"/>
    <s v="SP"/>
    <s v="Acesso"/>
    <s v="-"/>
    <s v="116ASP1005"/>
    <s v="ENTR BR-116 (KM 76)"/>
    <s v="ENTR R PROF LINDOLFO GOMES (POTIM)"/>
    <n v="0"/>
    <n v="4.5"/>
    <n v="4.5"/>
    <x v="1"/>
    <m/>
    <m/>
    <s v="Federal"/>
    <m/>
    <m/>
    <m/>
    <s v="Federal"/>
    <s v="PLA"/>
    <s v="Taubaté"/>
  </r>
  <r>
    <x v="0"/>
    <s v="116ASP2005"/>
    <n v="0"/>
    <x v="85"/>
    <s v="2005"/>
    <n v="-47.375413829884202"/>
    <n v="-24.254994039643101"/>
    <n v="-47.347627500008997"/>
    <n v="-24.259692939777299"/>
    <s v="116"/>
    <s v="SP"/>
    <s v="Acesso"/>
    <s v="-"/>
    <s v="116ASP2005"/>
    <s v="ENTR BR-116"/>
    <s v="ACESSO PEDRO TOLEDO"/>
    <n v="0"/>
    <n v="3"/>
    <n v="3"/>
    <x v="2"/>
    <m/>
    <m/>
    <s v="Concessão Federal"/>
    <m/>
    <m/>
    <m/>
    <s v="Federal"/>
    <s v="PAV"/>
    <s v="Taubaté"/>
  </r>
  <r>
    <x v="0"/>
    <s v="116BBA0490"/>
    <n v="0"/>
    <x v="86"/>
    <s v="0490"/>
    <n v="-39.244680529582702"/>
    <n v="-8.6261088296587296"/>
    <n v="-39.2479778300128"/>
    <n v="-8.6288445898058992"/>
    <s v="116"/>
    <s v="BA"/>
    <s v="Eixo Principal"/>
    <s v="-"/>
    <s v="116BBA0490"/>
    <s v="DIV PE/BA (INÍCIO PONTE SOBRE O RIO SÃO FRANCISCO)"/>
    <s v="FIM DA PONTE SOBRE O RIO SÃO FRANCISCO (IBÓ)"/>
    <n v="0"/>
    <n v="0.5"/>
    <n v="0.5"/>
    <x v="2"/>
    <m/>
    <m/>
    <s v="Federal"/>
    <m/>
    <m/>
    <m/>
    <s v="Federal"/>
    <s v="PAV"/>
    <s v="Euclides da Cunha"/>
  </r>
  <r>
    <x v="0"/>
    <s v="116BBA0491"/>
    <n v="0"/>
    <x v="86"/>
    <s v="0491"/>
    <n v="-39.2479778300128"/>
    <n v="-8.6288445898058992"/>
    <n v="-39.2599762502037"/>
    <n v="-8.6967285897525795"/>
    <s v="116"/>
    <s v="BA"/>
    <s v="Eixo Principal"/>
    <s v="-"/>
    <s v="116BBA0491"/>
    <s v="FIM DA PONTE SOBRE O RIO SÃO FRANCISCO (IBÓ)"/>
    <s v="ENTR BA-210 (P/ABARÉ)"/>
    <n v="0.5"/>
    <n v="9.1"/>
    <n v="8.6"/>
    <x v="2"/>
    <m/>
    <m/>
    <s v="Federal"/>
    <m/>
    <m/>
    <m/>
    <s v="Federal"/>
    <s v="PAV"/>
    <s v="Euclides da Cunha"/>
  </r>
  <r>
    <x v="0"/>
    <s v="116BBA0492"/>
    <n v="0"/>
    <x v="86"/>
    <s v="0492"/>
    <n v="-39.2599762502037"/>
    <n v="-8.6967285897525795"/>
    <n v="-39.181189289753803"/>
    <n v="-9.0194705299409694"/>
    <s v="116"/>
    <s v="BA"/>
    <s v="Eixo Principal"/>
    <s v="-"/>
    <s v="116BBA0492"/>
    <s v="ENTR BA-210 (P/ABARÉ)"/>
    <s v="ENTR BA-310 (P/CHORROCHO)"/>
    <n v="9.1"/>
    <n v="46.5"/>
    <n v="37.4"/>
    <x v="2"/>
    <m/>
    <m/>
    <s v="Federal"/>
    <m/>
    <m/>
    <m/>
    <s v="Federal"/>
    <s v="PAV"/>
    <s v="Euclides da Cunha"/>
  </r>
  <r>
    <x v="0"/>
    <s v="116BBA0494"/>
    <n v="0"/>
    <x v="86"/>
    <s v="0494"/>
    <n v="-39.181189289753803"/>
    <n v="-9.0194705299409694"/>
    <n v="-39.071975160025502"/>
    <n v="-9.2467837395778893"/>
    <s v="116"/>
    <s v="BA"/>
    <s v="Eixo Principal"/>
    <s v="-"/>
    <s v="116BBA0494"/>
    <s v="ENTR BA-310 (P/CHORROCHO)"/>
    <s v="ENTR BA-311 (P/MACURURÉ)"/>
    <n v="46.5"/>
    <n v="74"/>
    <n v="27.5"/>
    <x v="2"/>
    <m/>
    <m/>
    <s v="Federal"/>
    <m/>
    <m/>
    <m/>
    <s v="Federal"/>
    <s v="PAV"/>
    <s v="Euclides da Cunha"/>
  </r>
  <r>
    <x v="0"/>
    <s v="116BBA0496"/>
    <n v="0"/>
    <x v="86"/>
    <s v="0496"/>
    <n v="-39.071975160025502"/>
    <n v="-9.2467837395778893"/>
    <n v="-39.084515560244803"/>
    <n v="-9.3737212603278408"/>
    <s v="116"/>
    <s v="BA"/>
    <s v="Eixo Principal"/>
    <s v="-"/>
    <s v="116BBA0496"/>
    <s v="ENTR BA-311 (P/MACURURÉ)"/>
    <s v="ENTR BR-423"/>
    <n v="74"/>
    <n v="87.1"/>
    <n v="13.1"/>
    <x v="2"/>
    <m/>
    <m/>
    <s v="Federal"/>
    <m/>
    <m/>
    <m/>
    <s v="Federal"/>
    <s v="PAV"/>
    <s v="Euclides da Cunha"/>
  </r>
  <r>
    <x v="0"/>
    <s v="116BBA0510"/>
    <n v="0"/>
    <x v="86"/>
    <s v="0510"/>
    <n v="-39.084515560244803"/>
    <n v="-9.3737212603278408"/>
    <n v="-39.163037959933803"/>
    <n v="-9.9644249896215307"/>
    <s v="116"/>
    <s v="BA"/>
    <s v="Eixo Principal"/>
    <s v="-"/>
    <s v="116BBA0510"/>
    <s v="ENTR BR-423"/>
    <s v="ENTR BR-235"/>
    <n v="87.1"/>
    <n v="155.19999999999999"/>
    <n v="68.099999999999994"/>
    <x v="2"/>
    <m/>
    <m/>
    <s v="Federal"/>
    <m/>
    <m/>
    <m/>
    <s v="Federal"/>
    <s v="PAV"/>
    <s v="Euclides da Cunha"/>
  </r>
  <r>
    <x v="0"/>
    <s v="116BBA0550"/>
    <n v="0"/>
    <x v="86"/>
    <s v="0550"/>
    <n v="-39.163037959933803"/>
    <n v="-9.9644249896215307"/>
    <n v="-39.026255729817997"/>
    <n v="-10.4621367796885"/>
    <s v="116"/>
    <s v="BA"/>
    <s v="Eixo Principal"/>
    <s v="-"/>
    <s v="116BBA0550"/>
    <s v="ENTR BR-235"/>
    <s v="ENTR INÍCIO CONTORNO EUCLIDES DA CUNHA"/>
    <n v="155.19999999999999"/>
    <n v="205.2"/>
    <n v="50"/>
    <x v="2"/>
    <m/>
    <m/>
    <s v="Federal"/>
    <m/>
    <m/>
    <m/>
    <s v="Federal"/>
    <s v="PAV"/>
    <s v="Euclides da Cunha"/>
  </r>
  <r>
    <x v="0"/>
    <s v="116BBA0560"/>
    <n v="0"/>
    <x v="86"/>
    <s v="0560"/>
    <n v="-39.026255729817997"/>
    <n v="-10.4621367796885"/>
    <n v="-38.991419799683896"/>
    <n v="-10.557431139835201"/>
    <s v="116"/>
    <s v="BA"/>
    <s v="Eixo Principal"/>
    <s v="-"/>
    <s v="116BBA0560"/>
    <s v="ENTR INÍCIO CONTORNO EUCLIDES DA CUNHA"/>
    <s v="ENTR FIM CONTORNO EUCLIDES DA CUNHA"/>
    <n v="205.2"/>
    <n v="216.5"/>
    <n v="11.3"/>
    <x v="2"/>
    <m/>
    <m/>
    <s v="Federal"/>
    <m/>
    <m/>
    <m/>
    <s v="Federal"/>
    <s v="PAV"/>
    <s v="Euclides da Cunha"/>
  </r>
  <r>
    <x v="0"/>
    <s v="116BBA0570"/>
    <n v="0"/>
    <x v="86"/>
    <s v="0570"/>
    <n v="-38.991419799683896"/>
    <n v="-10.557431139835201"/>
    <n v="-38.954366660292997"/>
    <n v="-10.6451282098989"/>
    <s v="116"/>
    <s v="BA"/>
    <s v="Eixo Principal"/>
    <s v="-"/>
    <s v="116BBA0570"/>
    <s v="ENTR FIM CONTORNO EUCLIDES DA CUNHA"/>
    <s v="ENTR BA-381 (P/QUIJINGUE)"/>
    <n v="216.5"/>
    <n v="234.1"/>
    <n v="17.600000000000001"/>
    <x v="2"/>
    <m/>
    <m/>
    <s v="Federal"/>
    <m/>
    <m/>
    <m/>
    <s v="Federal"/>
    <s v="PAV"/>
    <s v="Euclides da Cunha"/>
  </r>
  <r>
    <x v="0"/>
    <s v="116BBA0572"/>
    <n v="0"/>
    <x v="86"/>
    <s v="0572"/>
    <n v="-38.954366660292997"/>
    <n v="-10.6451282098989"/>
    <n v="-38.800603370149297"/>
    <n v="-10.9868341100061"/>
    <s v="116"/>
    <s v="BA"/>
    <s v="Eixo Principal"/>
    <s v="-"/>
    <s v="116BBA0572"/>
    <s v="ENTR BA-381 (P/QUIJINGUE)"/>
    <s v="ENTR BR-410 (TUCANO)"/>
    <n v="234.1"/>
    <n v="277.10000000000002"/>
    <n v="43"/>
    <x v="2"/>
    <m/>
    <m/>
    <s v="Federal"/>
    <m/>
    <m/>
    <m/>
    <s v="Federal"/>
    <s v="PAV"/>
    <s v="Euclides da Cunha"/>
  </r>
  <r>
    <x v="0"/>
    <s v="116BBA0590"/>
    <n v="0"/>
    <x v="86"/>
    <s v="0590"/>
    <n v="-38.800603370149297"/>
    <n v="-10.9868341100061"/>
    <n v="-38.915912850197799"/>
    <n v="-11.2616565599022"/>
    <s v="116"/>
    <s v="BA"/>
    <s v="Eixo Principal"/>
    <s v="-"/>
    <s v="116BBA0590"/>
    <s v="ENTR BR-410 (TUCANO)"/>
    <s v="RIO ANGICO"/>
    <n v="277.10000000000002"/>
    <n v="311.39999999999998"/>
    <n v="34.299999999999997"/>
    <x v="2"/>
    <m/>
    <m/>
    <s v="Federal"/>
    <m/>
    <m/>
    <m/>
    <s v="Federal"/>
    <s v="PAV"/>
    <s v="Feira de Santana"/>
  </r>
  <r>
    <x v="0"/>
    <s v="116BBA0591"/>
    <n v="0"/>
    <x v="86"/>
    <s v="0591"/>
    <n v="-38.915912850197799"/>
    <n v="-11.2616565599022"/>
    <n v="-38.958490179578"/>
    <n v="-11.339085140266899"/>
    <s v="116"/>
    <s v="BA"/>
    <s v="Eixo Principal"/>
    <s v="-"/>
    <s v="116BBA0591"/>
    <s v="RIO ANGICO"/>
    <s v="ENTR BA-408 (ARACI)"/>
    <n v="311.39999999999998"/>
    <n v="321"/>
    <n v="9.6"/>
    <x v="2"/>
    <m/>
    <m/>
    <s v="Federal"/>
    <m/>
    <m/>
    <m/>
    <s v="Federal"/>
    <s v="PAV"/>
    <s v="Feira de Santana"/>
  </r>
  <r>
    <x v="0"/>
    <s v="116BBA0592"/>
    <n v="0"/>
    <x v="86"/>
    <s v="0592"/>
    <n v="-38.958490179578"/>
    <n v="-11.339085140266899"/>
    <n v="-38.997265939771196"/>
    <n v="-11.491596539948301"/>
    <s v="116"/>
    <s v="BA"/>
    <s v="Eixo Principal"/>
    <s v="-"/>
    <s v="116BBA0592"/>
    <s v="ENTR BA-408 (ARACI)"/>
    <s v="ENTR BR-349 (TEOFILÂNDIA)"/>
    <n v="321"/>
    <n v="338.8"/>
    <n v="17.8"/>
    <x v="2"/>
    <m/>
    <m/>
    <s v="Federal"/>
    <m/>
    <m/>
    <m/>
    <s v="Federal"/>
    <s v="PAV"/>
    <s v="Feira de Santana"/>
  </r>
  <r>
    <x v="0"/>
    <s v="116BBA0610"/>
    <n v="0"/>
    <x v="86"/>
    <s v="0610"/>
    <n v="-38.997265939771196"/>
    <n v="-11.491596539948301"/>
    <n v="-38.991596549740898"/>
    <n v="-11.6507029703657"/>
    <s v="116"/>
    <s v="BA"/>
    <s v="Eixo Principal"/>
    <s v="-"/>
    <s v="116BBA0610"/>
    <s v="ENTR BR-349 (TEOFILÂNDIA)"/>
    <s v="ENTR BA-233 (SERRINHA) (P/ BIRITINGA)"/>
    <n v="338.8"/>
    <n v="357"/>
    <n v="18.2"/>
    <x v="2"/>
    <s v="EOD"/>
    <m/>
    <s v="Federal"/>
    <m/>
    <m/>
    <m/>
    <s v="Federal"/>
    <s v="PAV"/>
    <s v="Feira de Santana"/>
  </r>
  <r>
    <x v="0"/>
    <s v="116BBA0632"/>
    <n v="0"/>
    <x v="86"/>
    <s v="0632"/>
    <n v="-38.991596549740898"/>
    <n v="-11.6507029703657"/>
    <n v="-38.986066929644998"/>
    <n v="-11.753126099889499"/>
    <s v="116"/>
    <s v="BA"/>
    <s v="Eixo Principal"/>
    <s v="-"/>
    <s v="116BBA0632"/>
    <s v="ENTR BA-233 (SERRINHA) (P/ BIRITINGA)"/>
    <s v="ENTR BA-400"/>
    <n v="357"/>
    <n v="369.1"/>
    <n v="12.1"/>
    <x v="2"/>
    <s v="EOD"/>
    <m/>
    <s v="Federal"/>
    <m/>
    <m/>
    <m/>
    <s v="Federal"/>
    <s v="PAV"/>
    <s v="Feira de Santana"/>
  </r>
  <r>
    <x v="0"/>
    <s v="116BBA0650"/>
    <n v="0"/>
    <x v="86"/>
    <s v="0650"/>
    <n v="-38.986066929644998"/>
    <n v="-11.753126099889499"/>
    <n v="-38.970066649556202"/>
    <n v="-12.0564631101843"/>
    <s v="116"/>
    <s v="BA"/>
    <s v="Eixo Principal"/>
    <s v="-"/>
    <s v="116BBA0650"/>
    <s v="ENTR BA-400"/>
    <s v="ENTR BA-504 (P/SANTANÓPOLIS)"/>
    <n v="369.1"/>
    <n v="403.1"/>
    <n v="34"/>
    <x v="2"/>
    <s v="EOD"/>
    <m/>
    <s v="Federal"/>
    <m/>
    <m/>
    <m/>
    <s v="Federal"/>
    <s v="PAV"/>
    <s v="Feira de Santana"/>
  </r>
  <r>
    <x v="0"/>
    <s v="116BBA0670"/>
    <n v="0"/>
    <x v="86"/>
    <s v="0670"/>
    <n v="-38.970066649556202"/>
    <n v="-12.0564631101843"/>
    <n v="-38.9700035198465"/>
    <n v="-12.062455399996599"/>
    <s v="116"/>
    <s v="BA"/>
    <s v="Eixo Principal"/>
    <s v="-"/>
    <s v="116BBA0670"/>
    <s v="ENTR BA-504 (P/SANTANÓPOLIS)"/>
    <s v="ENTR BR-324(A)"/>
    <n v="403.1"/>
    <n v="403.8"/>
    <n v="0.7"/>
    <x v="2"/>
    <s v="EOD"/>
    <m/>
    <s v="Federal"/>
    <m/>
    <m/>
    <m/>
    <s v="Federal"/>
    <s v="PAV"/>
    <s v="Feira de Santana"/>
  </r>
  <r>
    <x v="0"/>
    <s v="116BBA0690"/>
    <n v="0"/>
    <x v="86"/>
    <s v="0690"/>
    <n v="-38.9700035198465"/>
    <n v="-12.062455399996599"/>
    <n v="-38.964851300247197"/>
    <n v="-12.2300814795765"/>
    <s v="116"/>
    <s v="BA"/>
    <s v="Eixo Principal"/>
    <s v="-"/>
    <s v="116BBA0690"/>
    <s v="ENTR BR-324(A)"/>
    <s v="ENTR BR-324(B)/BA-502/503 (FEIRA DE SANTANA)"/>
    <n v="403.8"/>
    <n v="423.1"/>
    <n v="19.3"/>
    <x v="2"/>
    <s v="EOD"/>
    <s v="324BBA0330"/>
    <s v="Federal"/>
    <m/>
    <m/>
    <m/>
    <s v="Federal"/>
    <s v="PAV"/>
    <s v="Feira de Santana"/>
  </r>
  <r>
    <x v="0"/>
    <s v="116BBA0700"/>
    <n v="0"/>
    <x v="86"/>
    <s v="0700"/>
    <n v="-38.964851300247197"/>
    <n v="-12.2300814795765"/>
    <n v="-38.988337289733998"/>
    <n v="-12.2689209801191"/>
    <s v="116"/>
    <s v="BA"/>
    <s v="Eixo Principal"/>
    <s v="-"/>
    <s v="116BBA0700"/>
    <s v="ENTR BR-324(B)/BA-502/503 (FEIRA DE SANTANA)"/>
    <s v="ACESSO CONTORNO DE FEIRA DE SANTANA"/>
    <n v="423.1"/>
    <n v="428.9"/>
    <n v="5.8"/>
    <x v="2"/>
    <m/>
    <m/>
    <s v="Concessão Federal"/>
    <m/>
    <m/>
    <m/>
    <s v="Federal"/>
    <s v="PAV"/>
    <s v="Feira de Santana"/>
  </r>
  <r>
    <x v="0"/>
    <s v="116BBA0710"/>
    <n v="0"/>
    <x v="86"/>
    <s v="0710"/>
    <n v="-38.988337289733998"/>
    <n v="-12.2689209801191"/>
    <n v="-39.029255190074899"/>
    <n v="-12.295103920409501"/>
    <s v="116"/>
    <s v="BA"/>
    <s v="Eixo Principal"/>
    <s v="-"/>
    <s v="116BBA0710"/>
    <s v="ACESSO CONTORNO DE FEIRA DE SANTANA"/>
    <s v="ENTR BA-052 (P/ IPIRÁ)"/>
    <n v="428.9"/>
    <n v="434.8"/>
    <n v="5.9"/>
    <x v="2"/>
    <s v="EOD"/>
    <m/>
    <s v="Concessão Federal"/>
    <m/>
    <m/>
    <m/>
    <s v="Federal"/>
    <s v="PAV"/>
    <s v="Feira de Santana"/>
  </r>
  <r>
    <x v="0"/>
    <s v="116BBA0712"/>
    <n v="0"/>
    <x v="86"/>
    <s v="0712"/>
    <n v="-39.029255190074899"/>
    <n v="-12.295103920409501"/>
    <n v="-39.137600879576802"/>
    <n v="-12.386080059846799"/>
    <s v="116"/>
    <s v="BA"/>
    <s v="Eixo Principal"/>
    <s v="-"/>
    <s v="116BBA0712"/>
    <s v="ENTR BA-052 (P/ IPIRÁ)"/>
    <s v="ENTR BA-862 (P/CARDOSO)"/>
    <n v="434.8"/>
    <n v="451.2"/>
    <n v="16.399999999999999"/>
    <x v="2"/>
    <s v="EOD"/>
    <m/>
    <s v="Concessão Federal"/>
    <m/>
    <m/>
    <m/>
    <s v="Federal"/>
    <s v="PAV"/>
    <s v="Feira de Santana"/>
  </r>
  <r>
    <x v="0"/>
    <s v="116BBA0730"/>
    <n v="0"/>
    <x v="86"/>
    <s v="0730"/>
    <n v="-39.137600879576802"/>
    <n v="-12.386080059846799"/>
    <n v="-39.242622270101599"/>
    <n v="-12.4465412399861"/>
    <s v="116"/>
    <s v="BA"/>
    <s v="Eixo Principal"/>
    <s v="-"/>
    <s v="116BBA0730"/>
    <s v="ENTR BA-862 (P/CARDOSO)"/>
    <s v="ENTR BA-120(A) (P/SANTO ESTEVÃO)"/>
    <n v="451.2"/>
    <n v="464.6"/>
    <n v="13.4"/>
    <x v="2"/>
    <s v="EOD"/>
    <m/>
    <s v="Concessão Federal"/>
    <m/>
    <m/>
    <m/>
    <s v="Federal"/>
    <s v="PAV"/>
    <s v="Feira de Santana"/>
  </r>
  <r>
    <x v="0"/>
    <s v="116BBA0750"/>
    <n v="0"/>
    <x v="86"/>
    <s v="0750"/>
    <n v="-39.242622270101599"/>
    <n v="-12.4465412399861"/>
    <n v="-39.521045719684103"/>
    <n v="-12.5833342997381"/>
    <s v="116"/>
    <s v="BA"/>
    <s v="Eixo Principal"/>
    <s v="-"/>
    <s v="116BBA0750"/>
    <s v="ENTR BA-120(A) (P/SANTO ESTEVÃO)"/>
    <s v="ENTR BR-242(A) (P/ PARAGUAÇU)"/>
    <n v="464.6"/>
    <n v="498.7"/>
    <n v="34.1"/>
    <x v="2"/>
    <s v="EOD"/>
    <m/>
    <s v="Concessão Federal"/>
    <m/>
    <m/>
    <m/>
    <s v="Federal"/>
    <s v="PAV"/>
    <s v="Feira de Santana"/>
  </r>
  <r>
    <x v="0"/>
    <s v="116BBA0770"/>
    <n v="0"/>
    <x v="86"/>
    <s v="0770"/>
    <n v="-39.521045719684103"/>
    <n v="-12.5833342997381"/>
    <n v="-39.528333189724798"/>
    <n v="-12.5925293001869"/>
    <s v="116"/>
    <s v="BA"/>
    <s v="Eixo Principal"/>
    <s v="-"/>
    <s v="116BBA0770"/>
    <s v="ENTR BR-242(A) (P/ PARAGUAÇU)"/>
    <s v="ENTR BR-242(B)/BA-120(B) (P/CASTRO ALVES)"/>
    <n v="498.7"/>
    <n v="500"/>
    <n v="1.3"/>
    <x v="2"/>
    <m/>
    <s v="242BBA0070"/>
    <s v="Concessão Federal"/>
    <m/>
    <m/>
    <m/>
    <s v="Federal"/>
    <s v="PAV"/>
    <s v="Jequié"/>
  </r>
  <r>
    <x v="0"/>
    <s v="116BBA0780"/>
    <n v="0"/>
    <x v="86"/>
    <s v="0780"/>
    <n v="-39.528333189724798"/>
    <n v="-12.5925293001869"/>
    <n v="-39.722851100198"/>
    <n v="-12.7053371603815"/>
    <s v="116"/>
    <s v="BA"/>
    <s v="Eixo Principal"/>
    <s v="-"/>
    <s v="116BBA0780"/>
    <s v="ENTR BR-242(B)/BA-120(B) (P/CASTRO ALVES)"/>
    <s v="ENTR BA-493 (ITATIM)"/>
    <n v="500"/>
    <n v="525.29999999999995"/>
    <n v="25.3"/>
    <x v="2"/>
    <m/>
    <m/>
    <s v="Concessão Federal"/>
    <m/>
    <m/>
    <m/>
    <s v="Federal"/>
    <s v="PAV"/>
    <s v="Jequié"/>
  </r>
  <r>
    <x v="0"/>
    <s v="116BBA0790"/>
    <n v="0"/>
    <x v="86"/>
    <s v="0790"/>
    <n v="-39.722851100198"/>
    <n v="-12.7053371603815"/>
    <n v="-39.8410472898005"/>
    <n v="-12.846667459935301"/>
    <s v="116"/>
    <s v="BA"/>
    <s v="Eixo Principal"/>
    <s v="-"/>
    <s v="116BBA0790"/>
    <s v="ENTR BA-493 (ITATIM)"/>
    <s v="ENTR BA-046 (P/ AMARGOSA)"/>
    <n v="525.29999999999995"/>
    <n v="547.29999999999995"/>
    <n v="22"/>
    <x v="2"/>
    <m/>
    <m/>
    <s v="Concessão Federal"/>
    <m/>
    <m/>
    <m/>
    <s v="Federal"/>
    <s v="PAV"/>
    <s v="Jequié"/>
  </r>
  <r>
    <x v="0"/>
    <s v="116BBA0791"/>
    <n v="0"/>
    <x v="86"/>
    <s v="0791"/>
    <n v="-39.8410472898005"/>
    <n v="-12.846667459935301"/>
    <n v="-39.942660849618399"/>
    <n v="-12.983976729642301"/>
    <s v="116"/>
    <s v="BA"/>
    <s v="Eixo Principal"/>
    <s v="-"/>
    <s v="116BBA0791"/>
    <s v="ENTR BA-046 (P/ AMARGOSA)"/>
    <s v="ENTR BA-026(A) (P/ BREJÕES)"/>
    <n v="547.29999999999995"/>
    <n v="566.70000000000005"/>
    <n v="19.399999999999999"/>
    <x v="2"/>
    <m/>
    <m/>
    <s v="Concessão Federal"/>
    <m/>
    <m/>
    <m/>
    <s v="Federal"/>
    <s v="PAV"/>
    <s v="Jequié"/>
  </r>
  <r>
    <x v="0"/>
    <s v="116BBA0792"/>
    <n v="0"/>
    <x v="86"/>
    <s v="0792"/>
    <n v="-39.942660849618399"/>
    <n v="-12.983976729642301"/>
    <n v="-39.958400519668203"/>
    <n v="-13.014051110170501"/>
    <s v="116"/>
    <s v="BA"/>
    <s v="Eixo Principal"/>
    <s v="-"/>
    <s v="116BBA0792"/>
    <s v="ENTR BA-026(A) (P/ BREJÕES)"/>
    <s v="ENTR BA-026(B) (P/ NOVA ITARANA)"/>
    <n v="566.70000000000005"/>
    <n v="570.6"/>
    <n v="3.9"/>
    <x v="2"/>
    <m/>
    <m/>
    <s v="Concessão Federal"/>
    <m/>
    <m/>
    <m/>
    <s v="Federal"/>
    <s v="PAV"/>
    <s v="Jequié"/>
  </r>
  <r>
    <x v="0"/>
    <s v="116BBA0810"/>
    <n v="0"/>
    <x v="86"/>
    <s v="0810"/>
    <n v="-39.958400519668203"/>
    <n v="-13.014051110170501"/>
    <n v="-39.998805790254899"/>
    <n v="-13.158529400211499"/>
    <s v="116"/>
    <s v="BA"/>
    <s v="Eixo Principal"/>
    <s v="-"/>
    <s v="116BBA0810"/>
    <s v="ENTR BA-026(B) (P/ NOVA ITARANA)"/>
    <s v="ENTR BA-553 (P/ SANTA INÊS)"/>
    <n v="570.6"/>
    <n v="593.20000000000005"/>
    <n v="22.6"/>
    <x v="2"/>
    <m/>
    <m/>
    <s v="Concessão Federal"/>
    <m/>
    <m/>
    <m/>
    <s v="Federal"/>
    <s v="PAV"/>
    <s v="Jequié"/>
  </r>
  <r>
    <x v="0"/>
    <s v="116BBA0812"/>
    <n v="0"/>
    <x v="86"/>
    <s v="0812"/>
    <n v="-39.998805790254899"/>
    <n v="-13.158529400211499"/>
    <n v="-40.014449290402403"/>
    <n v="-13.2732175296652"/>
    <s v="116"/>
    <s v="BA"/>
    <s v="Eixo Principal"/>
    <s v="-"/>
    <s v="116BBA0812"/>
    <s v="ENTR BA-553 (P/ SANTA INÊS)"/>
    <s v="ENTR BA-888 (P/IRAJUBA)"/>
    <n v="593.20000000000005"/>
    <n v="608.70000000000005"/>
    <n v="15.5"/>
    <x v="2"/>
    <m/>
    <m/>
    <s v="Concessão Federal"/>
    <m/>
    <m/>
    <m/>
    <s v="Federal"/>
    <s v="PAV"/>
    <s v="Jequié"/>
  </r>
  <r>
    <x v="0"/>
    <s v="116BBA0814"/>
    <n v="0"/>
    <x v="86"/>
    <s v="0814"/>
    <n v="-40.014449290402403"/>
    <n v="-13.2732175296652"/>
    <n v="-40.025139009957201"/>
    <n v="-13.4092034802563"/>
    <s v="116"/>
    <s v="BA"/>
    <s v="Eixo Principal"/>
    <s v="-"/>
    <s v="116BBA0814"/>
    <s v="ENTR BA-888 (P/IRAJUBA)"/>
    <s v="ENTR BA-250 (ITAQUARA)"/>
    <n v="608.70000000000005"/>
    <n v="625"/>
    <n v="16.3"/>
    <x v="2"/>
    <m/>
    <m/>
    <s v="Concessão Federal"/>
    <m/>
    <m/>
    <m/>
    <s v="Federal"/>
    <s v="PAV"/>
    <s v="Jequié"/>
  </r>
  <r>
    <x v="0"/>
    <s v="116BBA0830"/>
    <n v="0"/>
    <x v="86"/>
    <s v="0830"/>
    <n v="-40.025139009957201"/>
    <n v="-13.4092034802563"/>
    <n v="-40.0550089503027"/>
    <n v="-13.509854590117101"/>
    <s v="116"/>
    <s v="BA"/>
    <s v="Eixo Principal"/>
    <s v="-"/>
    <s v="116BBA0830"/>
    <s v="ENTR BA-250 (ITAQUARA)"/>
    <s v="ENTR BR-420/BA-250 (P/JAGUAQUARA)"/>
    <n v="625"/>
    <n v="637.4"/>
    <n v="12.4"/>
    <x v="2"/>
    <m/>
    <m/>
    <s v="Concessão Federal"/>
    <m/>
    <m/>
    <m/>
    <s v="Federal"/>
    <s v="PAV"/>
    <s v="Jequié"/>
  </r>
  <r>
    <x v="0"/>
    <s v="116BBA0832"/>
    <n v="0"/>
    <x v="86"/>
    <s v="0832"/>
    <n v="-40.0550089503027"/>
    <n v="-13.509854590117101"/>
    <n v="-40.094836550366402"/>
    <n v="-13.6842184803984"/>
    <s v="116"/>
    <s v="BA"/>
    <s v="Eixo Principal"/>
    <s v="-"/>
    <s v="116BBA0832"/>
    <s v="ENTR BR-420/BA-250 (P/JAGUAQUARA)"/>
    <s v="ENTR BA-555 (P/ LAFAIETE COUTINHO)"/>
    <n v="637.4"/>
    <n v="658.3"/>
    <n v="20.9"/>
    <x v="2"/>
    <m/>
    <m/>
    <s v="Concessão Federal"/>
    <m/>
    <m/>
    <m/>
    <s v="Federal"/>
    <s v="PAV"/>
    <s v="Jequié"/>
  </r>
  <r>
    <x v="0"/>
    <s v="116BBA0850"/>
    <n v="0"/>
    <x v="86"/>
    <s v="0850"/>
    <n v="-40.094836550366402"/>
    <n v="-13.6842184803984"/>
    <n v="-40.105871099671397"/>
    <n v="-13.835109549965599"/>
    <s v="116"/>
    <s v="BA"/>
    <s v="Eixo Principal"/>
    <s v="-"/>
    <s v="116BBA0850"/>
    <s v="ENTR BA-555 (P/ LAFAIETE COUTINHO)"/>
    <s v="ENTR BR-330(A) (P/JEQUIÉ)"/>
    <n v="658.3"/>
    <n v="676.2"/>
    <n v="17.899999999999999"/>
    <x v="2"/>
    <m/>
    <m/>
    <s v="Concessão Federal"/>
    <m/>
    <m/>
    <m/>
    <s v="Federal"/>
    <s v="PAV"/>
    <s v="Jequié"/>
  </r>
  <r>
    <x v="0"/>
    <s v="116BBA0870"/>
    <n v="0"/>
    <x v="86"/>
    <s v="0870"/>
    <n v="-40.105871099671397"/>
    <n v="-13.835109549965599"/>
    <n v="-40.113620930061799"/>
    <n v="-13.857529379677"/>
    <s v="116"/>
    <s v="BA"/>
    <s v="Eixo Principal"/>
    <s v="-"/>
    <s v="116BBA0870"/>
    <s v="ENTR BR-330(A) (P/JEQUIÉ)"/>
    <s v="ENTR BR-330(B)"/>
    <n v="676.2"/>
    <n v="679"/>
    <n v="2.8"/>
    <x v="2"/>
    <m/>
    <s v="330BBA0230"/>
    <s v="Concessão Federal"/>
    <m/>
    <m/>
    <m/>
    <s v="Federal"/>
    <s v="PAV"/>
    <s v="Jequié"/>
  </r>
  <r>
    <x v="0"/>
    <s v="116BBA0890"/>
    <n v="0"/>
    <x v="86"/>
    <s v="0890"/>
    <n v="-40.113620930061799"/>
    <n v="-13.857529379677"/>
    <n v="-40.113120969956697"/>
    <n v="-13.8710207302224"/>
    <s v="116"/>
    <s v="BA"/>
    <s v="Eixo Principal"/>
    <s v="-"/>
    <s v="116BBA0890"/>
    <s v="ENTR BR-330(B)"/>
    <s v="CONTORNO DE JEQUIÉ"/>
    <n v="679"/>
    <n v="680.6"/>
    <n v="1.6"/>
    <x v="2"/>
    <m/>
    <m/>
    <s v="Concessão Federal"/>
    <m/>
    <m/>
    <m/>
    <s v="Federal"/>
    <s v="PAV"/>
    <s v="Jequié"/>
  </r>
  <r>
    <x v="0"/>
    <s v="116BBA0910"/>
    <n v="0"/>
    <x v="86"/>
    <s v="0910"/>
    <n v="-40.113120969956697"/>
    <n v="-13.8710207302224"/>
    <n v="-40.241803580171002"/>
    <n v="-14.143511429608701"/>
    <s v="116"/>
    <s v="BA"/>
    <s v="Eixo Principal"/>
    <s v="-"/>
    <s v="116BBA0910"/>
    <s v="CONTORNO DE JEQUIÉ"/>
    <s v="MANUEL VITORINO"/>
    <n v="680.6"/>
    <n v="713.2"/>
    <n v="32.6"/>
    <x v="2"/>
    <m/>
    <m/>
    <s v="Concessão Federal"/>
    <m/>
    <m/>
    <m/>
    <s v="Federal"/>
    <s v="PAV"/>
    <s v="Jequié"/>
  </r>
  <r>
    <x v="0"/>
    <s v="116BBA0915"/>
    <n v="0"/>
    <x v="86"/>
    <s v="0915"/>
    <n v="-40.241803580171002"/>
    <n v="-14.143511429608701"/>
    <n v="-40.334268030145402"/>
    <n v="-14.351218110127601"/>
    <s v="116"/>
    <s v="BA"/>
    <s v="Eixo Principal"/>
    <s v="-"/>
    <s v="116BBA0915"/>
    <s v="MANUEL VITORINO"/>
    <s v="ENTR BR-030(A) (P/ BOA NOVA)"/>
    <n v="713.2"/>
    <n v="739.6"/>
    <n v="26.4"/>
    <x v="2"/>
    <m/>
    <m/>
    <s v="Concessão Federal"/>
    <m/>
    <m/>
    <m/>
    <s v="Federal"/>
    <s v="PAV"/>
    <s v="Vitória da Conquista"/>
  </r>
  <r>
    <x v="0"/>
    <s v="116BBA0925"/>
    <n v="0"/>
    <x v="86"/>
    <s v="0925"/>
    <n v="-40.334268030145402"/>
    <n v="-14.351218110127601"/>
    <n v="-40.3474189504241"/>
    <n v="-14.375597020286101"/>
    <s v="116"/>
    <s v="BA"/>
    <s v="Eixo Principal"/>
    <s v="Coinc"/>
    <s v="116BBA0925"/>
    <s v="ENTR BR-030(A) (P/ BOA NOVA)"/>
    <s v="ENTR BR-030(B) (P/ BOM JESUS DA SERRA)"/>
    <n v="739.6"/>
    <n v="742.6"/>
    <n v="3"/>
    <x v="2"/>
    <m/>
    <s v="030BBA0380"/>
    <s v="Concessão Federal"/>
    <m/>
    <m/>
    <m/>
    <s v="Federal"/>
    <s v="PAV"/>
    <s v="Vitória da Conquista"/>
  </r>
  <r>
    <x v="0"/>
    <s v="116BBA0930"/>
    <n v="0"/>
    <x v="86"/>
    <s v="0930"/>
    <n v="-40.3474189504241"/>
    <n v="-14.375597020286101"/>
    <n v="-40.365993629802098"/>
    <n v="-14.5129176502293"/>
    <s v="116"/>
    <s v="BA"/>
    <s v="Eixo Principal"/>
    <s v="-"/>
    <s v="116BBA0930"/>
    <s v="ENTR BR-030(B) (P/ BOM JESUS DA SERRA)"/>
    <s v="ENTR BA-262(A) (POÇÕES) (P/ NOVA CANAÃ)"/>
    <n v="742.6"/>
    <n v="763.5"/>
    <n v="20.9"/>
    <x v="2"/>
    <m/>
    <m/>
    <s v="Concessão Federal"/>
    <m/>
    <m/>
    <m/>
    <s v="Federal"/>
    <s v="PAV"/>
    <s v="Vitória da Conquista"/>
  </r>
  <r>
    <x v="0"/>
    <s v="116BBA0932"/>
    <n v="0"/>
    <x v="86"/>
    <s v="0932"/>
    <n v="-40.365993629802098"/>
    <n v="-14.5129176502293"/>
    <n v="-40.474947080243503"/>
    <n v="-14.6701914502751"/>
    <s v="116"/>
    <s v="BA"/>
    <s v="Eixo Principal"/>
    <s v="-"/>
    <s v="116BBA0932"/>
    <s v="ENTR BA-262(A) (POÇÕES) (P/ NOVA CANAÃ)"/>
    <s v="ENTR BA-642 (PLANALTO)"/>
    <n v="763.5"/>
    <n v="785.3"/>
    <n v="21.8"/>
    <x v="2"/>
    <m/>
    <m/>
    <s v="Concessão Federal"/>
    <m/>
    <m/>
    <m/>
    <s v="Federal"/>
    <s v="PAV"/>
    <s v="Vitória da Conquista"/>
  </r>
  <r>
    <x v="0"/>
    <s v="116BBA0934"/>
    <n v="0"/>
    <x v="86"/>
    <s v="0934"/>
    <n v="-40.474947080243503"/>
    <n v="-14.6701914502751"/>
    <n v="-40.528944910179398"/>
    <n v="-14.681964090270499"/>
    <s v="116"/>
    <s v="BA"/>
    <s v="Eixo Principal"/>
    <s v="-"/>
    <s v="116BBA0934"/>
    <s v="ENTR BA-642 (PLANALTO)"/>
    <s v="ENTR BA-641 (P/ LUCAIA)"/>
    <n v="785.3"/>
    <n v="791.6"/>
    <n v="6.3"/>
    <x v="2"/>
    <m/>
    <m/>
    <s v="Concessão Federal"/>
    <m/>
    <m/>
    <m/>
    <s v="Federal"/>
    <s v="PAV"/>
    <s v="Vitória da Conquista"/>
  </r>
  <r>
    <x v="0"/>
    <s v="116BBA0950"/>
    <n v="0"/>
    <x v="86"/>
    <s v="0950"/>
    <n v="-40.528944910179398"/>
    <n v="-14.681964090270499"/>
    <n v="-40.712839980080901"/>
    <n v="-14.7683571001999"/>
    <s v="116"/>
    <s v="BA"/>
    <s v="Eixo Principal"/>
    <s v="-"/>
    <s v="116BBA0950"/>
    <s v="ENTR BA-641 (P/ LUCAIA)"/>
    <s v="ENTR BA-959 (P/JOSÉ GONÇALVES)"/>
    <n v="791.6"/>
    <n v="813.9"/>
    <n v="22.3"/>
    <x v="2"/>
    <m/>
    <m/>
    <s v="Concessão Federal"/>
    <m/>
    <m/>
    <m/>
    <s v="Federal"/>
    <s v="PAV"/>
    <s v="Vitória da Conquista"/>
  </r>
  <r>
    <x v="0"/>
    <s v="116BBA0955"/>
    <n v="0"/>
    <x v="86"/>
    <s v="0955"/>
    <n v="-40.712839980080901"/>
    <n v="-14.7683571001999"/>
    <n v="-40.848717709854299"/>
    <n v="-14.8509305598973"/>
    <s v="116"/>
    <s v="BA"/>
    <s v="Eixo Principal"/>
    <s v="-"/>
    <s v="116BBA0955"/>
    <s v="ENTR BA-959 (P/JOSÉ GONÇALVES)"/>
    <s v="ENTR BR-407/BA-262(B)"/>
    <n v="813.9"/>
    <n v="831.3"/>
    <n v="17.399999999999999"/>
    <x v="2"/>
    <m/>
    <m/>
    <s v="Concessão Federal"/>
    <m/>
    <m/>
    <m/>
    <s v="Federal"/>
    <s v="PAV"/>
    <s v="Vitória da Conquista"/>
  </r>
  <r>
    <x v="0"/>
    <s v="116BBA0960"/>
    <n v="0"/>
    <x v="86"/>
    <s v="0960"/>
    <n v="-40.848717709854299"/>
    <n v="-14.8509305598973"/>
    <n v="-40.851603360006997"/>
    <n v="-14.873058559604701"/>
    <s v="116"/>
    <s v="BA"/>
    <s v="Eixo Principal"/>
    <s v="-"/>
    <s v="116BBA0960"/>
    <s v="ENTR BR-407/BA-262(B)"/>
    <s v="ENTR BR-415 (VITÓRIA DA CONQUISTA)"/>
    <n v="831.3"/>
    <n v="834.4"/>
    <n v="3.1"/>
    <x v="2"/>
    <m/>
    <m/>
    <s v="Concessão Federal"/>
    <m/>
    <m/>
    <m/>
    <s v="Federal"/>
    <s v="PAV"/>
    <s v="Vitória da Conquista"/>
  </r>
  <r>
    <x v="0"/>
    <s v="116BBA0965"/>
    <n v="0"/>
    <x v="86"/>
    <s v="0965"/>
    <n v="-40.851603360006997"/>
    <n v="-14.873058559604701"/>
    <n v="-40.864418010282897"/>
    <n v="-14.8940119997539"/>
    <s v="116"/>
    <s v="BA"/>
    <s v="Eixo Principal"/>
    <s v="-"/>
    <s v="116BBA0965"/>
    <s v="ENTR BR-415 (VITÓRIA DA CONQUISTA)"/>
    <s v="ENTR BA-263"/>
    <n v="834.4"/>
    <n v="837.2"/>
    <n v="2.8"/>
    <x v="2"/>
    <m/>
    <m/>
    <s v="Concessão Federal"/>
    <m/>
    <m/>
    <m/>
    <s v="Federal"/>
    <s v="PAV"/>
    <s v="Vitória da Conquista"/>
  </r>
  <r>
    <x v="0"/>
    <s v="116BBA0970"/>
    <n v="0"/>
    <x v="86"/>
    <s v="0970"/>
    <n v="-40.864418010282897"/>
    <n v="-14.8940119997539"/>
    <n v="-41.236906650021801"/>
    <n v="-15.5127605303741"/>
    <s v="116"/>
    <s v="BA"/>
    <s v="Eixo Principal"/>
    <s v="-"/>
    <s v="116BBA0970"/>
    <s v="ENTR BA-263"/>
    <s v="INÍCIO PONTE S/ RIO PARDO (CÂNDIDO SALES)"/>
    <n v="837.2"/>
    <n v="919.5"/>
    <n v="82.3"/>
    <x v="2"/>
    <m/>
    <m/>
    <s v="Concessão Federal"/>
    <m/>
    <m/>
    <m/>
    <s v="Federal"/>
    <s v="PAV"/>
    <s v="Vitória da Conquista"/>
  </r>
  <r>
    <x v="0"/>
    <s v="116BBA0972"/>
    <n v="0"/>
    <x v="86"/>
    <s v="0972"/>
    <n v="-41.236906650021801"/>
    <n v="-15.5127605303741"/>
    <n v="-41.243475399869702"/>
    <n v="-15.523232110373501"/>
    <s v="116"/>
    <s v="BA"/>
    <s v="Eixo Principal"/>
    <s v="-"/>
    <s v="116BBA0972"/>
    <s v="INÍCIO PONTE S/ RIO PARDO (CÂNDIDO SALES)"/>
    <s v="ENTR BA-270 (P/ ENCRUZILHADA)"/>
    <n v="919.5"/>
    <n v="922"/>
    <n v="2.5"/>
    <x v="2"/>
    <m/>
    <m/>
    <s v="Concessão Federal"/>
    <m/>
    <m/>
    <m/>
    <s v="Federal"/>
    <s v="PAV"/>
    <s v="Vitória da Conquista"/>
  </r>
  <r>
    <x v="0"/>
    <s v="116BBA0990"/>
    <n v="0"/>
    <x v="86"/>
    <s v="0990"/>
    <n v="-41.243475399869702"/>
    <n v="-15.523232110373501"/>
    <n v="-41.333496589695798"/>
    <n v="-15.700048399713801"/>
    <s v="116"/>
    <s v="BA"/>
    <s v="Eixo Principal"/>
    <s v="-"/>
    <s v="116BBA0990"/>
    <s v="ENTR BA-270 (P/ ENCRUZILHADA)"/>
    <s v="DIV BA/MG"/>
    <n v="922"/>
    <n v="944.7"/>
    <n v="22.7"/>
    <x v="2"/>
    <m/>
    <m/>
    <s v="Concessão Federal"/>
    <m/>
    <m/>
    <m/>
    <s v="Federal"/>
    <s v="PAV"/>
    <s v="Vitória da Conquista"/>
  </r>
  <r>
    <x v="0"/>
    <s v="116BCE0015"/>
    <n v="0"/>
    <x v="87"/>
    <s v="0015"/>
    <n v="-38.5233384901791"/>
    <n v="-3.75387764963375"/>
    <n v="-38.504971580274102"/>
    <n v="-3.8310516400211401"/>
    <s v="116"/>
    <s v="CE"/>
    <s v="Eixo Principal"/>
    <s v="-"/>
    <s v="116BCE0015"/>
    <s v="FORTALEZA (AVENIDA 13 DE MAIO)"/>
    <s v="ENTR AV. JORNALISTA TOMÁZ COELHO"/>
    <n v="0"/>
    <n v="9.5"/>
    <n v="9.5"/>
    <x v="0"/>
    <m/>
    <m/>
    <s v="Federal"/>
    <m/>
    <m/>
    <m/>
    <s v="Federal"/>
    <s v="PAV"/>
    <s v="Fortaleza"/>
  </r>
  <r>
    <x v="0"/>
    <s v="116BCE0017"/>
    <n v="0"/>
    <x v="87"/>
    <s v="0017"/>
    <n v="-38.504971580274102"/>
    <n v="-3.8310516400211401"/>
    <n v="-38.495874280373599"/>
    <n v="-3.8503353601886898"/>
    <s v="116"/>
    <s v="CE"/>
    <s v="Eixo Principal"/>
    <s v="-"/>
    <s v="116BCE0017"/>
    <s v="ENTR AV. JORNALISTA TOMÁZ COELHO"/>
    <s v="ACESSO SUL DE MESSEJANA"/>
    <n v="9.5"/>
    <n v="11.8"/>
    <n v="2.2999999999999998"/>
    <x v="0"/>
    <m/>
    <m/>
    <s v="Federal"/>
    <m/>
    <m/>
    <m/>
    <s v="Federal"/>
    <s v="PAV"/>
    <s v="Fortaleza"/>
  </r>
  <r>
    <x v="0"/>
    <s v="116BCE0020"/>
    <n v="0"/>
    <x v="87"/>
    <s v="0020"/>
    <n v="-38.495874280373599"/>
    <n v="-3.8503353601886898"/>
    <n v="-38.498760280362603"/>
    <n v="-3.8714592596370401"/>
    <s v="116"/>
    <s v="CE"/>
    <s v="Eixo Principal"/>
    <s v="-"/>
    <s v="116BCE0020"/>
    <s v="ACESSO SUL DE MESSEJANA"/>
    <s v="ENTR BR-020 (ANEL VIÁRIO DE FORTALEZA)"/>
    <n v="11.8"/>
    <n v="14.2"/>
    <n v="2.4"/>
    <x v="0"/>
    <m/>
    <m/>
    <s v="Federal"/>
    <m/>
    <m/>
    <m/>
    <s v="Federal"/>
    <s v="PAV"/>
    <s v="Fortaleza"/>
  </r>
  <r>
    <x v="0"/>
    <s v="116BCE0030"/>
    <n v="0"/>
    <x v="87"/>
    <s v="0030"/>
    <n v="-38.498760280362603"/>
    <n v="-3.8714592596370401"/>
    <n v="-38.514457159769997"/>
    <n v="-3.9744020300296299"/>
    <s v="116"/>
    <s v="CE"/>
    <s v="Eixo Principal"/>
    <s v="-"/>
    <s v="116BCE0030"/>
    <s v="ENTR BR-020 (ANEL VIÁRIO DE FORTALEZA)"/>
    <s v="ENTR CE-350(A) (ITAITINGA)"/>
    <n v="14.2"/>
    <n v="25.9"/>
    <n v="11.7"/>
    <x v="0"/>
    <m/>
    <m/>
    <s v="Federal"/>
    <m/>
    <m/>
    <m/>
    <s v="Federal"/>
    <s v="PAV"/>
    <s v="Fortaleza"/>
  </r>
  <r>
    <x v="0"/>
    <s v="116BCE0040"/>
    <n v="0"/>
    <x v="87"/>
    <s v="0040"/>
    <n v="-38.514457159769997"/>
    <n v="-3.9744020300296299"/>
    <n v="-38.5042754096823"/>
    <n v="-4.0600138699441004"/>
    <s v="116"/>
    <s v="CE"/>
    <s v="Eixo Principal"/>
    <s v="-"/>
    <s v="116BCE0040"/>
    <s v="ENTR CE-350(A) (ITAITINGA)"/>
    <s v="ENTR CE-350(B) (COLUNA)"/>
    <n v="25.9"/>
    <n v="35.9"/>
    <n v="10"/>
    <x v="0"/>
    <m/>
    <m/>
    <s v="Federal"/>
    <m/>
    <m/>
    <m/>
    <s v="Federal"/>
    <s v="PAV"/>
    <s v="Fortaleza"/>
  </r>
  <r>
    <x v="0"/>
    <s v="116BCE0050"/>
    <n v="0"/>
    <x v="87"/>
    <s v="0050"/>
    <n v="-38.5042754096823"/>
    <n v="-4.0600138699441004"/>
    <n v="-38.498548339833903"/>
    <n v="-4.08275958968329"/>
    <s v="116"/>
    <s v="CE"/>
    <s v="Eixo Principal"/>
    <s v="-"/>
    <s v="116BCE0050"/>
    <s v="ENTR CE-350(B) (COLUNA)"/>
    <s v="ACESSO NORTE DE HORIZONTE"/>
    <n v="35.9"/>
    <n v="38.4"/>
    <n v="2.5"/>
    <x v="0"/>
    <m/>
    <m/>
    <s v="Federal"/>
    <m/>
    <m/>
    <m/>
    <s v="Federal"/>
    <s v="PAV"/>
    <s v="Fortaleza"/>
  </r>
  <r>
    <x v="0"/>
    <s v="116BCE0060"/>
    <n v="0"/>
    <x v="87"/>
    <s v="0060"/>
    <n v="-38.498548339833903"/>
    <n v="-4.08275958968329"/>
    <n v="-38.489467760129003"/>
    <n v="-4.1144826298694204"/>
    <s v="116"/>
    <s v="CE"/>
    <s v="Eixo Principal"/>
    <s v="-"/>
    <s v="116BCE0060"/>
    <s v="ACESSO NORTE DE HORIZONTE"/>
    <s v="ACESSO SUL DE HORIZONTE"/>
    <n v="38.4"/>
    <n v="42.9"/>
    <n v="4.5"/>
    <x v="0"/>
    <m/>
    <m/>
    <s v="Federal"/>
    <m/>
    <m/>
    <m/>
    <s v="Federal"/>
    <s v="PAV"/>
    <s v="Fortaleza"/>
  </r>
  <r>
    <x v="0"/>
    <s v="116BCE0070"/>
    <n v="0"/>
    <x v="87"/>
    <s v="0070"/>
    <n v="-38.489467760129003"/>
    <n v="-4.1144826298694204"/>
    <n v="-38.477680339775802"/>
    <n v="-4.1465543803802802"/>
    <s v="116"/>
    <s v="CE"/>
    <s v="Eixo Principal"/>
    <s v="-"/>
    <s v="116BCE0070"/>
    <s v="ACESSO SUL DE HORIZONTE"/>
    <s v="ACESSO NORTE DE PACAJÚS"/>
    <n v="42.9"/>
    <n v="46.9"/>
    <n v="4"/>
    <x v="0"/>
    <m/>
    <m/>
    <s v="Federal"/>
    <m/>
    <m/>
    <m/>
    <s v="Federal"/>
    <s v="PAV"/>
    <s v="Fortaleza"/>
  </r>
  <r>
    <x v="0"/>
    <s v="116BCE0080"/>
    <n v="0"/>
    <x v="87"/>
    <s v="0080"/>
    <n v="-38.477680339775802"/>
    <n v="-4.1465543803802802"/>
    <n v="-38.4691985502728"/>
    <n v="-4.1975154497781597"/>
    <s v="116"/>
    <s v="CE"/>
    <s v="Eixo Principal"/>
    <s v="-"/>
    <s v="116BCE0080"/>
    <s v="ACESSO NORTE DE PACAJÚS"/>
    <s v="ACESSO SUL DE PACAJÚS"/>
    <n v="46.9"/>
    <n v="54.3"/>
    <n v="7.4"/>
    <x v="0"/>
    <m/>
    <m/>
    <s v="Federal"/>
    <m/>
    <m/>
    <m/>
    <s v="Federal"/>
    <s v="PAV"/>
    <s v="Fortaleza"/>
  </r>
  <r>
    <x v="0"/>
    <s v="116BCE0090"/>
    <n v="0"/>
    <x v="87"/>
    <s v="0090"/>
    <n v="-38.4691985502728"/>
    <n v="-4.1975154497781597"/>
    <n v="-38.501757620018097"/>
    <n v="-4.2992830904422004"/>
    <s v="116"/>
    <s v="CE"/>
    <s v="Eixo Principal"/>
    <s v="-"/>
    <s v="116BCE0090"/>
    <s v="ACESSO SUL DE PACAJÚS"/>
    <s v="ENTR BR-122(A)/CE-354 (CHORÓZINHO)"/>
    <n v="54.3"/>
    <n v="66.2"/>
    <n v="11.9"/>
    <x v="2"/>
    <m/>
    <m/>
    <s v="Federal"/>
    <m/>
    <m/>
    <m/>
    <s v="Federal"/>
    <s v="PAV"/>
    <s v="Russas"/>
  </r>
  <r>
    <x v="0"/>
    <s v="116BCE0100"/>
    <n v="0"/>
    <x v="87"/>
    <s v="0100"/>
    <n v="-38.501757620018097"/>
    <n v="-4.2992830904422004"/>
    <n v="-38.479036080350703"/>
    <n v="-4.3359567303187898"/>
    <s v="116"/>
    <s v="CE"/>
    <s v="Eixo Principal"/>
    <s v="-"/>
    <s v="116BCE0100"/>
    <s v="ENTR BR-122(A)/CE-354 (CHORÓZINHO)"/>
    <s v="ENTR BR-122(B) (P/QUIXADA)"/>
    <n v="66.2"/>
    <n v="71.2"/>
    <n v="5"/>
    <x v="2"/>
    <m/>
    <s v="122BCE0010"/>
    <s v="Federal"/>
    <m/>
    <m/>
    <m/>
    <s v="Federal"/>
    <s v="PAV"/>
    <s v="Russas"/>
  </r>
  <r>
    <x v="0"/>
    <s v="116BCE0110"/>
    <n v="0"/>
    <x v="87"/>
    <s v="0110"/>
    <n v="-38.479036080350703"/>
    <n v="-4.3359567303187898"/>
    <n v="-38.358080959568603"/>
    <n v="-4.5057950396093203"/>
    <s v="116"/>
    <s v="CE"/>
    <s v="Eixo Principal"/>
    <s v="-"/>
    <s v="116BCE0110"/>
    <s v="ENTR BR-122(B) (P/QUIXADA)"/>
    <s v="ENTR CE-138 (P/MORADA NOVA)"/>
    <n v="71.2"/>
    <n v="95.1"/>
    <n v="23.9"/>
    <x v="2"/>
    <m/>
    <m/>
    <s v="Federal"/>
    <m/>
    <m/>
    <m/>
    <s v="Federal"/>
    <s v="PAV"/>
    <s v="Russas"/>
  </r>
  <r>
    <x v="0"/>
    <s v="116BCE0120"/>
    <n v="0"/>
    <x v="87"/>
    <s v="0120"/>
    <n v="-38.358080959568603"/>
    <n v="-4.5057950396093203"/>
    <n v="-38.210209780157101"/>
    <n v="-4.59325930037636"/>
    <s v="116"/>
    <s v="CE"/>
    <s v="Eixo Principal"/>
    <s v="-"/>
    <s v="116BCE0120"/>
    <s v="ENTR CE-138 (P/MORADA NOVA)"/>
    <s v="ENTR BR-304 (BOQUEIRÃO DO CESÁRIO)"/>
    <n v="95.1"/>
    <n v="114.6"/>
    <n v="19.5"/>
    <x v="2"/>
    <m/>
    <m/>
    <s v="Federal"/>
    <m/>
    <m/>
    <m/>
    <s v="Federal"/>
    <s v="PAV"/>
    <s v="Russas"/>
  </r>
  <r>
    <x v="0"/>
    <s v="116BCE0130"/>
    <n v="0"/>
    <x v="87"/>
    <s v="0130"/>
    <n v="-38.210209780157101"/>
    <n v="-4.59325930037636"/>
    <n v="-38.051129230429503"/>
    <n v="-4.7713122501601699"/>
    <s v="116"/>
    <s v="CE"/>
    <s v="Eixo Principal"/>
    <s v="-"/>
    <s v="116BCE0130"/>
    <s v="ENTR BR-304 (BOQUEIRÃO DO CESÁRIO)"/>
    <s v="ENTR CE-371(A) (PEDRAS)"/>
    <n v="114.6"/>
    <n v="141.80000000000001"/>
    <n v="27.2"/>
    <x v="2"/>
    <m/>
    <m/>
    <s v="Federal"/>
    <m/>
    <m/>
    <m/>
    <s v="Federal"/>
    <s v="PAV"/>
    <s v="Russas"/>
  </r>
  <r>
    <x v="0"/>
    <s v="116BCE0140"/>
    <n v="0"/>
    <x v="87"/>
    <s v="0140"/>
    <n v="-38.051129230429503"/>
    <n v="-4.7713122501601699"/>
    <n v="-38.058275679578898"/>
    <n v="-4.7917620196014896"/>
    <s v="116"/>
    <s v="CE"/>
    <s v="Eixo Principal"/>
    <s v="-"/>
    <s v="116BCE0140"/>
    <s v="ENTR CE-371(A) (PEDRAS)"/>
    <s v="ENTR CE-371(B)"/>
    <n v="141.80000000000001"/>
    <n v="144.5"/>
    <n v="2.7"/>
    <x v="2"/>
    <m/>
    <m/>
    <s v="Federal"/>
    <m/>
    <m/>
    <m/>
    <s v="Federal"/>
    <s v="PAV"/>
    <s v="Russas"/>
  </r>
  <r>
    <x v="0"/>
    <s v="116BCE0150"/>
    <n v="0"/>
    <x v="87"/>
    <s v="0150"/>
    <n v="-38.058275679578898"/>
    <n v="-4.7917620196014896"/>
    <n v="-38.042278449990398"/>
    <n v="-4.8445793301718796"/>
    <s v="116"/>
    <s v="CE"/>
    <s v="Eixo Principal"/>
    <s v="-"/>
    <s v="116BCE0150"/>
    <s v="ENTR CE-371(B)"/>
    <s v="ENTR CE-263 (P/JAGUARUANA)"/>
    <n v="144.5"/>
    <n v="150.9"/>
    <n v="6.4"/>
    <x v="2"/>
    <m/>
    <m/>
    <s v="Federal"/>
    <m/>
    <m/>
    <m/>
    <s v="Federal"/>
    <s v="PAV"/>
    <s v="Russas"/>
  </r>
  <r>
    <x v="0"/>
    <s v="116BCE0160"/>
    <n v="0"/>
    <x v="87"/>
    <s v="0160"/>
    <n v="-38.042278449990398"/>
    <n v="-4.8445793301718796"/>
    <n v="-37.990041079831897"/>
    <n v="-4.9287245799753201"/>
    <s v="116"/>
    <s v="CE"/>
    <s v="Eixo Principal"/>
    <s v="-"/>
    <s v="116BCE0160"/>
    <s v="ENTR CE-263 (P/JAGUARUANA)"/>
    <s v="RUSSAS (ACESSO PRINCIPAL)"/>
    <n v="150.9"/>
    <n v="161.9"/>
    <n v="11"/>
    <x v="2"/>
    <m/>
    <m/>
    <s v="Federal"/>
    <m/>
    <m/>
    <m/>
    <s v="Federal"/>
    <s v="PAV"/>
    <s v="Russas"/>
  </r>
  <r>
    <x v="0"/>
    <s v="116BCE0170"/>
    <n v="0"/>
    <x v="87"/>
    <s v="0170"/>
    <n v="-37.990041079831897"/>
    <n v="-4.9287245799753201"/>
    <n v="-38.146514959897402"/>
    <n v="-5.1198746696802004"/>
    <s v="116"/>
    <s v="CE"/>
    <s v="Eixo Principal"/>
    <s v="-"/>
    <s v="116BCE0170"/>
    <s v="RUSSAS (ACESSO PRINCIPAL)"/>
    <s v="ENTR CE-265(A) (P/MORADA NOVA)"/>
    <n v="161.9"/>
    <n v="190.4"/>
    <n v="28.5"/>
    <x v="2"/>
    <m/>
    <m/>
    <s v="Federal"/>
    <m/>
    <m/>
    <m/>
    <s v="Federal"/>
    <s v="PAV"/>
    <s v="Russas"/>
  </r>
  <r>
    <x v="0"/>
    <s v="116BCE0180"/>
    <n v="0"/>
    <x v="87"/>
    <s v="0180"/>
    <n v="-38.146514959897402"/>
    <n v="-5.1198746696802004"/>
    <n v="-38.155778059709597"/>
    <n v="-5.1500242398267302"/>
    <s v="116"/>
    <s v="CE"/>
    <s v="Eixo Principal"/>
    <s v="-"/>
    <s v="116BCE0180"/>
    <s v="ENTR CE-265(A) (P/MORADA NOVA)"/>
    <s v="ENTR CE-265(B) (P/LIMOEIRO DO NORTE)"/>
    <n v="190.4"/>
    <n v="194.4"/>
    <n v="4"/>
    <x v="2"/>
    <m/>
    <m/>
    <s v="Federal"/>
    <m/>
    <m/>
    <m/>
    <s v="Federal"/>
    <s v="PAV"/>
    <s v="Russas"/>
  </r>
  <r>
    <x v="0"/>
    <s v="116BCE0190"/>
    <n v="0"/>
    <x v="87"/>
    <s v="0190"/>
    <n v="-38.155778059709597"/>
    <n v="-5.1500242398267302"/>
    <n v="-38.194473639946402"/>
    <n v="-5.2328112003765401"/>
    <s v="116"/>
    <s v="CE"/>
    <s v="Eixo Principal"/>
    <s v="-"/>
    <s v="116BCE0190"/>
    <s v="ENTR CE-265(B) (P/LIMOEIRO DO NORTE)"/>
    <s v="ENTR CE-377 (PEIXE GORDO)"/>
    <n v="194.4"/>
    <n v="207.4"/>
    <n v="13"/>
    <x v="2"/>
    <m/>
    <m/>
    <s v="Federal"/>
    <m/>
    <m/>
    <m/>
    <s v="Federal"/>
    <s v="PAV"/>
    <s v="Russas"/>
  </r>
  <r>
    <x v="0"/>
    <s v="116BCE0200"/>
    <n v="0"/>
    <x v="87"/>
    <s v="0200"/>
    <n v="-38.194473639946402"/>
    <n v="-5.2328112003765401"/>
    <n v="-38.173957739757803"/>
    <n v="-5.2995183996543398"/>
    <s v="116"/>
    <s v="CE"/>
    <s v="Eixo Principal"/>
    <s v="-"/>
    <s v="116BCE0200"/>
    <s v="ENTR CE-377 (PEIXE GORDO)"/>
    <s v="ENTR BR-437"/>
    <n v="207.4"/>
    <n v="215.2"/>
    <n v="7.8"/>
    <x v="2"/>
    <m/>
    <m/>
    <s v="Federal"/>
    <m/>
    <m/>
    <m/>
    <s v="Federal"/>
    <s v="PAV"/>
    <s v="Russas"/>
  </r>
  <r>
    <x v="0"/>
    <s v="116BCE0210"/>
    <n v="0"/>
    <x v="87"/>
    <s v="0210"/>
    <n v="-38.173957739757803"/>
    <n v="-5.2995183996543398"/>
    <n v="-38.231144929894498"/>
    <n v="-5.3939386601410302"/>
    <s v="116"/>
    <s v="CE"/>
    <s v="Eixo Principal"/>
    <s v="-"/>
    <s v="116BCE0210"/>
    <s v="ENTR BR-437"/>
    <s v="ENTR CE-138 (P/ALTO SANTO)"/>
    <n v="215.2"/>
    <n v="227.8"/>
    <n v="12.6"/>
    <x v="2"/>
    <m/>
    <m/>
    <s v="Federal"/>
    <m/>
    <m/>
    <m/>
    <s v="Federal"/>
    <s v="PAV"/>
    <s v="Russas"/>
  </r>
  <r>
    <x v="0"/>
    <s v="116BCE0220"/>
    <n v="0"/>
    <x v="87"/>
    <s v="0220"/>
    <n v="-38.231144929894498"/>
    <n v="-5.3939386601410302"/>
    <n v="-38.398196320203901"/>
    <n v="-5.4843913401881501"/>
    <s v="116"/>
    <s v="CE"/>
    <s v="Eixo Principal"/>
    <s v="-"/>
    <s v="116BCE0220"/>
    <s v="ENTR CE-138 (P/ALTO SANTO)"/>
    <s v="ENTR CE-269"/>
    <n v="227.8"/>
    <n v="249.1"/>
    <n v="21.3"/>
    <x v="2"/>
    <m/>
    <m/>
    <s v="Federal"/>
    <m/>
    <m/>
    <m/>
    <s v="Federal"/>
    <s v="PAV"/>
    <s v="Russas"/>
  </r>
  <r>
    <x v="0"/>
    <s v="116BCE0230"/>
    <n v="0"/>
    <x v="87"/>
    <s v="0230"/>
    <n v="-38.398196320203901"/>
    <n v="-5.4843913401881501"/>
    <n v="-38.5182122196181"/>
    <n v="-5.7471382404373799"/>
    <s v="116"/>
    <s v="CE"/>
    <s v="Eixo Principal"/>
    <s v="-"/>
    <s v="116BCE0230"/>
    <s v="ENTR CE-269"/>
    <s v="ENTR CE-273 (P/AÇUDE CASTANHÃO)"/>
    <n v="249.1"/>
    <n v="287.89999999999998"/>
    <n v="38.799999999999997"/>
    <x v="2"/>
    <m/>
    <m/>
    <s v="Federal"/>
    <m/>
    <m/>
    <m/>
    <s v="Federal"/>
    <s v="PAV"/>
    <s v="Russas"/>
  </r>
  <r>
    <x v="0"/>
    <s v="116BCE0240"/>
    <n v="0"/>
    <x v="87"/>
    <s v="0240"/>
    <n v="-38.5182122196181"/>
    <n v="-5.7471382404373799"/>
    <n v="-38.624315359665999"/>
    <n v="-5.9055089795556901"/>
    <s v="116"/>
    <s v="CE"/>
    <s v="Eixo Principal"/>
    <s v="-"/>
    <s v="116BCE0240"/>
    <s v="ENTR CE-273 (P/AÇUDE CASTANHÃO)"/>
    <s v="ENTR BR-226(A)/CE-275(A) (JAGUARIBE)"/>
    <n v="287.89999999999998"/>
    <n v="310.3"/>
    <n v="22.4"/>
    <x v="2"/>
    <m/>
    <m/>
    <s v="Federal"/>
    <m/>
    <m/>
    <m/>
    <s v="Federal"/>
    <s v="PAV"/>
    <s v="Icó"/>
  </r>
  <r>
    <x v="0"/>
    <s v="116BCE0250"/>
    <n v="0"/>
    <x v="87"/>
    <s v="0250"/>
    <n v="-38.624315359665999"/>
    <n v="-5.9055089795556901"/>
    <n v="-38.6276472597132"/>
    <n v="-5.9882433603427696"/>
    <s v="116"/>
    <s v="CE"/>
    <s v="Eixo Principal"/>
    <s v="-"/>
    <s v="116BCE0250"/>
    <s v="ENTR BR-226(A)/CE-275(A) (JAGUARIBE)"/>
    <s v="ENTR BR-226(B)/CE-275(B) (P/PEREIRO)"/>
    <n v="310.3"/>
    <n v="319.7"/>
    <n v="9.4"/>
    <x v="2"/>
    <m/>
    <s v="226BCE0490"/>
    <s v="Federal"/>
    <m/>
    <m/>
    <m/>
    <s v="Federal"/>
    <s v="PAV"/>
    <s v="Icó"/>
  </r>
  <r>
    <x v="0"/>
    <s v="116BCE0260"/>
    <n v="0"/>
    <x v="87"/>
    <s v="0260"/>
    <n v="-38.6276472597132"/>
    <n v="-5.9882433603427696"/>
    <n v="-38.845731339629502"/>
    <n v="-6.4053861401582104"/>
    <s v="116"/>
    <s v="CE"/>
    <s v="Eixo Principal"/>
    <s v="-"/>
    <s v="116BCE0260"/>
    <s v="ENTR BR-226(B)/CE-275(B) (P/PEREIRO)"/>
    <s v="ENTR BR-404/434 (ICÓ)"/>
    <n v="319.7"/>
    <n v="377"/>
    <n v="57.3"/>
    <x v="2"/>
    <m/>
    <m/>
    <s v="Federal"/>
    <m/>
    <m/>
    <m/>
    <s v="Federal"/>
    <s v="PAV"/>
    <s v="Icó"/>
  </r>
  <r>
    <x v="0"/>
    <s v="116BCE0270"/>
    <n v="0"/>
    <x v="87"/>
    <s v="0270"/>
    <n v="-38.845731339629502"/>
    <n v="-6.4053861401582104"/>
    <n v="-38.823148909794298"/>
    <n v="-6.6473599898715703"/>
    <s v="116"/>
    <s v="CE"/>
    <s v="Eixo Principal"/>
    <s v="-"/>
    <s v="116BCE0270"/>
    <s v="ENTR BR-404/434 (ICÓ)"/>
    <s v="ENTR CE-284 (P/UMARI)"/>
    <n v="377"/>
    <n v="406.2"/>
    <n v="29.2"/>
    <x v="2"/>
    <m/>
    <m/>
    <s v="Federal"/>
    <m/>
    <m/>
    <m/>
    <s v="Federal"/>
    <s v="PAV"/>
    <s v="Icó"/>
  </r>
  <r>
    <x v="0"/>
    <s v="116BCE0280"/>
    <n v="0"/>
    <x v="87"/>
    <s v="0280"/>
    <n v="-38.823148909794298"/>
    <n v="-6.6473599898715703"/>
    <n v="-38.793270630035501"/>
    <n v="-6.74058434988779"/>
    <s v="116"/>
    <s v="CE"/>
    <s v="Eixo Principal"/>
    <s v="-"/>
    <s v="116BCE0280"/>
    <s v="ENTR CE-284 (P/UMARI)"/>
    <s v="ENTR BR-230(A) (P/LAVRAS DA MANGABEIRA)"/>
    <n v="406.2"/>
    <n v="417.3"/>
    <n v="11.1"/>
    <x v="2"/>
    <m/>
    <m/>
    <s v="Federal"/>
    <m/>
    <m/>
    <m/>
    <s v="Federal"/>
    <s v="PAV"/>
    <s v="Icó"/>
  </r>
  <r>
    <x v="0"/>
    <s v="116BCE0290"/>
    <n v="0"/>
    <x v="87"/>
    <s v="0290"/>
    <n v="-38.793270630035501"/>
    <n v="-6.74058434988779"/>
    <n v="-38.755295699936497"/>
    <n v="-6.8090147095611497"/>
    <s v="116"/>
    <s v="CE"/>
    <s v="Eixo Principal"/>
    <s v="-"/>
    <s v="116BCE0290"/>
    <s v="ENTR BR-230(A) (P/LAVRAS DA MANGABEIRA)"/>
    <s v="ENTR CE-286 (P/IPAUMIRIM)"/>
    <n v="417.3"/>
    <n v="426.2"/>
    <n v="8.9"/>
    <x v="2"/>
    <m/>
    <s v="230BCE0560"/>
    <s v="Federal"/>
    <m/>
    <m/>
    <m/>
    <s v="Federal"/>
    <s v="PAV"/>
    <s v="Icó"/>
  </r>
  <r>
    <x v="0"/>
    <s v="116BCE0295"/>
    <n v="0"/>
    <x v="87"/>
    <s v="0295"/>
    <n v="-38.755295699936497"/>
    <n v="-6.8090147095611497"/>
    <n v="-38.737556509625101"/>
    <n v="-6.8415951696812796"/>
    <s v="116"/>
    <s v="CE"/>
    <s v="Eixo Principal"/>
    <s v="-"/>
    <s v="116BCE0295"/>
    <s v="ENTR CE-286 (P/IPAUMIRIM)"/>
    <s v="ENTR BR-230(B) (FELIZARDO)"/>
    <n v="426.2"/>
    <n v="430.4"/>
    <n v="4.2"/>
    <x v="2"/>
    <m/>
    <s v="230BCE0550"/>
    <s v="Federal"/>
    <m/>
    <m/>
    <m/>
    <s v="Federal"/>
    <s v="PAV"/>
    <s v="Icó"/>
  </r>
  <r>
    <x v="0"/>
    <s v="116BCE0310"/>
    <n v="0"/>
    <x v="87"/>
    <s v="0310"/>
    <n v="-38.737556509625101"/>
    <n v="-6.8415951696812796"/>
    <n v="-38.730093959568499"/>
    <n v="-6.8963345796770401"/>
    <s v="116"/>
    <s v="CE"/>
    <s v="Eixo Principal"/>
    <s v="-"/>
    <s v="116BCE0310"/>
    <s v="ENTR BR-230(B) (FELIZARDO)"/>
    <s v="DIV CE/PB"/>
    <n v="430.4"/>
    <n v="436.9"/>
    <n v="6.5"/>
    <x v="2"/>
    <m/>
    <m/>
    <s v="Federal"/>
    <m/>
    <m/>
    <m/>
    <s v="Federal"/>
    <s v="PAV"/>
    <s v="Icó"/>
  </r>
  <r>
    <x v="0"/>
    <s v="116BCE0350"/>
    <n v="0"/>
    <x v="87"/>
    <s v="0350"/>
    <n v="-38.752181259557403"/>
    <n v="-7.00508225983838"/>
    <n v="-38.765358020056503"/>
    <n v="-7.0234496104111397"/>
    <s v="116"/>
    <s v="CE"/>
    <s v="Eixo Principal"/>
    <s v="-"/>
    <s v="116BCE0350"/>
    <s v="DIV PB/CE"/>
    <s v="ENTR CE-288 (P/AURORA)"/>
    <n v="436.9"/>
    <n v="439.3"/>
    <n v="2.4"/>
    <x v="2"/>
    <m/>
    <m/>
    <s v="Federal"/>
    <m/>
    <m/>
    <m/>
    <s v="Federal"/>
    <s v="PAV"/>
    <s v="Icó"/>
  </r>
  <r>
    <x v="0"/>
    <s v="116BCE0360"/>
    <n v="0"/>
    <x v="87"/>
    <s v="0360"/>
    <n v="-38.765358020056503"/>
    <n v="-7.0234496104111397"/>
    <n v="-38.781457570010701"/>
    <n v="-7.17707605971236"/>
    <s v="116"/>
    <s v="CE"/>
    <s v="Eixo Principal"/>
    <s v="-"/>
    <s v="116BCE0360"/>
    <s v="ENTR CE-288 (P/AURORA)"/>
    <s v="ENTR CE-152/290 (BARRO)"/>
    <n v="439.3"/>
    <n v="456.8"/>
    <n v="17.5"/>
    <x v="2"/>
    <m/>
    <m/>
    <s v="Federal"/>
    <m/>
    <m/>
    <m/>
    <s v="Federal"/>
    <s v="PAV"/>
    <s v="Icó"/>
  </r>
  <r>
    <x v="0"/>
    <s v="116BCE0370"/>
    <n v="0"/>
    <x v="87"/>
    <s v="0370"/>
    <n v="-38.781457570010701"/>
    <n v="-7.17707605971236"/>
    <n v="-38.893487459978203"/>
    <n v="-7.3021136799023303"/>
    <s v="116"/>
    <s v="CE"/>
    <s v="Eixo Principal"/>
    <s v="-"/>
    <s v="116BCE0370"/>
    <s v="ENTR CE-152/290 (BARRO)"/>
    <s v="ENTR CE-384 (P/MAURITI)"/>
    <n v="456.8"/>
    <n v="478.9"/>
    <n v="22.1"/>
    <x v="2"/>
    <m/>
    <m/>
    <s v="Federal"/>
    <m/>
    <m/>
    <m/>
    <s v="Federal"/>
    <s v="PAV"/>
    <s v="Icó"/>
  </r>
  <r>
    <x v="0"/>
    <s v="116BCE0380"/>
    <n v="0"/>
    <x v="87"/>
    <s v="0380"/>
    <n v="-38.893487459978203"/>
    <n v="-7.3021136799023303"/>
    <n v="-38.934367239856201"/>
    <n v="-7.3088391797842798"/>
    <s v="116"/>
    <s v="CE"/>
    <s v="Eixo Principal"/>
    <s v="-"/>
    <s v="116BCE0380"/>
    <s v="ENTR CE-384 (P/MAURITI)"/>
    <s v="ENTR CE-393 (MILAGRES)"/>
    <n v="478.9"/>
    <n v="483.7"/>
    <n v="4.8"/>
    <x v="2"/>
    <m/>
    <m/>
    <s v="Federal"/>
    <m/>
    <m/>
    <m/>
    <s v="Federal"/>
    <s v="PAV"/>
    <s v="Icó"/>
  </r>
  <r>
    <x v="0"/>
    <s v="116BCE0390"/>
    <n v="0"/>
    <x v="87"/>
    <s v="0390"/>
    <n v="-38.934367239856201"/>
    <n v="-7.3088391797842798"/>
    <n v="-38.961675630425901"/>
    <n v="-7.3962665701460502"/>
    <s v="116"/>
    <s v="CE"/>
    <s v="Eixo Principal"/>
    <s v="-"/>
    <s v="116BCE0390"/>
    <s v="ENTR CE-393 (MILAGRES)"/>
    <s v="ENTR CE-293"/>
    <n v="483.7"/>
    <n v="494.4"/>
    <n v="10.7"/>
    <x v="2"/>
    <m/>
    <m/>
    <s v="Federal"/>
    <m/>
    <m/>
    <m/>
    <s v="Federal"/>
    <s v="PAV"/>
    <s v="Icó"/>
  </r>
  <r>
    <x v="0"/>
    <s v="116BCE0395"/>
    <n v="0"/>
    <x v="87"/>
    <s v="0395"/>
    <n v="-38.961675630425901"/>
    <n v="-7.3962665701460502"/>
    <n v="-38.983706300105602"/>
    <n v="-7.4867221900769803"/>
    <s v="116"/>
    <s v="CE"/>
    <s v="Eixo Principal"/>
    <s v="-"/>
    <s v="116BCE0395"/>
    <s v="ENTR CE-293"/>
    <s v="ENTR CE-397(A) (BREJO SANTO)"/>
    <n v="494.4"/>
    <n v="504.8"/>
    <n v="10.4"/>
    <x v="2"/>
    <m/>
    <m/>
    <s v="Federal"/>
    <m/>
    <m/>
    <m/>
    <s v="Federal"/>
    <s v="PAV"/>
    <s v="Icó"/>
  </r>
  <r>
    <x v="0"/>
    <s v="116BCE0410"/>
    <n v="0"/>
    <x v="87"/>
    <s v="0410"/>
    <n v="-38.983706300105602"/>
    <n v="-7.4867221900769803"/>
    <n v="-39.005374599657998"/>
    <n v="-7.53417502036086"/>
    <s v="116"/>
    <s v="CE"/>
    <s v="Eixo Principal"/>
    <s v="-"/>
    <s v="116BCE0410"/>
    <s v="ENTR CE-397(A) (BREJO SANTO)"/>
    <s v="ENTR CE-397(B) (P/PORTEIRAS)"/>
    <n v="504.8"/>
    <n v="511.1"/>
    <n v="6.3"/>
    <x v="2"/>
    <m/>
    <m/>
    <s v="Federal"/>
    <m/>
    <m/>
    <m/>
    <s v="Federal"/>
    <s v="PAV"/>
    <s v="Icó"/>
  </r>
  <r>
    <x v="0"/>
    <s v="116BCE0412"/>
    <n v="0"/>
    <x v="87"/>
    <s v="0412"/>
    <n v="-39.005374599657998"/>
    <n v="-7.53417502036086"/>
    <n v="-39.008856240423"/>
    <n v="-7.6904248496270498"/>
    <s v="116"/>
    <s v="CE"/>
    <s v="Eixo Principal"/>
    <s v="-"/>
    <s v="116BCE0412"/>
    <s v="ENTR CE-397(B) (P/PORTEIRAS)"/>
    <s v="ENTR CE-153 (JATI)"/>
    <n v="511.1"/>
    <n v="529.6"/>
    <n v="18.5"/>
    <x v="2"/>
    <m/>
    <m/>
    <s v="Federal"/>
    <m/>
    <m/>
    <m/>
    <s v="Federal"/>
    <s v="PAV"/>
    <s v="Icó"/>
  </r>
  <r>
    <x v="0"/>
    <s v="116BCE0414"/>
    <n v="0"/>
    <x v="87"/>
    <s v="0414"/>
    <n v="-39.008856240423"/>
    <n v="-7.6904248496270498"/>
    <n v="-39.087588930384797"/>
    <n v="-7.8264478001258304"/>
    <s v="116"/>
    <s v="CE"/>
    <s v="Eixo Principal"/>
    <s v="-"/>
    <s v="116BCE0414"/>
    <s v="ENTR CE-153 (JATI)"/>
    <s v="ENTR. AV. ANA TEREZA DE JESUS (PENAFORTE)"/>
    <n v="529.6"/>
    <n v="547.70000000000005"/>
    <n v="18.100000000000001"/>
    <x v="2"/>
    <m/>
    <m/>
    <s v="Federal"/>
    <m/>
    <m/>
    <m/>
    <s v="Federal"/>
    <s v="PAV"/>
    <s v="Icó"/>
  </r>
  <r>
    <x v="0"/>
    <s v="116BCE0416"/>
    <n v="0"/>
    <x v="87"/>
    <s v="0416"/>
    <n v="-39.087588930384797"/>
    <n v="-7.8264478001258304"/>
    <n v="-39.088535420073498"/>
    <n v="-7.8596892403660901"/>
    <s v="116"/>
    <s v="CE"/>
    <s v="Eixo Principal"/>
    <s v="-"/>
    <s v="116BCE0416"/>
    <s v="ENTR. AV. ANA TEREZA DE JESUS (PENAFORTE)"/>
    <s v="DIV CE/PE"/>
    <n v="547.70000000000005"/>
    <n v="551.4"/>
    <n v="3.7"/>
    <x v="2"/>
    <m/>
    <m/>
    <s v="Federal"/>
    <m/>
    <m/>
    <m/>
    <s v="Federal"/>
    <s v="PAV"/>
    <s v="Icó"/>
  </r>
  <r>
    <x v="0"/>
    <s v="116BMG1010"/>
    <n v="0"/>
    <x v="88"/>
    <s v="1010"/>
    <n v="-41.333496589695798"/>
    <n v="-15.700048399713801"/>
    <n v="-41.430857590105603"/>
    <n v="-15.8731384299945"/>
    <s v="116"/>
    <s v="MG"/>
    <s v="Eixo Principal"/>
    <s v="-"/>
    <s v="116BMG1010"/>
    <s v="DIV BA/MG"/>
    <s v="ENTR BR-251(A) (P/SALINAS)"/>
    <n v="0"/>
    <n v="25.2"/>
    <n v="25.2"/>
    <x v="2"/>
    <m/>
    <m/>
    <s v="Federal"/>
    <m/>
    <m/>
    <m/>
    <s v="Federal"/>
    <s v="PAV"/>
    <s v="Teófilo Otoni"/>
  </r>
  <r>
    <x v="0"/>
    <s v="116BMG1015"/>
    <n v="0"/>
    <x v="88"/>
    <s v="1015"/>
    <n v="-41.430857590105603"/>
    <n v="-15.8731384299945"/>
    <n v="-41.407287930393601"/>
    <n v="-15.9864557201553"/>
    <s v="116"/>
    <s v="MG"/>
    <s v="Eixo Principal"/>
    <s v="-"/>
    <s v="116BMG1015"/>
    <s v="ENTR BR-251(A) (P/SALINAS)"/>
    <s v="ENTR BR-251(B) (P/PEDRA AZUL)"/>
    <n v="25.2"/>
    <n v="40.5"/>
    <n v="15.3"/>
    <x v="2"/>
    <m/>
    <s v="251BMG0215"/>
    <s v="Federal"/>
    <m/>
    <m/>
    <m/>
    <s v="Federal"/>
    <s v="PAV"/>
    <s v="Teófilo Otoni"/>
  </r>
  <r>
    <x v="0"/>
    <s v="116BMG1020"/>
    <n v="0"/>
    <x v="88"/>
    <s v="1020"/>
    <n v="-41.407287930393601"/>
    <n v="-15.9864557201553"/>
    <n v="-41.473331390431198"/>
    <n v="-16.2346507704166"/>
    <s v="116"/>
    <s v="MG"/>
    <s v="Eixo Principal"/>
    <s v="-"/>
    <s v="116BMG1020"/>
    <s v="ENTR BR-251(B) (P/PEDRA AZUL)"/>
    <s v="MEDINA (ACESSO SUL)"/>
    <n v="40.5"/>
    <n v="73.900000000000006"/>
    <n v="33.4"/>
    <x v="2"/>
    <m/>
    <m/>
    <s v="Federal"/>
    <m/>
    <m/>
    <m/>
    <s v="Federal"/>
    <s v="PAV"/>
    <s v="Teófilo Otoni"/>
  </r>
  <r>
    <x v="0"/>
    <s v="116BMG1030"/>
    <n v="0"/>
    <x v="88"/>
    <s v="1030"/>
    <n v="-41.473331390431198"/>
    <n v="-16.2346507704166"/>
    <n v="-41.5039614800382"/>
    <n v="-16.576017369805701"/>
    <s v="116"/>
    <s v="MG"/>
    <s v="Eixo Principal"/>
    <s v="-"/>
    <s v="116BMG1030"/>
    <s v="MEDINA (ACESSO SUL)"/>
    <s v="ENTR BR-367 (P/ ITAOBIM)"/>
    <n v="73.900000000000006"/>
    <n v="117.3"/>
    <n v="43.4"/>
    <x v="2"/>
    <m/>
    <m/>
    <s v="Federal"/>
    <m/>
    <m/>
    <m/>
    <s v="Federal"/>
    <s v="PAV"/>
    <s v="Teófilo Otoni"/>
  </r>
  <r>
    <x v="0"/>
    <s v="116BMG1050"/>
    <n v="0"/>
    <x v="88"/>
    <s v="1050"/>
    <n v="-41.5039614800382"/>
    <n v="-16.576017369805701"/>
    <n v="-41.485395909893199"/>
    <n v="-17.078474619707801"/>
    <s v="116"/>
    <s v="MG"/>
    <s v="Eixo Principal"/>
    <s v="-"/>
    <s v="116BMG1050"/>
    <s v="ENTR BR-367 (P/ ITAOBIM)"/>
    <s v="PADRE PARAÍSO (ACESSO SUL)"/>
    <n v="117.3"/>
    <n v="179.3"/>
    <n v="62"/>
    <x v="2"/>
    <m/>
    <m/>
    <s v="Federal"/>
    <m/>
    <m/>
    <m/>
    <s v="Federal"/>
    <s v="PAV"/>
    <s v="Teófilo Otoni"/>
  </r>
  <r>
    <x v="0"/>
    <s v="116BMG1070"/>
    <n v="0"/>
    <x v="88"/>
    <s v="1070"/>
    <n v="-41.485395909893199"/>
    <n v="-17.078474619707801"/>
    <n v="-41.516755909957197"/>
    <n v="-17.300412819795699"/>
    <s v="116"/>
    <s v="MG"/>
    <s v="Eixo Principal"/>
    <s v="-"/>
    <s v="116BMG1070"/>
    <s v="PADRE PARAÍSO (ACESSO SUL)"/>
    <s v="ENTR BR-342(A) (RIB TRÊS BARRAS) (CATUGI)"/>
    <n v="179.3"/>
    <n v="207.1"/>
    <n v="27.8"/>
    <x v="2"/>
    <m/>
    <m/>
    <s v="Federal"/>
    <m/>
    <m/>
    <m/>
    <s v="Federal"/>
    <s v="PAV"/>
    <s v="Teófilo Otoni"/>
  </r>
  <r>
    <x v="0"/>
    <s v="116BMG1090"/>
    <n v="0"/>
    <x v="88"/>
    <s v="1090"/>
    <n v="-41.516755909957197"/>
    <n v="-17.300412819795699"/>
    <n v="-41.484908650014098"/>
    <n v="-17.683109520188101"/>
    <s v="116"/>
    <s v="MG"/>
    <s v="Eixo Principal"/>
    <s v="-"/>
    <s v="116BMG1090"/>
    <s v="ENTR BR-342(A) (RIB TRÊS BARRAS) (CATUGI)"/>
    <s v="ENTR MG-409 (P/TOPÁZIO)"/>
    <n v="207.1"/>
    <n v="255"/>
    <n v="47.9"/>
    <x v="2"/>
    <m/>
    <s v="342BMG0130"/>
    <s v="Federal"/>
    <m/>
    <m/>
    <m/>
    <s v="Federal"/>
    <s v="PAV"/>
    <s v="Teófilo Otoni"/>
  </r>
  <r>
    <x v="0"/>
    <s v="116BMG1110"/>
    <n v="0"/>
    <x v="88"/>
    <s v="1110"/>
    <n v="-41.484908650014098"/>
    <n v="-17.683109520188101"/>
    <n v="-41.514104660001998"/>
    <n v="-17.851849060285801"/>
    <s v="116"/>
    <s v="MG"/>
    <s v="Eixo Principal"/>
    <s v="-"/>
    <s v="116BMG1110"/>
    <s v="ENTR MG-409 (P/TOPÁZIO)"/>
    <s v="ENTR BR-342(B)/418/MG-217 (TEÓFILO OTONI)"/>
    <n v="255"/>
    <n v="276.10000000000002"/>
    <n v="21.1"/>
    <x v="2"/>
    <m/>
    <s v="342BMG0150"/>
    <s v="Federal"/>
    <m/>
    <m/>
    <m/>
    <s v="Federal"/>
    <s v="PAV"/>
    <s v="Teófilo Otoni"/>
  </r>
  <r>
    <x v="0"/>
    <s v="116BMG1130"/>
    <n v="0"/>
    <x v="88"/>
    <s v="1130"/>
    <n v="-41.514104660001998"/>
    <n v="-17.851849060285801"/>
    <n v="-41.659777749743299"/>
    <n v="-18.043089180221401"/>
    <s v="116"/>
    <s v="MG"/>
    <s v="Eixo Principal"/>
    <s v="-"/>
    <s v="116BMG1130"/>
    <s v="ENTR BR-342(B)/418/MG-217 (TEÓFILO OTONI)"/>
    <s v="ACESSO ITAMBACURI"/>
    <n v="276.10000000000002"/>
    <n v="306.5"/>
    <n v="30.4"/>
    <x v="2"/>
    <m/>
    <m/>
    <s v="Federal"/>
    <m/>
    <m/>
    <m/>
    <s v="Federal"/>
    <s v="PAV"/>
    <s v="Teófilo Otoni"/>
  </r>
  <r>
    <x v="0"/>
    <s v="116BMG1150"/>
    <n v="0"/>
    <x v="88"/>
    <s v="1150"/>
    <n v="-41.659777749743299"/>
    <n v="-18.043089180221401"/>
    <n v="-41.748676750231802"/>
    <n v="-18.2945128703726"/>
    <s v="116"/>
    <s v="MG"/>
    <s v="Eixo Principal"/>
    <s v="-"/>
    <s v="116BMG1150"/>
    <s v="ACESSO ITAMBACURI"/>
    <s v="ENTR MG-311 (P/PESCADOR)"/>
    <n v="306.5"/>
    <n v="337"/>
    <n v="30.5"/>
    <x v="2"/>
    <m/>
    <m/>
    <s v="Federal"/>
    <m/>
    <m/>
    <m/>
    <s v="Federal"/>
    <s v="PAV"/>
    <s v="Teófilo Otoni"/>
  </r>
  <r>
    <x v="0"/>
    <s v="116BMG1160"/>
    <n v="0"/>
    <x v="88"/>
    <s v="1160"/>
    <n v="-41.748676750231802"/>
    <n v="-18.2945128703726"/>
    <n v="-41.911525519587002"/>
    <n v="-18.572311980013801"/>
    <s v="116"/>
    <s v="MG"/>
    <s v="Eixo Principal"/>
    <s v="-"/>
    <s v="116BMG1160"/>
    <s v="ENTR MG-311 (P/PESCADOR)"/>
    <s v="PONTE S/ RIO SUAÇUÍ GRANDE (FREI INOCÊNCIO)"/>
    <n v="337"/>
    <n v="374.1"/>
    <n v="37.1"/>
    <x v="2"/>
    <m/>
    <m/>
    <s v="Federal"/>
    <m/>
    <m/>
    <m/>
    <s v="Federal"/>
    <s v="PAV"/>
    <s v="Teófilo Otoni"/>
  </r>
  <r>
    <x v="0"/>
    <s v="116BMG1170"/>
    <n v="0"/>
    <x v="88"/>
    <s v="1170"/>
    <n v="-41.911525519587002"/>
    <n v="-18.572311980013801"/>
    <n v="-41.9753595800805"/>
    <n v="-18.6616500304245"/>
    <s v="116"/>
    <s v="MG"/>
    <s v="Eixo Principal"/>
    <s v="-"/>
    <s v="116BMG1170"/>
    <s v="PONTE S/ RIO SUAÇUÍ GRANDE (FREI INOCÊNCIO)"/>
    <s v="ENTR BR-451(A)"/>
    <n v="374.1"/>
    <n v="386.2"/>
    <n v="12.1"/>
    <x v="2"/>
    <m/>
    <m/>
    <s v="Federal"/>
    <m/>
    <m/>
    <m/>
    <s v="Federal"/>
    <s v="PAV"/>
    <s v="Governador Valadares"/>
  </r>
  <r>
    <x v="0"/>
    <s v="116BMG1175"/>
    <n v="0"/>
    <x v="88"/>
    <s v="1175"/>
    <n v="-41.9753595800805"/>
    <n v="-18.6616500304245"/>
    <n v="-41.9859542700734"/>
    <n v="-18.822432039906602"/>
    <s v="116"/>
    <s v="MG"/>
    <s v="Eixo Principal"/>
    <s v="-"/>
    <s v="116BMG1175"/>
    <s v="ENTR BR-451(A)"/>
    <s v="ENTR BR-259"/>
    <n v="386.2"/>
    <n v="405.5"/>
    <n v="19.3"/>
    <x v="2"/>
    <m/>
    <s v="451BMG0085"/>
    <s v="Federal"/>
    <m/>
    <m/>
    <m/>
    <s v="Federal"/>
    <s v="PAV"/>
    <s v="Governador Valadares"/>
  </r>
  <r>
    <x v="0"/>
    <s v="116BMG1180"/>
    <n v="0"/>
    <x v="88"/>
    <s v="1180"/>
    <n v="-41.9859542700734"/>
    <n v="-18.822432039906602"/>
    <n v="-41.980517770278801"/>
    <n v="-18.8462106202238"/>
    <s v="116"/>
    <s v="MG"/>
    <s v="Eixo Principal"/>
    <s v="-"/>
    <s v="116BMG1180"/>
    <s v="ENTR BR-259"/>
    <s v="ENTR BR-381/451(B) (VIADUTO CONTORNO GOV VALADARES)"/>
    <n v="405.5"/>
    <n v="408.5"/>
    <n v="3"/>
    <x v="2"/>
    <m/>
    <s v="451BMG0090"/>
    <s v="Federal"/>
    <m/>
    <m/>
    <m/>
    <s v="Federal"/>
    <s v="PAV"/>
    <s v="Governador Valadares"/>
  </r>
  <r>
    <x v="0"/>
    <s v="116BMG1185"/>
    <n v="0"/>
    <x v="88"/>
    <s v="1185"/>
    <n v="-41.980517770278801"/>
    <n v="-18.8462106202238"/>
    <n v="-41.966365089777"/>
    <n v="-18.873906230088298"/>
    <s v="116"/>
    <s v="MG"/>
    <s v="Eixo Principal"/>
    <s v="-"/>
    <s v="116BMG1185"/>
    <s v="ENTR BR-381/451(B) (VIADUTO CONTORNO GOV VALADARES)"/>
    <s v="ENTR R EUCLIDES FELISMINO DE OLIVEIRA (GOV. VALADARES)"/>
    <n v="408.5"/>
    <n v="413"/>
    <n v="4.5"/>
    <x v="2"/>
    <m/>
    <m/>
    <s v="Federal"/>
    <m/>
    <m/>
    <m/>
    <s v="Federal"/>
    <s v="PAV"/>
    <s v="Governador Valadares"/>
  </r>
  <r>
    <x v="0"/>
    <s v="116BMG1190"/>
    <n v="0"/>
    <x v="88"/>
    <s v="1190"/>
    <n v="-41.966365089777"/>
    <n v="-18.873906230088298"/>
    <n v="-41.949941929576298"/>
    <n v="-18.945161929579299"/>
    <s v="116"/>
    <s v="MG"/>
    <s v="Eixo Principal"/>
    <s v="-"/>
    <s v="116BMG1190"/>
    <s v="ENTR R EUCLIDES FELISMINO DE OLIVEIRA (GOV. VALADARES)"/>
    <s v="ACESSO ITANHOMI"/>
    <n v="413"/>
    <n v="421.9"/>
    <n v="8.9"/>
    <x v="2"/>
    <m/>
    <m/>
    <s v="Federal"/>
    <m/>
    <m/>
    <m/>
    <s v="Federal"/>
    <s v="PAV"/>
    <s v="Governador Valadares"/>
  </r>
  <r>
    <x v="0"/>
    <s v="116BMG1195"/>
    <n v="0"/>
    <x v="88"/>
    <s v="1195"/>
    <n v="-41.949941929576298"/>
    <n v="-18.945161929579299"/>
    <n v="-42.073926260188699"/>
    <n v="-19.314685519820799"/>
    <s v="116"/>
    <s v="MG"/>
    <s v="Eixo Principal"/>
    <s v="-"/>
    <s v="116BMG1195"/>
    <s v="ACESSO ITANHOMI"/>
    <s v="ENTR BR-458(A) (TARUAÇÚ)"/>
    <n v="421.9"/>
    <n v="469.8"/>
    <n v="47.9"/>
    <x v="2"/>
    <m/>
    <m/>
    <s v="Federal"/>
    <m/>
    <m/>
    <m/>
    <s v="Federal"/>
    <s v="PAV"/>
    <s v="Governador Valadares"/>
  </r>
  <r>
    <x v="0"/>
    <s v="116BMG1210"/>
    <n v="0"/>
    <x v="88"/>
    <s v="1210"/>
    <n v="-42.073926260188699"/>
    <n v="-19.314685519820799"/>
    <n v="-42.1298087399813"/>
    <n v="-19.442577789633201"/>
    <s v="116"/>
    <s v="MG"/>
    <s v="Eixo Principal"/>
    <s v="-"/>
    <s v="116BMG1210"/>
    <s v="ENTR BR-458(A) (TARUAÇÚ)"/>
    <s v="ENTR BR-458(B) (P/IAPÚ)"/>
    <n v="469.8"/>
    <n v="487.4"/>
    <n v="17.600000000000001"/>
    <x v="2"/>
    <m/>
    <s v="458BMG0050"/>
    <s v="Federal"/>
    <m/>
    <m/>
    <m/>
    <s v="Federal"/>
    <s v="PAV"/>
    <s v="Caratinga"/>
  </r>
  <r>
    <x v="0"/>
    <s v="116BMG1230"/>
    <n v="0"/>
    <x v="88"/>
    <s v="1230"/>
    <n v="-42.1298087399813"/>
    <n v="-19.442577789633201"/>
    <n v="-42.132769399887799"/>
    <n v="-19.726595339803001"/>
    <s v="116"/>
    <s v="MG"/>
    <s v="Eixo Principal"/>
    <s v="-"/>
    <s v="116BMG1230"/>
    <s v="ENTR BR-458(B) (P/IAPÚ)"/>
    <s v="ENTR MG-425 (P/ENTRE FOLHAS)"/>
    <n v="487.4"/>
    <n v="521.6"/>
    <n v="34.200000000000003"/>
    <x v="2"/>
    <m/>
    <m/>
    <s v="Federal"/>
    <m/>
    <m/>
    <m/>
    <s v="Federal"/>
    <s v="PAV"/>
    <s v="Caratinga"/>
  </r>
  <r>
    <x v="0"/>
    <s v="116BMG1250"/>
    <n v="0"/>
    <x v="88"/>
    <s v="1250"/>
    <n v="-42.132769399887799"/>
    <n v="-19.726595339803001"/>
    <n v="-42.132825270269898"/>
    <n v="-19.752747720231"/>
    <s v="116"/>
    <s v="MG"/>
    <s v="Eixo Principal"/>
    <s v="-"/>
    <s v="116BMG1250"/>
    <s v="ENTR MG-425 (P/ENTRE FOLHAS)"/>
    <s v="ENTR BR-474 (P/PIEDADE DE CARATINGA)"/>
    <n v="521.6"/>
    <n v="524.6"/>
    <n v="3"/>
    <x v="2"/>
    <m/>
    <m/>
    <s v="Federal"/>
    <m/>
    <m/>
    <m/>
    <s v="Federal"/>
    <s v="PAV"/>
    <s v="Caratinga"/>
  </r>
  <r>
    <x v="0"/>
    <s v="116BMG1270"/>
    <n v="0"/>
    <x v="88"/>
    <s v="1270"/>
    <n v="-42.132825270269898"/>
    <n v="-19.752747720231"/>
    <n v="-42.133777610048597"/>
    <n v="-19.778121609724401"/>
    <s v="116"/>
    <s v="MG"/>
    <s v="Eixo Principal"/>
    <s v="-"/>
    <s v="116BMG1270"/>
    <s v="ENTR BR-474 (P/PIEDADE DE CARATINGA)"/>
    <s v="INÍCIO PISTA DUPLA"/>
    <n v="524.6"/>
    <n v="527.70000000000005"/>
    <n v="3.1"/>
    <x v="2"/>
    <m/>
    <m/>
    <s v="Federal"/>
    <m/>
    <m/>
    <m/>
    <s v="Federal"/>
    <s v="PAV"/>
    <s v="Caratinga"/>
  </r>
  <r>
    <x v="0"/>
    <s v="116BMG1275"/>
    <n v="0"/>
    <x v="88"/>
    <s v="1275"/>
    <n v="-42.133777610048597"/>
    <n v="-19.778121609724401"/>
    <n v="-42.137335870354001"/>
    <n v="-19.793145729691599"/>
    <s v="116"/>
    <s v="MG"/>
    <s v="Eixo Principal"/>
    <s v="-"/>
    <s v="116BMG1275"/>
    <s v="INÍCIO PISTA DUPLA"/>
    <s v="FIM PISTA DUPLA"/>
    <n v="527.70000000000005"/>
    <n v="529.4"/>
    <n v="1.7"/>
    <x v="0"/>
    <m/>
    <m/>
    <s v="Federal"/>
    <m/>
    <m/>
    <m/>
    <s v="Federal"/>
    <s v="PAV"/>
    <s v="Caratinga"/>
  </r>
  <r>
    <x v="0"/>
    <s v="116BMG1280"/>
    <n v="0"/>
    <x v="88"/>
    <s v="1280"/>
    <n v="-42.137335870354001"/>
    <n v="-19.793145729691599"/>
    <n v="-42.178052780311504"/>
    <n v="-20.0497525896102"/>
    <s v="116"/>
    <s v="MG"/>
    <s v="Eixo Principal"/>
    <s v="-"/>
    <s v="116BMG1280"/>
    <s v="FIM PISTA DUPLA"/>
    <s v="DOM CORRÊA"/>
    <n v="529.4"/>
    <n v="563.4"/>
    <n v="34"/>
    <x v="2"/>
    <m/>
    <m/>
    <s v="Federal"/>
    <m/>
    <m/>
    <m/>
    <s v="Federal"/>
    <s v="PAV"/>
    <s v="Caratinga"/>
  </r>
  <r>
    <x v="0"/>
    <s v="116BMG1290"/>
    <n v="0"/>
    <x v="88"/>
    <s v="1290"/>
    <n v="-42.178052780311504"/>
    <n v="-20.0497525896102"/>
    <n v="-42.143698840029401"/>
    <n v="-20.247452049672201"/>
    <s v="116"/>
    <s v="MG"/>
    <s v="Eixo Principal"/>
    <s v="-"/>
    <s v="116BMG1290"/>
    <s v="DOM CORRÊA"/>
    <s v="ENTR BR-262 (REALEZA)"/>
    <n v="563.4"/>
    <n v="590.5"/>
    <n v="27.1"/>
    <x v="2"/>
    <m/>
    <m/>
    <s v="Federal"/>
    <m/>
    <m/>
    <m/>
    <s v="Federal"/>
    <s v="PAV"/>
    <s v="Caratinga"/>
  </r>
  <r>
    <x v="0"/>
    <s v="116BMG1300"/>
    <n v="0"/>
    <x v="88"/>
    <s v="1300"/>
    <n v="-42.143698840029401"/>
    <n v="-20.247452049672201"/>
    <n v="-42.147324070149601"/>
    <n v="-20.3927518704024"/>
    <s v="116"/>
    <s v="MG"/>
    <s v="Eixo Principal"/>
    <s v="-"/>
    <s v="116BMG1300"/>
    <s v="ENTR BR-262 (REALEZA)"/>
    <s v="TREVO DE ACESSO SÃO JOÃO DO MANHUAÇU"/>
    <n v="590.5"/>
    <n v="609.1"/>
    <n v="18.600000000000001"/>
    <x v="2"/>
    <m/>
    <m/>
    <s v="Federal"/>
    <m/>
    <m/>
    <m/>
    <s v="Federal"/>
    <s v="PAV"/>
    <s v="Caratinga"/>
  </r>
  <r>
    <x v="0"/>
    <s v="116BMG1310"/>
    <n v="0"/>
    <x v="88"/>
    <s v="1310"/>
    <n v="-42.147324070149601"/>
    <n v="-20.3927518704024"/>
    <n v="-42.221522310006499"/>
    <n v="-20.623174950063799"/>
    <s v="116"/>
    <s v="MG"/>
    <s v="Eixo Principal"/>
    <s v="-"/>
    <s v="116BMG1310"/>
    <s v="TREVO DE ACESSO SÃO JOÃO DO MANHUAÇU"/>
    <s v="ENTR MG-265 (P/DIVINO)"/>
    <n v="609.1"/>
    <n v="637"/>
    <n v="27.9"/>
    <x v="2"/>
    <m/>
    <m/>
    <s v="Federal"/>
    <m/>
    <m/>
    <m/>
    <s v="Federal"/>
    <s v="PAV"/>
    <s v="Leopoldina"/>
  </r>
  <r>
    <x v="0"/>
    <s v="116BMG1330"/>
    <n v="0"/>
    <x v="88"/>
    <s v="1330"/>
    <n v="-42.221522310006499"/>
    <n v="-20.623174950063799"/>
    <n v="-42.280491210001202"/>
    <n v="-20.726677849702899"/>
    <s v="116"/>
    <s v="MG"/>
    <s v="Eixo Principal"/>
    <s v="-"/>
    <s v="116BMG1330"/>
    <s v="ENTR MG-265 (P/DIVINO)"/>
    <s v="ENTR BR-482 (FERVEDOURO)"/>
    <n v="637"/>
    <n v="652.5"/>
    <n v="15.5"/>
    <x v="2"/>
    <m/>
    <m/>
    <s v="Federal"/>
    <m/>
    <m/>
    <m/>
    <s v="Federal"/>
    <s v="PAV"/>
    <s v="Leopoldina"/>
  </r>
  <r>
    <x v="0"/>
    <s v="116BMG1350"/>
    <n v="0"/>
    <x v="88"/>
    <s v="1350"/>
    <n v="-42.280491210001202"/>
    <n v="-20.726677849702899"/>
    <n v="-42.381744290066798"/>
    <n v="-21.125127569681499"/>
    <s v="116"/>
    <s v="MG"/>
    <s v="Eixo Principal"/>
    <s v="-"/>
    <s v="116BMG1350"/>
    <s v="ENTR BR-482 (FERVEDOURO)"/>
    <s v="ENTR BR-265(A)/356 (MURIAÉ)"/>
    <n v="652.5"/>
    <n v="704.2"/>
    <n v="51.7"/>
    <x v="2"/>
    <m/>
    <m/>
    <s v="Federal"/>
    <m/>
    <m/>
    <m/>
    <s v="Federal"/>
    <s v="PAV"/>
    <s v="Leopoldina"/>
  </r>
  <r>
    <x v="0"/>
    <s v="116BMG1360"/>
    <n v="0"/>
    <x v="88"/>
    <s v="1360"/>
    <n v="-42.381744290066798"/>
    <n v="-21.125127569681499"/>
    <n v="-42.386499479667201"/>
    <n v="-21.130835750169599"/>
    <s v="116"/>
    <s v="MG"/>
    <s v="Eixo Principal"/>
    <s v="-"/>
    <s v="116BMG1360"/>
    <s v="ENTR BR-265(A)/356 (MURIAÉ)"/>
    <s v="ENTR BR-356(B)"/>
    <n v="704.2"/>
    <n v="705.1"/>
    <n v="0.9"/>
    <x v="2"/>
    <m/>
    <s v="356BMG0210"/>
    <s v="Federal"/>
    <m/>
    <m/>
    <m/>
    <s v="Federal"/>
    <s v="PAV"/>
    <s v="Leopoldina"/>
  </r>
  <r>
    <x v="0"/>
    <s v="116BMG1370"/>
    <n v="0"/>
    <x v="88"/>
    <s v="1370"/>
    <n v="-42.386499479667201"/>
    <n v="-21.130835750169599"/>
    <n v="-42.474538659931099"/>
    <n v="-21.365994860274501"/>
    <s v="116"/>
    <s v="MG"/>
    <s v="Eixo Principal"/>
    <s v="-"/>
    <s v="116BMG1370"/>
    <s v="ENTR BR-265(B)"/>
    <s v="ENTR MG-285 (LARANJAL)"/>
    <n v="705.1"/>
    <n v="738.1"/>
    <n v="33"/>
    <x v="2"/>
    <m/>
    <m/>
    <s v="Federal"/>
    <m/>
    <m/>
    <m/>
    <s v="Federal"/>
    <s v="PAV"/>
    <s v="Leopoldina"/>
  </r>
  <r>
    <x v="0"/>
    <s v="116BMG1390"/>
    <n v="0"/>
    <x v="88"/>
    <s v="1390"/>
    <n v="-42.474538659931099"/>
    <n v="-21.365994860274501"/>
    <n v="-42.514730360417701"/>
    <n v="-21.429308500186998"/>
    <s v="116"/>
    <s v="MG"/>
    <s v="Eixo Principal"/>
    <s v="-"/>
    <s v="116BMG1390"/>
    <s v="ENTR MG-285 (LARANJAL)"/>
    <s v="ENTR MG-454 (P/RECREIO)"/>
    <n v="738.1"/>
    <n v="746.5"/>
    <n v="8.4"/>
    <x v="2"/>
    <m/>
    <m/>
    <s v="Federal"/>
    <m/>
    <m/>
    <m/>
    <s v="Federal"/>
    <s v="PAV"/>
    <s v="Leopoldina"/>
  </r>
  <r>
    <x v="0"/>
    <s v="116BMG1410"/>
    <n v="0"/>
    <x v="88"/>
    <s v="1410"/>
    <n v="-42.514730360417701"/>
    <n v="-21.429308500186998"/>
    <n v="-42.650880760138897"/>
    <n v="-21.520448450235701"/>
    <s v="116"/>
    <s v="MG"/>
    <s v="Eixo Principal"/>
    <s v="-"/>
    <s v="116BMG1410"/>
    <s v="ENTR MG-454 (P/RECREIO)"/>
    <s v="ENTR BR-120/267(A) (LEOPOLDINA)"/>
    <n v="746.5"/>
    <n v="766.7"/>
    <n v="20.2"/>
    <x v="2"/>
    <m/>
    <m/>
    <s v="Federal"/>
    <m/>
    <m/>
    <m/>
    <s v="Federal"/>
    <s v="PAV"/>
    <s v="Leopoldina"/>
  </r>
  <r>
    <x v="0"/>
    <s v="116BMG1430"/>
    <n v="0"/>
    <x v="88"/>
    <s v="1430"/>
    <n v="-42.650880760138897"/>
    <n v="-21.520448450235701"/>
    <n v="-42.679956189926202"/>
    <n v="-21.571697829691001"/>
    <s v="116"/>
    <s v="MG"/>
    <s v="Eixo Principal"/>
    <s v="-"/>
    <s v="116BMG1430"/>
    <s v="ENTR BR-120/267(A) (LEOPOLDINA)"/>
    <s v="ENTR BR-267(B) (P/TEBAS)"/>
    <n v="766.7"/>
    <n v="774.4"/>
    <n v="7.7"/>
    <x v="2"/>
    <m/>
    <s v="267BMG0010"/>
    <s v="Federal"/>
    <m/>
    <m/>
    <m/>
    <s v="Federal"/>
    <s v="PAV"/>
    <s v="Leopoldina"/>
  </r>
  <r>
    <x v="0"/>
    <s v="116BMG1450"/>
    <n v="0"/>
    <x v="88"/>
    <s v="1450"/>
    <n v="-42.679956189926202"/>
    <n v="-21.571697829691001"/>
    <n v="-42.663635580317703"/>
    <n v="-21.8597617400122"/>
    <s v="116"/>
    <s v="MG"/>
    <s v="Eixo Principal"/>
    <s v="-"/>
    <s v="116BMG1450"/>
    <s v="ENTR BR-267(B) (P/TEBAS)"/>
    <s v="ENTR BR-393(A)"/>
    <n v="774.4"/>
    <n v="816"/>
    <n v="41.6"/>
    <x v="2"/>
    <m/>
    <m/>
    <s v="Federal"/>
    <m/>
    <m/>
    <m/>
    <s v="Federal"/>
    <s v="PAV"/>
    <s v="Leopoldina"/>
  </r>
  <r>
    <x v="0"/>
    <s v="116BMG1465"/>
    <n v="0"/>
    <x v="88"/>
    <s v="1465"/>
    <n v="-42.663635580317703"/>
    <n v="-21.8597617400122"/>
    <n v="-42.668228400020602"/>
    <n v="-21.871666990439198"/>
    <s v="116"/>
    <s v="MG"/>
    <s v="Eixo Principal"/>
    <s v="-"/>
    <s v="116BMG1465"/>
    <s v="ENTR BR-393(A)"/>
    <s v="DIV MG/RJ (ALÉM PARAÍBA)"/>
    <n v="816"/>
    <n v="818.1"/>
    <n v="2.1"/>
    <x v="2"/>
    <m/>
    <s v="393BMG0260"/>
    <s v="Federal"/>
    <m/>
    <m/>
    <m/>
    <s v="Federal"/>
    <s v="PAV"/>
    <s v="Leopoldina"/>
  </r>
  <r>
    <x v="0"/>
    <s v="116BPB0330"/>
    <n v="0"/>
    <x v="89"/>
    <s v="0330"/>
    <n v="-38.730093959568499"/>
    <n v="-6.8963345796770401"/>
    <n v="-38.721261670089902"/>
    <n v="-6.9401334995612798"/>
    <s v="116"/>
    <s v="PB"/>
    <s v="Eixo Principal"/>
    <s v="-"/>
    <s v="116BPB0330"/>
    <s v="DIV CE/PB"/>
    <s v="ENTR PB-420"/>
    <n v="0"/>
    <n v="5.0999999999999996"/>
    <n v="5.0999999999999996"/>
    <x v="2"/>
    <m/>
    <m/>
    <s v="Federal"/>
    <m/>
    <m/>
    <m/>
    <s v="Federal"/>
    <s v="PAV"/>
    <s v="Patos"/>
  </r>
  <r>
    <x v="0"/>
    <s v="116BPB0340"/>
    <n v="0"/>
    <x v="89"/>
    <s v="0340"/>
    <n v="-38.721261670089902"/>
    <n v="-6.9401334995612798"/>
    <n v="-38.752181259557403"/>
    <n v="-7.00508225983838"/>
    <s v="116"/>
    <s v="PB"/>
    <s v="Eixo Principal"/>
    <s v="-"/>
    <s v="116BPB0340"/>
    <s v="ENTR PB-420"/>
    <s v="DIV PB/CE"/>
    <n v="5.0999999999999996"/>
    <n v="13.4"/>
    <n v="8.3000000000000007"/>
    <x v="2"/>
    <m/>
    <m/>
    <s v="Federal"/>
    <m/>
    <m/>
    <m/>
    <s v="Federal"/>
    <s v="PAV"/>
    <s v="Patos"/>
  </r>
  <r>
    <x v="0"/>
    <s v="116BPE0430"/>
    <n v="0"/>
    <x v="90"/>
    <s v="0430"/>
    <n v="-39.088535420073498"/>
    <n v="-7.8596892403660901"/>
    <n v="-39.088684089698901"/>
    <n v="-7.8608773302245796"/>
    <s v="116"/>
    <s v="PE"/>
    <s v="Eixo Principal"/>
    <s v="-"/>
    <s v="116BPE0430"/>
    <s v="DIV CE/PE"/>
    <s v="ENTR PE-475 (P/CEDRO)"/>
    <n v="0"/>
    <n v="0.1"/>
    <n v="0.1"/>
    <x v="2"/>
    <m/>
    <m/>
    <s v="Federal"/>
    <m/>
    <m/>
    <m/>
    <s v="Federal"/>
    <s v="PAV"/>
    <s v="Salgueiro"/>
  </r>
  <r>
    <x v="0"/>
    <s v="116BPE0440"/>
    <n v="0"/>
    <x v="90"/>
    <s v="0440"/>
    <n v="-39.088684089698901"/>
    <n v="-7.8608773302245796"/>
    <n v="-39.134522119799897"/>
    <n v="-8.0673528901237397"/>
    <s v="116"/>
    <s v="PE"/>
    <s v="Eixo Principal"/>
    <s v="-"/>
    <s v="116BPE0440"/>
    <s v="ENTR PE-475 (P/CEDRO)"/>
    <s v="ENTR BR-232/361 (SALGUEIRO)"/>
    <n v="0.1"/>
    <n v="25.7"/>
    <n v="25.6"/>
    <x v="2"/>
    <m/>
    <m/>
    <s v="Federal"/>
    <m/>
    <m/>
    <m/>
    <s v="Federal"/>
    <s v="PAV"/>
    <s v="Salgueiro"/>
  </r>
  <r>
    <x v="0"/>
    <s v="116BPE0450"/>
    <n v="0"/>
    <x v="90"/>
    <s v="0450"/>
    <n v="-39.134522119799897"/>
    <n v="-8.0673528901237397"/>
    <n v="-39.104213480267802"/>
    <n v="-8.2189363297477396"/>
    <s v="116"/>
    <s v="PE"/>
    <s v="Eixo Principal"/>
    <s v="-"/>
    <s v="116BPE0450"/>
    <s v="ENTR BR-232/361 (SALGUEIRO)"/>
    <s v="ENTR PE-460"/>
    <n v="25.7"/>
    <n v="43.5"/>
    <n v="17.8"/>
    <x v="2"/>
    <m/>
    <m/>
    <s v="Federal"/>
    <m/>
    <m/>
    <m/>
    <s v="Federal"/>
    <s v="PAV"/>
    <s v="Salgueiro"/>
  </r>
  <r>
    <x v="0"/>
    <s v="116BPE0460"/>
    <n v="0"/>
    <x v="90"/>
    <s v="0460"/>
    <n v="-39.104213480267802"/>
    <n v="-8.2189363297477396"/>
    <n v="-39.2261571601247"/>
    <n v="-8.5482523896360405"/>
    <s v="116"/>
    <s v="PE"/>
    <s v="Eixo Principal"/>
    <s v="-"/>
    <s v="116BPE0460"/>
    <s v="ENTR PE-460"/>
    <s v="ENTR BR-316/428 (P/CABROBÓ)"/>
    <n v="43.5"/>
    <n v="82.7"/>
    <n v="39.200000000000003"/>
    <x v="2"/>
    <m/>
    <m/>
    <s v="Federal"/>
    <m/>
    <m/>
    <m/>
    <s v="Federal"/>
    <s v="PAV"/>
    <s v="Salgueiro"/>
  </r>
  <r>
    <x v="0"/>
    <s v="116BPE0470"/>
    <n v="0"/>
    <x v="90"/>
    <s v="0470"/>
    <n v="-39.2261571601247"/>
    <n v="-8.5482523896360405"/>
    <n v="-39.244680529582702"/>
    <n v="-8.6261088296587296"/>
    <s v="116"/>
    <s v="PE"/>
    <s v="Eixo Principal"/>
    <s v="-"/>
    <s v="116BPE0470"/>
    <s v="ENTR BR-316/428 (P/CABROBÓ)"/>
    <s v="DIV PE/BA (|INÍCIO PONTE SOBRE O RIO SÃO FRANCISCO)"/>
    <n v="82.7"/>
    <n v="91.6"/>
    <n v="8.9"/>
    <x v="2"/>
    <m/>
    <m/>
    <s v="Federal"/>
    <m/>
    <m/>
    <m/>
    <s v="Federal"/>
    <s v="PAV"/>
    <s v="Salgueiro"/>
  </r>
  <r>
    <x v="0"/>
    <s v="116BPR2710"/>
    <n v="0"/>
    <x v="91"/>
    <s v="2710"/>
    <n v="-48.560718550021001"/>
    <n v="-25.059580079557001"/>
    <n v="-48.753003979849701"/>
    <n v="-25.110939429910701"/>
    <s v="116"/>
    <s v="PR"/>
    <s v="Eixo Principal"/>
    <s v="-"/>
    <s v="116BPR2710"/>
    <s v="DIV SP/PR (CAB NORTE PONTE S/ RIO PARDINHO)"/>
    <s v="INÍCIO VARIANTE DO ALPINO(PISTA DIREITA)"/>
    <n v="0"/>
    <n v="22.7"/>
    <n v="22.7"/>
    <x v="0"/>
    <m/>
    <m/>
    <s v="Concessão Federal"/>
    <m/>
    <m/>
    <m/>
    <s v="Federal"/>
    <s v="PAV"/>
    <s v="Colombo"/>
  </r>
  <r>
    <x v="0"/>
    <s v="116BPR2720"/>
    <n v="0"/>
    <x v="91"/>
    <s v="2720"/>
    <n v="-48.753003979849701"/>
    <n v="-25.110939429910701"/>
    <n v="-48.854155969822102"/>
    <n v="-25.117168129905199"/>
    <s v="116"/>
    <s v="PR"/>
    <s v="Eixo Principal"/>
    <s v="-"/>
    <s v="116BPR2720"/>
    <s v="INÍCIO VARIANTE DO ALPINO(PISTA DIREITA)"/>
    <s v="FIM VARIANTE DO ALPINO (PISTA DIREITA)"/>
    <n v="22.7"/>
    <n v="34.299999999999997"/>
    <n v="11.6"/>
    <x v="2"/>
    <m/>
    <m/>
    <s v="Concessão Federal"/>
    <m/>
    <m/>
    <m/>
    <s v="Federal"/>
    <s v="PAV"/>
    <s v="Colombo"/>
  </r>
  <r>
    <x v="0"/>
    <s v="116BPR2725"/>
    <n v="0"/>
    <x v="91"/>
    <s v="2725"/>
    <n v="-48.854155969822102"/>
    <n v="-25.117168129905199"/>
    <n v="-48.876117040069197"/>
    <n v="-25.176446000082802"/>
    <s v="116"/>
    <s v="PR"/>
    <s v="Eixo Principal"/>
    <s v="-"/>
    <s v="116BPR2725"/>
    <s v="FIM VARIANTE DO ALPINO (PISTA DIREITA)"/>
    <s v="REPRESA DO CAPIVARI (INÍCIO DA VARIANTE)"/>
    <n v="34.299999999999997"/>
    <n v="42.2"/>
    <n v="7.9"/>
    <x v="0"/>
    <m/>
    <m/>
    <s v="Concessão Federal"/>
    <m/>
    <m/>
    <m/>
    <s v="Federal"/>
    <s v="PAV"/>
    <s v="Colombo"/>
  </r>
  <r>
    <x v="0"/>
    <s v="116BPR2730"/>
    <n v="0"/>
    <x v="91"/>
    <s v="2730"/>
    <n v="-48.876117040069197"/>
    <n v="-25.176446000082802"/>
    <n v="-48.946317529929999"/>
    <n v="-25.304811219761898"/>
    <s v="116"/>
    <s v="PR"/>
    <s v="Eixo Principal"/>
    <s v="-"/>
    <s v="116BPR2730"/>
    <s v="REPRESA DO CAPIVARI (INÍCIO DA VARIANTE)"/>
    <s v="ENTR PR-410 (GRACIOSA)"/>
    <n v="42.2"/>
    <n v="59.3"/>
    <n v="17.100000000000001"/>
    <x v="0"/>
    <m/>
    <m/>
    <s v="Concessão Federal"/>
    <m/>
    <m/>
    <m/>
    <s v="Federal"/>
    <s v="PAV"/>
    <s v="Colombo"/>
  </r>
  <r>
    <x v="0"/>
    <s v="116BPR2740"/>
    <n v="0"/>
    <x v="91"/>
    <s v="2740"/>
    <n v="-48.946317529929999"/>
    <n v="-25.304811219761898"/>
    <n v="-49.045687999801302"/>
    <n v="-25.3459959804301"/>
    <s v="116"/>
    <s v="PR"/>
    <s v="Eixo Principal"/>
    <s v="-"/>
    <s v="116BPR2740"/>
    <s v="ENTR PR-410 (GRACIOSA)"/>
    <s v="INÍC CONT LESTE CURITIBA (QUATRO BARRAS)"/>
    <n v="59.3"/>
    <n v="71.099999999999994"/>
    <n v="11.8"/>
    <x v="0"/>
    <m/>
    <m/>
    <s v="Concessão Federal"/>
    <m/>
    <m/>
    <m/>
    <s v="Federal"/>
    <s v="PAV"/>
    <s v="Colombo"/>
  </r>
  <r>
    <x v="0"/>
    <s v="116BPR2750"/>
    <n v="0"/>
    <x v="91"/>
    <s v="2750"/>
    <n v="-49.045687999801302"/>
    <n v="-25.3459959804301"/>
    <n v="-49.089054530142299"/>
    <n v="-25.461771919937998"/>
    <s v="116"/>
    <s v="PR"/>
    <s v="Eixo Principal"/>
    <s v="-"/>
    <s v="116BPR2750"/>
    <s v="INÍC CONT LESTE CURITIBA (QUATRO BARRAS)"/>
    <s v="ENTR PR-415 (P/PIRAQUARA)"/>
    <n v="71.099999999999994"/>
    <n v="90.1"/>
    <n v="19"/>
    <x v="0"/>
    <m/>
    <m/>
    <s v="Concessão Federal"/>
    <m/>
    <m/>
    <m/>
    <s v="Federal"/>
    <s v="PAV"/>
    <s v="Colombo"/>
  </r>
  <r>
    <x v="0"/>
    <s v="116BPR2755"/>
    <n v="0"/>
    <x v="91"/>
    <s v="2755"/>
    <n v="-49.089054530142299"/>
    <n v="-25.461771919937998"/>
    <n v="-49.128205529761303"/>
    <n v="-25.511554569887402"/>
    <s v="116"/>
    <s v="PR"/>
    <s v="Eixo Principal"/>
    <s v="-"/>
    <s v="116BPR2755"/>
    <s v="ENTR PR-415 (P/PIRAQUARA)"/>
    <s v="ENTR BR-277(A)"/>
    <n v="90.1"/>
    <n v="96.9"/>
    <n v="6.8"/>
    <x v="0"/>
    <m/>
    <m/>
    <s v="Concessão Federal"/>
    <m/>
    <m/>
    <m/>
    <s v="Federal"/>
    <s v="PAV"/>
    <s v="Colombo"/>
  </r>
  <r>
    <x v="0"/>
    <s v="116BPR2760"/>
    <n v="0"/>
    <x v="91"/>
    <s v="2760"/>
    <n v="-49.128205529761303"/>
    <n v="-25.511554569887402"/>
    <n v="-49.181893820243502"/>
    <n v="-25.568944049927801"/>
    <s v="116"/>
    <s v="PR"/>
    <s v="Eixo Principal"/>
    <s v="-"/>
    <s v="116BPR2760"/>
    <s v="ENTR BR-277(A)"/>
    <s v="ENTR BR-376(A)"/>
    <n v="96.9"/>
    <n v="106.4"/>
    <n v="9.5"/>
    <x v="0"/>
    <m/>
    <s v="277BPR0038"/>
    <s v="Convênio de Administração"/>
    <m/>
    <m/>
    <m/>
    <s v="Federal"/>
    <s v="PAV"/>
    <s v="Colombo"/>
  </r>
  <r>
    <x v="0"/>
    <s v="116BPR2770"/>
    <n v="0"/>
    <x v="91"/>
    <s v="2770"/>
    <n v="-49.181893820243502"/>
    <n v="-25.568944049927801"/>
    <n v="-49.303409099949903"/>
    <n v="-25.544169439867598"/>
    <s v="116"/>
    <s v="PR"/>
    <s v="Eixo Principal"/>
    <s v="-"/>
    <s v="116BPR2770"/>
    <s v="ENTR BR-376(A)"/>
    <s v="ENTR BR-277(B)/376(B)/476 (CURITIBA SUL/PINHEIRINHO)"/>
    <n v="106.4"/>
    <n v="119.2"/>
    <n v="12.8"/>
    <x v="0"/>
    <m/>
    <s v="376BPR0470;277BPR0041"/>
    <s v="Convênio de Administração"/>
    <m/>
    <m/>
    <m/>
    <s v="Federal"/>
    <s v="PAV"/>
    <s v="Colombo"/>
  </r>
  <r>
    <x v="0"/>
    <s v="116BPR2790"/>
    <n v="0"/>
    <x v="91"/>
    <s v="2790"/>
    <n v="-49.303409099949903"/>
    <n v="-25.544169439867598"/>
    <n v="-49.3159731703254"/>
    <n v="-25.622380219971099"/>
    <s v="116"/>
    <s v="PR"/>
    <s v="Eixo Principal"/>
    <s v="-"/>
    <s v="116BPR2790"/>
    <s v="ENTR BR-277(B)/376(B)/476 (CURITIBA SUL/PINHEIRINHO)"/>
    <s v="CABECEIRA NORTE PONTE RIO IGUAÇÚ"/>
    <n v="119.2"/>
    <n v="128.1"/>
    <n v="8.9"/>
    <x v="0"/>
    <m/>
    <m/>
    <s v="Concessão Federal"/>
    <m/>
    <m/>
    <m/>
    <s v="Federal"/>
    <s v="PAV"/>
    <s v="Colombo"/>
  </r>
  <r>
    <x v="0"/>
    <s v="116BPR2793"/>
    <n v="0"/>
    <x v="91"/>
    <s v="2793"/>
    <n v="-49.3159731703254"/>
    <n v="-25.622380219971099"/>
    <n v="-49.324316299657397"/>
    <n v="-25.777318579588702"/>
    <s v="116"/>
    <s v="PR"/>
    <s v="Eixo Principal"/>
    <s v="-"/>
    <s v="116BPR2793"/>
    <s v="CABECEIRA NORTE PONTE RIO IGUAÇÚ"/>
    <s v="MANDIRITUBA"/>
    <n v="128.1"/>
    <n v="145.5"/>
    <n v="17.399999999999999"/>
    <x v="2"/>
    <m/>
    <m/>
    <s v="Concessão Federal"/>
    <m/>
    <m/>
    <m/>
    <s v="Federal"/>
    <s v="PAV"/>
    <s v="Colombo"/>
  </r>
  <r>
    <x v="0"/>
    <s v="116BPR2797"/>
    <n v="0"/>
    <x v="91"/>
    <s v="2797"/>
    <n v="-49.324316299657397"/>
    <n v="-25.777318579588702"/>
    <n v="-49.361864260427197"/>
    <n v="-25.8622204002512"/>
    <s v="116"/>
    <s v="PR"/>
    <s v="Eixo Principal"/>
    <s v="-"/>
    <s v="116BPR2797"/>
    <s v="MANDIRITUBA"/>
    <s v="ENTR PR-419 (AREIA BRANCA)"/>
    <n v="145.5"/>
    <n v="156.30000000000001"/>
    <n v="10.8"/>
    <x v="2"/>
    <m/>
    <m/>
    <s v="Concessão Federal"/>
    <m/>
    <m/>
    <m/>
    <s v="Federal"/>
    <s v="PAV"/>
    <s v="Colombo"/>
  </r>
  <r>
    <x v="0"/>
    <s v="116BPR2800"/>
    <n v="0"/>
    <x v="91"/>
    <s v="2800"/>
    <n v="-49.361864260427197"/>
    <n v="-25.8622204002512"/>
    <n v="-49.486663900218701"/>
    <n v="-25.875495120303501"/>
    <s v="116"/>
    <s v="PR"/>
    <s v="Eixo Principal"/>
    <s v="-"/>
    <s v="116BPR2800"/>
    <s v="ENTR PR-419 (AREIA BRANCA)"/>
    <s v="ENTR PR-511 (QUITANDINHA)"/>
    <n v="156.30000000000001"/>
    <n v="170.6"/>
    <n v="14.3"/>
    <x v="2"/>
    <m/>
    <m/>
    <s v="Concessão Federal"/>
    <m/>
    <m/>
    <m/>
    <s v="Federal"/>
    <s v="PAV"/>
    <s v="Colombo"/>
  </r>
  <r>
    <x v="0"/>
    <s v="116BPR2803"/>
    <n v="0"/>
    <x v="91"/>
    <s v="2803"/>
    <n v="-49.486663900218701"/>
    <n v="-25.875495120303501"/>
    <n v="-49.667115830231303"/>
    <n v="-25.9942197497416"/>
    <s v="116"/>
    <s v="PR"/>
    <s v="Eixo Principal"/>
    <s v="-"/>
    <s v="116BPR2803"/>
    <s v="ENTR PR-511 (QUITANDINHA)"/>
    <s v="ENTR PR-427 (CAMPO DO TENENTE)"/>
    <n v="170.6"/>
    <n v="194.8"/>
    <n v="24.2"/>
    <x v="2"/>
    <m/>
    <m/>
    <s v="Concessão Federal"/>
    <m/>
    <m/>
    <m/>
    <s v="Federal"/>
    <s v="PAV"/>
    <s v="Colombo"/>
  </r>
  <r>
    <x v="0"/>
    <s v="116BPR2810"/>
    <n v="0"/>
    <x v="91"/>
    <s v="2810"/>
    <n v="-49.667115830231303"/>
    <n v="-25.9942197497416"/>
    <n v="-49.784138730118201"/>
    <n v="-26.108885489673501"/>
    <s v="116"/>
    <s v="PR"/>
    <s v="Eixo Principal"/>
    <s v="-"/>
    <s v="116BPR2810"/>
    <s v="ENTR PR-427 (CAMPO DO TENENTE)"/>
    <s v="DIV PR/SC (RIO NEGRO/MAFRA)"/>
    <n v="194.8"/>
    <n v="214.9"/>
    <n v="20.100000000000001"/>
    <x v="2"/>
    <m/>
    <m/>
    <s v="Concessão Federal"/>
    <m/>
    <m/>
    <m/>
    <s v="Federal"/>
    <s v="PAV"/>
    <s v="Colombo"/>
  </r>
  <r>
    <x v="0"/>
    <s v="116BRJ1470"/>
    <n v="0"/>
    <x v="92"/>
    <s v="1470"/>
    <n v="-42.668228400020602"/>
    <n v="-21.871666990439198"/>
    <n v="-42.681754350182999"/>
    <n v="-21.879651710258202"/>
    <s v="116"/>
    <s v="RJ"/>
    <s v="Eixo Principal"/>
    <s v="-"/>
    <s v="116BRJ1470"/>
    <s v="DIV MG/RJ (ALÉM PARAÍBA)"/>
    <s v="ENTR BR-393(B)"/>
    <n v="0"/>
    <n v="2.1"/>
    <n v="2.1"/>
    <x v="2"/>
    <m/>
    <s v="393BRJ0270"/>
    <s v="Concessão Federal"/>
    <m/>
    <m/>
    <m/>
    <s v="Federal"/>
    <s v="PAV"/>
    <s v="Seropédica"/>
  </r>
  <r>
    <x v="0"/>
    <s v="116BRJ1480"/>
    <n v="0"/>
    <x v="92"/>
    <s v="1480"/>
    <n v="-42.681754350182999"/>
    <n v="-21.879651710258202"/>
    <n v="-42.778311749687397"/>
    <n v="-22.032089250418501"/>
    <s v="116"/>
    <s v="RJ"/>
    <s v="Eixo Principal"/>
    <s v="-"/>
    <s v="116BRJ1480"/>
    <s v="ENTR BR-393(B)"/>
    <s v="ENTR RJ-154 (P/SUMIDOURO)"/>
    <n v="2.1"/>
    <n v="24.2"/>
    <n v="22.1"/>
    <x v="2"/>
    <m/>
    <m/>
    <s v="Concessão Federal"/>
    <m/>
    <m/>
    <m/>
    <s v="Federal"/>
    <s v="PAV"/>
    <s v="Seropédica"/>
  </r>
  <r>
    <x v="0"/>
    <s v="116BRJ1490"/>
    <n v="0"/>
    <x v="92"/>
    <s v="1490"/>
    <n v="-42.778311749687397"/>
    <n v="-22.032089250418501"/>
    <n v="-42.779800099794699"/>
    <n v="-22.034416079838099"/>
    <s v="116"/>
    <s v="RJ"/>
    <s v="Eixo Principal"/>
    <s v="-"/>
    <s v="116BRJ1490"/>
    <s v="ENTR RJ-154 (P/SUMIDOURO)"/>
    <s v="ENTR RJ-154 (P/NOSSA SENHORA DA APARECIDA)"/>
    <n v="24.2"/>
    <n v="24.5"/>
    <n v="0.3"/>
    <x v="2"/>
    <m/>
    <m/>
    <s v="Concessão Federal"/>
    <m/>
    <m/>
    <m/>
    <s v="Federal"/>
    <s v="PAV"/>
    <s v="Seropédica"/>
  </r>
  <r>
    <x v="0"/>
    <s v="116BRJ1510"/>
    <n v="0"/>
    <x v="92"/>
    <s v="1510"/>
    <n v="-42.779800099794699"/>
    <n v="-22.034416079838099"/>
    <n v="-42.779523599634302"/>
    <n v="-22.133427579918799"/>
    <s v="116"/>
    <s v="RJ"/>
    <s v="Eixo Principal"/>
    <s v="-"/>
    <s v="116BRJ1510"/>
    <s v="ENTR RJ-154 (P/NOSSA SENHORA DA APARECIDA)"/>
    <s v="ENTR RJ-156 (P/VOLTA DO PIÃO)"/>
    <n v="24.5"/>
    <n v="40"/>
    <n v="15.5"/>
    <x v="2"/>
    <m/>
    <m/>
    <s v="Concessão Federal"/>
    <m/>
    <m/>
    <m/>
    <s v="Federal"/>
    <s v="PAV"/>
    <s v="Seropédica"/>
  </r>
  <r>
    <x v="0"/>
    <s v="116BRJ1530"/>
    <n v="0"/>
    <x v="92"/>
    <s v="1530"/>
    <n v="-42.779523599634302"/>
    <n v="-22.133427579918799"/>
    <n v="-42.8974858602841"/>
    <n v="-22.204632709631799"/>
    <s v="116"/>
    <s v="RJ"/>
    <s v="Eixo Principal"/>
    <s v="-"/>
    <s v="116BRJ1530"/>
    <s v="ENTR RJ-156 (P/VOLTA DO PIÃO)"/>
    <s v="ENTR BR-492(A)"/>
    <n v="40"/>
    <n v="56.1"/>
    <n v="16.100000000000001"/>
    <x v="2"/>
    <m/>
    <m/>
    <s v="Concessão Federal"/>
    <m/>
    <m/>
    <m/>
    <s v="Federal"/>
    <s v="PAV"/>
    <s v="Seropédica"/>
  </r>
  <r>
    <x v="0"/>
    <s v="116BRJ1550"/>
    <n v="0"/>
    <x v="92"/>
    <s v="1550"/>
    <n v="-42.8974858602841"/>
    <n v="-22.204632709631799"/>
    <n v="-42.908430419827901"/>
    <n v="-22.228461759902199"/>
    <s v="116"/>
    <s v="RJ"/>
    <s v="Eixo Principal"/>
    <s v="-"/>
    <s v="116BRJ1550"/>
    <s v="ENTR BR-492(A)"/>
    <s v="ENTR BR-492(B) (PONTE NOVA)"/>
    <n v="56.1"/>
    <n v="59.2"/>
    <n v="3.1"/>
    <x v="2"/>
    <m/>
    <s v="492BRJ0450"/>
    <s v="Concessão Federal"/>
    <m/>
    <m/>
    <m/>
    <s v="Federal"/>
    <s v="PAV"/>
    <s v="Seropédica"/>
  </r>
  <r>
    <x v="0"/>
    <s v="116BRJ1570"/>
    <n v="0"/>
    <x v="92"/>
    <s v="1570"/>
    <n v="-42.908430419827901"/>
    <n v="-22.228461759902199"/>
    <n v="-42.953498310098801"/>
    <n v="-22.389179309577401"/>
    <s v="116"/>
    <s v="RJ"/>
    <s v="Eixo Principal"/>
    <s v="-"/>
    <s v="116BRJ1570"/>
    <s v="ENTR BR-492(B) (PONTE NOVA)"/>
    <s v="ENTR RJ-130"/>
    <n v="59.2"/>
    <n v="79.900000000000006"/>
    <n v="20.7"/>
    <x v="2"/>
    <m/>
    <m/>
    <s v="Concessão Federal"/>
    <m/>
    <m/>
    <m/>
    <s v="Federal"/>
    <s v="PAV"/>
    <s v="Seropédica"/>
  </r>
  <r>
    <x v="0"/>
    <s v="116BRJ1590"/>
    <n v="0"/>
    <x v="92"/>
    <s v="1590"/>
    <n v="-42.953498310098801"/>
    <n v="-22.389179309577401"/>
    <n v="-42.987787109787199"/>
    <n v="-22.4626453798803"/>
    <s v="116"/>
    <s v="RJ"/>
    <s v="Eixo Principal"/>
    <s v="-"/>
    <s v="116BRJ1590"/>
    <s v="ENTR RJ-130"/>
    <s v="ACESSO TERESÓPOLIS (SOBERBO)"/>
    <n v="79.900000000000006"/>
    <n v="92.5"/>
    <n v="12.6"/>
    <x v="2"/>
    <m/>
    <m/>
    <s v="Concessão Federal"/>
    <m/>
    <m/>
    <m/>
    <s v="Federal"/>
    <s v="PAV"/>
    <s v="Seropédica"/>
  </r>
  <r>
    <x v="0"/>
    <s v="116BRJ1610"/>
    <n v="0"/>
    <x v="92"/>
    <s v="1610"/>
    <n v="-42.987787109787199"/>
    <n v="-22.4626453798803"/>
    <n v="-42.992082629809403"/>
    <n v="-22.534963710206998"/>
    <s v="116"/>
    <s v="RJ"/>
    <s v="Eixo Principal"/>
    <s v="-"/>
    <s v="116BRJ1610"/>
    <s v="ACESSO TERESÓPOLIS (SOBERBO)"/>
    <s v="RIO CORUJAS"/>
    <n v="92.5"/>
    <n v="108"/>
    <n v="15.5"/>
    <x v="2"/>
    <m/>
    <m/>
    <s v="Concessão Federal"/>
    <m/>
    <m/>
    <m/>
    <s v="Federal"/>
    <s v="PAV"/>
    <s v="Seropédica"/>
  </r>
  <r>
    <x v="0"/>
    <s v="116BRJ1625"/>
    <n v="0"/>
    <x v="92"/>
    <s v="1625"/>
    <n v="-42.992082629809403"/>
    <n v="-22.534963710206998"/>
    <n v="-42.988082230410498"/>
    <n v="-22.546518719663101"/>
    <s v="116"/>
    <s v="RJ"/>
    <s v="Eixo Principal"/>
    <s v="-"/>
    <s v="116BRJ1625"/>
    <s v="RIO CORUJAS"/>
    <s v="ENTR RJ-122 (PARADA MODELO)"/>
    <n v="108"/>
    <n v="109.5"/>
    <n v="1.5"/>
    <x v="0"/>
    <m/>
    <m/>
    <s v="Concessão Federal"/>
    <m/>
    <m/>
    <m/>
    <s v="Federal"/>
    <s v="PAV"/>
    <s v="Seropédica"/>
  </r>
  <r>
    <x v="0"/>
    <s v="116BRJ1630"/>
    <n v="0"/>
    <x v="92"/>
    <s v="1630"/>
    <n v="-42.988082230410498"/>
    <n v="-22.546518719663101"/>
    <n v="-43.020217150201198"/>
    <n v="-22.590854729961698"/>
    <s v="116"/>
    <s v="RJ"/>
    <s v="Eixo Principal"/>
    <s v="-"/>
    <s v="116BRJ1630"/>
    <s v="ENTR RJ-122 (PARADA MODELO)"/>
    <s v="ENTR RJ-112"/>
    <n v="109.5"/>
    <n v="115.5"/>
    <n v="6"/>
    <x v="0"/>
    <m/>
    <m/>
    <s v="Concessão Federal"/>
    <m/>
    <m/>
    <m/>
    <s v="Federal"/>
    <s v="PAV"/>
    <s v="Seropédica"/>
  </r>
  <r>
    <x v="0"/>
    <s v="116BRJ1650"/>
    <n v="0"/>
    <x v="92"/>
    <s v="1650"/>
    <n v="-43.020217150201198"/>
    <n v="-22.590854729961698"/>
    <n v="-43.0884151097694"/>
    <n v="-22.656669229801"/>
    <s v="116"/>
    <s v="RJ"/>
    <s v="Eixo Principal"/>
    <s v="-"/>
    <s v="116BRJ1650"/>
    <s v="ENTR RJ-112"/>
    <s v="ENTR BR-493(A) (P/MAGÉ)"/>
    <n v="115.5"/>
    <n v="126.3"/>
    <n v="10.8"/>
    <x v="0"/>
    <m/>
    <m/>
    <s v="Concessão Federal"/>
    <m/>
    <m/>
    <m/>
    <s v="Federal"/>
    <s v="PAV"/>
    <s v="Seropédica"/>
  </r>
  <r>
    <x v="0"/>
    <s v="116BRJ1670"/>
    <n v="0"/>
    <x v="92"/>
    <s v="1670"/>
    <n v="-43.0884151097694"/>
    <n v="-22.656669229801"/>
    <n v="-43.2237391701265"/>
    <n v="-22.6474444995639"/>
    <s v="116"/>
    <s v="RJ"/>
    <s v="Eixo Principal"/>
    <s v="-"/>
    <s v="116BRJ1670"/>
    <s v="ENTR BR-493(A) (P/MAGÉ)"/>
    <s v="ENTR RJ-107 (IMBARIÊ)"/>
    <n v="126.3"/>
    <n v="141.30000000000001"/>
    <n v="15"/>
    <x v="0"/>
    <m/>
    <s v="493BRJ0070"/>
    <s v="Concessão Federal"/>
    <m/>
    <m/>
    <m/>
    <s v="Federal"/>
    <s v="PAV"/>
    <s v="Seropédica"/>
  </r>
  <r>
    <x v="0"/>
    <s v="116BRJ1690"/>
    <n v="0"/>
    <x v="92"/>
    <s v="1690"/>
    <n v="-43.2237391701265"/>
    <n v="-22.6474444995639"/>
    <n v="-43.286007429998797"/>
    <n v="-22.6719473803672"/>
    <s v="116"/>
    <s v="RJ"/>
    <s v="Eixo Principal"/>
    <s v="-"/>
    <s v="116BRJ1690"/>
    <s v="ENTR RJ-107 (IMBARIÊ)"/>
    <s v="ENTR BR-040(A)/493(B)/RJ-109"/>
    <n v="141.30000000000001"/>
    <n v="148.4"/>
    <n v="7.1"/>
    <x v="0"/>
    <m/>
    <s v="493BRJ0090"/>
    <s v="Concessão Federal"/>
    <m/>
    <m/>
    <m/>
    <s v="Federal"/>
    <s v="PAV"/>
    <s v="Seropédica"/>
  </r>
  <r>
    <x v="0"/>
    <s v="116BRJ1710"/>
    <n v="0"/>
    <x v="92"/>
    <s v="1710"/>
    <n v="-43.286007429998797"/>
    <n v="-22.6719473803672"/>
    <n v="-43.288785960103901"/>
    <n v="-22.6960910098921"/>
    <s v="116"/>
    <s v="RJ"/>
    <s v="Eixo Principal"/>
    <s v="Coinc"/>
    <s v="116BRJ1710"/>
    <s v="ENTR BR-040(A)/493(B)/RJ-109"/>
    <s v="ENTR RJ-105"/>
    <n v="148.4"/>
    <n v="151.1"/>
    <n v="2.7"/>
    <x v="0"/>
    <m/>
    <s v="040BRJ0950"/>
    <s v="Convênio de Administração"/>
    <m/>
    <m/>
    <m/>
    <s v="Federal"/>
    <s v="PAV"/>
    <s v="Seropédica"/>
  </r>
  <r>
    <x v="0"/>
    <s v="116BRJ1730"/>
    <n v="0"/>
    <x v="92"/>
    <s v="1730"/>
    <n v="-43.288785960103901"/>
    <n v="-22.6960910098921"/>
    <n v="-43.288102460060401"/>
    <n v="-22.745675760427901"/>
    <s v="116"/>
    <s v="RJ"/>
    <s v="Eixo Principal"/>
    <s v="Coinc"/>
    <s v="116BRJ1730"/>
    <s v="ENTR RJ-105"/>
    <s v="ENTR RJ-103"/>
    <n v="151.1"/>
    <n v="156.6"/>
    <n v="5.5"/>
    <x v="0"/>
    <m/>
    <s v="040BRJ0970"/>
    <s v="Convênio de Administração"/>
    <m/>
    <m/>
    <m/>
    <s v="Federal"/>
    <s v="PAV"/>
    <s v="Seropédica"/>
  </r>
  <r>
    <x v="0"/>
    <s v="116BRJ1750"/>
    <n v="0"/>
    <x v="92"/>
    <s v="1750"/>
    <n v="-43.288102460060401"/>
    <n v="-22.745675760427901"/>
    <n v="-43.289122380293499"/>
    <n v="-22.807953170002701"/>
    <s v="116"/>
    <s v="RJ"/>
    <s v="Eixo Principal"/>
    <s v="Coinc"/>
    <s v="116BRJ1750"/>
    <s v="ENTR RJ-103"/>
    <s v="ENTR RJ-071/081 (LINHA VERMELHA)"/>
    <n v="156.6"/>
    <n v="163.6"/>
    <n v="7"/>
    <x v="0"/>
    <m/>
    <s v="040BRJ0990"/>
    <s v="Convênio de Administração"/>
    <m/>
    <m/>
    <m/>
    <s v="Federal"/>
    <s v="PAV"/>
    <s v="Seropédica"/>
  </r>
  <r>
    <x v="0"/>
    <s v="116BRJ1760"/>
    <n v="0"/>
    <x v="92"/>
    <s v="1760"/>
    <n v="-43.289122380293499"/>
    <n v="-22.807953170002701"/>
    <n v="-43.289015369963202"/>
    <n v="-22.816131100170001"/>
    <s v="116"/>
    <s v="RJ"/>
    <s v="Eixo Principal"/>
    <s v="Coinc"/>
    <s v="116BRJ1760"/>
    <s v="ENTR RJ-071/081 (LINHA VERMELHA)"/>
    <s v="ENTR BR-040(B)/101(A) (TREVO DAS MISSÕES)"/>
    <n v="163.6"/>
    <n v="164.8"/>
    <n v="1.2"/>
    <x v="0"/>
    <m/>
    <s v="040BRJ0995"/>
    <s v="Convênio de Administração"/>
    <m/>
    <m/>
    <m/>
    <s v="Federal"/>
    <s v="PAV"/>
    <s v="Seropédica"/>
  </r>
  <r>
    <x v="0"/>
    <s v="116BRJ1770"/>
    <n v="0"/>
    <x v="92"/>
    <s v="1770"/>
    <n v="-43.289015369963202"/>
    <n v="-22.816131100170001"/>
    <n v="-43.301484230013102"/>
    <n v="-22.815825759650998"/>
    <s v="116"/>
    <s v="RJ"/>
    <s v="Eixo Principal"/>
    <s v="Coinc"/>
    <s v="116BRJ1770"/>
    <s v="ENTR BR-040(B)/101(A) (TREVO DAS MISSÕES)"/>
    <s v="ENTR RJ-101 (PARADA DE LUCAS)"/>
    <n v="164.8"/>
    <n v="166.1"/>
    <n v="1.3"/>
    <x v="0"/>
    <m/>
    <s v="101BRJ3190"/>
    <s v="Convênio de Administração"/>
    <m/>
    <m/>
    <m/>
    <s v="Federal"/>
    <s v="PAV"/>
    <s v="Seropédica"/>
  </r>
  <r>
    <x v="0"/>
    <s v="116BRJ1780"/>
    <n v="0"/>
    <x v="92"/>
    <s v="1780"/>
    <n v="-43.301484230013102"/>
    <n v="-22.815825759650998"/>
    <n v="-43.315760839790798"/>
    <n v="-22.819953969799801"/>
    <s v="116"/>
    <s v="RJ"/>
    <s v="Eixo Principal"/>
    <s v="Coinc"/>
    <s v="116BRJ1780"/>
    <s v="ENTR RJ-101 (PARADA DE LUCAS)"/>
    <s v="ENTR BR-101(B) (TREVO DAS MARGARIDAS)"/>
    <n v="166.1"/>
    <n v="168.1"/>
    <n v="2"/>
    <x v="0"/>
    <m/>
    <s v="101BRJ3200"/>
    <s v="Convênio de Administração"/>
    <m/>
    <m/>
    <m/>
    <s v="Federal"/>
    <s v="PAV"/>
    <s v="Seropédica"/>
  </r>
  <r>
    <x v="0"/>
    <s v="116BRJ1790"/>
    <n v="0"/>
    <x v="92"/>
    <s v="1790"/>
    <n v="-43.315760839790798"/>
    <n v="-22.819953969799801"/>
    <n v="-43.345650030124702"/>
    <n v="-22.804494050060299"/>
    <s v="116"/>
    <s v="RJ"/>
    <s v="Eixo Principal"/>
    <s v="-"/>
    <s v="116BRJ1790"/>
    <s v="ENTR BR-101(B) (TREVO DAS MARGARIDAS)"/>
    <s v="ENTR RJ-071"/>
    <n v="168.1"/>
    <n v="171.3"/>
    <n v="3.2"/>
    <x v="0"/>
    <m/>
    <m/>
    <s v="Concessão Federal"/>
    <m/>
    <m/>
    <m/>
    <s v="Federal"/>
    <s v="PAV"/>
    <s v="Seropédica"/>
  </r>
  <r>
    <x v="0"/>
    <s v="116BRJ1800"/>
    <n v="0"/>
    <x v="92"/>
    <s v="1800"/>
    <n v="-43.345650030124702"/>
    <n v="-22.804494050060299"/>
    <n v="-43.365385999564097"/>
    <n v="-22.793463380430602"/>
    <s v="116"/>
    <s v="RJ"/>
    <s v="Eixo Principal"/>
    <s v="-"/>
    <s v="116BRJ1800"/>
    <s v="ENTR RJ-071"/>
    <s v="ENTR RJ-085 (SÃO JOÃO DO MERITI)"/>
    <n v="171.3"/>
    <n v="174.2"/>
    <n v="2.9"/>
    <x v="0"/>
    <m/>
    <m/>
    <s v="Concessão Federal"/>
    <m/>
    <m/>
    <m/>
    <s v="Federal"/>
    <s v="PAV"/>
    <s v="Seropédica"/>
  </r>
  <r>
    <x v="0"/>
    <s v="116BRJ1810"/>
    <n v="0"/>
    <x v="92"/>
    <s v="1810"/>
    <n v="-43.365385999564097"/>
    <n v="-22.793463380430602"/>
    <n v="-43.400093600039497"/>
    <n v="-22.775460259783099"/>
    <s v="116"/>
    <s v="RJ"/>
    <s v="Eixo Principal"/>
    <s v="-"/>
    <s v="116BRJ1810"/>
    <s v="ENTR RJ-085 (SÃO JOÃO DO MERITI)"/>
    <s v="ENTR RJ-103 (COELHO DA ROCHA)"/>
    <n v="174.2"/>
    <n v="177.9"/>
    <n v="3.7"/>
    <x v="0"/>
    <m/>
    <m/>
    <s v="Concessão Federal"/>
    <m/>
    <m/>
    <m/>
    <s v="Federal"/>
    <s v="PAV"/>
    <s v="Seropédica"/>
  </r>
  <r>
    <x v="0"/>
    <s v="116BRJ1830"/>
    <n v="0"/>
    <x v="92"/>
    <s v="1830"/>
    <n v="-43.400093600039497"/>
    <n v="-22.775460259783099"/>
    <n v="-43.425733179842297"/>
    <n v="-22.760200739572401"/>
    <s v="116"/>
    <s v="RJ"/>
    <s v="Eixo Principal"/>
    <s v="-"/>
    <s v="116BRJ1830"/>
    <s v="ENTR RJ-103 (COELHO DA ROCHA)"/>
    <s v="ENTR RJ-105 (P/ NILÓPOLIS)"/>
    <n v="177.9"/>
    <n v="181.3"/>
    <n v="3.4"/>
    <x v="0"/>
    <m/>
    <m/>
    <s v="Concessão Federal"/>
    <m/>
    <m/>
    <m/>
    <s v="Federal"/>
    <s v="PAV"/>
    <s v="Seropédica"/>
  </r>
  <r>
    <x v="0"/>
    <s v="116BRJ1850"/>
    <n v="0"/>
    <x v="92"/>
    <s v="1850"/>
    <n v="-43.425733179842297"/>
    <n v="-22.760200739572401"/>
    <n v="-43.456976830116503"/>
    <n v="-22.740284890435301"/>
    <s v="116"/>
    <s v="RJ"/>
    <s v="Eixo Principal"/>
    <s v="-"/>
    <s v="116BRJ1850"/>
    <s v="ENTR RJ-105 (P/ NILÓPOLIS)"/>
    <s v="ENTR RJ-111"/>
    <n v="181.3"/>
    <n v="185.4"/>
    <n v="4.0999999999999996"/>
    <x v="0"/>
    <m/>
    <m/>
    <s v="Concessão Federal"/>
    <m/>
    <m/>
    <m/>
    <s v="Federal"/>
    <s v="PAV"/>
    <s v="Seropédica"/>
  </r>
  <r>
    <x v="0"/>
    <s v="116BRJ1853"/>
    <n v="0"/>
    <x v="92"/>
    <s v="1853"/>
    <n v="-43.456976830116503"/>
    <n v="-22.740284890435301"/>
    <n v="-43.5573122500602"/>
    <n v="-22.732756929988199"/>
    <s v="116"/>
    <s v="RJ"/>
    <s v="Eixo Principal"/>
    <s v="-"/>
    <s v="116BRJ1853"/>
    <s v="ENTR RJ-111"/>
    <s v="ENTR RJ-109"/>
    <n v="185.4"/>
    <n v="196.1"/>
    <n v="10.7"/>
    <x v="0"/>
    <m/>
    <m/>
    <s v="Concessão Federal"/>
    <m/>
    <m/>
    <m/>
    <s v="Federal"/>
    <s v="PAV"/>
    <s v="Seropédica"/>
  </r>
  <r>
    <x v="0"/>
    <s v="116BRJ1870"/>
    <n v="0"/>
    <x v="92"/>
    <s v="1870"/>
    <n v="-43.5573122500602"/>
    <n v="-22.732756929988199"/>
    <n v="-43.634769130290998"/>
    <n v="-22.7285236799238"/>
    <s v="116"/>
    <s v="RJ"/>
    <s v="Eixo Principal"/>
    <s v="-"/>
    <s v="116BRJ1870"/>
    <s v="ENTR RJ-109"/>
    <s v="ENTR RJ-093 (P/ JAPERI)"/>
    <n v="196.1"/>
    <n v="204.3"/>
    <n v="8.1999999999999993"/>
    <x v="0"/>
    <m/>
    <m/>
    <s v="Concessão Federal"/>
    <m/>
    <m/>
    <m/>
    <s v="Federal"/>
    <s v="PAV"/>
    <s v="Seropédica"/>
  </r>
  <r>
    <x v="0"/>
    <s v="116BRJ1890"/>
    <n v="0"/>
    <x v="92"/>
    <s v="1890"/>
    <n v="-43.634769130290998"/>
    <n v="-22.7285236799238"/>
    <n v="-43.707804199603999"/>
    <n v="-22.717406349823101"/>
    <s v="116"/>
    <s v="RJ"/>
    <s v="Eixo Principal"/>
    <s v="-"/>
    <s v="116BRJ1890"/>
    <s v="ENTR RJ-093 (P/ JAPERI)"/>
    <s v="ENTR BR-493 (P/JAPERI)"/>
    <n v="204.3"/>
    <n v="211.7"/>
    <n v="7.4"/>
    <x v="0"/>
    <m/>
    <m/>
    <s v="Concessão Federal"/>
    <m/>
    <m/>
    <m/>
    <s v="Federal"/>
    <s v="PAV"/>
    <s v="Seropédica"/>
  </r>
  <r>
    <x v="0"/>
    <s v="116BRJ1910"/>
    <n v="0"/>
    <x v="92"/>
    <s v="1910"/>
    <n v="-43.707804199603999"/>
    <n v="-22.717406349823101"/>
    <n v="-43.7340733803821"/>
    <n v="-22.713442470093799"/>
    <s v="116"/>
    <s v="RJ"/>
    <s v="Eixo Principal"/>
    <s v="-"/>
    <s v="116BRJ1910"/>
    <s v="ENTR BR-493 (P/JAPERI)"/>
    <s v="ENTR BR-465"/>
    <n v="211.7"/>
    <n v="214.7"/>
    <n v="3"/>
    <x v="0"/>
    <m/>
    <m/>
    <s v="Concessão Federal"/>
    <m/>
    <m/>
    <m/>
    <s v="Federal"/>
    <s v="PAV"/>
    <s v="Seropédica"/>
  </r>
  <r>
    <x v="0"/>
    <s v="116BRJ1930"/>
    <n v="0"/>
    <x v="92"/>
    <s v="1930"/>
    <n v="-43.7340733803821"/>
    <n v="-22.713442470093799"/>
    <n v="-43.754004750019099"/>
    <n v="-22.700436050183399"/>
    <s v="116"/>
    <s v="RJ"/>
    <s v="Eixo Principal"/>
    <s v="-"/>
    <s v="116BRJ1930"/>
    <s v="ENTR BR-465"/>
    <s v="ENTR RJ-127 (P/PARACAMBI)"/>
    <n v="214.7"/>
    <n v="217.7"/>
    <n v="3"/>
    <x v="0"/>
    <m/>
    <m/>
    <s v="Concessão Federal"/>
    <m/>
    <m/>
    <m/>
    <s v="Federal"/>
    <s v="PAV"/>
    <s v="Seropédica"/>
  </r>
  <r>
    <x v="0"/>
    <s v="116BRJ1950"/>
    <n v="0"/>
    <x v="92"/>
    <s v="1950"/>
    <n v="-43.754004750019099"/>
    <n v="-22.700436050183399"/>
    <n v="-43.817249629566703"/>
    <n v="-22.6764794499666"/>
    <s v="116"/>
    <s v="RJ"/>
    <s v="Eixo Principal"/>
    <s v="-"/>
    <s v="116BRJ1950"/>
    <s v="ENTR RJ-127 (P/PARACAMBI)"/>
    <s v="ENTR PISTA INVERSA (A)"/>
    <n v="217.7"/>
    <n v="225.5"/>
    <n v="7.8"/>
    <x v="0"/>
    <m/>
    <m/>
    <s v="Concessão Federal"/>
    <m/>
    <m/>
    <m/>
    <s v="Federal"/>
    <s v="PAV"/>
    <s v="Seropédica"/>
  </r>
  <r>
    <x v="0"/>
    <s v="116BRJ1970"/>
    <n v="0"/>
    <x v="92"/>
    <s v="1970"/>
    <n v="-43.817249629566703"/>
    <n v="-22.6764794499666"/>
    <n v="-43.840829459711699"/>
    <n v="-22.6660408202276"/>
    <s v="116"/>
    <s v="RJ"/>
    <s v="Eixo Principal"/>
    <s v="-"/>
    <s v="116BRJ1970"/>
    <s v="ENTR PISTA INVERSA (A)"/>
    <s v="ENTR PISTA INVERSA (B)"/>
    <n v="225.5"/>
    <n v="233.3"/>
    <n v="7.8"/>
    <x v="2"/>
    <m/>
    <m/>
    <s v="Concessão Federal"/>
    <m/>
    <m/>
    <m/>
    <s v="Federal"/>
    <s v="PAV"/>
    <s v="Seropédica"/>
  </r>
  <r>
    <x v="0"/>
    <s v="116BRJ1990"/>
    <n v="0"/>
    <x v="92"/>
    <s v="1990"/>
    <n v="-43.840829459711699"/>
    <n v="-22.6660408202276"/>
    <n v="-43.885213699752299"/>
    <n v="-22.663930109586801"/>
    <s v="116"/>
    <s v="RJ"/>
    <s v="Eixo Principal"/>
    <s v="-"/>
    <s v="116BRJ1990"/>
    <s v="ENTR PISTA INVERSA (B)"/>
    <s v="ENTR RJ-139 (P/ PASSA TRÊS)"/>
    <n v="233.3"/>
    <n v="238.2"/>
    <n v="4.9000000000000004"/>
    <x v="0"/>
    <m/>
    <m/>
    <s v="Concessão Federal"/>
    <m/>
    <m/>
    <m/>
    <s v="Federal"/>
    <s v="PAV"/>
    <s v="Seropédica"/>
  </r>
  <r>
    <x v="0"/>
    <s v="116BRJ2010"/>
    <n v="0"/>
    <x v="92"/>
    <s v="2010"/>
    <n v="-43.885213699752299"/>
    <n v="-22.663930109586801"/>
    <n v="-43.9116959101381"/>
    <n v="-22.629023400109698"/>
    <s v="116"/>
    <s v="RJ"/>
    <s v="Eixo Principal"/>
    <s v="-"/>
    <s v="116BRJ2010"/>
    <s v="ENTR RJ-139 (P/ PASSA TRÊS)"/>
    <s v="ENTR RJ-145 (P/PIRAÍ)"/>
    <n v="238.2"/>
    <n v="243.2"/>
    <n v="5"/>
    <x v="0"/>
    <m/>
    <m/>
    <s v="Concessão Federal"/>
    <m/>
    <m/>
    <m/>
    <s v="Federal"/>
    <s v="PAV"/>
    <s v="Seropédica"/>
  </r>
  <r>
    <x v="0"/>
    <s v="116BRJ2050"/>
    <n v="0"/>
    <x v="92"/>
    <s v="2050"/>
    <n v="-43.9116959101381"/>
    <n v="-22.629023400109698"/>
    <n v="-44.122239859981498"/>
    <n v="-22.560881710222699"/>
    <s v="116"/>
    <s v="RJ"/>
    <s v="Eixo Principal"/>
    <s v="-"/>
    <s v="116BRJ2050"/>
    <s v="ENTR RJ-145 (P/PIRAÍ)"/>
    <s v="ENTR BR-393/494 (P/VOLTA REDONDA)"/>
    <n v="243.2"/>
    <n v="271"/>
    <n v="27.8"/>
    <x v="0"/>
    <m/>
    <m/>
    <s v="Concessão Federal"/>
    <m/>
    <m/>
    <m/>
    <s v="Federal"/>
    <s v="PAV"/>
    <s v="Seropédica"/>
  </r>
  <r>
    <x v="0"/>
    <s v="116BRJ2070"/>
    <n v="0"/>
    <x v="92"/>
    <s v="2070"/>
    <n v="-44.122239859981498"/>
    <n v="-22.560881710222699"/>
    <n v="-44.169595749644003"/>
    <n v="-22.562931849725"/>
    <s v="116"/>
    <s v="RJ"/>
    <s v="Eixo Principal"/>
    <s v="-"/>
    <s v="116BRJ2070"/>
    <s v="ENTR BR-393/494 (P/VOLTA REDONDA)"/>
    <s v="ENTR RJ-155 (BARRA MANSA)"/>
    <n v="271"/>
    <n v="276.39999999999998"/>
    <n v="5.4"/>
    <x v="0"/>
    <m/>
    <m/>
    <s v="Concessão Federal"/>
    <m/>
    <m/>
    <m/>
    <s v="Federal"/>
    <s v="PAV"/>
    <s v="Seropédica"/>
  </r>
  <r>
    <x v="0"/>
    <s v="116BRJ2090"/>
    <n v="0"/>
    <x v="92"/>
    <s v="2090"/>
    <n v="-44.169595749644003"/>
    <n v="-22.562931849725"/>
    <n v="-44.183420110149903"/>
    <n v="-22.548444259894602"/>
    <s v="116"/>
    <s v="RJ"/>
    <s v="Eixo Principal"/>
    <s v="-"/>
    <s v="116BRJ2090"/>
    <s v="ENTR RJ-155 (BARRA MANSA)"/>
    <s v="ENTR RJ-157 (P/ BARRA MANSA)"/>
    <n v="276.39999999999998"/>
    <n v="278.89999999999998"/>
    <n v="2.5"/>
    <x v="0"/>
    <m/>
    <m/>
    <s v="Concessão Federal"/>
    <m/>
    <m/>
    <m/>
    <s v="Federal"/>
    <s v="PAV"/>
    <s v="Seropédica"/>
  </r>
  <r>
    <x v="0"/>
    <s v="116BRJ2110"/>
    <n v="0"/>
    <x v="92"/>
    <s v="2110"/>
    <n v="-44.183420110149903"/>
    <n v="-22.548444259894602"/>
    <n v="-44.322812539766801"/>
    <n v="-22.449458969655598"/>
    <s v="116"/>
    <s v="RJ"/>
    <s v="Eixo Principal"/>
    <s v="-"/>
    <s v="116BRJ2110"/>
    <s v="ENTR RJ-157 (P/ BARRA MANSA)"/>
    <s v="ENTR RJ-159 (FLORIANO)"/>
    <n v="278.89999999999998"/>
    <n v="296.10000000000002"/>
    <n v="17.2"/>
    <x v="0"/>
    <m/>
    <m/>
    <s v="Concessão Federal"/>
    <m/>
    <m/>
    <m/>
    <s v="Federal"/>
    <s v="PAV"/>
    <s v="Seropédica"/>
  </r>
  <r>
    <x v="0"/>
    <s v="116BRJ2130"/>
    <n v="0"/>
    <x v="92"/>
    <s v="2130"/>
    <n v="-44.322812539766801"/>
    <n v="-22.449458969655598"/>
    <n v="-44.441130420232597"/>
    <n v="-22.4602078996747"/>
    <s v="116"/>
    <s v="RJ"/>
    <s v="Eixo Principal"/>
    <s v="-"/>
    <s v="116BRJ2130"/>
    <s v="ENTR RJ-159 (FLORIANO)"/>
    <s v="ENTR RJ-161 (RESENDE)"/>
    <n v="296.10000000000002"/>
    <n v="310.8"/>
    <n v="14.7"/>
    <x v="0"/>
    <m/>
    <m/>
    <s v="Concessão Federal"/>
    <m/>
    <m/>
    <m/>
    <s v="Federal"/>
    <s v="PAV"/>
    <s v="Seropédica"/>
  </r>
  <r>
    <x v="0"/>
    <s v="116BRJ2150"/>
    <n v="0"/>
    <x v="92"/>
    <s v="2150"/>
    <n v="-44.441130420232597"/>
    <n v="-22.4602078996747"/>
    <n v="-44.499705200434597"/>
    <n v="-22.467067430017799"/>
    <s v="116"/>
    <s v="RJ"/>
    <s v="Eixo Principal"/>
    <s v="-"/>
    <s v="116BRJ2150"/>
    <s v="ENTR RJ-161 (RESENDE)"/>
    <s v="ENTR RJ-163 (P/PENEDO)"/>
    <n v="310.8"/>
    <n v="316.89999999999998"/>
    <n v="6.1"/>
    <x v="0"/>
    <m/>
    <m/>
    <s v="Concessão Federal"/>
    <m/>
    <m/>
    <m/>
    <s v="Federal"/>
    <s v="PAV"/>
    <s v="Seropédica"/>
  </r>
  <r>
    <x v="0"/>
    <s v="116BRJ2170"/>
    <n v="0"/>
    <x v="92"/>
    <s v="2170"/>
    <n v="-44.499705200434597"/>
    <n v="-22.467067430017799"/>
    <n v="-44.563270369931502"/>
    <n v="-22.4922770700306"/>
    <s v="116"/>
    <s v="RJ"/>
    <s v="Eixo Principal"/>
    <s v="-"/>
    <s v="116BRJ2170"/>
    <s v="ENTR RJ-163 (P/PENEDO)"/>
    <s v="ENTR BR-485 (ITATIAIA)"/>
    <n v="316.89999999999998"/>
    <n v="324.2"/>
    <n v="7.3"/>
    <x v="0"/>
    <m/>
    <m/>
    <s v="Concessão Federal"/>
    <m/>
    <m/>
    <m/>
    <s v="Federal"/>
    <s v="PAV"/>
    <s v="Seropédica"/>
  </r>
  <r>
    <x v="0"/>
    <s v="116BRJ2190"/>
    <n v="0"/>
    <x v="92"/>
    <s v="2190"/>
    <n v="-44.563270369931502"/>
    <n v="-22.4922770700306"/>
    <n v="-44.668554879603903"/>
    <n v="-22.502044649940601"/>
    <s v="116"/>
    <s v="RJ"/>
    <s v="Eixo Principal"/>
    <s v="-"/>
    <s v="116BRJ2190"/>
    <s v="ENTR BR-485 (ITATIAIA)"/>
    <s v="ENTR BR-354 (ENGENHEIRO PASSOS)"/>
    <n v="324.2"/>
    <n v="336.1"/>
    <n v="11.9"/>
    <x v="0"/>
    <m/>
    <m/>
    <s v="Concessão Federal"/>
    <m/>
    <m/>
    <m/>
    <s v="Federal"/>
    <s v="PAV"/>
    <s v="Seropédica"/>
  </r>
  <r>
    <x v="0"/>
    <s v="116BRJ2210"/>
    <n v="0"/>
    <x v="92"/>
    <s v="2210"/>
    <n v="-44.668554879603903"/>
    <n v="-22.502044649940601"/>
    <n v="-44.700061749749899"/>
    <n v="-22.514158339835401"/>
    <s v="116"/>
    <s v="RJ"/>
    <s v="Eixo Principal"/>
    <s v="-"/>
    <s v="116BRJ2210"/>
    <s v="ENTR BR-354 (ENGENHEIRO PASSOS)"/>
    <s v="DIV RJ/SP"/>
    <n v="336.1"/>
    <n v="339.6"/>
    <n v="3.5"/>
    <x v="0"/>
    <m/>
    <m/>
    <s v="Concessão Federal"/>
    <m/>
    <m/>
    <m/>
    <s v="Federal"/>
    <s v="PAV"/>
    <s v="Seropédica"/>
  </r>
  <r>
    <x v="0"/>
    <s v="116BRS3010"/>
    <n v="0"/>
    <x v="93"/>
    <s v="3010"/>
    <n v="-50.759778239673999"/>
    <n v="-28.210413219594301"/>
    <n v="-50.919690260297202"/>
    <n v="-28.500753730400199"/>
    <s v="116"/>
    <s v="RS"/>
    <s v="Eixo Principal"/>
    <s v="-"/>
    <s v="116BRS3010"/>
    <s v="DIV SC/RS (FIM PONTE S/RIO PELOTAS)"/>
    <s v="ENTR BR-285(A) (P/VACARIA)"/>
    <n v="0"/>
    <n v="37.299999999999997"/>
    <n v="37.299999999999997"/>
    <x v="2"/>
    <m/>
    <m/>
    <s v="Federal"/>
    <m/>
    <m/>
    <m/>
    <s v="Federal"/>
    <s v="PAV"/>
    <s v="Vacaria"/>
  </r>
  <r>
    <x v="0"/>
    <s v="116BRS3020"/>
    <n v="0"/>
    <x v="93"/>
    <s v="3020"/>
    <n v="-50.919690260297202"/>
    <n v="-28.500753730400199"/>
    <n v="-50.928847009881501"/>
    <n v="-28.508814520273798"/>
    <s v="116"/>
    <s v="RS"/>
    <s v="Eixo Principal"/>
    <s v="-"/>
    <s v="116BRS3020"/>
    <s v="ENTR BR-285(A) (P/VACARIA)"/>
    <s v="ENTR BR-285(B) (VACARIA)"/>
    <n v="37.299999999999997"/>
    <n v="38.5"/>
    <n v="1.2"/>
    <x v="2"/>
    <m/>
    <s v="285BRS0100"/>
    <s v="Federal"/>
    <m/>
    <m/>
    <m/>
    <s v="Federal"/>
    <s v="PAV"/>
    <s v="Vacaria"/>
  </r>
  <r>
    <x v="0"/>
    <s v="116BRS3030"/>
    <n v="0"/>
    <x v="93"/>
    <s v="3030"/>
    <n v="-50.928847009881501"/>
    <n v="-28.508814520273798"/>
    <n v="-51.042070509746097"/>
    <n v="-28.621742309559899"/>
    <s v="116"/>
    <s v="RS"/>
    <s v="Eixo Principal"/>
    <s v="-"/>
    <s v="116BRS3030"/>
    <s v="ENTR BR-285(B) (VACARIA)"/>
    <s v="ENTR RS-122 (P/IPÊ)"/>
    <n v="38.5"/>
    <n v="57.4"/>
    <n v="18.899999999999999"/>
    <x v="2"/>
    <m/>
    <m/>
    <s v="Federal"/>
    <m/>
    <m/>
    <m/>
    <s v="Federal"/>
    <s v="PAV"/>
    <s v="Vacaria"/>
  </r>
  <r>
    <x v="0"/>
    <s v="116BRS3050"/>
    <n v="0"/>
    <x v="93"/>
    <s v="3050"/>
    <n v="-51.042070509746097"/>
    <n v="-28.621742309559899"/>
    <n v="-51.095769739581698"/>
    <n v="-28.793875589786499"/>
    <s v="116"/>
    <s v="RS"/>
    <s v="Eixo Principal"/>
    <s v="-"/>
    <s v="116BRS3050"/>
    <s v="ENTR RS-122 (P/IPÊ)"/>
    <s v="ENTR RS-437 (CAMPESTRE DA SERRA)"/>
    <n v="57.4"/>
    <n v="79.5"/>
    <n v="22.1"/>
    <x v="2"/>
    <m/>
    <m/>
    <s v="Federal"/>
    <m/>
    <m/>
    <m/>
    <s v="Federal"/>
    <s v="PAV"/>
    <s v="Vacaria"/>
  </r>
  <r>
    <x v="0"/>
    <s v="116BRS3070"/>
    <n v="0"/>
    <x v="93"/>
    <s v="3070"/>
    <n v="-51.095769739581698"/>
    <n v="-28.793875589786499"/>
    <n v="-51.0713875298106"/>
    <n v="-28.970102889736498"/>
    <s v="116"/>
    <s v="RS"/>
    <s v="Eixo Principal"/>
    <s v="-"/>
    <s v="116BRS3070"/>
    <s v="ENTR RS-437 (CAMPESTRE DA SERRA)"/>
    <s v="ENTR AV VENÂNCIO AIRES (SÃO MARCOS)"/>
    <n v="79.5"/>
    <n v="115"/>
    <n v="35.5"/>
    <x v="2"/>
    <m/>
    <m/>
    <s v="Federal"/>
    <m/>
    <m/>
    <m/>
    <s v="Federal"/>
    <s v="PAV"/>
    <s v="Vacaria"/>
  </r>
  <r>
    <x v="0"/>
    <s v="116BRS3080"/>
    <n v="0"/>
    <x v="93"/>
    <s v="3080"/>
    <n v="-51.0713875298106"/>
    <n v="-28.970102889736498"/>
    <n v="-51.1164149101199"/>
    <n v="-29.118419429612899"/>
    <s v="116"/>
    <s v="RS"/>
    <s v="Eixo Principal"/>
    <s v="-"/>
    <s v="116BRS3080"/>
    <s v="ENTR AV VENÂNCIO AIRES (SÃO MARCOS)"/>
    <s v="ENTR RS-230 (ANA RECH)"/>
    <n v="115"/>
    <n v="142"/>
    <n v="27"/>
    <x v="2"/>
    <m/>
    <m/>
    <s v="Federal"/>
    <m/>
    <m/>
    <m/>
    <s v="Federal"/>
    <s v="PAV"/>
    <s v="Vacaria"/>
  </r>
  <r>
    <x v="0"/>
    <s v="116BRS3090"/>
    <n v="0"/>
    <x v="93"/>
    <s v="3090"/>
    <n v="-51.1164149101199"/>
    <n v="-29.118419429612899"/>
    <n v="-51.129078930248298"/>
    <n v="-29.132523509852"/>
    <s v="116"/>
    <s v="RS"/>
    <s v="Eixo Principal"/>
    <s v="-"/>
    <s v="116BRS3090"/>
    <s v="ENTR RS-230 (ANA RECH)"/>
    <s v="ENTR BR-453 (P/CAXIAS DO SUL)"/>
    <n v="142"/>
    <n v="144.6"/>
    <n v="2.6"/>
    <x v="0"/>
    <m/>
    <m/>
    <s v="Federal"/>
    <m/>
    <m/>
    <m/>
    <s v="Federal"/>
    <s v="PAV"/>
    <s v="Vacaria"/>
  </r>
  <r>
    <x v="0"/>
    <s v="116BRS3100"/>
    <n v="0"/>
    <x v="93"/>
    <s v="3100"/>
    <n v="-51.129078930248298"/>
    <n v="-29.132523509852"/>
    <n v="-51.182220670347498"/>
    <n v="-29.188248379858798"/>
    <s v="116"/>
    <s v="RS"/>
    <s v="Eixo Principal"/>
    <s v="-"/>
    <s v="116BRS3100"/>
    <s v="ENTR BR-453 (P/CAXIAS DO SUL)"/>
    <s v="ENTR AV. SÃO LEOPOLDO (CAXIAS DO SUL)"/>
    <n v="144.6"/>
    <n v="153.6"/>
    <n v="9"/>
    <x v="0"/>
    <m/>
    <m/>
    <s v="Federal"/>
    <m/>
    <m/>
    <m/>
    <s v="Federal"/>
    <s v="PAV"/>
    <s v="Vacaria"/>
  </r>
  <r>
    <x v="0"/>
    <s v="116BRS3110"/>
    <n v="0"/>
    <x v="93"/>
    <s v="3110"/>
    <n v="-51.182220670347498"/>
    <n v="-29.188248379858798"/>
    <n v="-51.167042890417001"/>
    <n v="-29.3140155903471"/>
    <s v="116"/>
    <s v="RS"/>
    <s v="Eixo Principal"/>
    <s v="-"/>
    <s v="116BRS3110"/>
    <s v="ENTR AV. SÃO LEOPOLDO (CAXIAS DO SUL)"/>
    <s v="ENTR RS-452 (VILA CRISTINA)"/>
    <n v="153.6"/>
    <n v="171.8"/>
    <n v="18.2"/>
    <x v="2"/>
    <m/>
    <m/>
    <s v="Federal"/>
    <m/>
    <m/>
    <m/>
    <s v="Federal"/>
    <s v="PAV"/>
    <s v="Vacaria"/>
  </r>
  <r>
    <x v="0"/>
    <s v="116BRS3130"/>
    <n v="0"/>
    <x v="93"/>
    <s v="3130"/>
    <n v="-51.167042890417001"/>
    <n v="-29.3140155903471"/>
    <n v="-51.119363750236801"/>
    <n v="-29.383216929817401"/>
    <s v="116"/>
    <s v="RS"/>
    <s v="Eixo Principal"/>
    <s v="-"/>
    <s v="116BRS3130"/>
    <s v="ENTR RS-452 (VILA CRISTINA)"/>
    <s v="ENTR RS-235 (P/NOVA PETRÓPOLIS)"/>
    <n v="171.8"/>
    <n v="183.8"/>
    <n v="12"/>
    <x v="2"/>
    <m/>
    <m/>
    <s v="Federal"/>
    <m/>
    <m/>
    <m/>
    <s v="Federal"/>
    <s v="PAV"/>
    <s v="Vacaria"/>
  </r>
  <r>
    <x v="0"/>
    <s v="116BRS3150"/>
    <n v="0"/>
    <x v="93"/>
    <s v="3150"/>
    <n v="-51.119363750236801"/>
    <n v="-29.383216929817401"/>
    <n v="-51.137053469741701"/>
    <n v="-29.4542289795837"/>
    <s v="116"/>
    <s v="RS"/>
    <s v="Eixo Principal"/>
    <s v="-"/>
    <s v="116BRS3150"/>
    <s v="ENTR RS-235 (P/NOVA PETRÓPOLIS)"/>
    <s v="ENTR R. VICENTE PRIETO (PICADA CAFÉ)"/>
    <n v="183.8"/>
    <n v="194.6"/>
    <n v="10.8"/>
    <x v="2"/>
    <m/>
    <m/>
    <s v="Federal"/>
    <m/>
    <m/>
    <m/>
    <s v="Federal"/>
    <s v="PAV"/>
    <s v="São Leopoldo"/>
  </r>
  <r>
    <x v="0"/>
    <s v="116BRS3160"/>
    <n v="0"/>
    <x v="93"/>
    <s v="3160"/>
    <n v="-51.137053469741701"/>
    <n v="-29.4542289795837"/>
    <n v="-51.078575409827202"/>
    <n v="-29.538123750210801"/>
    <s v="116"/>
    <s v="RS"/>
    <s v="Eixo Principal"/>
    <s v="-"/>
    <s v="116BRS3160"/>
    <s v="ENTR R. VICENTE PRIETO (PICADA CAFÉ)"/>
    <s v="ENTR VRS-873 (P/SANTA MARIA DO HERVAL)"/>
    <n v="194.6"/>
    <n v="214.8"/>
    <n v="20.2"/>
    <x v="2"/>
    <m/>
    <m/>
    <s v="Federal"/>
    <m/>
    <m/>
    <m/>
    <s v="Federal"/>
    <s v="PAV"/>
    <s v="São Leopoldo"/>
  </r>
  <r>
    <x v="0"/>
    <s v="116BRS3165"/>
    <n v="0"/>
    <x v="93"/>
    <s v="3165"/>
    <n v="-51.078575409827202"/>
    <n v="-29.538123750210801"/>
    <n v="-51.135732610271702"/>
    <n v="-29.6249861603829"/>
    <s v="116"/>
    <s v="RS"/>
    <s v="Eixo Principal"/>
    <s v="-"/>
    <s v="116BRS3165"/>
    <s v="ENTR VRS-873 (P/SANTA MARIA DO HERVAL)"/>
    <s v="ENTR RS-326 (P/IVOTI)"/>
    <n v="214.8"/>
    <n v="230.5"/>
    <n v="15.7"/>
    <x v="2"/>
    <m/>
    <m/>
    <s v="Federal"/>
    <m/>
    <m/>
    <m/>
    <s v="Federal"/>
    <s v="PAV"/>
    <s v="São Leopoldo"/>
  </r>
  <r>
    <x v="0"/>
    <s v="116BRS3168"/>
    <n v="0"/>
    <x v="93"/>
    <s v="3168"/>
    <n v="-51.135732610271702"/>
    <n v="-29.6249861603829"/>
    <n v="-51.144117249611298"/>
    <n v="-29.657673780120799"/>
    <s v="116"/>
    <s v="RS"/>
    <s v="Eixo Principal"/>
    <s v="-"/>
    <s v="116BRS3168"/>
    <s v="ENTR RS-326 (P/IVOTI)"/>
    <s v="ENTR RS-239 (P/CAMPO BOM)"/>
    <n v="230.5"/>
    <n v="234.7"/>
    <n v="4.2"/>
    <x v="2"/>
    <m/>
    <m/>
    <s v="Federal"/>
    <m/>
    <m/>
    <m/>
    <s v="Federal"/>
    <s v="PAV"/>
    <s v="São Leopoldo"/>
  </r>
  <r>
    <x v="0"/>
    <s v="116BRS3170"/>
    <n v="0"/>
    <x v="93"/>
    <s v="3170"/>
    <n v="-51.144117249611298"/>
    <n v="-29.657673780120799"/>
    <n v="-51.149359930216498"/>
    <n v="-29.730480730101501"/>
    <s v="116"/>
    <s v="RS"/>
    <s v="Eixo Principal"/>
    <s v="-"/>
    <s v="116BRS3170"/>
    <s v="ENTR RS-239 (P/CAMPO BOM)"/>
    <s v="ENTR RS-240 (VILA SCHARLAU)"/>
    <n v="234.7"/>
    <n v="242.9"/>
    <n v="8.1999999999999993"/>
    <x v="0"/>
    <m/>
    <m/>
    <s v="Federal"/>
    <m/>
    <m/>
    <m/>
    <s v="Federal"/>
    <s v="PAV"/>
    <s v="São Leopoldo"/>
  </r>
  <r>
    <x v="0"/>
    <s v="116BRS3190"/>
    <n v="0"/>
    <x v="93"/>
    <s v="3190"/>
    <n v="-51.149359930216498"/>
    <n v="-29.730480730101501"/>
    <n v="-51.172653060090603"/>
    <n v="-29.827416979809701"/>
    <s v="116"/>
    <s v="RS"/>
    <s v="Eixo Principal"/>
    <s v="-"/>
    <s v="116BRS3190"/>
    <s v="ENTR RS-240 (VILA SCHARLAU)"/>
    <s v="ENTR BR-448(A)/RS-118 (SAPUCAIA DO SUL)"/>
    <n v="242.9"/>
    <n v="254.1"/>
    <n v="11.2"/>
    <x v="0"/>
    <m/>
    <m/>
    <s v="Federal"/>
    <m/>
    <m/>
    <m/>
    <s v="Federal"/>
    <s v="PAV"/>
    <s v="São Leopoldo"/>
  </r>
  <r>
    <x v="0"/>
    <s v="116BRS3210"/>
    <n v="0"/>
    <x v="93"/>
    <s v="3210"/>
    <n v="-51.172653060090603"/>
    <n v="-29.827416979809701"/>
    <n v="-51.177018440348697"/>
    <n v="-29.8928772196079"/>
    <s v="116"/>
    <s v="RS"/>
    <s v="Eixo Principal"/>
    <s v="-"/>
    <s v="116BRS3210"/>
    <s v="ENTR BR-448(A)/RS-118 (SAPUCAIA DO SUL)"/>
    <s v="ENTR BR-386(A) (CANOAS)"/>
    <n v="254.1"/>
    <n v="261.60000000000002"/>
    <n v="7.5"/>
    <x v="0"/>
    <m/>
    <m/>
    <s v="Federal"/>
    <m/>
    <m/>
    <m/>
    <s v="Federal"/>
    <s v="PAV"/>
    <s v="São Leopoldo"/>
  </r>
  <r>
    <x v="0"/>
    <s v="116BRS3230"/>
    <n v="0"/>
    <x v="93"/>
    <s v="3230"/>
    <n v="-51.177018440348697"/>
    <n v="-29.8928772196079"/>
    <n v="-51.176838709938401"/>
    <n v="-29.9719161098405"/>
    <s v="116"/>
    <s v="RS"/>
    <s v="Eixo Principal"/>
    <s v="-"/>
    <s v="116BRS3230"/>
    <s v="ENTR BR-386(A) (CANOAS)"/>
    <s v="ENTR BR-290(A)/386(B) (PORTO ALEGRE)"/>
    <n v="261.60000000000002"/>
    <n v="270.39999999999998"/>
    <n v="8.8000000000000007"/>
    <x v="0"/>
    <m/>
    <s v="386BRS0370"/>
    <s v="Federal"/>
    <m/>
    <m/>
    <m/>
    <s v="Federal"/>
    <s v="PAV"/>
    <s v="São Leopoldo"/>
  </r>
  <r>
    <x v="0"/>
    <s v="116BRS3250"/>
    <n v="0"/>
    <x v="93"/>
    <s v="3250"/>
    <n v="-51.176838709938401"/>
    <n v="-29.9719161098405"/>
    <n v="-51.198140939552601"/>
    <n v="-29.974160219618302"/>
    <s v="116"/>
    <s v="RS"/>
    <s v="Eixo Principal"/>
    <s v="-"/>
    <s v="116BRS3250"/>
    <s v="ENTR BR-290(A)/386(B) (PORTO ALEGRE)"/>
    <s v="ENTR BR-448(B)"/>
    <n v="270.39999999999998"/>
    <n v="272.5"/>
    <n v="2.1"/>
    <x v="0"/>
    <m/>
    <s v="290BRS0090"/>
    <s v="Concessão Federal"/>
    <m/>
    <m/>
    <m/>
    <s v="Federal"/>
    <s v="PAV"/>
    <s v="São Leopoldo"/>
  </r>
  <r>
    <x v="0"/>
    <s v="116BRS3255"/>
    <n v="0"/>
    <x v="93"/>
    <s v="3255"/>
    <n v="-51.198140939552601"/>
    <n v="-29.974160219618302"/>
    <n v="-51.207791319813502"/>
    <n v="-29.997789279551501"/>
    <s v="116"/>
    <s v="RS"/>
    <s v="Eixo Principal"/>
    <s v="-"/>
    <s v="116BRS3255"/>
    <s v="ENTR BR-448(B)"/>
    <s v="PONTE RIO GUAÍBA"/>
    <n v="272.5"/>
    <n v="275.39999999999998"/>
    <n v="2.9"/>
    <x v="0"/>
    <m/>
    <s v="290BRS0095"/>
    <s v="Concessão Federal"/>
    <m/>
    <m/>
    <m/>
    <s v="Federal"/>
    <s v="PAV"/>
    <s v="São Leopoldo"/>
  </r>
  <r>
    <x v="0"/>
    <s v="116BRS3260"/>
    <n v="0"/>
    <x v="93"/>
    <s v="3260"/>
    <n v="-51.207791319813502"/>
    <n v="-29.997789279551501"/>
    <n v="-51.218737060167101"/>
    <n v="-29.994414929705201"/>
    <s v="116"/>
    <s v="RS"/>
    <s v="Eixo Principal"/>
    <s v="-"/>
    <s v="116BRS3260"/>
    <s v="PONTE RIO GUAÍBA"/>
    <s v="FIM DA CONCESSÃO (ILHA DO PAVÃO)"/>
    <n v="275.39999999999998"/>
    <n v="276.60000000000002"/>
    <n v="1.2"/>
    <x v="0"/>
    <m/>
    <s v="290BRS0100"/>
    <s v="Concessão Federal"/>
    <m/>
    <m/>
    <m/>
    <s v="Federal"/>
    <s v="PAV"/>
    <s v="São Leopoldo"/>
  </r>
  <r>
    <x v="0"/>
    <s v="116BRS3265"/>
    <n v="0"/>
    <x v="93"/>
    <s v="3265"/>
    <n v="-51.218737060167101"/>
    <n v="-29.994414929705201"/>
    <n v="-51.330401390112002"/>
    <n v="-30.0430026000898"/>
    <s v="116"/>
    <s v="RS"/>
    <s v="Eixo Principal"/>
    <s v="-"/>
    <s v="116BRS3265"/>
    <s v="FIM DA CONCESSÃO (ILHA DO PAVÃO)"/>
    <s v="ENTR BR-290(B) (P/ARROIO DOS RATOS)"/>
    <n v="276.60000000000002"/>
    <n v="290.7"/>
    <n v="14.1"/>
    <x v="0"/>
    <m/>
    <s v="290BRS0105"/>
    <s v="Federal"/>
    <m/>
    <m/>
    <m/>
    <s v="Federal"/>
    <s v="PAV"/>
    <s v="São Leopoldo"/>
  </r>
  <r>
    <x v="0"/>
    <s v="116BRS3270"/>
    <n v="0"/>
    <x v="93"/>
    <s v="3270"/>
    <n v="-51.330401390112002"/>
    <n v="-30.0430026000898"/>
    <n v="-51.347165619997298"/>
    <n v="-30.1192277598531"/>
    <s v="116"/>
    <s v="RS"/>
    <s v="Eixo Principal"/>
    <s v="-"/>
    <s v="116BRS3270"/>
    <s v="ENTR BR-290(B) (P/ARROIO DOS RATOS)"/>
    <s v="ENTR RS-703 (P/ GUAÍBA)"/>
    <n v="290.7"/>
    <n v="299.39999999999998"/>
    <n v="8.6999999999999993"/>
    <x v="0"/>
    <m/>
    <m/>
    <s v="Federal"/>
    <m/>
    <m/>
    <m/>
    <s v="Federal"/>
    <s v="PAV"/>
    <s v="São Leopoldo"/>
  </r>
  <r>
    <x v="0"/>
    <s v="116BRS3275"/>
    <n v="0"/>
    <x v="93"/>
    <s v="3275"/>
    <n v="-51.347165619997298"/>
    <n v="-30.1192277598531"/>
    <n v="-51.4126465603903"/>
    <n v="-30.2822569404054"/>
    <s v="116"/>
    <s v="RS"/>
    <s v="Eixo Principal"/>
    <s v="-"/>
    <s v="116BRS3275"/>
    <s v="ENTR RS-703 (P/ GUAÍBA)"/>
    <s v="ENTR RS-709 (P/BARRA DO RIBEIRO)"/>
    <n v="299.39999999999998"/>
    <n v="319.39999999999998"/>
    <n v="20"/>
    <x v="2"/>
    <s v="EOD"/>
    <m/>
    <s v="Federal"/>
    <m/>
    <m/>
    <m/>
    <s v="Federal"/>
    <s v="PAV"/>
    <s v="São Leopoldo"/>
  </r>
  <r>
    <x v="0"/>
    <s v="116BRS3290"/>
    <n v="0"/>
    <x v="93"/>
    <s v="3290"/>
    <n v="-51.4126465603903"/>
    <n v="-30.2822569404054"/>
    <n v="-51.429490499886597"/>
    <n v="-30.354952700007001"/>
    <s v="116"/>
    <s v="RS"/>
    <s v="Eixo Principal"/>
    <s v="-"/>
    <s v="116BRS3290"/>
    <s v="ENTR RS-709 (P/BARRA DO RIBEIRO)"/>
    <s v="ENTR RS-711 (P/MARIANA PIMENTEL)"/>
    <n v="319.39999999999998"/>
    <n v="327.7"/>
    <n v="8.3000000000000007"/>
    <x v="2"/>
    <s v="EOD"/>
    <m/>
    <s v="Federal"/>
    <m/>
    <m/>
    <m/>
    <s v="Federal"/>
    <s v="PAV"/>
    <s v="São Leopoldo"/>
  </r>
  <r>
    <x v="0"/>
    <s v="116BRS3295"/>
    <n v="0"/>
    <x v="93"/>
    <s v="3295"/>
    <n v="-51.429490499886597"/>
    <n v="-30.354952700007001"/>
    <n v="-51.467852560247401"/>
    <n v="-30.423880730111499"/>
    <s v="116"/>
    <s v="RS"/>
    <s v="Eixo Principal"/>
    <s v="-"/>
    <s v="116BRS3295"/>
    <s v="ENTR RS-711 (P/MARIANA PIMENTEL)"/>
    <s v="ENTR RS-713 (P/SERTÃO SANTANA)"/>
    <n v="327.7"/>
    <n v="336.7"/>
    <n v="9"/>
    <x v="2"/>
    <s v="EOD"/>
    <m/>
    <s v="Federal"/>
    <m/>
    <m/>
    <m/>
    <s v="Federal"/>
    <s v="PAV"/>
    <s v="São Leopoldo"/>
  </r>
  <r>
    <x v="0"/>
    <s v="116BRS3297"/>
    <n v="0"/>
    <x v="93"/>
    <s v="3297"/>
    <n v="-51.467852560247401"/>
    <n v="-30.423880730111499"/>
    <n v="-51.5532049997109"/>
    <n v="-30.637161590335001"/>
    <s v="116"/>
    <s v="RS"/>
    <s v="Eixo Principal"/>
    <s v="-"/>
    <s v="116BRS3297"/>
    <s v="ENTR RS-713 (P/SERTÃO SANTANA)"/>
    <s v="ENTR RS-715/717 (P/TAPES)"/>
    <n v="336.7"/>
    <n v="362.7"/>
    <n v="26"/>
    <x v="2"/>
    <s v="EOD"/>
    <m/>
    <s v="Federal"/>
    <m/>
    <m/>
    <m/>
    <s v="Federal"/>
    <s v="PAV"/>
    <s v="São Leopoldo"/>
  </r>
  <r>
    <x v="0"/>
    <s v="116BRS3310"/>
    <n v="0"/>
    <x v="93"/>
    <s v="3310"/>
    <n v="-51.5532049997109"/>
    <n v="-30.637161590335001"/>
    <n v="-51.7876339997092"/>
    <n v="-30.858952860086301"/>
    <s v="116"/>
    <s v="RS"/>
    <s v="Eixo Principal"/>
    <s v="-"/>
    <s v="116BRS3310"/>
    <s v="ENTR RS-715/717 (P/TAPES)"/>
    <s v="ENTR BR-470/RS-350 (P/CAMAQUÃ)"/>
    <n v="362.7"/>
    <n v="400.5"/>
    <n v="37.799999999999997"/>
    <x v="2"/>
    <s v="EOD"/>
    <m/>
    <s v="Federal"/>
    <m/>
    <m/>
    <m/>
    <s v="Federal"/>
    <s v="PAV"/>
    <s v="São Leopoldo"/>
  </r>
  <r>
    <x v="0"/>
    <s v="116BRS3330"/>
    <n v="0"/>
    <x v="93"/>
    <s v="3330"/>
    <n v="-51.7876339997092"/>
    <n v="-30.858952860086301"/>
    <n v="-52.049108620066697"/>
    <n v="-30.9976278897153"/>
    <s v="116"/>
    <s v="RS"/>
    <s v="Eixo Principal"/>
    <s v="-"/>
    <s v="116BRS3330"/>
    <s v="ENTR BR-470/RS-350 (P/CAMAQUÃ)"/>
    <s v="ENTR RS-354 (P/AMARAL FERRADOR)"/>
    <n v="400.5"/>
    <n v="427"/>
    <n v="26.5"/>
    <x v="2"/>
    <s v="EOD"/>
    <m/>
    <s v="Concessão Federal"/>
    <m/>
    <m/>
    <m/>
    <s v="Federal"/>
    <s v="PAV"/>
    <s v="Pelotas"/>
  </r>
  <r>
    <x v="0"/>
    <s v="116BRS3340"/>
    <n v="0"/>
    <x v="93"/>
    <s v="3340"/>
    <n v="-52.049108620066697"/>
    <n v="-30.9976278897153"/>
    <n v="-52.027119470287197"/>
    <n v="-31.319442840214801"/>
    <s v="116"/>
    <s v="RS"/>
    <s v="Eixo Principal"/>
    <s v="-"/>
    <s v="116BRS3340"/>
    <s v="ENTR RS-354 (P/AMARAL FERRADOR)"/>
    <s v="ENTR RS-265 (P/SÃO LOURENÇO DO SUL)"/>
    <n v="427"/>
    <n v="464.7"/>
    <n v="37.700000000000003"/>
    <x v="2"/>
    <s v="EOD"/>
    <m/>
    <s v="Concessão Federal"/>
    <m/>
    <m/>
    <m/>
    <s v="Federal"/>
    <s v="PAV"/>
    <s v="Pelotas"/>
  </r>
  <r>
    <x v="0"/>
    <s v="116BRS3350"/>
    <n v="0"/>
    <x v="93"/>
    <s v="3350"/>
    <n v="-52.027119470287197"/>
    <n v="-31.319442840214801"/>
    <n v="-52.167915009569903"/>
    <n v="-31.410554170238601"/>
    <s v="116"/>
    <s v="RS"/>
    <s v="Eixo Principal"/>
    <s v="-"/>
    <s v="116BRS3350"/>
    <s v="ENTR RS-265 (P/SÃO LOURENÇO DO SUL)"/>
    <s v="INÍCIO PONTE S/ RIO ARROIO GRANDE (TURUÇU)"/>
    <n v="464.7"/>
    <n v="482.3"/>
    <n v="17.600000000000001"/>
    <x v="2"/>
    <s v="EOD"/>
    <m/>
    <s v="Concessão Federal"/>
    <m/>
    <m/>
    <m/>
    <s v="Federal"/>
    <s v="PAV"/>
    <s v="Pelotas"/>
  </r>
  <r>
    <x v="0"/>
    <s v="116BRS3355"/>
    <n v="0"/>
    <x v="93"/>
    <s v="3355"/>
    <n v="-52.167915009569903"/>
    <n v="-31.410554170238601"/>
    <n v="-52.342465500182598"/>
    <n v="-31.6788378698717"/>
    <s v="116"/>
    <s v="RS"/>
    <s v="Eixo Principal"/>
    <s v="-"/>
    <s v="116BRS3355"/>
    <s v="INÍCIO PONTE S/ RIO ARROIO GRANDE (TURUÇU)"/>
    <s v="ACESSO A PELOTAS"/>
    <n v="482.3"/>
    <n v="516.9"/>
    <n v="34.6"/>
    <x v="2"/>
    <s v="EOD"/>
    <m/>
    <s v="Concessão Federal"/>
    <m/>
    <m/>
    <m/>
    <s v="Federal"/>
    <s v="PAV"/>
    <s v="Pelotas"/>
  </r>
  <r>
    <x v="0"/>
    <s v="116BRS3360"/>
    <n v="0"/>
    <x v="93"/>
    <s v="3360"/>
    <n v="-52.342465500182598"/>
    <n v="-31.6788378698717"/>
    <n v="-52.384862709746201"/>
    <n v="-31.725837930176201"/>
    <s v="116"/>
    <s v="RS"/>
    <s v="Eixo Principal"/>
    <s v="-"/>
    <s v="116BRS3360"/>
    <s v="ENTR AV. FERNANDO OSÓRIO (ACESSO A PELOTAS)"/>
    <s v="ENTR BR-393(A)/392(A)/471(A) (P/PELOTAS)"/>
    <n v="516.9"/>
    <n v="523.6"/>
    <n v="6.7"/>
    <x v="2"/>
    <s v="EOD"/>
    <m/>
    <s v="Concessão Federal"/>
    <m/>
    <m/>
    <m/>
    <s v="Federal"/>
    <s v="PAV"/>
    <s v="Pelotas"/>
  </r>
  <r>
    <x v="0"/>
    <s v="116BRS3370"/>
    <n v="0"/>
    <x v="93"/>
    <s v="3370"/>
    <n v="-52.384862709746201"/>
    <n v="-31.725837930176201"/>
    <n v="-52.4041712404103"/>
    <n v="-31.7453258899777"/>
    <s v="116"/>
    <s v="RS"/>
    <s v="Eixo Principal"/>
    <s v="-"/>
    <s v="116BRS3370"/>
    <s v="ENTR BR-393(A)/392(A)/471(A) (P/PELOTAS)"/>
    <s v="ENTR BR-392(B)/471(B)"/>
    <n v="523.6"/>
    <n v="526.5"/>
    <n v="2.9"/>
    <x v="2"/>
    <s v="EOD"/>
    <s v="293BRS0011;471BRS0170;392BRS0100"/>
    <s v="Concessão Federal"/>
    <m/>
    <m/>
    <m/>
    <s v="Federal"/>
    <s v="PAV"/>
    <s v="Pelotas"/>
  </r>
  <r>
    <x v="0"/>
    <s v="116BRS3380"/>
    <n v="0"/>
    <x v="93"/>
    <s v="3380"/>
    <n v="-52.4041712404103"/>
    <n v="-31.7453258899777"/>
    <n v="-52.433663720004603"/>
    <n v="-31.756820609783201"/>
    <s v="116"/>
    <s v="RS"/>
    <s v="Eixo Principal"/>
    <s v="-"/>
    <s v="116BRS3380"/>
    <s v="ENTR BR-392(B)/471(B)"/>
    <s v="ENTR BR-293(B) (P/CAPÃO DO LEÃO)"/>
    <n v="526.5"/>
    <n v="529.6"/>
    <n v="3.1"/>
    <x v="2"/>
    <m/>
    <s v="293BRS0020"/>
    <s v="Concessão Federal"/>
    <m/>
    <m/>
    <m/>
    <s v="Federal"/>
    <s v="PAV"/>
    <s v="Pelotas"/>
  </r>
  <r>
    <x v="0"/>
    <s v="116BRS3390"/>
    <n v="0"/>
    <x v="93"/>
    <s v="3390"/>
    <n v="-52.433663720004603"/>
    <n v="-31.756820609783201"/>
    <n v="-52.725544860306996"/>
    <n v="-31.926418640008102"/>
    <s v="116"/>
    <s v="RS"/>
    <s v="Eixo Principal"/>
    <s v="-"/>
    <s v="116BRS3390"/>
    <s v="ENTR BR-293(B) (P/CAPÃO DO LEÃO)"/>
    <s v="ENTR RS-706 (P/PEDRO OSÓRIO)"/>
    <n v="529.6"/>
    <n v="563.5"/>
    <n v="33.9"/>
    <x v="2"/>
    <m/>
    <m/>
    <s v="Concessão Federal"/>
    <m/>
    <m/>
    <m/>
    <s v="Federal"/>
    <s v="PAV"/>
    <s v="Pelotas"/>
  </r>
  <r>
    <x v="0"/>
    <s v="116BRS3410"/>
    <n v="0"/>
    <x v="93"/>
    <s v="3410"/>
    <n v="-52.725544860306996"/>
    <n v="-31.926418640008102"/>
    <n v="-52.853100580427302"/>
    <n v="-32.041047839586"/>
    <s v="116"/>
    <s v="RS"/>
    <s v="Eixo Principal"/>
    <s v="-"/>
    <s v="116BRS3410"/>
    <s v="ENTR RS-706 (P/PEDRO OSÓRIO)"/>
    <s v="ENTR BR-473 (P/HERVAL)"/>
    <n v="563.5"/>
    <n v="581.29999999999995"/>
    <n v="17.8"/>
    <x v="2"/>
    <m/>
    <m/>
    <s v="Concessão Federal"/>
    <m/>
    <m/>
    <m/>
    <s v="Federal"/>
    <s v="PAV"/>
    <s v="Pelotas"/>
  </r>
  <r>
    <x v="0"/>
    <s v="116BRS3430"/>
    <n v="0"/>
    <x v="93"/>
    <s v="3430"/>
    <n v="-52.853100580427302"/>
    <n v="-32.041047839586"/>
    <n v="-53.068704969558603"/>
    <n v="-32.243522039610397"/>
    <s v="116"/>
    <s v="RS"/>
    <s v="Eixo Principal"/>
    <s v="-"/>
    <s v="116BRS3430"/>
    <s v="ENTR BR-473 (P/HERVAL)"/>
    <s v="ENTR RS-602 (P/ARROIO GRANDE)"/>
    <n v="581.29999999999995"/>
    <n v="611.79999999999995"/>
    <n v="30.5"/>
    <x v="2"/>
    <m/>
    <m/>
    <s v="Concessão Federal"/>
    <m/>
    <m/>
    <m/>
    <s v="Federal"/>
    <s v="PAV"/>
    <s v="Pelotas"/>
  </r>
  <r>
    <x v="0"/>
    <s v="116BRS3450"/>
    <n v="0"/>
    <x v="93"/>
    <s v="3450"/>
    <n v="-53.068704969558603"/>
    <n v="-32.243522039610397"/>
    <n v="-53.378707700000199"/>
    <n v="-32.569655829552801"/>
    <s v="116"/>
    <s v="RS"/>
    <s v="Eixo Principal"/>
    <s v="-"/>
    <s v="116BRS3450"/>
    <s v="ENTR RS-602 (P/ARROIO GRANDE)"/>
    <s v="INÍCIO DA PONTE S/ RIO JAGUARÃO (FRONTEIRA BR/UR)"/>
    <n v="611.79999999999995"/>
    <n v="657"/>
    <n v="45.2"/>
    <x v="2"/>
    <m/>
    <m/>
    <s v="Concessão Federal"/>
    <m/>
    <m/>
    <m/>
    <s v="Federal"/>
    <s v="PAV"/>
    <s v="Pelotas"/>
  </r>
  <r>
    <x v="0"/>
    <s v="116BRS3460"/>
    <n v="0"/>
    <x v="93"/>
    <s v="3460"/>
    <n v="-53.378707700000199"/>
    <n v="-32.569655829552801"/>
    <n v="-53.376961349686397"/>
    <n v="-32.572251319742499"/>
    <s v="116"/>
    <s v="RS"/>
    <s v="Eixo Principal"/>
    <s v="-"/>
    <s v="116BRS3460"/>
    <s v="INÍCIO DA PONTE S/ RIO JAGUARÃO (FRONTEIRA BR/UR)"/>
    <s v="FIM DA PONTE S/ RIO JAGUARÃO (FRONTEIRA BR/UR)"/>
    <n v="657"/>
    <n v="657.4"/>
    <n v="0.4"/>
    <x v="2"/>
    <m/>
    <m/>
    <s v="Federal"/>
    <m/>
    <m/>
    <m/>
    <s v="Federal"/>
    <s v="PAV"/>
    <s v="Pelotas"/>
  </r>
  <r>
    <x v="0"/>
    <s v="116BSC2830"/>
    <n v="0"/>
    <x v="94"/>
    <s v="2830"/>
    <n v="-49.784138730118201"/>
    <n v="-26.108885489673501"/>
    <n v="-49.812782640006702"/>
    <n v="-26.1392027995694"/>
    <s v="116"/>
    <s v="SC"/>
    <s v="Eixo Principal"/>
    <s v="-"/>
    <s v="116BSC2830"/>
    <s v="DIV PR/SC (RIO NEGRO/MAFRA)"/>
    <s v="ENTR BR-280(A)"/>
    <n v="0"/>
    <n v="4.7"/>
    <n v="4.7"/>
    <x v="2"/>
    <m/>
    <m/>
    <s v="Concessão Federal"/>
    <m/>
    <m/>
    <m/>
    <s v="Federal"/>
    <s v="PAV"/>
    <s v="Mafra"/>
  </r>
  <r>
    <x v="0"/>
    <s v="116BSC2850"/>
    <n v="0"/>
    <x v="94"/>
    <s v="2850"/>
    <n v="-49.812782640006702"/>
    <n v="-26.1392027995694"/>
    <n v="-49.871044430056301"/>
    <n v="-26.179665499962798"/>
    <s v="116"/>
    <s v="SC"/>
    <s v="Eixo Principal"/>
    <s v="-"/>
    <s v="116BSC2850"/>
    <s v="ENTR BR-280(A)"/>
    <s v="ENTR BR-280(B) (P/CANOINHAS)"/>
    <n v="4.7"/>
    <n v="12.4"/>
    <n v="7.7"/>
    <x v="2"/>
    <m/>
    <s v="280BSC0100"/>
    <s v="Concessão Federal"/>
    <m/>
    <m/>
    <m/>
    <s v="Federal"/>
    <s v="PAV"/>
    <s v="Mafra"/>
  </r>
  <r>
    <x v="0"/>
    <s v="116BSC2870"/>
    <n v="0"/>
    <x v="94"/>
    <s v="2870"/>
    <n v="-49.871044430056301"/>
    <n v="-26.179665499962798"/>
    <n v="-49.9193177496144"/>
    <n v="-26.270255279857199"/>
    <s v="116"/>
    <s v="SC"/>
    <s v="Eixo Principal"/>
    <s v="-"/>
    <s v="116BSC2870"/>
    <s v="ENTR BR-280(B) (P/CANOINHAS)"/>
    <s v="ENTR SC-114 (P/ITAIÓPOLIS)"/>
    <n v="12.4"/>
    <n v="23.6"/>
    <n v="11.2"/>
    <x v="2"/>
    <m/>
    <m/>
    <s v="Concessão Federal"/>
    <m/>
    <m/>
    <m/>
    <s v="Federal"/>
    <s v="PAV"/>
    <s v="Mafra"/>
  </r>
  <r>
    <x v="0"/>
    <s v="116BSC2875"/>
    <n v="0"/>
    <x v="94"/>
    <s v="2875"/>
    <n v="-49.9193177496144"/>
    <n v="-26.270255279857199"/>
    <n v="-50.162808779901198"/>
    <n v="-26.394689939688899"/>
    <s v="116"/>
    <s v="SC"/>
    <s v="Eixo Principal"/>
    <s v="-"/>
    <s v="116BSC2875"/>
    <s v="ENTR SC-114 (P/ITAIÓPOLIS)"/>
    <s v="ENTR BR-477(A) (P/PAPANDUVA)"/>
    <n v="23.6"/>
    <n v="53.8"/>
    <n v="30.2"/>
    <x v="2"/>
    <m/>
    <m/>
    <s v="Concessão Federal"/>
    <m/>
    <m/>
    <m/>
    <s v="Federal"/>
    <s v="PAV"/>
    <s v="Mafra"/>
  </r>
  <r>
    <x v="0"/>
    <s v="116BSC2890"/>
    <n v="0"/>
    <x v="94"/>
    <s v="2890"/>
    <n v="-50.162808779901198"/>
    <n v="-26.394689939688899"/>
    <n v="-50.215109560357803"/>
    <n v="-26.381929219957399"/>
    <s v="116"/>
    <s v="SC"/>
    <s v="Eixo Principal"/>
    <s v="-"/>
    <s v="116BSC2890"/>
    <s v="ENTR BR-477(A) (P/PAPANDUVA)"/>
    <s v="ENTR BR-477(B) (P/MAJOR VIEIRA)"/>
    <n v="53.8"/>
    <n v="59.8"/>
    <n v="6"/>
    <x v="2"/>
    <m/>
    <s v="477BSC0020"/>
    <s v="Concessão Federal"/>
    <m/>
    <m/>
    <m/>
    <s v="Federal"/>
    <s v="PAV"/>
    <s v="Mafra"/>
  </r>
  <r>
    <x v="0"/>
    <s v="116BSC2891"/>
    <n v="0"/>
    <x v="94"/>
    <s v="2891"/>
    <n v="-50.215109560357803"/>
    <n v="-26.381929219957399"/>
    <n v="-50.349121359663002"/>
    <n v="-26.772898419626301"/>
    <s v="116"/>
    <s v="SC"/>
    <s v="Eixo Principal"/>
    <s v="-"/>
    <s v="116BSC2891"/>
    <s v="ENTR BR-477(B) (P/MAJOR VIEIRA)"/>
    <s v="ENTR SC-340 (P/TIMBÓ GRANDE)"/>
    <n v="59.8"/>
    <n v="111.5"/>
    <n v="51.7"/>
    <x v="2"/>
    <m/>
    <m/>
    <s v="Concessão Federal"/>
    <m/>
    <m/>
    <m/>
    <s v="Federal"/>
    <s v="PAV"/>
    <s v="Mafra"/>
  </r>
  <r>
    <x v="0"/>
    <s v="116BSC2895"/>
    <n v="0"/>
    <x v="94"/>
    <s v="2895"/>
    <n v="-50.349121359663002"/>
    <n v="-26.772898419626301"/>
    <n v="-50.444386880350102"/>
    <n v="-26.913427800052801"/>
    <s v="116"/>
    <s v="SC"/>
    <s v="Eixo Principal"/>
    <s v="-"/>
    <s v="116BSC2895"/>
    <s v="ENTR SC-340 (P/TIMBÓ GRANDE)"/>
    <s v="ENTR SC-350(A) (P/LEBON RÉGIS)"/>
    <n v="111.5"/>
    <n v="132.69999999999999"/>
    <n v="21.2"/>
    <x v="2"/>
    <m/>
    <m/>
    <s v="Concessão Federal"/>
    <m/>
    <m/>
    <m/>
    <s v="Federal"/>
    <s v="PAV"/>
    <s v="Mafra"/>
  </r>
  <r>
    <x v="0"/>
    <s v="116BSC2897"/>
    <n v="0"/>
    <x v="94"/>
    <s v="2897"/>
    <n v="-50.444386880350102"/>
    <n v="-26.913427800052801"/>
    <n v="-50.415546050409802"/>
    <n v="-26.9607124301344"/>
    <s v="116"/>
    <s v="SC"/>
    <s v="Eixo Principal"/>
    <s v="-"/>
    <s v="116BSC2897"/>
    <s v="ENTR SC-350(A) (P/LEBON RÉGIS)"/>
    <s v="SANTA CECÍLIA"/>
    <n v="132.69999999999999"/>
    <n v="139.1"/>
    <n v="6.4"/>
    <x v="2"/>
    <m/>
    <m/>
    <s v="Concessão Federal"/>
    <m/>
    <m/>
    <m/>
    <s v="Federal"/>
    <s v="PAV"/>
    <s v="Rio do Sul"/>
  </r>
  <r>
    <x v="0"/>
    <s v="116BSC2899"/>
    <n v="0"/>
    <x v="94"/>
    <s v="2899"/>
    <n v="-50.415546050409802"/>
    <n v="-26.9607124301344"/>
    <n v="-50.393706199781199"/>
    <n v="-26.9858013298674"/>
    <s v="116"/>
    <s v="SC"/>
    <s v="Eixo Principal"/>
    <s v="-"/>
    <s v="116BSC2899"/>
    <s v="SANTA CECÍLIA"/>
    <s v="ENTR SC-350(B) (P/TAIÓ)"/>
    <n v="139.1"/>
    <n v="142.9"/>
    <n v="3.8"/>
    <x v="2"/>
    <m/>
    <m/>
    <s v="Concessão Federal"/>
    <m/>
    <m/>
    <m/>
    <s v="Federal"/>
    <s v="PAV"/>
    <s v="Rio do Sul"/>
  </r>
  <r>
    <x v="0"/>
    <s v="116BSC2910"/>
    <n v="0"/>
    <x v="94"/>
    <s v="2910"/>
    <n v="-50.393706199781199"/>
    <n v="-26.9858013298674"/>
    <n v="-50.441602320290798"/>
    <n v="-27.2676001599194"/>
    <s v="116"/>
    <s v="SC"/>
    <s v="Eixo Principal"/>
    <s v="-"/>
    <s v="116BSC2910"/>
    <s v="ENTR SC-350(B) (P/TAIÓ)"/>
    <s v="SÃO CRISTOVÃO DO SUL"/>
    <n v="142.9"/>
    <n v="179.8"/>
    <n v="36.9"/>
    <x v="2"/>
    <m/>
    <m/>
    <s v="Concessão Federal"/>
    <m/>
    <m/>
    <m/>
    <s v="Federal"/>
    <s v="PAV"/>
    <s v="Rio do Sul"/>
  </r>
  <r>
    <x v="0"/>
    <s v="116BSC2920"/>
    <n v="0"/>
    <x v="94"/>
    <s v="2920"/>
    <n v="-50.441602320290798"/>
    <n v="-27.2676001599194"/>
    <n v="-50.426079529846298"/>
    <n v="-27.301417339838299"/>
    <s v="116"/>
    <s v="SC"/>
    <s v="Eixo Principal"/>
    <s v="-"/>
    <s v="116BSC2920"/>
    <s v="SÃO CRISTOVÃO DO SUL"/>
    <s v="ENTR BR-470"/>
    <n v="179.8"/>
    <n v="184.3"/>
    <n v="4.5"/>
    <x v="2"/>
    <m/>
    <m/>
    <s v="Concessão Federal"/>
    <m/>
    <m/>
    <m/>
    <s v="Federal"/>
    <s v="PAV"/>
    <s v="Rio do Sul"/>
  </r>
  <r>
    <x v="0"/>
    <s v="116BSC2930"/>
    <n v="0"/>
    <x v="94"/>
    <s v="2930"/>
    <n v="-50.426079529846298"/>
    <n v="-27.301417339838299"/>
    <n v="-50.3781382696653"/>
    <n v="-27.484544459758901"/>
    <s v="116"/>
    <s v="SC"/>
    <s v="Eixo Principal"/>
    <s v="-"/>
    <s v="116BSC2930"/>
    <s v="ENTR BR-470"/>
    <s v="ENTR SC-281 (PONTE ALTA)"/>
    <n v="184.3"/>
    <n v="207.3"/>
    <n v="23"/>
    <x v="2"/>
    <m/>
    <m/>
    <s v="Concessão Federal"/>
    <m/>
    <m/>
    <m/>
    <s v="Federal"/>
    <s v="PAV"/>
    <s v="Lages"/>
  </r>
  <r>
    <x v="0"/>
    <s v="116BSC2940"/>
    <n v="0"/>
    <x v="94"/>
    <s v="2940"/>
    <n v="-50.3781382696653"/>
    <n v="-27.484544459758901"/>
    <n v="-50.368457319649501"/>
    <n v="-27.5806819397196"/>
    <s v="116"/>
    <s v="SC"/>
    <s v="Eixo Principal"/>
    <s v="-"/>
    <s v="116BSC2940"/>
    <s v="ENTR SC-281 (PONTE ALTA)"/>
    <s v="CORREIA PINTO"/>
    <n v="207.3"/>
    <n v="220.4"/>
    <n v="13.1"/>
    <x v="2"/>
    <m/>
    <m/>
    <s v="Concessão Federal"/>
    <m/>
    <m/>
    <m/>
    <s v="Federal"/>
    <s v="PAV"/>
    <s v="Lages"/>
  </r>
  <r>
    <x v="0"/>
    <s v="116BSC2950"/>
    <n v="0"/>
    <x v="94"/>
    <s v="2950"/>
    <n v="-50.368457319649501"/>
    <n v="-27.5806819397196"/>
    <n v="-50.363718739627998"/>
    <n v="-27.799868539901102"/>
    <s v="116"/>
    <s v="SC"/>
    <s v="Eixo Principal"/>
    <s v="-"/>
    <s v="116BSC2950"/>
    <s v="CORREIA PINTO"/>
    <s v="ENTR BR-282 (P/LAJES)"/>
    <n v="220.4"/>
    <n v="245.5"/>
    <n v="25.1"/>
    <x v="2"/>
    <m/>
    <m/>
    <s v="Concessão Federal"/>
    <m/>
    <m/>
    <m/>
    <s v="Federal"/>
    <s v="PAV"/>
    <s v="Lages"/>
  </r>
  <r>
    <x v="0"/>
    <s v="116BSC2970"/>
    <n v="0"/>
    <x v="94"/>
    <s v="2970"/>
    <n v="-50.363718739627998"/>
    <n v="-27.799868539901102"/>
    <n v="-50.484226579892699"/>
    <n v="-27.956311530053"/>
    <s v="116"/>
    <s v="SC"/>
    <s v="Eixo Principal"/>
    <s v="-"/>
    <s v="116BSC2970"/>
    <s v="ENTR BR-282 (P/LAJES)"/>
    <s v="ENTR SC-390 (P/CAMPO BELO DO SUL)"/>
    <n v="245.5"/>
    <n v="267.60000000000002"/>
    <n v="22.1"/>
    <x v="2"/>
    <m/>
    <m/>
    <s v="Concessão Federal"/>
    <m/>
    <m/>
    <m/>
    <s v="Federal"/>
    <s v="PAV"/>
    <s v="Lages"/>
  </r>
  <r>
    <x v="0"/>
    <s v="116BSC2990"/>
    <n v="0"/>
    <x v="94"/>
    <s v="2990"/>
    <n v="-50.484226579892699"/>
    <n v="-27.956311530053"/>
    <n v="-50.758238969952401"/>
    <n v="-28.2083079498519"/>
    <s v="116"/>
    <s v="SC"/>
    <s v="Eixo Principal"/>
    <s v="-"/>
    <s v="116BSC2990"/>
    <s v="ENTR SC-390 (P/CAMPO BELO DO SUL)"/>
    <s v="INÍCIO PONTE S/RIO PELOTAS"/>
    <n v="267.60000000000002"/>
    <n v="310.2"/>
    <n v="42.6"/>
    <x v="2"/>
    <m/>
    <m/>
    <s v="Concessão Federal"/>
    <m/>
    <m/>
    <m/>
    <s v="Federal"/>
    <s v="PAV"/>
    <s v="Lages"/>
  </r>
  <r>
    <x v="0"/>
    <s v="116BSC3000"/>
    <n v="0"/>
    <x v="94"/>
    <s v="3000"/>
    <n v="-50.758238969952401"/>
    <n v="-28.2083079498519"/>
    <n v="-50.759778239673999"/>
    <n v="-28.210413219594301"/>
    <s v="116"/>
    <s v="SC"/>
    <s v="Eixo Principal"/>
    <s v="-"/>
    <s v="116BSC3000"/>
    <s v="INÍCIO PONTE S/RIO PELOTAS"/>
    <s v="DIV SC/RS (FIM PONTE S/RIO PELOTAS)"/>
    <n v="310.2"/>
    <n v="310.5"/>
    <n v="0.3"/>
    <x v="2"/>
    <m/>
    <m/>
    <s v="Concessão Federal"/>
    <m/>
    <m/>
    <m/>
    <s v="Federal"/>
    <s v="PAV"/>
    <s v="Lages"/>
  </r>
  <r>
    <x v="0"/>
    <s v="116BSP2230"/>
    <n v="0"/>
    <x v="95"/>
    <s v="2230"/>
    <n v="-44.700061749749899"/>
    <n v="-22.514158339835401"/>
    <n v="-44.743665030216903"/>
    <n v="-22.529157630420201"/>
    <s v="116"/>
    <s v="SP"/>
    <s v="Eixo Principal"/>
    <s v="-"/>
    <s v="116BSP2230"/>
    <s v="DIV RJ/SP"/>
    <s v="ENTR SP-054"/>
    <n v="0"/>
    <n v="4.9000000000000004"/>
    <n v="4.9000000000000004"/>
    <x v="0"/>
    <m/>
    <m/>
    <s v="Concessão Federal"/>
    <m/>
    <m/>
    <m/>
    <s v="Federal"/>
    <s v="PAV"/>
    <s v="Taubaté"/>
  </r>
  <r>
    <x v="0"/>
    <s v="116BSP2243"/>
    <n v="0"/>
    <x v="95"/>
    <s v="2243"/>
    <n v="-44.743665030216903"/>
    <n v="-22.529157630420201"/>
    <n v="-44.771399440431701"/>
    <n v="-22.5363282902183"/>
    <s v="116"/>
    <s v="SP"/>
    <s v="Eixo Principal"/>
    <s v="-"/>
    <s v="116BSP2243"/>
    <s v="ENTR SP-054"/>
    <s v="QUELUZ"/>
    <n v="4.9000000000000004"/>
    <n v="8"/>
    <n v="3.1"/>
    <x v="0"/>
    <m/>
    <m/>
    <s v="Concessão Federal"/>
    <m/>
    <m/>
    <m/>
    <s v="Federal"/>
    <s v="PAV"/>
    <s v="Taubaté"/>
  </r>
  <r>
    <x v="0"/>
    <s v="116BSP2250"/>
    <n v="0"/>
    <x v="95"/>
    <s v="2250"/>
    <n v="-44.771399440431701"/>
    <n v="-22.5363282902183"/>
    <n v="-44.816794049905397"/>
    <n v="-22.554016470083901"/>
    <s v="116"/>
    <s v="SP"/>
    <s v="Eixo Principal"/>
    <s v="-"/>
    <s v="116BSP2250"/>
    <s v="QUELUZ"/>
    <s v="ENTR SP-058(B)"/>
    <n v="8"/>
    <n v="13.6"/>
    <n v="5.6"/>
    <x v="0"/>
    <m/>
    <m/>
    <s v="Concessão Federal"/>
    <m/>
    <m/>
    <m/>
    <s v="Federal"/>
    <s v="PAV"/>
    <s v="Taubaté"/>
  </r>
  <r>
    <x v="0"/>
    <s v="116BSP2255"/>
    <n v="0"/>
    <x v="95"/>
    <s v="2255"/>
    <n v="-44.816794049905397"/>
    <n v="-22.554016470083901"/>
    <n v="-44.877033149660001"/>
    <n v="-22.578968060427499"/>
    <s v="116"/>
    <s v="SP"/>
    <s v="Eixo Principal"/>
    <s v="-"/>
    <s v="116BSP2255"/>
    <s v="ENTR SP-058(B)"/>
    <s v="ACESSO LAVRINHAS"/>
    <n v="13.6"/>
    <n v="21.5"/>
    <n v="7.9"/>
    <x v="0"/>
    <m/>
    <m/>
    <s v="Concessão Federal"/>
    <m/>
    <m/>
    <m/>
    <s v="Federal"/>
    <s v="PAV"/>
    <s v="Taubaté"/>
  </r>
  <r>
    <x v="0"/>
    <s v="116BSP2265"/>
    <n v="0"/>
    <x v="95"/>
    <s v="2265"/>
    <n v="-44.877033149660001"/>
    <n v="-22.578968060427499"/>
    <n v="-44.957802970430599"/>
    <n v="-22.651592250182102"/>
    <s v="116"/>
    <s v="SP"/>
    <s v="Eixo Principal"/>
    <s v="-"/>
    <s v="116BSP2265"/>
    <s v="ACESSO LAVRINHAS"/>
    <s v="ENTR SP-052 (P/CRUZEIRO)"/>
    <n v="21.5"/>
    <n v="33.6"/>
    <n v="12.1"/>
    <x v="0"/>
    <m/>
    <m/>
    <s v="Concessão Federal"/>
    <m/>
    <m/>
    <m/>
    <s v="Federal"/>
    <s v="PAV"/>
    <s v="Taubaté"/>
  </r>
  <r>
    <x v="0"/>
    <s v="116BSP2270"/>
    <n v="0"/>
    <x v="95"/>
    <s v="2270"/>
    <n v="-44.957802970430599"/>
    <n v="-22.651592250182102"/>
    <n v="-44.978716430318897"/>
    <n v="-22.6617118499219"/>
    <s v="116"/>
    <s v="SP"/>
    <s v="Eixo Principal"/>
    <s v="-"/>
    <s v="116BSP2270"/>
    <s v="ENTR SP-052 (P/CRUZEIRO)"/>
    <s v="ENTR SP-068 (P/SILVEIRAS)"/>
    <n v="33.6"/>
    <n v="36.299999999999997"/>
    <n v="2.7"/>
    <x v="0"/>
    <m/>
    <m/>
    <s v="Concessão Federal"/>
    <m/>
    <m/>
    <m/>
    <s v="Federal"/>
    <s v="PAV"/>
    <s v="Taubaté"/>
  </r>
  <r>
    <x v="0"/>
    <s v="116BSP2290"/>
    <n v="0"/>
    <x v="95"/>
    <s v="2290"/>
    <n v="-44.978716430318897"/>
    <n v="-22.6617118499219"/>
    <n v="-44.999918870259499"/>
    <n v="-22.675845349683001"/>
    <s v="116"/>
    <s v="SP"/>
    <s v="Eixo Principal"/>
    <s v="-"/>
    <s v="116BSP2290"/>
    <s v="ENTR SP-068 (P/SILVEIRAS)"/>
    <s v="CACHOEIRA PAULISTA"/>
    <n v="36.299999999999997"/>
    <n v="39.1"/>
    <n v="2.8"/>
    <x v="0"/>
    <m/>
    <m/>
    <s v="Concessão Federal"/>
    <m/>
    <m/>
    <m/>
    <s v="Federal"/>
    <s v="PAV"/>
    <s v="Taubaté"/>
  </r>
  <r>
    <x v="0"/>
    <s v="116BSP2310"/>
    <n v="0"/>
    <x v="95"/>
    <s v="2310"/>
    <n v="-44.999918870259499"/>
    <n v="-22.675845349683001"/>
    <n v="-45.092825659876198"/>
    <n v="-22.742144430321101"/>
    <s v="116"/>
    <s v="SP"/>
    <s v="Eixo Principal"/>
    <s v="-"/>
    <s v="116BSP2310"/>
    <s v="CACHOEIRA PAULISTA"/>
    <s v="ENTR BR-459(A) (LORENA)"/>
    <n v="39.1"/>
    <n v="51.1"/>
    <n v="12"/>
    <x v="0"/>
    <m/>
    <m/>
    <s v="Concessão Federal"/>
    <m/>
    <m/>
    <m/>
    <s v="Federal"/>
    <s v="PAV"/>
    <s v="Taubaté"/>
  </r>
  <r>
    <x v="0"/>
    <s v="116BSP2330"/>
    <n v="0"/>
    <x v="95"/>
    <s v="2330"/>
    <n v="-45.092825659876198"/>
    <n v="-22.742144430321101"/>
    <n v="-45.192805680337798"/>
    <n v="-22.823271850315599"/>
    <s v="116"/>
    <s v="SP"/>
    <s v="Eixo Principal"/>
    <s v="-"/>
    <s v="116BSP2330"/>
    <s v="ENTR BR-459(A) (LORENA)"/>
    <s v="ENTR BR-459(B)/SP-171 (GUARATINGUETÁ)"/>
    <n v="51.1"/>
    <n v="65"/>
    <n v="13.9"/>
    <x v="0"/>
    <m/>
    <s v="459BSP0210"/>
    <s v="Concessão Federal"/>
    <m/>
    <m/>
    <m/>
    <s v="Federal"/>
    <s v="PAV"/>
    <s v="Taubaté"/>
  </r>
  <r>
    <x v="0"/>
    <s v="116BSP2340"/>
    <n v="0"/>
    <x v="95"/>
    <s v="2340"/>
    <n v="-45.192805680337798"/>
    <n v="-22.823271850315599"/>
    <n v="-45.233029330139402"/>
    <n v="-22.858622920211499"/>
    <s v="116"/>
    <s v="SP"/>
    <s v="Eixo Principal"/>
    <s v="-"/>
    <s v="116BSP2340"/>
    <s v="ENTR BR-459(B)/SP-171 (GUARATINGUETÁ)"/>
    <s v="ENTR BR-488(A) (P/SANTUARIO NOSSA SENHORA  APARECIDA)"/>
    <n v="65"/>
    <n v="71.3"/>
    <n v="6.3"/>
    <x v="0"/>
    <m/>
    <m/>
    <s v="Concessão Federal"/>
    <m/>
    <m/>
    <m/>
    <s v="Federal"/>
    <s v="PAV"/>
    <s v="Taubaté"/>
  </r>
  <r>
    <x v="0"/>
    <s v="116BSP2345"/>
    <n v="0"/>
    <x v="95"/>
    <s v="2345"/>
    <n v="-45.233029330139402"/>
    <n v="-22.858622920211499"/>
    <n v="-45.257027960172103"/>
    <n v="-22.874462930319901"/>
    <s v="116"/>
    <s v="SP"/>
    <s v="Eixo Principal"/>
    <s v="-"/>
    <s v="116BSP2345"/>
    <s v="ENTR BR-488(A) (P/SANTUARIO NOSSA SENHORA  APARECIDA)"/>
    <s v="ENTR BR-488(B) (P/PORTO DE ITAGUAÇU)"/>
    <n v="71.3"/>
    <n v="74.400000000000006"/>
    <n v="3.1"/>
    <x v="0"/>
    <m/>
    <m/>
    <s v="Concessão Federal"/>
    <m/>
    <m/>
    <m/>
    <s v="Federal"/>
    <s v="PAV"/>
    <s v="Taubaté"/>
  </r>
  <r>
    <x v="0"/>
    <s v="116BSP2350"/>
    <n v="0"/>
    <x v="95"/>
    <s v="2350"/>
    <n v="-45.257027960172103"/>
    <n v="-22.874462930319901"/>
    <n v="-45.309482149681401"/>
    <n v="-22.904343280317999"/>
    <s v="116"/>
    <s v="SP"/>
    <s v="Eixo Principal"/>
    <s v="-"/>
    <s v="116BSP2350"/>
    <s v="ENTR BR-488(B) (P/PORTO DE ITAGUAÇU)"/>
    <s v="ROSEIRA"/>
    <n v="74.400000000000006"/>
    <n v="80.900000000000006"/>
    <n v="6.5"/>
    <x v="0"/>
    <m/>
    <m/>
    <s v="Concessão Federal"/>
    <m/>
    <m/>
    <m/>
    <s v="Federal"/>
    <s v="PAV"/>
    <s v="Taubaté"/>
  </r>
  <r>
    <x v="0"/>
    <s v="116BSP2360"/>
    <n v="0"/>
    <x v="95"/>
    <s v="2360"/>
    <n v="-45.309482149681401"/>
    <n v="-22.904343280317999"/>
    <n v="-45.463525649688897"/>
    <n v="-22.981962179710699"/>
    <s v="116"/>
    <s v="SP"/>
    <s v="Eixo Principal"/>
    <s v="-"/>
    <s v="116BSP2360"/>
    <s v="ROSEIRA"/>
    <s v="ENTR BR-383(A)/SP-060 (PINDAMONHANGABA)"/>
    <n v="80.900000000000006"/>
    <n v="98.9"/>
    <n v="18"/>
    <x v="0"/>
    <m/>
    <m/>
    <s v="Concessão Federal"/>
    <m/>
    <m/>
    <m/>
    <s v="Federal"/>
    <s v="PAV"/>
    <s v="Taubaté"/>
  </r>
  <r>
    <x v="0"/>
    <s v="116BSP2370"/>
    <n v="0"/>
    <x v="95"/>
    <s v="2370"/>
    <n v="-45.463525649688897"/>
    <n v="-22.981962179710699"/>
    <n v="-45.5573675399799"/>
    <n v="-23.037180320415398"/>
    <s v="116"/>
    <s v="SP"/>
    <s v="Eixo Principal"/>
    <s v="-"/>
    <s v="116BSP2370"/>
    <s v="ENTR BR-383(A)/SP-060 (PINDAMONHANGABA)"/>
    <s v="ENTR BR-383(B)/SP-125 (TAUBATÉ)"/>
    <n v="98.9"/>
    <n v="110.6"/>
    <n v="11.7"/>
    <x v="0"/>
    <m/>
    <s v="383BSP0350"/>
    <s v="Concessão Federal"/>
    <m/>
    <m/>
    <m/>
    <s v="Federal"/>
    <s v="PAV"/>
    <s v="Taubaté"/>
  </r>
  <r>
    <x v="0"/>
    <s v="116BSP2390"/>
    <n v="0"/>
    <x v="95"/>
    <s v="2390"/>
    <n v="-45.5573675399799"/>
    <n v="-23.037180320415398"/>
    <n v="-45.620370230301802"/>
    <n v="-23.059559700419801"/>
    <s v="116"/>
    <s v="SP"/>
    <s v="Eixo Principal"/>
    <s v="-"/>
    <s v="116BSP2390"/>
    <s v="ENTR BR-383(B)/SP-125 (TAUBATÉ)"/>
    <s v="ENTR SP-070 (P/CAÇAPAVA VELHA)"/>
    <n v="110.6"/>
    <n v="117.3"/>
    <n v="6.7"/>
    <x v="0"/>
    <m/>
    <m/>
    <s v="Concessão Federal"/>
    <m/>
    <m/>
    <m/>
    <s v="Federal"/>
    <s v="PAV"/>
    <s v="Taubaté"/>
  </r>
  <r>
    <x v="0"/>
    <s v="116BSP2410"/>
    <n v="0"/>
    <x v="95"/>
    <s v="2410"/>
    <n v="-45.620370230301802"/>
    <n v="-23.059559700419801"/>
    <n v="-45.707692569956102"/>
    <n v="-23.112812309840098"/>
    <s v="116"/>
    <s v="SP"/>
    <s v="Eixo Principal"/>
    <s v="-"/>
    <s v="116BSP2410"/>
    <s v="ENTR SP-070 (P/CAÇAPAVA VELHA)"/>
    <s v="ENTR SP-103 (CAÇAPAVA)"/>
    <n v="117.3"/>
    <n v="127.6"/>
    <n v="10.3"/>
    <x v="0"/>
    <m/>
    <m/>
    <s v="Concessão Federal"/>
    <m/>
    <m/>
    <m/>
    <s v="Federal"/>
    <s v="PAV"/>
    <s v="Taubaté"/>
  </r>
  <r>
    <x v="0"/>
    <s v="116BSP2430"/>
    <n v="0"/>
    <x v="95"/>
    <s v="2430"/>
    <n v="-45.707692569956102"/>
    <n v="-23.112812309840098"/>
    <n v="-45.8916953003977"/>
    <n v="-23.212055219872401"/>
    <s v="116"/>
    <s v="SP"/>
    <s v="Eixo Principal"/>
    <s v="-"/>
    <s v="116BSP2430"/>
    <s v="ENTR SP-103 (CAÇAPAVA)"/>
    <s v="ENTR SP-099 (SÃO JOSÉ DOS CAMPOS)"/>
    <n v="127.6"/>
    <n v="149.80000000000001"/>
    <n v="22.2"/>
    <x v="0"/>
    <m/>
    <m/>
    <s v="Concessão Federal"/>
    <m/>
    <m/>
    <m/>
    <s v="Federal"/>
    <s v="PAV"/>
    <s v="Taubaté"/>
  </r>
  <r>
    <x v="0"/>
    <s v="116BSP2450"/>
    <n v="0"/>
    <x v="95"/>
    <s v="2450"/>
    <n v="-45.8916953003977"/>
    <n v="-23.212055219872401"/>
    <n v="-46.045126270361003"/>
    <n v="-23.307651129895699"/>
    <s v="116"/>
    <s v="SP"/>
    <s v="Eixo Principal"/>
    <s v="-"/>
    <s v="116BSP2450"/>
    <s v="ENTR SP-099 (SÃO JOSÉ DOS CAMPOS)"/>
    <s v="ENTR SP-065 (P/IGARATÁ)"/>
    <n v="149.80000000000001"/>
    <n v="169"/>
    <n v="19.2"/>
    <x v="0"/>
    <m/>
    <m/>
    <s v="Concessão Federal"/>
    <m/>
    <m/>
    <m/>
    <s v="Federal"/>
    <s v="PAV"/>
    <s v="Taubaté"/>
  </r>
  <r>
    <x v="0"/>
    <s v="116BSP2470"/>
    <n v="0"/>
    <x v="95"/>
    <s v="2470"/>
    <n v="-46.045126270361003"/>
    <n v="-23.307651129895699"/>
    <n v="-46.317311630127499"/>
    <n v="-23.4026832504316"/>
    <s v="116"/>
    <s v="SP"/>
    <s v="Eixo Principal"/>
    <s v="-"/>
    <s v="116BSP2470"/>
    <s v="ENTR SP-065 (P/IGARATÁ)"/>
    <s v="ENTR SP-056 (ARUJÁ)"/>
    <n v="169"/>
    <n v="199.6"/>
    <n v="30.6"/>
    <x v="0"/>
    <m/>
    <m/>
    <s v="Concessão Federal"/>
    <m/>
    <m/>
    <m/>
    <s v="Federal"/>
    <s v="PAV"/>
    <s v="Taubaté"/>
  </r>
  <r>
    <x v="0"/>
    <s v="116BSP2490"/>
    <n v="0"/>
    <x v="95"/>
    <s v="2490"/>
    <n v="-46.317311630127499"/>
    <n v="-23.4026832504316"/>
    <n v="-46.473798550362702"/>
    <n v="-23.4552846598591"/>
    <s v="116"/>
    <s v="SP"/>
    <s v="Eixo Principal"/>
    <s v="-"/>
    <s v="116BSP2490"/>
    <s v="ENTR SP-056 (ARUJÁ)"/>
    <s v="ENTR SP-036"/>
    <n v="199.6"/>
    <n v="217.3"/>
    <n v="17.7"/>
    <x v="0"/>
    <m/>
    <m/>
    <s v="Concessão Federal"/>
    <m/>
    <m/>
    <m/>
    <s v="Federal"/>
    <s v="PAV"/>
    <s v="Taubaté"/>
  </r>
  <r>
    <x v="0"/>
    <s v="116BSP2510"/>
    <n v="0"/>
    <x v="95"/>
    <s v="2510"/>
    <n v="-46.473798550362702"/>
    <n v="-23.4552846598591"/>
    <n v="-46.490641850441001"/>
    <n v="-23.462129140047701"/>
    <s v="116"/>
    <s v="SP"/>
    <s v="Eixo Principal"/>
    <s v="-"/>
    <s v="116BSP2510"/>
    <s v="ENTR SP-036"/>
    <s v="ENTR SP-019 (AEROPORTO INTERN GUARULHOS)"/>
    <n v="217.3"/>
    <n v="219.2"/>
    <n v="1.9"/>
    <x v="0"/>
    <m/>
    <m/>
    <s v="Concessão Federal"/>
    <m/>
    <m/>
    <m/>
    <s v="Federal"/>
    <s v="PAV"/>
    <s v="Taubaté"/>
  </r>
  <r>
    <x v="0"/>
    <s v="116BSP2520"/>
    <n v="0"/>
    <x v="95"/>
    <s v="2520"/>
    <n v="-46.490641850441001"/>
    <n v="-23.462129140047701"/>
    <n v="-46.559560300067702"/>
    <n v="-23.498828180376101"/>
    <s v="116"/>
    <s v="SP"/>
    <s v="Eixo Principal"/>
    <s v="-"/>
    <s v="116BSP2520"/>
    <s v="ENTR SP-019 (AEROPORTO INTERN GUARULHOS)"/>
    <s v="ENTR BR-381(A)"/>
    <n v="219.2"/>
    <n v="227.4"/>
    <n v="8.1999999999999993"/>
    <x v="0"/>
    <m/>
    <m/>
    <s v="Concessão Federal"/>
    <m/>
    <m/>
    <m/>
    <s v="Federal"/>
    <s v="PAV"/>
    <s v="Taubaté"/>
  </r>
  <r>
    <x v="0"/>
    <s v="116BSP2530"/>
    <n v="0"/>
    <x v="95"/>
    <s v="2530"/>
    <n v="-46.559560300067702"/>
    <n v="-23.498828180376101"/>
    <n v="-46.590554130368702"/>
    <n v="-23.528833699815301"/>
    <s v="116"/>
    <s v="SP"/>
    <s v="Eixo Principal"/>
    <s v="-"/>
    <s v="116BSP2530"/>
    <s v="ENTR BR-381(A)"/>
    <s v="ENTR BR-381(B)/SP-015 (SÃO PAULO) (MARGINAL TIETE)"/>
    <n v="227.4"/>
    <n v="230.6"/>
    <n v="3.2"/>
    <x v="0"/>
    <m/>
    <s v="381BSP0890"/>
    <s v="Concessão Federal"/>
    <m/>
    <m/>
    <m/>
    <s v="Federal"/>
    <s v="PAV"/>
    <s v="Taubaté"/>
  </r>
  <r>
    <x v="0"/>
    <s v="116BSP2550"/>
    <n v="0"/>
    <x v="95"/>
    <s v="2550"/>
    <n v="-46.590554130368702"/>
    <n v="-23.528833699815301"/>
    <n v="-46.752206080146401"/>
    <n v="-23.6074056395585"/>
    <s v="116"/>
    <s v="SP"/>
    <s v="Eixo Principal"/>
    <s v="-"/>
    <s v="116BSP2550"/>
    <s v="ENTR BR-381(B)/SP-015 (SÃO PAULO)"/>
    <s v="DIV MUNICIPAL SÃO PAULO/TABOÃO DA SERRA *TRECHO MUNICIPAL*"/>
    <n v="230.6"/>
    <n v="268.89999999999998"/>
    <n v="38.299999999999997"/>
    <x v="1"/>
    <m/>
    <m/>
    <s v="Estadual"/>
    <m/>
    <s v="SP-015"/>
    <s v="DUP"/>
    <s v="Estadual"/>
    <s v="PLA"/>
    <s v="Taubaté"/>
  </r>
  <r>
    <x v="0"/>
    <s v="116BSP2560"/>
    <n v="0"/>
    <x v="95"/>
    <s v="2560"/>
    <n v="-46.752206080146401"/>
    <n v="-23.6074056395585"/>
    <n v="-46.858859019827797"/>
    <n v="-23.682875390386901"/>
    <s v="116"/>
    <s v="SP"/>
    <s v="Eixo Principal"/>
    <s v="-"/>
    <s v="116BSP2560"/>
    <s v="DIV MUNICIPAL SÃO PAULO/TABOÃO DA SERRA"/>
    <s v="ENTR SP-234 (ITAPECIRICA DA SERRA)"/>
    <n v="268.89999999999998"/>
    <n v="284"/>
    <n v="15.1"/>
    <x v="0"/>
    <m/>
    <m/>
    <s v="Concessão Federal"/>
    <m/>
    <m/>
    <m/>
    <s v="Federal"/>
    <s v="PAV"/>
    <s v="Taubaté"/>
  </r>
  <r>
    <x v="0"/>
    <s v="116BSP2565"/>
    <n v="0"/>
    <x v="95"/>
    <s v="2565"/>
    <n v="-46.858859019827797"/>
    <n v="-23.682875390386901"/>
    <n v="-46.8831442799844"/>
    <n v="-23.719254149759099"/>
    <s v="116"/>
    <s v="SP"/>
    <s v="Eixo Principal"/>
    <s v="-"/>
    <s v="116BSP2565"/>
    <s v="ENTR SP-234 (ITAPECIRICA DA SERRA)"/>
    <s v="ENTR SP-228"/>
    <n v="284"/>
    <n v="288"/>
    <n v="4"/>
    <x v="0"/>
    <m/>
    <m/>
    <s v="Concessão Federal"/>
    <m/>
    <m/>
    <m/>
    <s v="Federal"/>
    <s v="PAV"/>
    <s v="Taubaté"/>
  </r>
  <r>
    <x v="0"/>
    <s v="116BSP2570"/>
    <n v="0"/>
    <x v="95"/>
    <s v="2570"/>
    <n v="-46.8831442799844"/>
    <n v="-23.719254149759099"/>
    <n v="-47.0083507397947"/>
    <n v="-23.932260119608699"/>
    <s v="116"/>
    <s v="SP"/>
    <s v="Eixo Principal"/>
    <s v="-"/>
    <s v="116BSP2570"/>
    <s v="ENTR SP-228"/>
    <s v="ENTR SP-057 (P/SIDERÚRGICA)"/>
    <n v="288"/>
    <n v="320"/>
    <n v="32"/>
    <x v="0"/>
    <m/>
    <m/>
    <s v="Concessão Federal"/>
    <m/>
    <m/>
    <m/>
    <s v="Federal"/>
    <s v="PAV"/>
    <s v="Taubaté"/>
  </r>
  <r>
    <x v="0"/>
    <s v="116BSP2575"/>
    <n v="0"/>
    <x v="95"/>
    <s v="2575"/>
    <n v="-47.0083507397947"/>
    <n v="-23.932260119608699"/>
    <n v="-47.144728189554201"/>
    <n v="-23.9793160404029"/>
    <s v="116"/>
    <s v="SP"/>
    <s v="Eixo Principal"/>
    <s v="-"/>
    <s v="116BSP2575"/>
    <s v="ENTR SP-057 (P/SIDERÚRGICA)"/>
    <s v="INÍCIO DA SERRA DO CAFEZAL (JUQUITIBA)"/>
    <n v="320"/>
    <n v="336.7"/>
    <n v="16.7"/>
    <x v="0"/>
    <m/>
    <m/>
    <s v="Concessão Federal"/>
    <m/>
    <m/>
    <m/>
    <s v="Federal"/>
    <s v="PAV"/>
    <s v="Taubaté"/>
  </r>
  <r>
    <x v="0"/>
    <s v="116BSP2582"/>
    <n v="0"/>
    <x v="95"/>
    <s v="2582"/>
    <n v="-47.144728189554201"/>
    <n v="-23.9793160404029"/>
    <n v="-47.268823369702702"/>
    <n v="-24.121161500402799"/>
    <s v="116"/>
    <s v="SP"/>
    <s v="Eixo Principal"/>
    <s v="-"/>
    <s v="116BSP2582"/>
    <s v="INÍCIO DA SERRA DO CAFEZAL (JUQUITIBA)"/>
    <s v="FIM SERRA DO CAFEZAL"/>
    <n v="336.7"/>
    <n v="361.8"/>
    <n v="25.1"/>
    <x v="0"/>
    <m/>
    <m/>
    <s v="Concessão Federal"/>
    <m/>
    <m/>
    <m/>
    <s v="Federal"/>
    <s v="PAV"/>
    <s v="Taubaté"/>
  </r>
  <r>
    <x v="0"/>
    <s v="116BSP2587"/>
    <n v="0"/>
    <x v="95"/>
    <s v="2587"/>
    <n v="-47.268823369702702"/>
    <n v="-24.121161500402799"/>
    <n v="-47.375413829884202"/>
    <n v="-24.254994039643101"/>
    <s v="116"/>
    <s v="SP"/>
    <s v="Eixo Principal"/>
    <s v="-"/>
    <s v="116BSP2587"/>
    <s v="FIM SERRA DO CAFEZAL"/>
    <s v="ENTR BR-101(A)/SP-055(A) (P/PEDRO TOLEDO)"/>
    <n v="361.8"/>
    <n v="385"/>
    <n v="23.2"/>
    <x v="0"/>
    <m/>
    <m/>
    <s v="Concessão Federal"/>
    <m/>
    <m/>
    <m/>
    <s v="Federal"/>
    <s v="PAV"/>
    <s v="Taubaté"/>
  </r>
  <r>
    <x v="0"/>
    <s v="116BSP2590"/>
    <n v="0"/>
    <x v="95"/>
    <s v="2590"/>
    <n v="-47.375413829884202"/>
    <n v="-24.254994039643101"/>
    <n v="-47.517823219665701"/>
    <n v="-24.313334050026299"/>
    <s v="116"/>
    <s v="SP"/>
    <s v="Eixo Principal"/>
    <s v="Coinc"/>
    <s v="116BSP2590"/>
    <s v="ENTR BR-101(A)/SP-055(A) (P/PEDRO TOLEDO)"/>
    <s v="ENTR BR-101(B)/SP-222 (BIGUÁ)"/>
    <n v="385"/>
    <n v="402.4"/>
    <n v="17.399999999999999"/>
    <x v="0"/>
    <m/>
    <s v="101BSP3645"/>
    <s v="Concessão Federal"/>
    <m/>
    <m/>
    <m/>
    <s v="Federal"/>
    <s v="PAV"/>
    <s v="Taubaté"/>
  </r>
  <r>
    <x v="0"/>
    <s v="116BSP2610"/>
    <n v="0"/>
    <x v="95"/>
    <s v="2610"/>
    <n v="-47.517823219665701"/>
    <n v="-24.313334050026299"/>
    <n v="-47.632775599614199"/>
    <n v="-24.331640889715199"/>
    <s v="116"/>
    <s v="SP"/>
    <s v="Eixo Principal"/>
    <s v="-"/>
    <s v="116BSP2610"/>
    <s v="ENTR BR-101(B)/SP-222 (BIGUÁ)"/>
    <s v="ENTR BR-478(A)/SP-165(P/JUQUIÁ)"/>
    <n v="402.4"/>
    <n v="414.5"/>
    <n v="12.1"/>
    <x v="0"/>
    <m/>
    <m/>
    <s v="Concessão Federal"/>
    <m/>
    <m/>
    <m/>
    <s v="Federal"/>
    <s v="PAV"/>
    <s v="Taubaté"/>
  </r>
  <r>
    <x v="0"/>
    <s v="116BSP2630"/>
    <n v="0"/>
    <x v="95"/>
    <s v="2630"/>
    <n v="-47.632775599614199"/>
    <n v="-24.331640889715199"/>
    <n v="-47.849136270022797"/>
    <n v="-24.508783409926298"/>
    <s v="116"/>
    <s v="SP"/>
    <s v="Eixo Principal"/>
    <s v="-"/>
    <s v="116BSP2630"/>
    <s v="ENTR BR-478(A)/SP-165 (P/JUQUIÁ)"/>
    <s v="ENTR SP-139 (REGISTRO)"/>
    <n v="414.5"/>
    <n v="447"/>
    <n v="32.5"/>
    <x v="0"/>
    <m/>
    <s v="478BSP0170"/>
    <s v="Concessão Federal"/>
    <m/>
    <m/>
    <m/>
    <s v="Federal"/>
    <s v="PAV"/>
    <s v="Taubaté"/>
  </r>
  <r>
    <x v="0"/>
    <s v="116BSP2650"/>
    <n v="0"/>
    <x v="95"/>
    <s v="2650"/>
    <n v="-47.849136270022797"/>
    <n v="-24.508783409926298"/>
    <n v="-47.917868589663598"/>
    <n v="-24.643775290397201"/>
    <s v="116"/>
    <s v="SP"/>
    <s v="Eixo Principal"/>
    <s v="-"/>
    <s v="116BSP2650"/>
    <s v="ENTR SP-139 (REGISTRO)"/>
    <s v="ENTR BR-478(B) (PARIQUERA-AÇU)"/>
    <n v="447"/>
    <n v="465.9"/>
    <n v="18.899999999999999"/>
    <x v="0"/>
    <m/>
    <s v="478BSP0190"/>
    <s v="Concessão Federal"/>
    <m/>
    <m/>
    <m/>
    <s v="Federal"/>
    <s v="PAV"/>
    <s v="Taubaté"/>
  </r>
  <r>
    <x v="0"/>
    <s v="116BSP2670"/>
    <n v="0"/>
    <x v="95"/>
    <s v="2670"/>
    <n v="-47.917868589663598"/>
    <n v="-24.643775290397201"/>
    <n v="-47.999262959917601"/>
    <n v="-24.6956918103287"/>
    <s v="116"/>
    <s v="SP"/>
    <s v="Eixo Principal"/>
    <s v="-"/>
    <s v="116BSP2670"/>
    <s v="ENTR BR-478(B) (PARIQUERA-AÇU)"/>
    <s v="ENTR SP-193 (JACUPIRANGA)"/>
    <n v="465.9"/>
    <n v="477"/>
    <n v="11.1"/>
    <x v="0"/>
    <m/>
    <m/>
    <s v="Concessão Federal"/>
    <m/>
    <m/>
    <m/>
    <s v="Federal"/>
    <s v="PAV"/>
    <s v="Taubaté"/>
  </r>
  <r>
    <x v="0"/>
    <s v="116BSP2685"/>
    <n v="0"/>
    <x v="95"/>
    <s v="2685"/>
    <n v="-47.999262959917601"/>
    <n v="-24.6956918103287"/>
    <n v="-48.473629810167502"/>
    <n v="-24.9607118702565"/>
    <s v="116"/>
    <s v="SP"/>
    <s v="Eixo Principal"/>
    <s v="-"/>
    <s v="116BSP2685"/>
    <s v="ENTR SP-193 (JACUPIRANGA)"/>
    <s v="ENTR SP-230 (P/BARRA DO TURVO)"/>
    <n v="477"/>
    <n v="551.70000000000005"/>
    <n v="74.7"/>
    <x v="0"/>
    <m/>
    <m/>
    <s v="Concessão Federal"/>
    <m/>
    <m/>
    <m/>
    <s v="Federal"/>
    <s v="PAV"/>
    <s v="Taubaté"/>
  </r>
  <r>
    <x v="0"/>
    <s v="116BSP2700"/>
    <n v="0"/>
    <x v="95"/>
    <s v="2700"/>
    <n v="-48.473629810167502"/>
    <n v="-24.9607118702565"/>
    <n v="-48.560718550021001"/>
    <n v="-25.059580079557001"/>
    <s v="116"/>
    <s v="SP"/>
    <s v="Eixo Principal"/>
    <s v="-"/>
    <s v="116BSP2700"/>
    <s v="ENTR SP-230 (P/BARRA DO TURVO)"/>
    <s v="DIV SP/PR"/>
    <n v="551.70000000000005"/>
    <n v="569.6"/>
    <n v="17.899999999999999"/>
    <x v="0"/>
    <m/>
    <m/>
    <s v="Concessão Federal"/>
    <m/>
    <m/>
    <m/>
    <s v="Federal"/>
    <s v="PAV"/>
    <s v="Taubaté"/>
  </r>
  <r>
    <x v="0"/>
    <s v="116CBA1005"/>
    <n v="0"/>
    <x v="96"/>
    <s v="1005"/>
    <n v="-39.026255729817997"/>
    <n v="-10.4621367796885"/>
    <n v="-38.991419799683896"/>
    <n v="-10.557431139835201"/>
    <s v="116"/>
    <s v="BA"/>
    <s v="Contorno"/>
    <s v="-"/>
    <s v="116CBA1005"/>
    <s v="ENTR BR-116 (KM 205,2)"/>
    <s v="ENTR BR-116 (KM 216,5)"/>
    <n v="0"/>
    <n v="14.9"/>
    <n v="14.9"/>
    <x v="1"/>
    <m/>
    <m/>
    <s v="Federal"/>
    <m/>
    <m/>
    <m/>
    <s v="Federal"/>
    <s v="PLA"/>
    <s v="Euclides da Cunha"/>
  </r>
  <r>
    <x v="0"/>
    <s v="116CPR1005"/>
    <n v="0"/>
    <x v="97"/>
    <s v="1005"/>
    <n v="-49.045693459585401"/>
    <n v="-25.3459872498116"/>
    <n v="-49.152326740086899"/>
    <n v="-25.292772980288699"/>
    <s v="116"/>
    <s v="PR"/>
    <s v="Contorno"/>
    <s v="-"/>
    <s v="116CPR1005"/>
    <s v="ENTR BR-116 (KM 71,1)"/>
    <s v="ENTR BR-476 (KM 107,2) (CONTORNO NORTE CURITIBA)"/>
    <n v="0"/>
    <n v="13"/>
    <n v="13"/>
    <x v="1"/>
    <m/>
    <m/>
    <s v="Federal"/>
    <m/>
    <m/>
    <m/>
    <s v="Federal"/>
    <s v="PLA"/>
    <s v="Colombo"/>
  </r>
  <r>
    <x v="0"/>
    <s v="116CPR1010"/>
    <n v="0"/>
    <x v="97"/>
    <s v="1010"/>
    <n v="-49.152326740086899"/>
    <n v="-25.292772980288699"/>
    <n v="-49.365677519901503"/>
    <n v="-25.432071929875601"/>
    <s v="116"/>
    <s v="PR"/>
    <s v="Contorno"/>
    <s v="-"/>
    <s v="116CPR1010"/>
    <s v="ENTR BR-476 (KM 107,2) (CONTORNO NORTE CURITIBA)"/>
    <s v="ENTR BR-277 (KM 107,3) (CONTORNO NORTE CURITIBA)"/>
    <n v="13"/>
    <n v="52.7"/>
    <n v="39.700000000000003"/>
    <x v="1"/>
    <m/>
    <m/>
    <s v="Federal"/>
    <m/>
    <m/>
    <m/>
    <s v="Federal"/>
    <s v="PLA"/>
    <s v="Colombo"/>
  </r>
  <r>
    <x v="0"/>
    <s v="116CRS1005"/>
    <n v="0"/>
    <x v="98"/>
    <s v="1005"/>
    <n v="-51.144117249611298"/>
    <n v="-29.657673780120799"/>
    <n v="-51.215605038941298"/>
    <n v="-29.723612857647101"/>
    <s v="116"/>
    <s v="RS"/>
    <s v="Contorno"/>
    <s v="-"/>
    <s v="116CRS1005"/>
    <s v="ENTR BR-116(A) (ESTÂNCIA VELHA)"/>
    <s v="ENTR RS-240 (P/PORTÃO)(CONTORNO NORTE RMA PORTO ALEGRE)"/>
    <n v="0"/>
    <n v="14"/>
    <n v="14"/>
    <x v="1"/>
    <m/>
    <m/>
    <s v="Federal"/>
    <m/>
    <m/>
    <m/>
    <s v="Federal"/>
    <s v="PLA"/>
    <s v="São Leopoldo"/>
  </r>
  <r>
    <x v="0"/>
    <s v="116CRS1010"/>
    <n v="0"/>
    <x v="98"/>
    <s v="1010"/>
    <n v="-51.215605038941298"/>
    <n v="-29.723612857647101"/>
    <n v="-51.2251582996157"/>
    <n v="-29.857902200326201"/>
    <s v="116"/>
    <s v="RS"/>
    <s v="Contorno"/>
    <s v="-"/>
    <s v="116CRS1010"/>
    <s v="ENTR RS-240 (P/PORTÃO)(CONTORNO NORTE RMA PORTO ALEGRE)"/>
    <s v="ENTR BR-448 (CONTORNO NORTE RMA PORTO ALEGRE)"/>
    <n v="14"/>
    <n v="32"/>
    <n v="18"/>
    <x v="1"/>
    <m/>
    <m/>
    <s v="Federal"/>
    <m/>
    <m/>
    <m/>
    <s v="Federal"/>
    <s v="PLA"/>
    <s v="São Leopoldo"/>
  </r>
  <r>
    <x v="0"/>
    <s v="116CRS1012"/>
    <n v="0"/>
    <x v="98"/>
    <s v="1012"/>
    <n v="-51.2251582996157"/>
    <n v="-29.857902200326201"/>
    <n v="-51.236101299735097"/>
    <n v="-29.881733089710199"/>
    <s v="116"/>
    <s v="RS"/>
    <s v="Contorno"/>
    <s v="-"/>
    <s v="116CRS1012"/>
    <s v="ENTR BR-448 (CONTORNO NORTE RMA PORTO ALEGRE)"/>
    <s v="ENTR BR-386"/>
    <n v="32"/>
    <n v="34.9"/>
    <n v="2.9"/>
    <x v="0"/>
    <m/>
    <s v="448BRS0015"/>
    <s v="Concessão Federal"/>
    <m/>
    <m/>
    <m/>
    <s v="Federal"/>
    <s v="PAV"/>
    <s v="São Leopoldo"/>
  </r>
  <r>
    <x v="0"/>
    <s v="116CRS1015"/>
    <n v="0"/>
    <x v="98"/>
    <s v="1015"/>
    <n v="-51.236101299735097"/>
    <n v="-29.881733089710199"/>
    <n v="-51.198140939552601"/>
    <n v="-29.974160219618302"/>
    <s v="116"/>
    <s v="RS"/>
    <s v="Contorno"/>
    <s v="-"/>
    <s v="116CRS1015"/>
    <s v="ENTR BR-386"/>
    <s v="ENTR BR-116/290 (PORTO ALEGRE)"/>
    <n v="34.9"/>
    <n v="47.5"/>
    <n v="12.6"/>
    <x v="0"/>
    <m/>
    <s v="448BRS0020"/>
    <s v="Concessão Federal"/>
    <m/>
    <m/>
    <m/>
    <s v="Federal"/>
    <s v="PAV"/>
    <s v="São Leopoldo"/>
  </r>
  <r>
    <x v="0"/>
    <s v="116NBA1005"/>
    <n v="0"/>
    <x v="99"/>
    <s v="1005"/>
    <n v="-40.827761489900801"/>
    <n v="-14.8282860498612"/>
    <n v="-40.862016279927303"/>
    <n v="-14.8248565499897"/>
    <s v="116"/>
    <s v="BA"/>
    <s v="Anel"/>
    <s v="-"/>
    <s v="116NBA1005"/>
    <s v="VIADUTO I SOBRE A BR-116"/>
    <s v="ENTR ACESSO P/BATALHA (ANEL VIT CONQ)"/>
    <n v="0"/>
    <n v="3.9"/>
    <n v="3.9"/>
    <x v="2"/>
    <m/>
    <m/>
    <s v="Concessão Federal"/>
    <m/>
    <m/>
    <m/>
    <s v="Federal"/>
    <s v="PAV"/>
    <s v="Vitória da Conquista"/>
  </r>
  <r>
    <x v="0"/>
    <s v="116NBA1010"/>
    <n v="0"/>
    <x v="99"/>
    <s v="1010"/>
    <n v="-40.862016279927303"/>
    <n v="-14.8248565499897"/>
    <n v="-40.888769580151902"/>
    <n v="-14.844491139754201"/>
    <s v="116"/>
    <s v="BA"/>
    <s v="Anel"/>
    <s v="-"/>
    <s v="116NBA1010"/>
    <s v="ENTR ACESSO P/BATALHA (ANEL VIT CONQ)"/>
    <s v="ENTR BA-262 (P/ANAGÉ) (ANEL DE VITÓRIA DA CONQUISTA)"/>
    <n v="3.9"/>
    <n v="8.6"/>
    <n v="4.7"/>
    <x v="2"/>
    <m/>
    <m/>
    <s v="Concessão Federal"/>
    <m/>
    <m/>
    <m/>
    <s v="Federal"/>
    <s v="PAV"/>
    <s v="Vitória da Conquista"/>
  </r>
  <r>
    <x v="0"/>
    <s v="116NBA1015"/>
    <n v="0"/>
    <x v="99"/>
    <s v="1015"/>
    <n v="-40.888769580151902"/>
    <n v="-14.844491139754201"/>
    <n v="-40.864439010351902"/>
    <n v="-14.8939996196866"/>
    <s v="116"/>
    <s v="BA"/>
    <s v="Anel"/>
    <s v="-"/>
    <s v="116NBA1015"/>
    <s v="ENTR BA-262 (P/ANAGÉ) (ANEL DE VITÓRIA DA CONQUISTA)"/>
    <s v="VIADUTO II S/ BR-116 (ANEL VITÓRIA CONQ)"/>
    <n v="8.6"/>
    <n v="14.9"/>
    <n v="6.3"/>
    <x v="2"/>
    <m/>
    <m/>
    <s v="Concessão Federal"/>
    <m/>
    <m/>
    <m/>
    <s v="Federal"/>
    <s v="PAV"/>
    <s v="Vitória da Conquista"/>
  </r>
  <r>
    <x v="0"/>
    <s v="116NBA1020"/>
    <n v="0"/>
    <x v="99"/>
    <s v="1020"/>
    <n v="-40.864439010351902"/>
    <n v="-14.8939996196866"/>
    <n v="-40.844479630430499"/>
    <n v="-14.902430000344101"/>
    <s v="116"/>
    <s v="BA"/>
    <s v="Anel"/>
    <s v="-"/>
    <s v="116NBA1020"/>
    <s v="VIADUTO II S/ BR-116 (ANEL VITÓRIA CONQ)"/>
    <s v="ENTR BA-263 (P/ITAMBÉ) (ANEL DE VITÓRIA DA CONQUISTA)"/>
    <n v="14.9"/>
    <n v="17.399999999999999"/>
    <n v="2.5"/>
    <x v="2"/>
    <m/>
    <m/>
    <s v="Concessão Federal"/>
    <m/>
    <m/>
    <m/>
    <s v="Federal"/>
    <s v="PAV"/>
    <s v="Vitória da Conquista"/>
  </r>
  <r>
    <x v="0"/>
    <s v="116NBA1025"/>
    <n v="0"/>
    <x v="99"/>
    <s v="1025"/>
    <n v="-40.844479630430499"/>
    <n v="-14.902430000344101"/>
    <n v="-40.8104285800149"/>
    <n v="-14.884691349625999"/>
    <s v="116"/>
    <s v="BA"/>
    <s v="Anel"/>
    <s v="-"/>
    <s v="116NBA1025"/>
    <s v="ENTR BA-263 (P/ITAMBÉ) (ANEL DE VITÓRIA DA CONQUISTA)"/>
    <s v="VIADUTO S/ AV OLÍVIO FLORES (ANEL VIT C)"/>
    <n v="17.399999999999999"/>
    <n v="21.5"/>
    <n v="4.0999999999999996"/>
    <x v="2"/>
    <m/>
    <m/>
    <s v="Concessão Federal"/>
    <m/>
    <m/>
    <m/>
    <s v="Federal"/>
    <s v="PAV"/>
    <s v="Vitória da Conquista"/>
  </r>
  <r>
    <x v="0"/>
    <s v="116NBA1030"/>
    <n v="0"/>
    <x v="99"/>
    <s v="1030"/>
    <n v="-40.8104285800149"/>
    <n v="-14.884691349625999"/>
    <n v="-40.7986612001542"/>
    <n v="-14.859861850344"/>
    <s v="116"/>
    <s v="BA"/>
    <s v="Anel"/>
    <s v="-"/>
    <s v="116NBA1030"/>
    <s v="VIADUTO S/ AV OLÍVIO FLORES (ANEL VIT C)"/>
    <s v="ENTR BA-265 (P/BARRA DO CHOÇA) (ANEL DE VITÓRIA DA CONQ)"/>
    <n v="21.5"/>
    <n v="25.5"/>
    <n v="4"/>
    <x v="2"/>
    <m/>
    <m/>
    <s v="Concessão Federal"/>
    <m/>
    <m/>
    <m/>
    <s v="Federal"/>
    <s v="PAV"/>
    <s v="Vitória da Conquista"/>
  </r>
  <r>
    <x v="0"/>
    <s v="116NBA1035"/>
    <n v="0"/>
    <x v="99"/>
    <s v="1035"/>
    <n v="-40.7986612001542"/>
    <n v="-14.859861850344"/>
    <n v="-40.827761489900801"/>
    <n v="-14.8282860498612"/>
    <s v="116"/>
    <s v="BA"/>
    <s v="Anel"/>
    <s v="-"/>
    <s v="116NBA1035"/>
    <s v="ENTR BA-265 (P/BARRA DO CHOÇA) (ANEL DE VITÓRIA DA CONQ)"/>
    <s v="VIADUTO I S/ BR-116 (ANEL VIT CONQ)"/>
    <n v="25.5"/>
    <n v="29.9"/>
    <n v="4.4000000000000004"/>
    <x v="2"/>
    <m/>
    <m/>
    <s v="Concessão Federal"/>
    <m/>
    <m/>
    <m/>
    <s v="Federal"/>
    <s v="PAV"/>
    <s v="Vitória da Conquista"/>
  </r>
  <r>
    <x v="0"/>
    <s v="116UCE1005"/>
    <n v="0"/>
    <x v="100"/>
    <s v="1005"/>
    <n v="-38.498548339833903"/>
    <n v="-4.08275958968329"/>
    <n v="-38.489467760129003"/>
    <n v="-4.1144826298694204"/>
    <s v="116"/>
    <s v="CE"/>
    <s v="Travessia Urbana"/>
    <s v="-"/>
    <s v="116UCE1005"/>
    <s v="ENTR BR-116 (KM 38,2)"/>
    <s v="TRAVESSIA URBANA DE HORIZONTE"/>
    <n v="0"/>
    <n v="3.9"/>
    <n v="3.9"/>
    <x v="2"/>
    <m/>
    <m/>
    <s v="Convênio de Administração"/>
    <m/>
    <m/>
    <m/>
    <s v="Federal"/>
    <s v="PAV"/>
    <s v="Fortaleza"/>
  </r>
  <r>
    <x v="0"/>
    <s v="116UCE2005"/>
    <n v="0"/>
    <x v="100"/>
    <s v="2005"/>
    <n v="-38.477680339775802"/>
    <n v="-4.1465543803802802"/>
    <n v="-38.4691985502728"/>
    <n v="-4.1975154497781597"/>
    <s v="116"/>
    <s v="CE"/>
    <s v="Travessia Urbana"/>
    <s v="-"/>
    <s v="116UCE2005"/>
    <s v="ENTR BR-116 (KM 46,7)"/>
    <s v="TRAVESSIA URBANA DE PACAJÚS"/>
    <n v="0"/>
    <n v="6.4"/>
    <n v="6.4"/>
    <x v="2"/>
    <m/>
    <m/>
    <s v="Convênio de Administração"/>
    <m/>
    <m/>
    <m/>
    <s v="Federal"/>
    <s v="PAV"/>
    <s v="Fortaleza"/>
  </r>
  <r>
    <x v="0"/>
    <s v="116VPR1005"/>
    <n v="0"/>
    <x v="101"/>
    <s v="1005"/>
    <n v="-48.753003979849701"/>
    <n v="-25.110939429910701"/>
    <n v="-48.854155969822102"/>
    <n v="-25.117168129905199"/>
    <s v="116"/>
    <s v="PR"/>
    <s v="Variante"/>
    <s v="-"/>
    <s v="116VPR1005"/>
    <s v="INÍCIO VARIANTE DO ALPINO (P ESQUERDA)"/>
    <s v="FIM VARIANTE DO ALPINO (PISTA ESQUERDA)"/>
    <n v="0"/>
    <n v="11.9"/>
    <n v="11.9"/>
    <x v="2"/>
    <m/>
    <m/>
    <s v="Concessão Federal"/>
    <m/>
    <m/>
    <m/>
    <s v="Federal"/>
    <s v="PAV"/>
    <s v="Colombo"/>
  </r>
  <r>
    <x v="0"/>
    <s v="116VRJ1005"/>
    <n v="0"/>
    <x v="102"/>
    <s v="1005"/>
    <n v="-43.817249629566703"/>
    <n v="-22.6764794499666"/>
    <n v="-43.840829459711699"/>
    <n v="-22.6660408202276"/>
    <s v="116"/>
    <s v="RJ"/>
    <s v="Variante"/>
    <s v="-"/>
    <s v="116VRJ1005"/>
    <s v="ENTR PISTA DIRETA (A)"/>
    <s v="ENTR PISTA DIRETA (B)"/>
    <n v="0"/>
    <n v="8.1999999999999993"/>
    <n v="8.1999999999999993"/>
    <x v="2"/>
    <m/>
    <m/>
    <s v="Concessão Federal"/>
    <m/>
    <m/>
    <m/>
    <s v="Federal"/>
    <s v="PAV"/>
    <s v="Seropédica"/>
  </r>
  <r>
    <x v="0"/>
    <s v="120BMG0010"/>
    <n v="0"/>
    <x v="103"/>
    <s v="0010"/>
    <n v="-42.066145379805299"/>
    <n v="-16.8481607402259"/>
    <n v="-42.282728121605402"/>
    <n v="-16.9941112447381"/>
    <s v="120"/>
    <s v="MG"/>
    <s v="Eixo Principal"/>
    <s v="-"/>
    <s v="120BMG0010"/>
    <s v="ENTR BR-342 (ARAÇUAÍ)"/>
    <s v="MACHADO"/>
    <n v="0"/>
    <n v="30"/>
    <n v="30"/>
    <x v="1"/>
    <m/>
    <m/>
    <s v="Federal"/>
    <m/>
    <m/>
    <m/>
    <s v="Federal"/>
    <s v="PLA"/>
    <s v="Teófilo Otoni"/>
  </r>
  <r>
    <x v="0"/>
    <s v="120BMG0020"/>
    <n v="0"/>
    <x v="103"/>
    <s v="0020"/>
    <n v="-42.282728121605402"/>
    <n v="-16.9941112447381"/>
    <n v="-42.525555679750703"/>
    <n v="-17.659227480064001"/>
    <s v="120"/>
    <s v="MG"/>
    <s v="Eixo Principal"/>
    <s v="-"/>
    <s v="120BMG0020"/>
    <s v="MACHADO"/>
    <s v="ENTR MG-214/308 (CAPELINHA)"/>
    <n v="30"/>
    <n v="110"/>
    <n v="80"/>
    <x v="1"/>
    <m/>
    <m/>
    <s v="Federal"/>
    <m/>
    <m/>
    <m/>
    <s v="Federal"/>
    <s v="PLA"/>
    <s v="Teófilo Otoni"/>
  </r>
  <r>
    <x v="0"/>
    <s v="120BMG0030"/>
    <n v="0"/>
    <x v="103"/>
    <s v="0030"/>
    <n v="-42.525555679750703"/>
    <n v="-17.659227480064001"/>
    <n v="-42.413680369753102"/>
    <n v="-17.801145720398601"/>
    <s v="120"/>
    <s v="MG"/>
    <s v="Eixo Principal"/>
    <s v="-"/>
    <s v="120BMG0030"/>
    <s v="ENTR MG-214/308 (CAPELINHA)"/>
    <s v="POVOADO DE RESPLENDOR"/>
    <n v="110"/>
    <n v="135"/>
    <n v="25"/>
    <x v="1"/>
    <m/>
    <m/>
    <s v="Estadual"/>
    <m/>
    <s v="MGT-120"/>
    <s v="PAV"/>
    <s v="Estadual"/>
    <s v="PLA"/>
    <s v="Teófilo Otoni"/>
  </r>
  <r>
    <x v="0"/>
    <s v="120BMG0050"/>
    <n v="0"/>
    <x v="103"/>
    <s v="0050"/>
    <n v="-42.413680369753102"/>
    <n v="-17.801145720398601"/>
    <n v="-42.390760829948299"/>
    <n v="-17.9957467102424"/>
    <s v="120"/>
    <s v="MG"/>
    <s v="Eixo Principal"/>
    <s v="-"/>
    <s v="120BMG0050"/>
    <s v="POVOADO DE RESPLENDOR"/>
    <s v="ENTR MG-217 (ÁGUA BOA)"/>
    <n v="135"/>
    <n v="164"/>
    <n v="29"/>
    <x v="1"/>
    <m/>
    <m/>
    <s v="Estadual"/>
    <m/>
    <s v="MGT-120"/>
    <s v="PAV"/>
    <s v="Estadual"/>
    <s v="PLA"/>
    <s v="Teófilo Otoni"/>
  </r>
  <r>
    <x v="0"/>
    <s v="120BMG0070"/>
    <n v="0"/>
    <x v="103"/>
    <s v="0070"/>
    <n v="-42.390760829948299"/>
    <n v="-17.9957467102424"/>
    <n v="-42.423355969702101"/>
    <n v="-18.153161339623999"/>
    <s v="120"/>
    <s v="MG"/>
    <s v="Eixo Principal"/>
    <s v="-"/>
    <s v="120BMG0070"/>
    <s v="ENTR MG-217 (ÁGUA BOA)"/>
    <s v="ENTR BR-451(A) (SANTA MARIA DO SUAÇUÍ)"/>
    <n v="164"/>
    <n v="192.1"/>
    <n v="28.1"/>
    <x v="1"/>
    <m/>
    <m/>
    <s v="Estadual"/>
    <m/>
    <s v="MGT-120"/>
    <s v="PAV"/>
    <s v="Estadual"/>
    <s v="PLA"/>
    <s v="Teófilo Otoni"/>
  </r>
  <r>
    <x v="0"/>
    <s v="120BMG0090"/>
    <n v="0"/>
    <x v="103"/>
    <s v="0090"/>
    <n v="-42.423355969702101"/>
    <n v="-18.153161339623999"/>
    <n v="-42.613548550325199"/>
    <n v="-18.3467305399823"/>
    <s v="120"/>
    <s v="MG"/>
    <s v="Eixo Principal"/>
    <s v="-"/>
    <s v="120BMG0090"/>
    <s v="ENTR BR-451(A) (SANTA MARIA DO SUAÇUÍ)"/>
    <s v="ACESSO SÃO JOSÉ DO JACURÍ"/>
    <n v="192.1"/>
    <n v="234.5"/>
    <n v="42.4"/>
    <x v="1"/>
    <m/>
    <s v="451BMG0055"/>
    <s v="Estadual"/>
    <m/>
    <s v="MGT-120"/>
    <s v="PAV"/>
    <s v="Estadual"/>
    <s v="PLA"/>
    <s v="Contagem"/>
  </r>
  <r>
    <x v="0"/>
    <s v="120BMG0105"/>
    <n v="0"/>
    <x v="103"/>
    <s v="0105"/>
    <n v="-42.613548550325199"/>
    <n v="-18.3467305399823"/>
    <n v="-42.625617329875801"/>
    <n v="-18.357928729926901"/>
    <s v="120"/>
    <s v="MG"/>
    <s v="Eixo Principal"/>
    <s v="-"/>
    <s v="120BMG0105"/>
    <s v="ACESSO SÃO JOSÉ DO JACURÍ"/>
    <s v="ENTR BR-451(B)/MG-416 (P/SÃO PEDRO DO SUAÇUÍ)"/>
    <n v="234.5"/>
    <n v="236.8"/>
    <n v="2.2999999999999998"/>
    <x v="1"/>
    <m/>
    <s v="451BMG0060"/>
    <s v="Estadual"/>
    <m/>
    <s v="MGT-120"/>
    <s v="PAV"/>
    <s v="Estadual"/>
    <s v="PLA"/>
    <s v="Contagem"/>
  </r>
  <r>
    <x v="0"/>
    <s v="120BMG0110"/>
    <n v="0"/>
    <x v="103"/>
    <s v="0110"/>
    <n v="-42.625617329875801"/>
    <n v="-18.357928729926901"/>
    <n v="-42.764878810108897"/>
    <n v="-18.547812079563698"/>
    <s v="120"/>
    <s v="MG"/>
    <s v="Eixo Principal"/>
    <s v="-"/>
    <s v="120BMG0110"/>
    <s v="ENTR BR-451(B)/MG-416 (P/SÃO PEDRO DO SUAÇUÍ)"/>
    <s v="ENTR MG-117 (SÃO JOÃO EVANGELISTA)"/>
    <n v="236.8"/>
    <n v="271.8"/>
    <n v="35"/>
    <x v="1"/>
    <m/>
    <m/>
    <s v="Estadual"/>
    <m/>
    <s v="MGT-120"/>
    <s v="PAV"/>
    <s v="Estadual"/>
    <s v="PLA"/>
    <s v="Contagem"/>
  </r>
  <r>
    <x v="0"/>
    <s v="120BMG0130"/>
    <n v="0"/>
    <x v="103"/>
    <s v="0130"/>
    <n v="-42.764878810108897"/>
    <n v="-18.547812079563698"/>
    <n v="-42.931249400139599"/>
    <n v="-18.770378840111299"/>
    <s v="120"/>
    <s v="MG"/>
    <s v="Eixo Principal"/>
    <s v="-"/>
    <s v="120BMG0130"/>
    <s v="ENTR MG-117 (SÃO JOÃO EVANGELISTA)"/>
    <s v="ENTR BR-259(A) (GUANHÃES) (P/VIRGINÓPOLIS)"/>
    <n v="271.8"/>
    <n v="306.8"/>
    <n v="35"/>
    <x v="1"/>
    <m/>
    <m/>
    <s v="Estadual"/>
    <m/>
    <s v="MGT-120"/>
    <s v="PAV"/>
    <s v="Estadual"/>
    <s v="PLA"/>
    <s v="Governador Valadares"/>
  </r>
  <r>
    <x v="0"/>
    <s v="120BMG0140"/>
    <n v="0"/>
    <x v="103"/>
    <s v="0140"/>
    <n v="-42.931249400139599"/>
    <n v="-18.770378840111299"/>
    <n v="-42.931709059825202"/>
    <n v="-18.770904480357402"/>
    <s v="120"/>
    <s v="MG"/>
    <s v="Eixo Principal"/>
    <s v="-"/>
    <s v="120BMG0140"/>
    <s v="ENTR BR-259(A) (GUANHÃES) (P/VIRGINÓPOLIS)"/>
    <s v="ENTR BR-259(B) (GUANHÃES) (P/SABINÓPOLIS)"/>
    <n v="306.8"/>
    <n v="306.89999999999998"/>
    <n v="0.1"/>
    <x v="1"/>
    <m/>
    <s v="259BMG0230"/>
    <s v="Estadual"/>
    <m/>
    <s v="MGT-120"/>
    <s v="PAV"/>
    <s v="Estadual"/>
    <s v="PLA"/>
    <s v="Contagem"/>
  </r>
  <r>
    <x v="0"/>
    <s v="120BMG0150"/>
    <n v="0"/>
    <x v="103"/>
    <s v="0150"/>
    <n v="-42.931709059825202"/>
    <n v="-18.770904480357402"/>
    <n v="-43.081053239715096"/>
    <n v="-18.896327069738401"/>
    <s v="120"/>
    <s v="MG"/>
    <s v="Eixo Principal"/>
    <s v="-"/>
    <s v="120BMG0150"/>
    <s v="ENTR BR-259(B) (GUANHÃES) (P/SABINÓPOLIS)"/>
    <s v="ENTR MG-229 (P/SENHORA DO PORTO)"/>
    <n v="306.89999999999998"/>
    <n v="331.4"/>
    <n v="24.5"/>
    <x v="1"/>
    <m/>
    <m/>
    <s v="Estadual"/>
    <m/>
    <s v="MGT-120"/>
    <s v="PAV"/>
    <s v="Estadual"/>
    <s v="PLA"/>
    <s v="Governador Valadares"/>
  </r>
  <r>
    <x v="0"/>
    <s v="120BMG0170"/>
    <n v="0"/>
    <x v="103"/>
    <s v="0170"/>
    <n v="-43.081053239715096"/>
    <n v="-18.896327069738401"/>
    <n v="-43.040608370180102"/>
    <n v="-19.045254529872601"/>
    <s v="120"/>
    <s v="MG"/>
    <s v="Eixo Principal"/>
    <s v="-"/>
    <s v="120BMG0170"/>
    <s v="ENTR MG-229 (P/SENHORA DO PORTO)"/>
    <s v="ENTR MG-232 (P/CARMESIA)"/>
    <n v="331.4"/>
    <n v="356.3"/>
    <n v="24.9"/>
    <x v="1"/>
    <m/>
    <m/>
    <s v="Estadual"/>
    <m/>
    <s v="MGT-120"/>
    <s v="PAV"/>
    <s v="Estadual"/>
    <s v="PLA"/>
    <s v="Governador Valadares"/>
  </r>
  <r>
    <x v="0"/>
    <s v="120BMG0175"/>
    <n v="0"/>
    <x v="103"/>
    <s v="0175"/>
    <n v="-43.040608370180102"/>
    <n v="-19.045254529872601"/>
    <n v="-43.075034829993299"/>
    <n v="-19.2350709897343"/>
    <s v="120"/>
    <s v="MG"/>
    <s v="Eixo Principal"/>
    <s v="-"/>
    <s v="120BMG0175"/>
    <s v="ENTR MG-232 (P/CARMESIA)"/>
    <s v="ACESSO FERROS"/>
    <n v="356.3"/>
    <n v="383.5"/>
    <n v="27.2"/>
    <x v="1"/>
    <m/>
    <m/>
    <s v="Estadual"/>
    <m/>
    <s v="MGT-120"/>
    <s v="PAV"/>
    <s v="Estadual"/>
    <s v="PLA"/>
    <s v="Governador Valadares"/>
  </r>
  <r>
    <x v="0"/>
    <s v="120BMG0177"/>
    <n v="0"/>
    <x v="103"/>
    <s v="0177"/>
    <n v="-43.075034829993299"/>
    <n v="-19.2350709897343"/>
    <n v="-43.114209050107497"/>
    <n v="-19.4502883601196"/>
    <s v="120"/>
    <s v="MG"/>
    <s v="Eixo Principal"/>
    <s v="-"/>
    <s v="120BMG0177"/>
    <s v="ACESSO FERROS"/>
    <s v="SANTA MARIA DE ITABIRA"/>
    <n v="383.5"/>
    <n v="419.9"/>
    <n v="36.4"/>
    <x v="1"/>
    <m/>
    <m/>
    <s v="Estadual"/>
    <m/>
    <s v="MGT-120"/>
    <s v="PAV"/>
    <s v="Estadual"/>
    <s v="PLA"/>
    <s v="Governador Valadares"/>
  </r>
  <r>
    <x v="0"/>
    <s v="120BMG0185"/>
    <n v="0"/>
    <x v="103"/>
    <s v="0185"/>
    <n v="-43.114209050107497"/>
    <n v="-19.4502883601196"/>
    <n v="-43.153435250136603"/>
    <n v="-19.549107270384098"/>
    <s v="120"/>
    <s v="MG"/>
    <s v="Eixo Principal"/>
    <s v="-"/>
    <s v="120BMG0185"/>
    <s v="SANTA MARIA DE ITABIRA"/>
    <s v="ENTR MG-129(A) (ITABIRA)"/>
    <n v="419.9"/>
    <n v="433.7"/>
    <n v="13.8"/>
    <x v="1"/>
    <m/>
    <m/>
    <s v="Estadual"/>
    <m/>
    <s v="MGT-120"/>
    <s v="PAV"/>
    <s v="Estadual"/>
    <s v="PLA"/>
    <s v="Governador Valadares"/>
  </r>
  <r>
    <x v="0"/>
    <s v="120BMG0188"/>
    <n v="0"/>
    <x v="103"/>
    <s v="0188"/>
    <n v="-43.153435250136603"/>
    <n v="-19.549107270384098"/>
    <n v="-43.181483250351597"/>
    <n v="-19.645368270429199"/>
    <s v="120"/>
    <s v="MG"/>
    <s v="Eixo Principal"/>
    <s v="-"/>
    <s v="120BMG0188"/>
    <s v="ENTR MG-129(A) (ITABIRA)"/>
    <s v="ENTR MG-129(B)"/>
    <n v="433.7"/>
    <n v="446"/>
    <n v="12.3"/>
    <x v="1"/>
    <m/>
    <m/>
    <s v="Estadual"/>
    <m/>
    <s v="MG-129"/>
    <s v="PAV"/>
    <s v="Estadual"/>
    <s v="PLA"/>
    <s v="Governador Valadares"/>
  </r>
  <r>
    <x v="0"/>
    <s v="120BMG0190"/>
    <n v="0"/>
    <x v="103"/>
    <s v="0190"/>
    <n v="-43.181483250351597"/>
    <n v="-19.645368270429199"/>
    <n v="-43.0270882800001"/>
    <n v="-19.753180039627001"/>
    <s v="120"/>
    <s v="MG"/>
    <s v="Eixo Principal"/>
    <s v="-"/>
    <s v="120BMG0190"/>
    <s v="ENTR MG-129(B)"/>
    <s v="ENTR BR-381(A) (DESEMBARGADOR DRUMOND)"/>
    <n v="446"/>
    <n v="475"/>
    <n v="29"/>
    <x v="1"/>
    <m/>
    <m/>
    <s v="Estadual"/>
    <m/>
    <s v="MGT-120"/>
    <s v="PAV"/>
    <s v="Estadual"/>
    <s v="PLA"/>
    <s v="Contagem"/>
  </r>
  <r>
    <x v="0"/>
    <s v="120BMG0200"/>
    <n v="0"/>
    <x v="103"/>
    <s v="0200"/>
    <n v="-43.0270882800001"/>
    <n v="-19.753180039627001"/>
    <n v="-43.027113350400697"/>
    <n v="-19.756827990219499"/>
    <s v="120"/>
    <s v="MG"/>
    <s v="Eixo Principal"/>
    <s v="-"/>
    <s v="120BMG0200"/>
    <s v="ENTR BR-381(A) (DESEMBARGADOR DRUMOND)"/>
    <s v="ENTR BR-381(B) (P/NOVA ERA)"/>
    <n v="475"/>
    <n v="475.4"/>
    <n v="0.4"/>
    <x v="2"/>
    <m/>
    <s v="381BMG0270"/>
    <s v="Federal"/>
    <m/>
    <m/>
    <m/>
    <s v="Federal"/>
    <s v="PAV"/>
    <s v="Caratinga"/>
  </r>
  <r>
    <x v="0"/>
    <s v="120BMG0210"/>
    <n v="0"/>
    <x v="103"/>
    <s v="0210"/>
    <n v="-43.027113350400697"/>
    <n v="-19.756827990219499"/>
    <n v="-42.969219769776402"/>
    <n v="-19.862771100405801"/>
    <s v="120"/>
    <s v="MG"/>
    <s v="Eixo Principal"/>
    <s v="-"/>
    <s v="120BMG0210"/>
    <s v="ENTR BR-381(B) (P/NOVA ERA)"/>
    <s v="SÃO DOMINGOS DO PRATA"/>
    <n v="475.4"/>
    <n v="497"/>
    <n v="21.6"/>
    <x v="1"/>
    <m/>
    <m/>
    <s v="Estadual"/>
    <m/>
    <s v="MGT-120"/>
    <s v="PAV"/>
    <s v="Estadual"/>
    <s v="PLA"/>
    <s v="Caratinga"/>
  </r>
  <r>
    <x v="0"/>
    <s v="120BMG0215"/>
    <n v="0"/>
    <x v="103"/>
    <s v="0215"/>
    <n v="-42.969219769776402"/>
    <n v="-19.862771100405801"/>
    <n v="-42.936365209786501"/>
    <n v="-19.9445138797117"/>
    <s v="120"/>
    <s v="MG"/>
    <s v="Eixo Principal"/>
    <s v="-"/>
    <s v="120BMG0215"/>
    <s v="SÃO DOMINGOS DO PRATA"/>
    <s v="ENTR BR-262"/>
    <n v="497"/>
    <n v="509.1"/>
    <n v="12.1"/>
    <x v="1"/>
    <m/>
    <m/>
    <s v="Estadual"/>
    <m/>
    <s v="MGT-120"/>
    <s v="LEN"/>
    <s v="Estadual"/>
    <s v="PLA"/>
    <s v="Caratinga"/>
  </r>
  <r>
    <x v="0"/>
    <s v="120BMG0230"/>
    <n v="0"/>
    <x v="103"/>
    <s v="0230"/>
    <n v="-42.936365209786501"/>
    <n v="-19.9445138797117"/>
    <n v="-42.964628280170899"/>
    <n v="-20.125234240267901"/>
    <s v="120"/>
    <s v="MG"/>
    <s v="Eixo Principal"/>
    <s v="-"/>
    <s v="120BMG0230"/>
    <s v="ENTR BR-262"/>
    <s v="ENTR MG-123 (P/ALVINÓPOLIS)"/>
    <n v="509.1"/>
    <n v="536"/>
    <n v="26.9"/>
    <x v="1"/>
    <m/>
    <m/>
    <s v="Estadual"/>
    <m/>
    <s v="MGT-120"/>
    <s v="LEN"/>
    <s v="Estadual"/>
    <s v="PLA"/>
    <s v="Caratinga"/>
  </r>
  <r>
    <x v="0"/>
    <s v="120BMG0250"/>
    <n v="0"/>
    <x v="103"/>
    <s v="0250"/>
    <n v="-42.964628280170899"/>
    <n v="-20.125234240267901"/>
    <n v="-42.962191309881"/>
    <n v="-20.162285289634301"/>
    <s v="120"/>
    <s v="MG"/>
    <s v="Eixo Principal"/>
    <s v="-"/>
    <s v="120BMG0250"/>
    <s v="ENTR MG-123 (P/ALVINÓPOLIS)"/>
    <s v="DOM SILVÉRIO"/>
    <n v="536"/>
    <n v="540.5"/>
    <n v="4.5"/>
    <x v="1"/>
    <m/>
    <m/>
    <s v="Estadual"/>
    <m/>
    <s v="MGT-120"/>
    <s v="PAV"/>
    <s v="Estadual"/>
    <s v="PLA"/>
    <s v="Caratinga"/>
  </r>
  <r>
    <x v="0"/>
    <s v="120BMG0255"/>
    <n v="0"/>
    <x v="103"/>
    <s v="0255"/>
    <n v="-42.962191309881"/>
    <n v="-20.162285289634301"/>
    <n v="-42.899087380178401"/>
    <n v="-20.346227900397199"/>
    <s v="120"/>
    <s v="MG"/>
    <s v="Eixo Principal"/>
    <s v="-"/>
    <s v="120BMG0255"/>
    <s v="DOM SILVÉRIO"/>
    <s v="ENTR MG-326 (P/BARRA LONGA)"/>
    <n v="540.5"/>
    <n v="577.5"/>
    <n v="37"/>
    <x v="1"/>
    <m/>
    <m/>
    <s v="Estadual"/>
    <m/>
    <s v="MGT-120"/>
    <s v="PAV"/>
    <s v="Estadual"/>
    <s v="PLA"/>
    <s v="Caratinga"/>
  </r>
  <r>
    <x v="0"/>
    <s v="120BMG0260"/>
    <n v="0"/>
    <x v="103"/>
    <s v="0260"/>
    <n v="-42.899087380178401"/>
    <n v="-20.346227900397199"/>
    <n v="-42.901869670348901"/>
    <n v="-20.3835662795601"/>
    <s v="120"/>
    <s v="MG"/>
    <s v="Eixo Principal"/>
    <s v="-"/>
    <s v="120BMG0260"/>
    <s v="ENTR MG-326 (P/BARRA LONGA)"/>
    <s v="ENTR MG-262 (PONTE NOVA)"/>
    <n v="577.5"/>
    <n v="579.5"/>
    <n v="2"/>
    <x v="1"/>
    <m/>
    <m/>
    <s v="Estadual"/>
    <m/>
    <s v="MGT-120"/>
    <s v="PAV"/>
    <s v="Estadual"/>
    <s v="PLA"/>
    <s v="Caratinga"/>
  </r>
  <r>
    <x v="0"/>
    <s v="120BMG0267"/>
    <n v="0"/>
    <x v="103"/>
    <s v="0267"/>
    <n v="-42.901869670348901"/>
    <n v="-20.3835662795601"/>
    <n v="-42.879436330122402"/>
    <n v="-20.482491870103601"/>
    <s v="120"/>
    <s v="MG"/>
    <s v="Eixo Principal"/>
    <s v="-"/>
    <s v="120BMG0267"/>
    <s v="ENTR MG-262 (PONTE NOVA)"/>
    <s v="ACESSO AMPARO DA SERRA"/>
    <n v="579.5"/>
    <n v="588.29999999999995"/>
    <n v="8.8000000000000007"/>
    <x v="1"/>
    <m/>
    <m/>
    <s v="Estadual"/>
    <m/>
    <s v="MG-120"/>
    <s v="PAV"/>
    <s v="Estadual"/>
    <s v="PLA"/>
    <s v="Leopoldina"/>
  </r>
  <r>
    <x v="0"/>
    <s v="120BMG0270"/>
    <n v="0"/>
    <x v="103"/>
    <s v="0270"/>
    <n v="-42.879436330122402"/>
    <n v="-20.482491870103601"/>
    <n v="-42.896620789817497"/>
    <n v="-20.518312539891699"/>
    <s v="120"/>
    <s v="MG"/>
    <s v="Eixo Principal"/>
    <s v="-"/>
    <s v="120BMG0270"/>
    <s v="ACESSO AMPARO DA SERRA"/>
    <s v="ENTR MG-445"/>
    <n v="588.29999999999995"/>
    <n v="594"/>
    <n v="5.7"/>
    <x v="1"/>
    <m/>
    <m/>
    <s v="Estadual"/>
    <m/>
    <s v="MG-120"/>
    <s v="PAV"/>
    <s v="Estadual"/>
    <s v="PLA"/>
    <s v="Leopoldina"/>
  </r>
  <r>
    <x v="0"/>
    <s v="120BMG0290"/>
    <n v="0"/>
    <x v="103"/>
    <s v="0290"/>
    <n v="-42.896620789817497"/>
    <n v="-20.518312539891699"/>
    <n v="-42.865678370160502"/>
    <n v="-20.641398990071298"/>
    <s v="120"/>
    <s v="MG"/>
    <s v="Eixo Principal"/>
    <s v="-"/>
    <s v="120BMG0290"/>
    <s v="ENTR MG-445"/>
    <s v="ACESSO TEIXEIRAS"/>
    <n v="594"/>
    <n v="610.70000000000005"/>
    <n v="16.7"/>
    <x v="1"/>
    <m/>
    <m/>
    <s v="Estadual"/>
    <m/>
    <s v="MG-120"/>
    <s v="PAV"/>
    <s v="Estadual"/>
    <s v="PLA"/>
    <s v="Leopoldina"/>
  </r>
  <r>
    <x v="0"/>
    <s v="120BMG0295"/>
    <n v="0"/>
    <x v="103"/>
    <s v="0295"/>
    <n v="-42.865678370160502"/>
    <n v="-20.641398990071298"/>
    <n v="-42.865028660344301"/>
    <n v="-20.7441631497095"/>
    <s v="120"/>
    <s v="MG"/>
    <s v="Eixo Principal"/>
    <s v="-"/>
    <s v="120BMG0295"/>
    <s v="ACESSO TEIXEIRAS"/>
    <s v="ENTR BR-356(A)/482 (VIÇOSA)"/>
    <n v="610.70000000000005"/>
    <n v="624.1"/>
    <n v="13.4"/>
    <x v="1"/>
    <m/>
    <m/>
    <s v="Estadual"/>
    <m/>
    <s v="MG-120"/>
    <s v="PAV"/>
    <s v="Estadual"/>
    <s v="PLA"/>
    <s v="Leopoldina"/>
  </r>
  <r>
    <x v="0"/>
    <s v="120BMG0310"/>
    <n v="0"/>
    <x v="103"/>
    <s v="0310"/>
    <n v="-42.865028660344301"/>
    <n v="-20.7441631497095"/>
    <n v="-42.829491509925198"/>
    <n v="-20.8073114303781"/>
    <s v="120"/>
    <s v="MG"/>
    <s v="Eixo Principal"/>
    <s v="-"/>
    <s v="120BMG0310"/>
    <s v="ENTR BR-356(A)/482 (VIÇOSA)"/>
    <s v="ACESSO CAJURÍ"/>
    <n v="624.1"/>
    <n v="634.1"/>
    <n v="10"/>
    <x v="1"/>
    <m/>
    <s v="356BMG0170"/>
    <s v="Estadual"/>
    <m/>
    <s v="MG-120"/>
    <s v="PAV"/>
    <s v="Estadual"/>
    <s v="PLA"/>
    <s v="Leopoldina"/>
  </r>
  <r>
    <x v="0"/>
    <s v="120BMG0320"/>
    <n v="0"/>
    <x v="103"/>
    <s v="0320"/>
    <n v="-42.829491509925198"/>
    <n v="-20.8073114303781"/>
    <n v="-42.804571019936503"/>
    <n v="-20.842289830211399"/>
    <s v="120"/>
    <s v="MG"/>
    <s v="Eixo Principal"/>
    <s v="-"/>
    <s v="120BMG0320"/>
    <s v="ACESSO CAJURÍ"/>
    <s v="ENTR BR-356(B) (COIMBRA)"/>
    <n v="634.1"/>
    <n v="640.1"/>
    <n v="6"/>
    <x v="1"/>
    <m/>
    <s v="356BMG0180"/>
    <s v="Estadual"/>
    <m/>
    <s v="MG-120"/>
    <s v="PAV"/>
    <s v="Estadual"/>
    <s v="PLA"/>
    <s v="Leopoldina"/>
  </r>
  <r>
    <x v="0"/>
    <s v="120BMG0330"/>
    <n v="0"/>
    <x v="103"/>
    <s v="0330"/>
    <n v="-42.804571019936503"/>
    <n v="-20.842289830211399"/>
    <n v="-42.819860830213003"/>
    <n v="-21.0090225502504"/>
    <s v="120"/>
    <s v="MG"/>
    <s v="Eixo Principal"/>
    <s v="-"/>
    <s v="120BMG0330"/>
    <s v="ENTR BR-356(B) (COIMBRA)"/>
    <s v="ENTR MG-447 (VISCONDE DO RIO BRANCO)"/>
    <n v="640.1"/>
    <n v="664.4"/>
    <n v="24.3"/>
    <x v="1"/>
    <m/>
    <m/>
    <s v="Estadual"/>
    <m/>
    <s v="MG-120"/>
    <s v="PAV"/>
    <s v="Estadual"/>
    <s v="PLA"/>
    <s v="Leopoldina"/>
  </r>
  <r>
    <x v="0"/>
    <s v="120BMG0350"/>
    <n v="0"/>
    <x v="103"/>
    <s v="0350"/>
    <n v="-42.819860830213003"/>
    <n v="-21.0090225502504"/>
    <n v="-42.953213840146503"/>
    <n v="-21.108762789870799"/>
    <s v="120"/>
    <s v="MG"/>
    <s v="Eixo Principal"/>
    <s v="-"/>
    <s v="120BMG0350"/>
    <s v="ENTR MG-447 (VISCONDE DO RIO BRANCO)"/>
    <s v="ENTR BR-265(A)/MG-124/447 (UBÁ)"/>
    <n v="664.4"/>
    <n v="685.3"/>
    <n v="20.9"/>
    <x v="1"/>
    <m/>
    <m/>
    <s v="Estadual"/>
    <m/>
    <s v="MG-447"/>
    <s v="PAV"/>
    <s v="Estadual"/>
    <s v="PLA"/>
    <s v="Leopoldina"/>
  </r>
  <r>
    <x v="0"/>
    <s v="120BMG0360"/>
    <n v="0"/>
    <x v="103"/>
    <s v="0360"/>
    <n v="-42.953213840146503"/>
    <n v="-21.108762789870799"/>
    <n v="-42.798650680384497"/>
    <n v="-21.1497373798761"/>
    <s v="120"/>
    <s v="MG"/>
    <s v="Eixo Principal"/>
    <s v="-"/>
    <s v="120BMG0360"/>
    <s v="ENTR BR-265(A)/MG-124/447 (UBÁ)"/>
    <s v="ENTR BR-265(B) (GUIDOVAL)"/>
    <n v="685.3"/>
    <n v="704.5"/>
    <n v="19.2"/>
    <x v="1"/>
    <m/>
    <s v="265BMG0050"/>
    <s v="Estadual"/>
    <m/>
    <s v="MGT-120"/>
    <s v="PAV"/>
    <s v="Estadual"/>
    <s v="PLA"/>
    <s v="Leopoldina"/>
  </r>
  <r>
    <x v="0"/>
    <s v="120BMG0370"/>
    <n v="0"/>
    <x v="103"/>
    <s v="0370"/>
    <n v="-42.798650680384497"/>
    <n v="-21.1497373798761"/>
    <n v="-42.808221850158098"/>
    <n v="-21.322928920233402"/>
    <s v="120"/>
    <s v="MG"/>
    <s v="Eixo Principal"/>
    <s v="-"/>
    <s v="120BMG0370"/>
    <s v="ENTR BR-265(B) (GUIDOVAL)"/>
    <s v="ENTR MG-285(A) (DONA EUZÉBIA)"/>
    <n v="704.5"/>
    <n v="729.1"/>
    <n v="24.6"/>
    <x v="1"/>
    <m/>
    <m/>
    <s v="Estadual"/>
    <m/>
    <s v="MGT-120"/>
    <s v="IMP"/>
    <s v="Estadual"/>
    <s v="PLA"/>
    <s v="Leopoldina"/>
  </r>
  <r>
    <x v="0"/>
    <s v="120BMG0390"/>
    <n v="0"/>
    <x v="103"/>
    <s v="0390"/>
    <n v="-42.808221850158098"/>
    <n v="-21.322928920233402"/>
    <n v="-42.742809680022603"/>
    <n v="-21.372747040343501"/>
    <s v="120"/>
    <s v="MG"/>
    <s v="Eixo Principal"/>
    <s v="-"/>
    <s v="120BMG0390"/>
    <s v="ENTR MG-285(A) (DONA EUZÉBIA)"/>
    <s v="ENTR MG-285(B) (CATAGUAZES)"/>
    <n v="729.1"/>
    <n v="738.8"/>
    <n v="9.6999999999999993"/>
    <x v="1"/>
    <m/>
    <m/>
    <s v="Estadual"/>
    <m/>
    <s v="MG-285"/>
    <s v="PAV"/>
    <s v="Estadual"/>
    <s v="PLA"/>
    <s v="Leopoldina"/>
  </r>
  <r>
    <x v="0"/>
    <s v="120BMG0400"/>
    <n v="0"/>
    <x v="103"/>
    <s v="0400"/>
    <n v="-42.742809680022603"/>
    <n v="-21.372747040343501"/>
    <n v="-42.720275710155803"/>
    <n v="-21.418711650022601"/>
    <s v="120"/>
    <s v="MG"/>
    <s v="Eixo Principal"/>
    <s v="-"/>
    <s v="120BMG0400"/>
    <s v="ENTR MG-285(B) (CATAGUAZES)"/>
    <s v="ENTR MG-447"/>
    <n v="738.8"/>
    <n v="745.3"/>
    <n v="6.5"/>
    <x v="1"/>
    <m/>
    <m/>
    <s v="Estadual"/>
    <m/>
    <s v="MGT-120"/>
    <s v="PAV"/>
    <s v="Estadual"/>
    <s v="PLA"/>
    <s v="Leopoldina"/>
  </r>
  <r>
    <x v="0"/>
    <s v="120BMG0410"/>
    <n v="0"/>
    <x v="103"/>
    <s v="0410"/>
    <n v="-42.720275710155803"/>
    <n v="-21.418711650022601"/>
    <n v="-42.650880760138897"/>
    <n v="-21.520448450235701"/>
    <s v="120"/>
    <s v="MG"/>
    <s v="Eixo Principal"/>
    <s v="-"/>
    <s v="120BMG0410"/>
    <s v="ENTR MG-447"/>
    <s v="ENTR BR-116 (LEOPOLDINA)"/>
    <n v="745.3"/>
    <n v="760.5"/>
    <n v="15.2"/>
    <x v="1"/>
    <m/>
    <m/>
    <s v="Estadual"/>
    <m/>
    <s v="MG-120"/>
    <s v="PAV"/>
    <s v="Estadual"/>
    <s v="PLA"/>
    <s v="Leopoldina"/>
  </r>
  <r>
    <x v="0"/>
    <s v="120BMG0430"/>
    <n v="0"/>
    <x v="103"/>
    <s v="0430"/>
    <n v="-42.650880760138897"/>
    <n v="-21.520448450235701"/>
    <n v="-42.595769379753001"/>
    <n v="-21.664045410067502"/>
    <s v="120"/>
    <s v="MG"/>
    <s v="Eixo Principal"/>
    <s v="-"/>
    <s v="120BMG0430"/>
    <s v="ENTR BR-116 (LEOPOLDINA)"/>
    <s v="ENTR MG-454 (PROVIDÊNCIA)"/>
    <n v="760.5"/>
    <n v="783.2"/>
    <n v="22.7"/>
    <x v="1"/>
    <m/>
    <m/>
    <s v="Federal"/>
    <m/>
    <m/>
    <m/>
    <s v="Federal"/>
    <s v="PLA"/>
    <s v="Leopoldina"/>
  </r>
  <r>
    <x v="0"/>
    <s v="120BMG0450"/>
    <n v="0"/>
    <x v="103"/>
    <s v="0450"/>
    <n v="-42.595769379753001"/>
    <n v="-21.664045410067502"/>
    <n v="-42.534235150131998"/>
    <n v="-21.774585109914799"/>
    <s v="120"/>
    <s v="MG"/>
    <s v="Eixo Principal"/>
    <s v="-"/>
    <s v="120BMG0450"/>
    <s v="ENTR MG-454 (PROVIDÊNCIA)"/>
    <s v="ENTR BR-393 (VOLTA GRANDE)"/>
    <n v="783.2"/>
    <n v="801.2"/>
    <n v="18"/>
    <x v="1"/>
    <m/>
    <m/>
    <s v="Estadual"/>
    <m/>
    <s v="MGT-120"/>
    <s v="IMP"/>
    <s v="Estadual"/>
    <s v="PLA"/>
    <s v="Leopoldina"/>
  </r>
  <r>
    <x v="0"/>
    <s v="120BMG0470"/>
    <n v="0"/>
    <x v="103"/>
    <s v="0470"/>
    <n v="-42.534235150131998"/>
    <n v="-21.774585109914799"/>
    <n v="-42.5348472404077"/>
    <n v="-21.813346720174899"/>
    <s v="120"/>
    <s v="MG"/>
    <s v="Eixo Principal"/>
    <s v="-"/>
    <s v="120BMG0470"/>
    <s v="ENTR BR-393 (VOLTA GRANDE)"/>
    <s v="DIV MG/RJ"/>
    <n v="801.2"/>
    <n v="808.1"/>
    <n v="6.9"/>
    <x v="1"/>
    <m/>
    <m/>
    <s v="Federal"/>
    <m/>
    <m/>
    <m/>
    <s v="Federal"/>
    <s v="PLA"/>
    <s v="Leopoldina"/>
  </r>
  <r>
    <x v="0"/>
    <s v="120BRJ0490"/>
    <n v="0"/>
    <x v="104"/>
    <s v="0490"/>
    <n v="-42.5348472404077"/>
    <n v="-21.813346720174899"/>
    <n v="-42.510358428598501"/>
    <n v="-21.8435118620827"/>
    <s v="120"/>
    <s v="RJ"/>
    <s v="Eixo Principal"/>
    <s v="-"/>
    <s v="120BRJ0490"/>
    <s v="DIV MG/RJ"/>
    <s v="ENTR RJ-158 (PORTO VELHO DO CUNHA)"/>
    <n v="0"/>
    <n v="6"/>
    <n v="6"/>
    <x v="1"/>
    <m/>
    <m/>
    <s v="Federal"/>
    <m/>
    <m/>
    <m/>
    <s v="Federal"/>
    <s v="PLA"/>
    <s v="Campos"/>
  </r>
  <r>
    <x v="0"/>
    <s v="120BRJ0510"/>
    <n v="0"/>
    <x v="104"/>
    <s v="0510"/>
    <n v="-42.510358428598501"/>
    <n v="-21.8435118620827"/>
    <n v="-42.468320366891298"/>
    <n v="-21.886461547662201"/>
    <s v="120"/>
    <s v="RJ"/>
    <s v="Eixo Principal"/>
    <s v="-"/>
    <s v="120BRJ0510"/>
    <s v="ENTR RJ-158 (PORTO VELHO DO CUNHA)"/>
    <s v="ENTR RJ-160 (CÓRREGO DA PRATA)"/>
    <n v="6"/>
    <n v="14"/>
    <n v="8"/>
    <x v="1"/>
    <m/>
    <m/>
    <s v="Federal"/>
    <m/>
    <m/>
    <m/>
    <s v="Federal"/>
    <s v="PLA"/>
    <s v="Campos"/>
  </r>
  <r>
    <x v="0"/>
    <s v="120BRJ0530"/>
    <n v="0"/>
    <x v="104"/>
    <s v="0530"/>
    <n v="-42.468320366891298"/>
    <n v="-21.886461547662201"/>
    <n v="-42.430236155673903"/>
    <n v="-22.0307699521715"/>
    <s v="120"/>
    <s v="RJ"/>
    <s v="Eixo Principal"/>
    <s v="-"/>
    <s v="120BRJ0530"/>
    <s v="ENTR RJ-160 (CÓRREGO DA PRATA)"/>
    <s v="ENTR RJ-152"/>
    <n v="14"/>
    <n v="32"/>
    <n v="18"/>
    <x v="1"/>
    <m/>
    <m/>
    <s v="Federal"/>
    <m/>
    <m/>
    <m/>
    <s v="Federal"/>
    <s v="PLA"/>
    <s v="Campos"/>
  </r>
  <r>
    <x v="0"/>
    <s v="120BRJ0550"/>
    <n v="0"/>
    <x v="104"/>
    <s v="0550"/>
    <n v="-42.430236155673903"/>
    <n v="-22.0307699521715"/>
    <n v="-42.418977780400198"/>
    <n v="-22.116439999806101"/>
    <s v="120"/>
    <s v="RJ"/>
    <s v="Eixo Principal"/>
    <s v="-"/>
    <s v="120BRJ0550"/>
    <s v="ENTR RJ-152"/>
    <s v="ENTR BR-492 (P/MONERA)"/>
    <n v="32"/>
    <n v="43"/>
    <n v="11"/>
    <x v="1"/>
    <m/>
    <m/>
    <s v="Federal"/>
    <m/>
    <m/>
    <m/>
    <s v="Federal"/>
    <s v="PLA"/>
    <s v="Campos"/>
  </r>
  <r>
    <x v="0"/>
    <s v="120BRJ0570"/>
    <n v="0"/>
    <x v="104"/>
    <s v="0570"/>
    <n v="-42.418977780400198"/>
    <n v="-22.116439999806101"/>
    <n v="-42.395036570281398"/>
    <n v="-22.205691209881302"/>
    <s v="120"/>
    <s v="RJ"/>
    <s v="Eixo Principal"/>
    <s v="-"/>
    <s v="120BRJ0570"/>
    <s v="ENTR BR-492 (P/MONERA)"/>
    <s v="ENTR RJ-146 (SÃO JOSÉ DO RIBEIRÃO)"/>
    <n v="43"/>
    <n v="58"/>
    <n v="15"/>
    <x v="1"/>
    <m/>
    <m/>
    <s v="Federal"/>
    <m/>
    <m/>
    <m/>
    <s v="Federal"/>
    <s v="PLA"/>
    <s v="Campos"/>
  </r>
  <r>
    <x v="0"/>
    <s v="120BRJ0590"/>
    <n v="0"/>
    <x v="104"/>
    <s v="0590"/>
    <n v="-42.395036570281398"/>
    <n v="-22.205691209881302"/>
    <n v="-42.340202181984999"/>
    <n v="-22.316034004066001"/>
    <s v="120"/>
    <s v="RJ"/>
    <s v="Eixo Principal"/>
    <s v="-"/>
    <s v="120BRJ0590"/>
    <s v="ENTR RJ-146 (SÃO JOSÉ DO RIBEIRÃO)"/>
    <s v="ENTR RJ-142 (LUMIAR)"/>
    <n v="58"/>
    <n v="78"/>
    <n v="20"/>
    <x v="1"/>
    <m/>
    <m/>
    <s v="Federal"/>
    <m/>
    <m/>
    <m/>
    <s v="Federal"/>
    <s v="PLA"/>
    <s v="Campos"/>
  </r>
  <r>
    <x v="0"/>
    <s v="120BRJ0610"/>
    <n v="0"/>
    <x v="104"/>
    <s v="0610"/>
    <n v="-42.340202181984999"/>
    <n v="-22.316034004066001"/>
    <n v="-42.202703429619497"/>
    <n v="-22.476908419787701"/>
    <s v="120"/>
    <s v="RJ"/>
    <s v="Eixo Principal"/>
    <s v="-"/>
    <s v="120BRJ0610"/>
    <s v="ENTR RJ-142 (LUMIAR)"/>
    <s v="ENTR BR-101 (CASIMIRO DE ABREU)"/>
    <n v="78"/>
    <n v="113"/>
    <n v="35"/>
    <x v="1"/>
    <m/>
    <m/>
    <s v="Federal"/>
    <m/>
    <m/>
    <m/>
    <s v="Federal"/>
    <s v="PLA"/>
    <s v="Campos"/>
  </r>
  <r>
    <x v="0"/>
    <s v="120BRJ0630"/>
    <n v="0"/>
    <x v="104"/>
    <s v="0630"/>
    <n v="-42.202703429619497"/>
    <n v="-22.476908419787701"/>
    <n v="-42.115496369561697"/>
    <n v="-22.826809179799699"/>
    <s v="120"/>
    <s v="RJ"/>
    <s v="Eixo Principal"/>
    <s v="-"/>
    <s v="120BRJ0630"/>
    <s v="ENTR BR-101 (CASIMIRO DE ABREU)"/>
    <s v="ENTR RJ-106 (SÃO PEDRO DA ALDEIA)"/>
    <n v="113"/>
    <n v="157"/>
    <n v="44"/>
    <x v="1"/>
    <m/>
    <m/>
    <s v="Federal"/>
    <m/>
    <m/>
    <m/>
    <s v="Federal"/>
    <s v="PLA"/>
    <s v="Campos"/>
  </r>
  <r>
    <x v="0"/>
    <s v="120BRJ0650"/>
    <n v="0"/>
    <x v="104"/>
    <s v="0650"/>
    <n v="-42.115496369561697"/>
    <n v="-22.826809179799699"/>
    <n v="-42.053713339798698"/>
    <n v="-22.854348429936"/>
    <s v="120"/>
    <s v="RJ"/>
    <s v="Eixo Principal"/>
    <s v="-"/>
    <s v="120BRJ0650"/>
    <s v="ENTR RJ-106 (SÃO PEDRO DA ALDEIA)"/>
    <s v="ENTR RJ-102 (CABO FRIO)"/>
    <n v="157"/>
    <n v="169.9"/>
    <n v="12.9"/>
    <x v="1"/>
    <m/>
    <m/>
    <s v="Estadual"/>
    <m/>
    <s v="RJ-140"/>
    <s v="DUP"/>
    <s v="Estadual"/>
    <s v="PLA"/>
    <s v="Campos"/>
  </r>
  <r>
    <x v="0"/>
    <s v="120BRJ0670"/>
    <n v="0"/>
    <x v="104"/>
    <s v="0670"/>
    <n v="-42.053713339798698"/>
    <n v="-22.854348429936"/>
    <n v="-42.029705009678402"/>
    <n v="-22.965115290438199"/>
    <s v="120"/>
    <s v="RJ"/>
    <s v="Eixo Principal"/>
    <s v="-"/>
    <s v="120BRJ0670"/>
    <s v="ENTR RJ-102 (CABO FRIO)"/>
    <s v="ARRAIAL DO CABO"/>
    <n v="169.9"/>
    <n v="180.1"/>
    <n v="10.199999999999999"/>
    <x v="1"/>
    <m/>
    <m/>
    <s v="Estadual"/>
    <m/>
    <s v="RJ-140"/>
    <s v="PAV"/>
    <s v="Estadual"/>
    <s v="PLA"/>
    <s v="Campos"/>
  </r>
  <r>
    <x v="0"/>
    <s v="122BBA0381"/>
    <n v="0"/>
    <x v="105"/>
    <s v="0381"/>
    <n v="-40.505335540003102"/>
    <n v="-9.4095459896556601"/>
    <n v="-40.505673230035399"/>
    <n v="-9.4249740500123291"/>
    <s v="122"/>
    <s v="BA"/>
    <s v="Eixo Principal"/>
    <s v="-"/>
    <s v="122BBA0381"/>
    <s v="ENTR BR-235(A)/407(A) (DIV PE/BA) (INÍCIO PONTE S/RIO S FRANCISCO - JUAZEIRO)"/>
    <s v="ENTR BR-235(B)/407(B) (JUAZEIRO)"/>
    <n v="0"/>
    <n v="1.8"/>
    <n v="1.8"/>
    <x v="2"/>
    <m/>
    <s v="407BBA0280;235BBA0267"/>
    <s v="Federal"/>
    <m/>
    <m/>
    <m/>
    <s v="Federal"/>
    <s v="PAV"/>
    <s v="Senhor do Bonfim"/>
  </r>
  <r>
    <x v="0"/>
    <s v="122BBA0382"/>
    <n v="0"/>
    <x v="105"/>
    <s v="0382"/>
    <n v="-40.505673230035399"/>
    <n v="-9.4249740500123291"/>
    <n v="-40.492775049828602"/>
    <n v="-9.4433415498725708"/>
    <s v="122"/>
    <s v="BA"/>
    <s v="Eixo Principal"/>
    <s v="-"/>
    <s v="122BBA0382"/>
    <s v="ENTR BR-235(B)/407(B) (JUAZEIRO)"/>
    <s v="ENTR BR-235(C)/407(C) (MERCADO DO PRODUTOR/JUAZEIRO)"/>
    <n v="1.8"/>
    <n v="4.4000000000000004"/>
    <n v="2.6"/>
    <x v="2"/>
    <m/>
    <s v="407BBA0283"/>
    <s v="Federal"/>
    <m/>
    <m/>
    <m/>
    <s v="Federal"/>
    <s v="PAV"/>
    <s v="Senhor do Bonfim"/>
  </r>
  <r>
    <x v="0"/>
    <s v="122BBA0383"/>
    <n v="0"/>
    <x v="105"/>
    <s v="0383"/>
    <n v="-40.492775049828602"/>
    <n v="-9.4433415498725708"/>
    <n v="-40.490012769573603"/>
    <n v="-9.4486721203220405"/>
    <s v="122"/>
    <s v="BA"/>
    <s v="Eixo Principal"/>
    <s v="-"/>
    <s v="122BBA0383"/>
    <s v="ENTR BR-235(C)/407(C) (MERCADO DO PRODUTOR/JUAZEIRO)"/>
    <s v="ENTR BR-407(D) (JUAZEIRO)"/>
    <n v="4.4000000000000004"/>
    <n v="5.0999999999999996"/>
    <n v="0.7"/>
    <x v="2"/>
    <m/>
    <s v="407BBA0285"/>
    <s v="Federal"/>
    <m/>
    <m/>
    <m/>
    <s v="Federal"/>
    <s v="PAV"/>
    <s v="Senhor do Bonfim"/>
  </r>
  <r>
    <x v="0"/>
    <s v="122BBA0384"/>
    <n v="0"/>
    <x v="105"/>
    <s v="0384"/>
    <n v="-40.490012769573603"/>
    <n v="-9.4486721203220405"/>
    <n v="-40.5320014000445"/>
    <n v="-9.4476244802854605"/>
    <s v="122"/>
    <s v="BA"/>
    <s v="Eixo Principal"/>
    <s v="-"/>
    <s v="122BBA0384"/>
    <s v="ENTR BR-407(D) (JUAZEIRO)"/>
    <s v="ENTR BA-210(A)"/>
    <n v="5.0999999999999996"/>
    <n v="9.8000000000000007"/>
    <n v="4.7"/>
    <x v="1"/>
    <m/>
    <m/>
    <s v="Estadual"/>
    <m/>
    <s v="BA-122"/>
    <s v="PAV"/>
    <s v="Estadual"/>
    <s v="PLA"/>
    <s v="Senhor do Bonfim"/>
  </r>
  <r>
    <x v="0"/>
    <s v="122BBA0385"/>
    <n v="0"/>
    <x v="105"/>
    <s v="0385"/>
    <n v="-40.5320014000445"/>
    <n v="-9.4476244802854605"/>
    <n v="-40.593352630219599"/>
    <n v="-9.5699067099266699"/>
    <s v="122"/>
    <s v="BA"/>
    <s v="Eixo Principal"/>
    <s v="-"/>
    <s v="122BBA0385"/>
    <s v="ENTR BA-210(A)"/>
    <s v="ENTR BA-210(B) (P/SOBRADINHO)"/>
    <n v="9.8000000000000007"/>
    <n v="25"/>
    <n v="15.2"/>
    <x v="1"/>
    <m/>
    <m/>
    <s v="Estadual"/>
    <m/>
    <s v="BA-210"/>
    <s v="PAV"/>
    <s v="Estadual"/>
    <s v="PLA"/>
    <s v="Senhor do Bonfim"/>
  </r>
  <r>
    <x v="0"/>
    <s v="122BBA0390"/>
    <n v="0"/>
    <x v="105"/>
    <s v="0390"/>
    <n v="-40.593352630219599"/>
    <n v="-9.5699067099266699"/>
    <n v="-40.605570250266702"/>
    <n v="-9.6741122696654394"/>
    <s v="122"/>
    <s v="BA"/>
    <s v="Eixo Principal"/>
    <s v="-"/>
    <s v="122BBA0390"/>
    <s v="ENTR BA-210(B) (P/SOBRADINHO)"/>
    <s v="FIM DA PAVIMENTAÇÃO (JUNCOS)"/>
    <n v="25"/>
    <n v="37"/>
    <n v="12"/>
    <x v="1"/>
    <m/>
    <m/>
    <s v="Estadual"/>
    <m/>
    <s v="BA-144"/>
    <s v="PAV"/>
    <s v="Estadual"/>
    <s v="PLA"/>
    <s v="Senhor do Bonfim"/>
  </r>
  <r>
    <x v="0"/>
    <s v="122BBA0395"/>
    <n v="0"/>
    <x v="105"/>
    <s v="0395"/>
    <n v="-40.605570250266702"/>
    <n v="-9.6741122696654394"/>
    <n v="-40.691420149720102"/>
    <n v="-10.0104199900904"/>
    <s v="122"/>
    <s v="BA"/>
    <s v="Eixo Principal"/>
    <s v="-"/>
    <s v="122BBA0395"/>
    <s v="FIM DA PAVIMENTAÇÃO (JUNCOS)"/>
    <s v="ABREUS (FIM DA IMPLANTAÇÃO)"/>
    <n v="37"/>
    <n v="82"/>
    <n v="45"/>
    <x v="1"/>
    <m/>
    <m/>
    <s v="Estadual"/>
    <m/>
    <s v="BA-144"/>
    <s v="IMP"/>
    <s v="Estadual"/>
    <s v="PLA"/>
    <s v="Senhor do Bonfim"/>
  </r>
  <r>
    <x v="0"/>
    <s v="122BBA0400"/>
    <n v="0"/>
    <x v="105"/>
    <s v="0400"/>
    <n v="-40.691420149720102"/>
    <n v="-10.0104199900904"/>
    <n v="-40.819049109728603"/>
    <n v="-10.441494239667399"/>
    <s v="122"/>
    <s v="BA"/>
    <s v="Eixo Principal"/>
    <s v="-"/>
    <s v="122BBA0400"/>
    <s v="ABREUS (FIM DA IMPLANTAÇÃO)"/>
    <s v="ENTR BA-220 (BREJO DA CAATINGA)"/>
    <n v="82"/>
    <n v="132"/>
    <n v="50"/>
    <x v="1"/>
    <m/>
    <m/>
    <s v="Federal"/>
    <m/>
    <m/>
    <m/>
    <s v="Federal"/>
    <s v="PLA"/>
    <s v="Senhor do Bonfim"/>
  </r>
  <r>
    <x v="0"/>
    <s v="122BBA0410"/>
    <n v="0"/>
    <x v="105"/>
    <s v="0410"/>
    <n v="-40.819049109728603"/>
    <n v="-10.441494239667399"/>
    <n v="-41.066245290187901"/>
    <n v="-10.948055310104399"/>
    <s v="122"/>
    <s v="BA"/>
    <s v="Eixo Principal"/>
    <s v="-"/>
    <s v="122BBA0410"/>
    <s v="ENTR BA-220 (BREJO DA CAATINGA)"/>
    <s v="ENTR BR-324(A)/BA-368 (OUROLÂNDIA)"/>
    <n v="132"/>
    <n v="189.7"/>
    <n v="57.7"/>
    <x v="1"/>
    <m/>
    <m/>
    <s v="Federal"/>
    <m/>
    <m/>
    <m/>
    <s v="Federal"/>
    <s v="PLA"/>
    <s v="Senhor do Bonfim"/>
  </r>
  <r>
    <x v="0"/>
    <s v="122BBA0415"/>
    <n v="0"/>
    <x v="105"/>
    <s v="0415"/>
    <n v="-41.066245290187901"/>
    <n v="-10.948055310104399"/>
    <n v="-40.784490220247399"/>
    <n v="-11.050177830442401"/>
    <s v="122"/>
    <s v="BA"/>
    <s v="Eixo Principal"/>
    <s v="-"/>
    <s v="122BBA0415"/>
    <s v="ENTR BR-324(A)/BA-368 (OUROLÂNDIA)"/>
    <s v="ENTR BR-324(B)/BA-144 (LAGES DO BATATA)"/>
    <n v="189.7"/>
    <n v="222.7"/>
    <n v="33"/>
    <x v="2"/>
    <m/>
    <s v="324BBA0200"/>
    <s v="Federal"/>
    <m/>
    <m/>
    <m/>
    <s v="Federal"/>
    <s v="PAV"/>
    <s v="Feira de Santana"/>
  </r>
  <r>
    <x v="0"/>
    <s v="122BBA0420"/>
    <n v="0"/>
    <x v="105"/>
    <s v="0420"/>
    <n v="-40.784490220247399"/>
    <n v="-11.050177830442401"/>
    <n v="-41.158439930058698"/>
    <n v="-11.5560524195834"/>
    <s v="122"/>
    <s v="BA"/>
    <s v="Eixo Principal"/>
    <s v="-"/>
    <s v="122BBA0420"/>
    <s v="ENTR BR-324(B)/BA-144 (LAGES DO BATATA)"/>
    <s v="ENTR BA-052(A) (MORRO DO CHAPÉU)"/>
    <n v="222.7"/>
    <n v="296.5"/>
    <n v="73.8"/>
    <x v="1"/>
    <m/>
    <m/>
    <s v="Estadual"/>
    <m/>
    <s v="BA-144"/>
    <s v="PAV"/>
    <s v="Estadual"/>
    <s v="PLA"/>
    <s v="Feira de Santana"/>
  </r>
  <r>
    <x v="0"/>
    <s v="122BBA0425"/>
    <n v="0"/>
    <x v="105"/>
    <s v="0425"/>
    <n v="-41.158439930058698"/>
    <n v="-11.5560524195834"/>
    <n v="-41.371201820307697"/>
    <n v="-11.476747769793599"/>
    <s v="122"/>
    <s v="BA"/>
    <s v="Eixo Principal"/>
    <s v="-"/>
    <s v="122BBA0425"/>
    <s v="ENTR BA-052(A) (MORRO DO CHAPÉU)"/>
    <s v="ENTR BA-052(B)"/>
    <n v="296.5"/>
    <n v="322.5"/>
    <n v="26"/>
    <x v="1"/>
    <m/>
    <m/>
    <s v="Estadual"/>
    <m/>
    <s v="BA-052"/>
    <s v="PAV"/>
    <s v="Estadual"/>
    <s v="PLA"/>
    <s v="Feira de Santana"/>
  </r>
  <r>
    <x v="0"/>
    <s v="122BBA0430"/>
    <n v="0"/>
    <x v="105"/>
    <s v="0430"/>
    <n v="-41.371201820307697"/>
    <n v="-11.476747769793599"/>
    <n v="-41.474570069852803"/>
    <n v="-11.688729990096901"/>
    <s v="122"/>
    <s v="BA"/>
    <s v="Eixo Principal"/>
    <s v="-"/>
    <s v="122BBA0430"/>
    <s v="ENTR BA-052(B)"/>
    <s v="ENTR BA-046 (CAFARNAUM)"/>
    <n v="322.5"/>
    <n v="349.4"/>
    <n v="26.9"/>
    <x v="1"/>
    <m/>
    <m/>
    <s v="Estadual"/>
    <m/>
    <s v="BAT-122"/>
    <s v="PAV"/>
    <s v="Estadual"/>
    <s v="PLA"/>
    <s v="Feira de Santana"/>
  </r>
  <r>
    <x v="0"/>
    <s v="122BBA0435"/>
    <n v="0"/>
    <x v="105"/>
    <s v="0435"/>
    <n v="-41.474570069852803"/>
    <n v="-11.688729990096901"/>
    <n v="-41.669643979885699"/>
    <n v="-12.0146637096624"/>
    <s v="122"/>
    <s v="BA"/>
    <s v="Eixo Principal"/>
    <s v="-"/>
    <s v="122BBA0435"/>
    <s v="ENTR BA-046 (CAFARNAUM)"/>
    <s v="ENTR BR-330(A)/BA-432 (SEGREDO)"/>
    <n v="349.4"/>
    <n v="391.9"/>
    <n v="42.5"/>
    <x v="1"/>
    <m/>
    <m/>
    <s v="Estadual"/>
    <m/>
    <s v="BAT-122"/>
    <s v="PAV"/>
    <s v="Estadual"/>
    <s v="PLA"/>
    <s v="Feira de Santana"/>
  </r>
  <r>
    <x v="0"/>
    <s v="122BBA0440"/>
    <n v="0"/>
    <x v="105"/>
    <s v="0440"/>
    <n v="-41.669643979885699"/>
    <n v="-12.0146637096624"/>
    <n v="-41.648799210215302"/>
    <n v="-12.087426129712"/>
    <s v="122"/>
    <s v="BA"/>
    <s v="Eixo Principal"/>
    <s v="-"/>
    <s v="122BBA0440"/>
    <s v="ENTR BR-330(A)/BA-432 (SEGREDO)"/>
    <s v="SOUTO SOARES"/>
    <n v="391.9"/>
    <n v="400.3"/>
    <n v="8.4"/>
    <x v="1"/>
    <m/>
    <s v="330BBA0145"/>
    <s v="Estadual"/>
    <m/>
    <s v="BAT-122"/>
    <s v="PAV"/>
    <s v="Estadual"/>
    <s v="PLA"/>
    <s v="Feira de Santana"/>
  </r>
  <r>
    <x v="0"/>
    <s v="122BBA0445"/>
    <n v="0"/>
    <x v="105"/>
    <s v="0445"/>
    <n v="-41.648799210215302"/>
    <n v="-12.087426129712"/>
    <n v="-41.613850319836303"/>
    <n v="-12.245349410247"/>
    <s v="122"/>
    <s v="BA"/>
    <s v="Eixo Principal"/>
    <s v="-"/>
    <s v="122BBA0445"/>
    <s v="SOUTO SOARES"/>
    <s v="IRAQUARA"/>
    <n v="400.3"/>
    <n v="418.9"/>
    <n v="18.600000000000001"/>
    <x v="1"/>
    <m/>
    <s v="330BBA0150"/>
    <s v="Estadual"/>
    <m/>
    <s v="BAT-122"/>
    <s v="PAV"/>
    <s v="Estadual"/>
    <s v="PLA"/>
    <s v="Feira de Santana"/>
  </r>
  <r>
    <x v="0"/>
    <s v="122BBA0450"/>
    <n v="0"/>
    <x v="105"/>
    <s v="0450"/>
    <n v="-41.613850319836303"/>
    <n v="-12.245349410247"/>
    <n v="-41.628885290124003"/>
    <n v="-12.4091523701856"/>
    <s v="122"/>
    <s v="BA"/>
    <s v="Eixo Principal"/>
    <s v="-"/>
    <s v="122BBA0450"/>
    <s v="IRAQUARA"/>
    <s v="ENTR BR-349(A)"/>
    <n v="418.9"/>
    <n v="439.6"/>
    <n v="20.7"/>
    <x v="1"/>
    <m/>
    <s v="330BBA0155"/>
    <s v="Estadual"/>
    <m/>
    <s v="BAT-122"/>
    <s v="PAV"/>
    <s v="Estadual"/>
    <s v="PLA"/>
    <s v="Feira de Santana"/>
  </r>
  <r>
    <x v="0"/>
    <s v="122BBA0455"/>
    <n v="0"/>
    <x v="105"/>
    <s v="0455"/>
    <n v="-41.628885290124003"/>
    <n v="-12.4091523701856"/>
    <n v="-41.641700589710403"/>
    <n v="-12.457641160111301"/>
    <s v="122"/>
    <s v="BA"/>
    <s v="Eixo Principal"/>
    <s v="-"/>
    <s v="122BBA0455"/>
    <s v="ENTR BR-349(A)"/>
    <s v="ENTR BR-242(A)"/>
    <n v="439.6"/>
    <n v="445"/>
    <n v="5.4"/>
    <x v="1"/>
    <m/>
    <s v="330BBA0160;349BBA0360"/>
    <s v="Estadual"/>
    <m/>
    <s v="BAT-122"/>
    <s v="PAV"/>
    <s v="Estadual"/>
    <s v="PLA"/>
    <s v="Feira de Santana"/>
  </r>
  <r>
    <x v="0"/>
    <s v="122BBA0460"/>
    <n v="0"/>
    <x v="105"/>
    <s v="0460"/>
    <n v="-41.641700589710403"/>
    <n v="-12.457641160111301"/>
    <n v="-41.769303730182898"/>
    <n v="-12.427284119966099"/>
    <s v="122"/>
    <s v="BA"/>
    <s v="Eixo Principal"/>
    <s v="-"/>
    <s v="122BBA0460"/>
    <s v="ENTR BR-242(A)"/>
    <s v="ENTR BR-330(B) (SEABRA)"/>
    <n v="445"/>
    <n v="465"/>
    <n v="20"/>
    <x v="2"/>
    <m/>
    <s v="349BBA0365;330BBA0165;242BBA0160"/>
    <s v="Federal"/>
    <m/>
    <m/>
    <m/>
    <s v="Federal"/>
    <s v="PAV"/>
    <s v="Feira de Santana"/>
  </r>
  <r>
    <x v="0"/>
    <s v="122BBA0465"/>
    <n v="0"/>
    <x v="105"/>
    <s v="0465"/>
    <n v="-41.769303730182898"/>
    <n v="-12.427284119966099"/>
    <n v="-41.917687020439502"/>
    <n v="-12.3923661204"/>
    <s v="122"/>
    <s v="BA"/>
    <s v="Eixo Principal"/>
    <s v="-"/>
    <s v="122BBA0465"/>
    <s v="ENTR BR-330(B) (SEABRA)"/>
    <s v="ENTR BA-148(A) (P/BONINAL)"/>
    <n v="465"/>
    <n v="483.4"/>
    <n v="18.399999999999999"/>
    <x v="2"/>
    <m/>
    <s v="349BBA0370;242BBA0170"/>
    <s v="Federal"/>
    <m/>
    <m/>
    <m/>
    <s v="Federal"/>
    <s v="PAV"/>
    <s v="Feira de Santana"/>
  </r>
  <r>
    <x v="0"/>
    <s v="122BBA0470"/>
    <n v="0"/>
    <x v="105"/>
    <s v="0470"/>
    <n v="-41.917687020439502"/>
    <n v="-12.3923661204"/>
    <n v="-42.110152859666599"/>
    <n v="-12.4245208495574"/>
    <s v="122"/>
    <s v="BA"/>
    <s v="Eixo Principal"/>
    <s v="-"/>
    <s v="122BBA0470"/>
    <s v="ENTR BA-148(A) (P/BONINAL)"/>
    <s v="ENTR BA-148(B) (P/BARRA DO MENDES)"/>
    <n v="483.4"/>
    <n v="505.6"/>
    <n v="22.2"/>
    <x v="2"/>
    <m/>
    <s v="349BBA0380;242BBA0200"/>
    <s v="Federal"/>
    <m/>
    <m/>
    <m/>
    <s v="Federal"/>
    <s v="PAV"/>
    <s v="Feira de Santana"/>
  </r>
  <r>
    <x v="0"/>
    <s v="122BBA0480"/>
    <n v="0"/>
    <x v="105"/>
    <s v="0480"/>
    <n v="-42.110152859666599"/>
    <n v="-12.4245208495574"/>
    <n v="-42.205404309561096"/>
    <n v="-12.456066559623901"/>
    <s v="122"/>
    <s v="BA"/>
    <s v="Eixo Principal"/>
    <s v="-"/>
    <s v="122BBA0480"/>
    <s v="ENTR BA-148(B) (P/BARRA DO MENDES)"/>
    <s v="ENTR BR-242(B)/BA-152(A)"/>
    <n v="505.6"/>
    <n v="518.5"/>
    <n v="12.9"/>
    <x v="2"/>
    <m/>
    <s v="349BBA0390;242BBA0205"/>
    <s v="Federal"/>
    <m/>
    <m/>
    <m/>
    <s v="Federal"/>
    <s v="PAV"/>
    <s v="Feira de Santana"/>
  </r>
  <r>
    <x v="0"/>
    <s v="122BBA0485"/>
    <n v="0"/>
    <x v="105"/>
    <s v="0485"/>
    <n v="-42.205404309561096"/>
    <n v="-12.456066559623901"/>
    <n v="-42.172283159939802"/>
    <n v="-12.8056904201766"/>
    <s v="122"/>
    <s v="BA"/>
    <s v="Eixo Principal"/>
    <s v="-"/>
    <s v="122BBA0485"/>
    <s v="ENTR BR-242(B)/BA-152(A)"/>
    <s v="ENTR BA-152(B) (NOVO HORIZONTE)"/>
    <n v="518.5"/>
    <n v="561.29999999999995"/>
    <n v="42.8"/>
    <x v="1"/>
    <m/>
    <m/>
    <s v="Estadual"/>
    <m/>
    <s v="BA-152"/>
    <s v="PAV"/>
    <s v="Estadual"/>
    <s v="PLA"/>
    <s v="Feira de Santana"/>
  </r>
  <r>
    <x v="0"/>
    <s v="122BBA0490"/>
    <n v="0"/>
    <x v="105"/>
    <s v="0490"/>
    <n v="-42.172283159939802"/>
    <n v="-12.8056904201766"/>
    <n v="-42.2178816601104"/>
    <n v="-12.984236520399"/>
    <s v="122"/>
    <s v="BA"/>
    <s v="Eixo Principal"/>
    <s v="-"/>
    <s v="122BBA0490"/>
    <s v="ENTR BA-152(B) (NOVO HORIZONTE)"/>
    <s v="IBIAJARA"/>
    <n v="561.29999999999995"/>
    <n v="591.29999999999995"/>
    <n v="30"/>
    <x v="1"/>
    <m/>
    <m/>
    <s v="Federal"/>
    <m/>
    <m/>
    <m/>
    <s v="Federal"/>
    <s v="PLA"/>
    <s v="Feira de Santana"/>
  </r>
  <r>
    <x v="0"/>
    <s v="122BBA0495"/>
    <n v="0"/>
    <x v="105"/>
    <s v="0495"/>
    <n v="-42.2178816601104"/>
    <n v="-12.984236520399"/>
    <n v="-42.287718129587901"/>
    <n v="-13.122400840326399"/>
    <s v="122"/>
    <s v="BA"/>
    <s v="Eixo Principal"/>
    <s v="-"/>
    <s v="122BBA0495"/>
    <s v="IBIAJARA"/>
    <s v="RIO DO PIRES"/>
    <n v="591.29999999999995"/>
    <n v="611"/>
    <n v="19.7"/>
    <x v="1"/>
    <m/>
    <m/>
    <s v="Federal"/>
    <m/>
    <m/>
    <m/>
    <s v="Federal"/>
    <s v="PLA"/>
    <s v="Feira de Santana"/>
  </r>
  <r>
    <x v="0"/>
    <s v="122BBA0500"/>
    <n v="0"/>
    <x v="105"/>
    <s v="0500"/>
    <n v="-42.287718129587901"/>
    <n v="-13.122400840326399"/>
    <n v="-42.415885209734498"/>
    <n v="-13.230379149578001"/>
    <s v="122"/>
    <s v="BA"/>
    <s v="Eixo Principal"/>
    <s v="-"/>
    <s v="122BBA0500"/>
    <s v="RIO DO PIRES"/>
    <s v="ENTR BA-156(A)"/>
    <n v="611"/>
    <n v="630.20000000000005"/>
    <n v="19.2"/>
    <x v="1"/>
    <m/>
    <m/>
    <s v="Estadual"/>
    <m/>
    <s v="BA-152"/>
    <s v="PAV"/>
    <s v="Estadual"/>
    <s v="PLA"/>
    <s v="Vitória da Conquista"/>
  </r>
  <r>
    <x v="0"/>
    <s v="122BBA0515"/>
    <n v="0"/>
    <x v="105"/>
    <s v="0515"/>
    <n v="-42.415885209734498"/>
    <n v="-13.230379149578001"/>
    <n v="-42.248198180401602"/>
    <n v="-13.445539109941899"/>
    <s v="122"/>
    <s v="BA"/>
    <s v="Eixo Principal"/>
    <s v="-"/>
    <s v="122BBA0515"/>
    <s v="ENTR BA-156(A)"/>
    <s v="ENTR BA-156(B) (PARAMIRIM)"/>
    <n v="630.20000000000005"/>
    <n v="661.7"/>
    <n v="31.5"/>
    <x v="1"/>
    <m/>
    <m/>
    <s v="Estadual"/>
    <m/>
    <s v="BA-156"/>
    <s v="PAV"/>
    <s v="Estadual"/>
    <s v="PLA"/>
    <s v="Vitória da Conquista"/>
  </r>
  <r>
    <x v="0"/>
    <s v="122BBA0520"/>
    <n v="0"/>
    <x v="105"/>
    <s v="0520"/>
    <n v="-42.248198180401602"/>
    <n v="-13.445539109941899"/>
    <n v="-42.485862139825798"/>
    <n v="-14.0648607200461"/>
    <s v="122"/>
    <s v="BA"/>
    <s v="Eixo Principal"/>
    <s v="-"/>
    <s v="122BBA0520"/>
    <s v="ENTR BA-156(B) (PARAMIRIM)"/>
    <s v="ENTR BR-030(A)/430 (CAETITÉ)"/>
    <n v="661.7"/>
    <n v="747.7"/>
    <n v="86"/>
    <x v="1"/>
    <m/>
    <m/>
    <m/>
    <s v="MP082/2004"/>
    <s v="BAT-122"/>
    <s v="LEN"/>
    <m/>
    <s v="PLA"/>
    <s v="Vitória da Conquista"/>
  </r>
  <r>
    <x v="0"/>
    <s v="122BBA0530"/>
    <n v="0"/>
    <x v="105"/>
    <s v="0530"/>
    <n v="-42.485862139825798"/>
    <n v="-14.0648607200461"/>
    <n v="-42.585422390031198"/>
    <n v="-14.102850470072999"/>
    <s v="122"/>
    <s v="BA"/>
    <s v="Eixo Principal"/>
    <s v="Coinc"/>
    <s v="122BBA0530"/>
    <s v="ENTR BR-030(A)/430 (CAETITÉ)"/>
    <s v="ENTR BA-937 (P/PAJEÚ DO VENTO)"/>
    <n v="747.7"/>
    <n v="760"/>
    <n v="12.3"/>
    <x v="2"/>
    <m/>
    <s v="030BBA0290"/>
    <m/>
    <s v="MP082/2003"/>
    <m/>
    <m/>
    <m/>
    <s v="PAV"/>
    <s v="Vitória da Conquista"/>
  </r>
  <r>
    <x v="0"/>
    <s v="122BBA0545"/>
    <n v="0"/>
    <x v="105"/>
    <s v="0545"/>
    <n v="-42.585422390031198"/>
    <n v="-14.102850470072999"/>
    <n v="-42.645234519557299"/>
    <n v="-14.1437633198212"/>
    <s v="122"/>
    <s v="BA"/>
    <s v="Eixo Principal"/>
    <s v="Coinc"/>
    <s v="122BBA0545"/>
    <s v="ENTR BA-937 (P/PAJEÚ DO VENTO)"/>
    <s v="ENTR BA-936 (P/ MORRINHOS)"/>
    <n v="760"/>
    <n v="776.5"/>
    <n v="16.5"/>
    <x v="2"/>
    <m/>
    <s v="030BBA0272"/>
    <m/>
    <s v="MP082/2003"/>
    <m/>
    <m/>
    <m/>
    <s v="PAV"/>
    <s v="Vitória da Conquista"/>
  </r>
  <r>
    <x v="0"/>
    <s v="122BBA0547"/>
    <n v="0"/>
    <x v="105"/>
    <s v="0547"/>
    <n v="-42.764712029936099"/>
    <n v="-14.2088139499037"/>
    <n v="-42.645234519557299"/>
    <n v="-14.1437633198212"/>
    <s v="122"/>
    <s v="BA"/>
    <s v="Eixo Principal"/>
    <s v="Coinc"/>
    <s v="122BBA0547"/>
    <s v="ENTR BA-936 (P/ MORRINHOS)"/>
    <s v="ENTR BR-030(B) (GUANAMBÍ)"/>
    <n v="776.5"/>
    <n v="785"/>
    <n v="8.5"/>
    <x v="2"/>
    <m/>
    <s v="030BBA0281"/>
    <m/>
    <s v="MP082/2003"/>
    <m/>
    <m/>
    <m/>
    <s v="PAV"/>
    <s v="Vitória da Conquista"/>
  </r>
  <r>
    <x v="0"/>
    <s v="122BBA0550"/>
    <n v="0"/>
    <x v="105"/>
    <s v="0550"/>
    <n v="-42.764712029936099"/>
    <n v="-14.2088139499037"/>
    <n v="-42.776652260393398"/>
    <n v="-14.372566109838001"/>
    <s v="122"/>
    <s v="BA"/>
    <s v="Eixo Principal"/>
    <s v="-"/>
    <s v="122BBA0550"/>
    <s v="ENTR BR-030(B) (GUANAMBÍ)"/>
    <s v="ENTR BA-612 (P/CANDIBÁ)"/>
    <n v="785"/>
    <n v="804.4"/>
    <n v="19.399999999999999"/>
    <x v="2"/>
    <m/>
    <m/>
    <m/>
    <s v="MP082/2004"/>
    <m/>
    <m/>
    <m/>
    <s v="PAV"/>
    <s v="Vitória da Conquista"/>
  </r>
  <r>
    <x v="0"/>
    <s v="122BBA0555"/>
    <n v="0"/>
    <x v="105"/>
    <s v="0555"/>
    <n v="-42.776652260393398"/>
    <n v="-14.372566109838001"/>
    <n v="-42.691391190251103"/>
    <n v="-14.4907255999064"/>
    <s v="122"/>
    <s v="BA"/>
    <s v="Eixo Principal"/>
    <s v="-"/>
    <s v="122BBA0555"/>
    <s v="ENTR BA-612 (P/CANDIBÁ)"/>
    <s v="PINDAÍ"/>
    <n v="804.4"/>
    <n v="820.5"/>
    <n v="16.100000000000001"/>
    <x v="2"/>
    <m/>
    <m/>
    <s v="Federal"/>
    <m/>
    <m/>
    <m/>
    <s v="Federal"/>
    <s v="PAV"/>
    <s v="Vitória da Conquista"/>
  </r>
  <r>
    <x v="0"/>
    <s v="122BBA0560"/>
    <n v="0"/>
    <x v="105"/>
    <s v="0560"/>
    <n v="-42.691391190251103"/>
    <n v="-14.4907255999064"/>
    <n v="-42.6628707302999"/>
    <n v="-14.7670139402411"/>
    <s v="122"/>
    <s v="BA"/>
    <s v="Eixo Principal"/>
    <s v="-"/>
    <s v="122BBA0560"/>
    <s v="PINDAÍ"/>
    <s v="ENTR BA-263 (URANDI)"/>
    <n v="820.5"/>
    <n v="852.8"/>
    <n v="32.299999999999997"/>
    <x v="2"/>
    <m/>
    <m/>
    <s v="Federal"/>
    <m/>
    <m/>
    <m/>
    <s v="Federal"/>
    <s v="PAV"/>
    <s v="Vitória da Conquista"/>
  </r>
  <r>
    <x v="0"/>
    <s v="122BBA0570"/>
    <n v="0"/>
    <x v="105"/>
    <s v="0570"/>
    <n v="-42.6628707302999"/>
    <n v="-14.7670139402411"/>
    <n v="-42.758954390332804"/>
    <n v="-14.846154390013"/>
    <s v="122"/>
    <s v="BA"/>
    <s v="Eixo Principal"/>
    <s v="-"/>
    <s v="122BBA0570"/>
    <s v="ENTR BA-263 (URANDI)"/>
    <s v="DIV BA/MG"/>
    <n v="852.8"/>
    <n v="867"/>
    <n v="14.2"/>
    <x v="2"/>
    <m/>
    <m/>
    <s v="Federal"/>
    <m/>
    <m/>
    <m/>
    <s v="Federal"/>
    <s v="PAV"/>
    <s v="Vitória da Conquista"/>
  </r>
  <r>
    <x v="0"/>
    <s v="122BCE0010"/>
    <n v="0"/>
    <x v="106"/>
    <s v="0010"/>
    <n v="-38.501757620018097"/>
    <n v="-4.2992830904422004"/>
    <n v="-38.479036080350703"/>
    <n v="-4.3359567303187898"/>
    <s v="122"/>
    <s v="CE"/>
    <s v="Eixo Principal"/>
    <s v="Coinc"/>
    <s v="122BCE0010"/>
    <s v="ENTR BR-116(A) (CHORÓZINHO)"/>
    <s v="ENTR BR-116(B)"/>
    <n v="0"/>
    <n v="5"/>
    <n v="5"/>
    <x v="2"/>
    <m/>
    <s v="116BCE0100"/>
    <s v="Federal"/>
    <m/>
    <m/>
    <m/>
    <s v="Federal"/>
    <s v="PAV"/>
    <s v="Russas"/>
  </r>
  <r>
    <x v="0"/>
    <s v="122BCE0011"/>
    <n v="0"/>
    <x v="106"/>
    <s v="0011"/>
    <n v="-38.479036080350703"/>
    <n v="-4.3359567303187898"/>
    <n v="-38.567365589650102"/>
    <n v="-4.5164095902303503"/>
    <s v="122"/>
    <s v="CE"/>
    <s v="Eixo Principal"/>
    <s v="-"/>
    <s v="122BCE0011"/>
    <s v="ENTR BR-116(B)"/>
    <s v="ENTR CE-257 (P/OCARA)"/>
    <n v="5"/>
    <n v="28.2"/>
    <n v="23.2"/>
    <x v="2"/>
    <m/>
    <m/>
    <s v="Federal"/>
    <m/>
    <m/>
    <m/>
    <s v="Federal"/>
    <s v="PAV"/>
    <s v="Russas"/>
  </r>
  <r>
    <x v="0"/>
    <s v="122BCE0030"/>
    <n v="0"/>
    <x v="106"/>
    <s v="0030"/>
    <n v="-38.567365589650102"/>
    <n v="-4.5164095902303503"/>
    <n v="-38.6171755502114"/>
    <n v="-4.5830782796388601"/>
    <s v="122"/>
    <s v="CE"/>
    <s v="Eixo Principal"/>
    <s v="-"/>
    <s v="122BCE0030"/>
    <s v="ENTR CE-257 (P/OCARA)"/>
    <s v="ENTR CE-356"/>
    <n v="28.2"/>
    <n v="37.5"/>
    <n v="9.3000000000000007"/>
    <x v="2"/>
    <m/>
    <m/>
    <s v="Federal"/>
    <m/>
    <m/>
    <m/>
    <s v="Federal"/>
    <s v="PAV"/>
    <s v="Russas"/>
  </r>
  <r>
    <x v="0"/>
    <s v="122BCE0040"/>
    <n v="0"/>
    <x v="106"/>
    <s v="0040"/>
    <n v="-38.6171755502114"/>
    <n v="-4.5830782796388601"/>
    <n v="-38.699306459825202"/>
    <n v="-4.6959588500208698"/>
    <s v="122"/>
    <s v="CE"/>
    <s v="Eixo Principal"/>
    <s v="-"/>
    <s v="122BCE0040"/>
    <s v="ENTR CE-356"/>
    <s v="INÍCIO DA PONTE RIO PIRANGI (PIRANGI)"/>
    <n v="37.5"/>
    <n v="53.4"/>
    <n v="15.9"/>
    <x v="2"/>
    <m/>
    <m/>
    <s v="Federal"/>
    <m/>
    <m/>
    <m/>
    <s v="Federal"/>
    <s v="PAV"/>
    <s v="Russas"/>
  </r>
  <r>
    <x v="0"/>
    <s v="122BCE0050"/>
    <n v="0"/>
    <x v="106"/>
    <s v="0050"/>
    <n v="-38.699306459825202"/>
    <n v="-4.6959588500208698"/>
    <n v="-38.9975564100003"/>
    <n v="-4.9647140597060604"/>
    <s v="122"/>
    <s v="CE"/>
    <s v="Eixo Principal"/>
    <s v="-"/>
    <s v="122BCE0050"/>
    <s v="INÍCIO DA PONTE RIO PIRANGI (PIRANGI)"/>
    <s v="ENTR CE-060(A)/265 (QUIXADÁ)"/>
    <n v="53.4"/>
    <n v="100.1"/>
    <n v="46.7"/>
    <x v="2"/>
    <m/>
    <m/>
    <s v="Federal"/>
    <m/>
    <m/>
    <m/>
    <s v="Federal"/>
    <s v="PAV"/>
    <s v="Russas"/>
  </r>
  <r>
    <x v="0"/>
    <s v="122BCE0060"/>
    <n v="0"/>
    <x v="106"/>
    <s v="0060"/>
    <n v="-38.9975564100003"/>
    <n v="-4.9647140597060604"/>
    <n v="-39.063872069640198"/>
    <n v="-5.0714984101234597"/>
    <s v="122"/>
    <s v="CE"/>
    <s v="Eixo Principal"/>
    <s v="-"/>
    <s v="122BCE0060"/>
    <s v="ENTR CE-060(A)/265 (QUIXADÁ)"/>
    <s v="ENTR CE-060(B)"/>
    <n v="100.1"/>
    <n v="115.7"/>
    <n v="15.6"/>
    <x v="2"/>
    <m/>
    <m/>
    <s v="Federal"/>
    <m/>
    <m/>
    <m/>
    <s v="Federal"/>
    <s v="PAV"/>
    <s v="Russas"/>
  </r>
  <r>
    <x v="0"/>
    <s v="122BCE0070"/>
    <n v="0"/>
    <x v="106"/>
    <s v="0070"/>
    <n v="-39.063872069640198"/>
    <n v="-5.0714984101234597"/>
    <n v="-38.920227579738899"/>
    <n v="-5.3047216998465299"/>
    <s v="122"/>
    <s v="CE"/>
    <s v="Eixo Principal"/>
    <s v="-"/>
    <s v="122BCE0070"/>
    <s v="ENTR CE-060(B)"/>
    <s v="ENTR CE-153/266/368 (BANABUIÚ)"/>
    <n v="115.7"/>
    <n v="158.19999999999999"/>
    <n v="42.5"/>
    <x v="2"/>
    <m/>
    <m/>
    <s v="Federal"/>
    <m/>
    <m/>
    <m/>
    <s v="Federal"/>
    <s v="PAV"/>
    <s v="Russas"/>
  </r>
  <r>
    <x v="0"/>
    <s v="122BCE0090"/>
    <n v="0"/>
    <x v="106"/>
    <s v="0090"/>
    <n v="-38.920227579738899"/>
    <n v="-5.3047216998465299"/>
    <n v="-39.0034003800234"/>
    <n v="-5.7346615400979299"/>
    <s v="122"/>
    <s v="CE"/>
    <s v="Eixo Principal"/>
    <s v="-"/>
    <s v="122BCE0090"/>
    <s v="ENTR CE-153/266/368 (BANABUIÚ)"/>
    <s v="ENTR BR-226/CE-371 (SOLONÓPOLE)"/>
    <n v="158.19999999999999"/>
    <n v="208.2"/>
    <n v="50"/>
    <x v="1"/>
    <m/>
    <m/>
    <s v="Federal"/>
    <m/>
    <m/>
    <m/>
    <s v="Federal"/>
    <s v="PLA"/>
    <s v="Icó"/>
  </r>
  <r>
    <x v="0"/>
    <s v="122BCE0110"/>
    <n v="0"/>
    <x v="106"/>
    <s v="0110"/>
    <n v="-39.0034003800234"/>
    <n v="-5.7346615400979299"/>
    <n v="-39.072603349964503"/>
    <n v="-5.9407442599396001"/>
    <s v="122"/>
    <s v="CE"/>
    <s v="Eixo Principal"/>
    <s v="-"/>
    <s v="122BCE0110"/>
    <s v="ENTR BR-226/CE-371 (SOLONÓPOLE)"/>
    <s v="ENTR CE-275 (SÃO JOSÉ DE SOLONÓPOLE)"/>
    <n v="208.2"/>
    <n v="233.2"/>
    <n v="25"/>
    <x v="5"/>
    <m/>
    <m/>
    <s v="Federal"/>
    <m/>
    <m/>
    <m/>
    <s v="Federal"/>
    <s v="N_PAV"/>
    <s v="Icó"/>
  </r>
  <r>
    <x v="0"/>
    <s v="122BCE0130"/>
    <n v="0"/>
    <x v="106"/>
    <s v="0130"/>
    <n v="-39.072603349964503"/>
    <n v="-5.9407442599396001"/>
    <n v="-39.200303789887897"/>
    <n v="-6.2513294399016601"/>
    <s v="122"/>
    <s v="CE"/>
    <s v="Eixo Principal"/>
    <s v="-"/>
    <s v="122BCE0130"/>
    <s v="ENTR CE-275 (SÃO JOSÉ DE SOLONÓPOLE)"/>
    <s v="ENTR CE-375(A) (QUIXELÔ)"/>
    <n v="233.2"/>
    <n v="267.2"/>
    <n v="34"/>
    <x v="5"/>
    <m/>
    <m/>
    <s v="Federal"/>
    <m/>
    <m/>
    <m/>
    <s v="Federal"/>
    <s v="N_PAV"/>
    <s v="Icó"/>
  </r>
  <r>
    <x v="0"/>
    <s v="122BCE0135"/>
    <n v="0"/>
    <x v="106"/>
    <s v="0135"/>
    <n v="-39.200303789887897"/>
    <n v="-6.2513294399016601"/>
    <n v="-39.333743480077402"/>
    <n v="-6.3096672397512599"/>
    <s v="122"/>
    <s v="CE"/>
    <s v="Eixo Principal"/>
    <s v="-"/>
    <s v="122BCE0135"/>
    <s v="ENTR CE-375(A) (QUIXELÔ)"/>
    <s v="ENTR CE-060(A)"/>
    <n v="267.2"/>
    <n v="283.39999999999998"/>
    <n v="16.2"/>
    <x v="1"/>
    <m/>
    <m/>
    <s v="Estadual"/>
    <m/>
    <s v="CE-375"/>
    <s v="PAV"/>
    <s v="Estadual"/>
    <s v="PLA"/>
    <s v="Icó"/>
  </r>
  <r>
    <x v="0"/>
    <s v="122BCE0140"/>
    <n v="0"/>
    <x v="106"/>
    <s v="0140"/>
    <n v="-39.333743480077402"/>
    <n v="-6.3096672397512599"/>
    <n v="-39.306503929912303"/>
    <n v="-6.3483137799569196"/>
    <s v="122"/>
    <s v="CE"/>
    <s v="Eixo Principal"/>
    <s v="-"/>
    <s v="122BCE0140"/>
    <s v="ENTR CE-060(A)"/>
    <s v="INÍCIO DA PISTA DUPLA (INI PER URB IGUATÚ)"/>
    <n v="283.39999999999998"/>
    <n v="288.7"/>
    <n v="5.3"/>
    <x v="1"/>
    <m/>
    <m/>
    <s v="Estadual"/>
    <m/>
    <s v="CE-060"/>
    <s v="PAV"/>
    <s v="Estadual"/>
    <s v="PLA"/>
    <s v="Icó"/>
  </r>
  <r>
    <x v="0"/>
    <s v="122BCE0145"/>
    <n v="0"/>
    <x v="106"/>
    <s v="0145"/>
    <n v="-39.306503929912303"/>
    <n v="-6.3483137799569196"/>
    <n v="-39.306328859788998"/>
    <n v="-6.3734858004293002"/>
    <s v="122"/>
    <s v="CE"/>
    <s v="Eixo Principal"/>
    <s v="-"/>
    <s v="122BCE0145"/>
    <s v="INÍCIO DA PISTA DUPLA (INI PER URB IGUATÚ)"/>
    <s v="ENTR BR-404(A)/CE-375(B) (IGUATÚ)"/>
    <n v="288.7"/>
    <n v="291.5"/>
    <n v="2.8"/>
    <x v="1"/>
    <m/>
    <m/>
    <s v="Estadual"/>
    <m/>
    <s v="CE-060"/>
    <s v="DUP"/>
    <s v="Estadual"/>
    <s v="PLA"/>
    <s v="Icó"/>
  </r>
  <r>
    <x v="0"/>
    <s v="122BCE0150"/>
    <n v="0"/>
    <x v="106"/>
    <s v="0150"/>
    <n v="-39.306328859788998"/>
    <n v="-6.3734858004293002"/>
    <n v="-39.2687611795847"/>
    <n v="-6.37384837020607"/>
    <s v="122"/>
    <s v="CE"/>
    <s v="Eixo Principal"/>
    <s v="-"/>
    <s v="122BCE0150"/>
    <s v="ENTR BR-404(A)/CE-375(B) (IGUATÚ)"/>
    <s v="ENTR BR-404(B) (P/ICÓ)"/>
    <n v="291.5"/>
    <n v="295.60000000000002"/>
    <n v="4.0999999999999996"/>
    <x v="1"/>
    <m/>
    <s v="404BCE0145"/>
    <s v="Estadual"/>
    <m/>
    <s v="CE-060"/>
    <s v="PAV"/>
    <s v="Estadual"/>
    <s v="PLA"/>
    <s v="Icó"/>
  </r>
  <r>
    <x v="0"/>
    <s v="122BCE0155"/>
    <n v="0"/>
    <x v="106"/>
    <s v="0155"/>
    <n v="-39.2687611795847"/>
    <n v="-6.37384837020607"/>
    <n v="-39.3184968696347"/>
    <n v="-6.5676946696732399"/>
    <s v="122"/>
    <s v="CE"/>
    <s v="Eixo Principal"/>
    <s v="-"/>
    <s v="122BCE0155"/>
    <s v="ENTR BR-404(B) (P/ICÓ)"/>
    <s v="ENTR CE-284 (UMARIZEIRA)"/>
    <n v="295.60000000000002"/>
    <n v="320"/>
    <n v="24.4"/>
    <x v="1"/>
    <m/>
    <m/>
    <s v="Estadual"/>
    <m/>
    <s v="CE-060"/>
    <s v="PAV"/>
    <s v="Estadual"/>
    <s v="PLA"/>
    <s v="Icó"/>
  </r>
  <r>
    <x v="0"/>
    <s v="122BCE0160"/>
    <n v="0"/>
    <x v="106"/>
    <s v="0160"/>
    <n v="-39.3184968696347"/>
    <n v="-6.5676946696732399"/>
    <n v="-39.308120599785802"/>
    <n v="-6.7921635898777"/>
    <s v="122"/>
    <s v="CE"/>
    <s v="Eixo Principal"/>
    <s v="-"/>
    <s v="122BCE0160"/>
    <s v="ENTR CE-284 (UMARIZEIRA)"/>
    <s v="ENTR BR-230/CE-060(B) (VÁRZEA ALEGRE)"/>
    <n v="320"/>
    <n v="353.1"/>
    <n v="33.1"/>
    <x v="1"/>
    <m/>
    <m/>
    <s v="Estadual"/>
    <m/>
    <s v="CE-060"/>
    <s v="PAV"/>
    <s v="Estadual"/>
    <s v="PLA"/>
    <s v="Icó"/>
  </r>
  <r>
    <x v="0"/>
    <s v="122BCE0170"/>
    <n v="0"/>
    <x v="106"/>
    <s v="0170"/>
    <n v="-39.308120599785802"/>
    <n v="-6.7921635898777"/>
    <n v="-39.285424439885901"/>
    <n v="-7.0417736604260304"/>
    <s v="122"/>
    <s v="CE"/>
    <s v="Eixo Principal"/>
    <s v="-"/>
    <s v="122BCE0170"/>
    <s v="ENTR BR-230/CE-060(B) (VÁRZEA ALEGRE)"/>
    <s v="ENTR CE-060(A)/385 (CARIRIAÇU)"/>
    <n v="353.1"/>
    <n v="380.1"/>
    <n v="27"/>
    <x v="1"/>
    <m/>
    <m/>
    <s v="Federal"/>
    <m/>
    <m/>
    <m/>
    <s v="Federal"/>
    <s v="PLA"/>
    <s v="Icó"/>
  </r>
  <r>
    <x v="0"/>
    <s v="122BCE0190"/>
    <n v="0"/>
    <x v="106"/>
    <s v="0190"/>
    <n v="-39.285424439885901"/>
    <n v="-7.0417736604260304"/>
    <n v="-39.327037980218499"/>
    <n v="-7.22597866997961"/>
    <s v="122"/>
    <s v="CE"/>
    <s v="Eixo Principal"/>
    <s v="-"/>
    <s v="122BCE0190"/>
    <s v="ENTR CE-060(A)/385 (CARIRIAÇU)"/>
    <s v="ENTR CE-060(B)/292(A) (JUAZEIRO DO NORTE)"/>
    <n v="380.1"/>
    <n v="407.3"/>
    <n v="27.2"/>
    <x v="1"/>
    <m/>
    <m/>
    <s v="Estadual"/>
    <m/>
    <s v="CE-060"/>
    <s v="PAV"/>
    <s v="Estadual"/>
    <s v="PLA"/>
    <s v="Icó"/>
  </r>
  <r>
    <x v="0"/>
    <s v="122BCE0210"/>
    <n v="0"/>
    <x v="106"/>
    <s v="0210"/>
    <n v="-39.327037980218499"/>
    <n v="-7.22597866997961"/>
    <n v="-39.424566029698397"/>
    <n v="-7.2239993296052996"/>
    <s v="122"/>
    <s v="CE"/>
    <s v="Eixo Principal"/>
    <s v="-"/>
    <s v="122BCE0210"/>
    <s v="ENTR CE-060(B)/292(A) (JUAZEIRO DO NORTE)"/>
    <s v="ENTR CE-386 (CRATO)"/>
    <n v="407.3"/>
    <n v="420.9"/>
    <n v="13.6"/>
    <x v="1"/>
    <m/>
    <m/>
    <s v="Estadual"/>
    <m/>
    <s v="CE-292"/>
    <s v="DUP"/>
    <s v="Estadual"/>
    <s v="PLA"/>
    <s v="Icó"/>
  </r>
  <r>
    <x v="0"/>
    <s v="122BCE0230"/>
    <n v="0"/>
    <x v="106"/>
    <s v="0230"/>
    <n v="-39.424566029698397"/>
    <n v="-7.2239993296052996"/>
    <n v="-39.486767430372502"/>
    <n v="-7.2392945196263501"/>
    <s v="122"/>
    <s v="CE"/>
    <s v="Eixo Principal"/>
    <s v="-"/>
    <s v="122BCE0230"/>
    <s v="ENTR CE-386 (CRATO)"/>
    <s v="ENTR CE-292(B)/494(A)"/>
    <n v="420.9"/>
    <n v="430.3"/>
    <n v="9.4"/>
    <x v="1"/>
    <m/>
    <m/>
    <s v="Estadual"/>
    <m/>
    <s v="CE-292"/>
    <s v="PAV"/>
    <s v="Estadual"/>
    <s v="PLA"/>
    <s v="Icó"/>
  </r>
  <r>
    <x v="0"/>
    <s v="122BCE0250"/>
    <n v="0"/>
    <x v="106"/>
    <s v="0250"/>
    <n v="-39.486767430372502"/>
    <n v="-7.2392945196263501"/>
    <n v="-39.5958791596954"/>
    <n v="-7.3437066203641699"/>
    <s v="122"/>
    <s v="CE"/>
    <s v="Eixo Principal"/>
    <s v="-"/>
    <s v="122BCE0250"/>
    <s v="ENTR CE-292(B)/494(A)"/>
    <s v="ENTR CE-494(B) (DIV CE/PE)"/>
    <n v="430.3"/>
    <n v="447"/>
    <n v="16.7"/>
    <x v="1"/>
    <m/>
    <m/>
    <s v="Estadual"/>
    <m/>
    <s v="CE-494"/>
    <s v="PAV"/>
    <s v="Estadual"/>
    <s v="PLA"/>
    <s v="Icó"/>
  </r>
  <r>
    <x v="0"/>
    <s v="122BMG0590"/>
    <n v="0"/>
    <x v="107"/>
    <s v="0590"/>
    <n v="-42.758954390332804"/>
    <n v="-14.846154390013"/>
    <n v="-42.824947640321199"/>
    <n v="-14.934164819850499"/>
    <s v="122"/>
    <s v="MG"/>
    <s v="Eixo Principal"/>
    <s v="-"/>
    <s v="122BMG0590"/>
    <s v="DIV BA/MG"/>
    <s v="ENTR BR-342 (ESPINOSA)"/>
    <n v="0"/>
    <n v="14.6"/>
    <n v="14.6"/>
    <x v="1"/>
    <m/>
    <m/>
    <s v="Estadual"/>
    <m/>
    <s v="MGT-122"/>
    <s v="PAV"/>
    <s v="Estadual"/>
    <s v="PLA"/>
    <s v="Montes Claros"/>
  </r>
  <r>
    <x v="0"/>
    <s v="122BMG0600"/>
    <n v="0"/>
    <x v="107"/>
    <s v="0600"/>
    <n v="-42.824947640321199"/>
    <n v="-14.934164819850499"/>
    <n v="-42.8956502099891"/>
    <n v="-15.029915299951"/>
    <s v="122"/>
    <s v="MG"/>
    <s v="Eixo Principal"/>
    <s v="-"/>
    <s v="122BMG0600"/>
    <s v="ENTR BR-342 (ESPINOSA)"/>
    <s v="DOURADOS"/>
    <n v="14.6"/>
    <n v="28"/>
    <n v="13.4"/>
    <x v="1"/>
    <m/>
    <m/>
    <s v="Estadual"/>
    <m/>
    <s v="MGT-122"/>
    <s v="PAV"/>
    <s v="Estadual"/>
    <s v="PLA"/>
    <s v="Montes Claros"/>
  </r>
  <r>
    <x v="0"/>
    <s v="122BMG0610"/>
    <n v="0"/>
    <x v="107"/>
    <s v="0610"/>
    <n v="-42.8956502099891"/>
    <n v="-15.029915299951"/>
    <n v="-42.8620633797211"/>
    <n v="-15.151951080278"/>
    <s v="122"/>
    <s v="MG"/>
    <s v="Eixo Principal"/>
    <s v="-"/>
    <s v="122BMG0610"/>
    <s v="DOURADOS"/>
    <s v="MONTE AZUL"/>
    <n v="28"/>
    <n v="45.4"/>
    <n v="17.399999999999999"/>
    <x v="1"/>
    <m/>
    <m/>
    <s v="Estadual"/>
    <m/>
    <s v="MGT-122"/>
    <s v="PAV"/>
    <s v="Estadual"/>
    <s v="PLA"/>
    <s v="Montes Claros"/>
  </r>
  <r>
    <x v="0"/>
    <s v="122BMG0630"/>
    <n v="0"/>
    <x v="107"/>
    <s v="0630"/>
    <n v="-42.8620633797211"/>
    <n v="-15.151951080278"/>
    <n v="-42.857381879669902"/>
    <n v="-15.3898912601734"/>
    <s v="122"/>
    <s v="MG"/>
    <s v="Eixo Principal"/>
    <s v="-"/>
    <s v="122BMG0630"/>
    <s v="MONTE AZUL"/>
    <s v="MATO VERDE"/>
    <n v="45.4"/>
    <n v="75.5"/>
    <n v="30.1"/>
    <x v="1"/>
    <m/>
    <m/>
    <s v="Estadual"/>
    <m/>
    <s v="MGT-122"/>
    <s v="PAV"/>
    <s v="Estadual"/>
    <s v="PLA"/>
    <s v="Montes Claros"/>
  </r>
  <r>
    <x v="0"/>
    <s v="122BMG0640"/>
    <n v="0"/>
    <x v="107"/>
    <s v="0640"/>
    <n v="-42.857381879669902"/>
    <n v="-15.3898912601734"/>
    <n v="-43.043719060386302"/>
    <n v="-15.761444970109199"/>
    <s v="122"/>
    <s v="MG"/>
    <s v="Eixo Principal"/>
    <s v="-"/>
    <s v="122BMG0640"/>
    <s v="MATO VERDE"/>
    <s v="ENTR MG-120 (PORTEIRINHA)"/>
    <n v="75.5"/>
    <n v="122.1"/>
    <n v="46.6"/>
    <x v="1"/>
    <m/>
    <m/>
    <s v="Estadual"/>
    <m/>
    <s v="MGT-122"/>
    <s v="PAV"/>
    <s v="Estadual"/>
    <s v="PLA"/>
    <s v="Montes Claros"/>
  </r>
  <r>
    <x v="0"/>
    <s v="122BMG0645"/>
    <n v="0"/>
    <x v="107"/>
    <s v="0645"/>
    <n v="-43.043719060386302"/>
    <n v="-15.761444970109199"/>
    <n v="-43.295375079596198"/>
    <n v="-15.831577970346901"/>
    <s v="122"/>
    <s v="MG"/>
    <s v="Eixo Principal"/>
    <s v="-"/>
    <s v="122BMG0645"/>
    <s v="ENTR MG-120 (PORTEIRINHA)"/>
    <s v="ENTR MG-202/401 (JANAÚBA)"/>
    <n v="122.1"/>
    <n v="159.80000000000001"/>
    <n v="37.700000000000003"/>
    <x v="1"/>
    <m/>
    <m/>
    <s v="Estadual"/>
    <m/>
    <s v="MGT-122"/>
    <s v="PAV"/>
    <s v="Estadual"/>
    <s v="PLA"/>
    <s v="Montes Claros"/>
  </r>
  <r>
    <x v="0"/>
    <s v="122BMG0650"/>
    <n v="0"/>
    <x v="107"/>
    <s v="0650"/>
    <n v="-43.295375079596198"/>
    <n v="-15.831577970346901"/>
    <n v="-43.674634769878701"/>
    <n v="-16.3416897395897"/>
    <s v="122"/>
    <s v="MG"/>
    <s v="Eixo Principal"/>
    <s v="-"/>
    <s v="122BMG0650"/>
    <s v="ENTR MG-202/401 (JANAÚBA)"/>
    <s v="CAPITÃO ENÉAS"/>
    <n v="159.80000000000001"/>
    <n v="231.3"/>
    <n v="71.5"/>
    <x v="1"/>
    <m/>
    <m/>
    <s v="Estadual"/>
    <m/>
    <s v="MGT-122"/>
    <s v="PAV"/>
    <s v="Estadual"/>
    <s v="PLA"/>
    <s v="Montes Claros"/>
  </r>
  <r>
    <x v="0"/>
    <s v="122BMG0660"/>
    <n v="0"/>
    <x v="107"/>
    <s v="0660"/>
    <n v="-43.674634769878701"/>
    <n v="-16.3416897395897"/>
    <n v="-43.657663349683702"/>
    <n v="-16.607798370398399"/>
    <s v="122"/>
    <s v="MG"/>
    <s v="Eixo Principal"/>
    <s v="-"/>
    <s v="122BMG0660"/>
    <s v="CAPITÃO ENÉAS"/>
    <s v="ENTR BR-251(A) (CANACÍ)"/>
    <n v="231.3"/>
    <n v="261.89999999999998"/>
    <n v="30.6"/>
    <x v="1"/>
    <m/>
    <m/>
    <s v="Estadual"/>
    <m/>
    <s v="MGT-122"/>
    <s v="PAV"/>
    <s v="Estadual"/>
    <s v="PLA"/>
    <s v="Montes Claros"/>
  </r>
  <r>
    <x v="0"/>
    <s v="122BMG0670"/>
    <n v="0"/>
    <x v="107"/>
    <s v="0670"/>
    <n v="-43.657663349683702"/>
    <n v="-16.607798370398399"/>
    <n v="-43.799485070279701"/>
    <n v="-16.676575889965299"/>
    <s v="122"/>
    <s v="MG"/>
    <s v="Eixo Principal"/>
    <s v="-"/>
    <s v="122BMG0670"/>
    <s v="ENTR BR-251(A) (CANACÍ)"/>
    <s v="ENTR BR-135/251(B)/308/365 (MONTES CLAROS)"/>
    <n v="261.89999999999998"/>
    <n v="280.89999999999998"/>
    <n v="19"/>
    <x v="2"/>
    <m/>
    <s v="251BMG0290"/>
    <s v="Federal"/>
    <m/>
    <m/>
    <m/>
    <s v="Federal"/>
    <s v="PAV"/>
    <s v="Montes Claros"/>
  </r>
  <r>
    <x v="0"/>
    <s v="122BPE0270"/>
    <n v="0"/>
    <x v="108"/>
    <s v="0270"/>
    <n v="-39.5958791596954"/>
    <n v="-7.3437066203641699"/>
    <n v="-39.762105889674999"/>
    <n v="-7.4016558096678304"/>
    <s v="122"/>
    <s v="PE"/>
    <s v="Eixo Principal"/>
    <s v="-"/>
    <s v="122BPE0270"/>
    <s v="DIV CE/PE"/>
    <s v="ENTR PE-585"/>
    <n v="0"/>
    <n v="20.5"/>
    <n v="20.5"/>
    <x v="1"/>
    <m/>
    <m/>
    <s v="Estadual"/>
    <m/>
    <s v="PE-585"/>
    <s v="PAV"/>
    <s v="Estadual"/>
    <s v="PLA"/>
    <s v="Salgueiro"/>
  </r>
  <r>
    <x v="0"/>
    <s v="122BPE0290"/>
    <n v="0"/>
    <x v="108"/>
    <s v="0290"/>
    <n v="-39.762105889674999"/>
    <n v="-7.4016558096678304"/>
    <n v="-39.723724060416899"/>
    <n v="-7.5134125998116001"/>
    <s v="122"/>
    <s v="PE"/>
    <s v="Eixo Principal"/>
    <s v="-"/>
    <s v="122BPE0290"/>
    <s v="ENTR PE-585"/>
    <s v="EXÚ"/>
    <n v="20.5"/>
    <n v="36.799999999999997"/>
    <n v="16.3"/>
    <x v="1"/>
    <m/>
    <m/>
    <s v="Estadual"/>
    <m/>
    <s v="PE-545"/>
    <s v="PAV"/>
    <s v="Estadual"/>
    <s v="PLA"/>
    <s v="Salgueiro"/>
  </r>
  <r>
    <x v="0"/>
    <s v="122BPE0295"/>
    <n v="0"/>
    <x v="108"/>
    <s v="0295"/>
    <n v="-39.723724060416899"/>
    <n v="-7.5134125998116001"/>
    <n v="-39.733150989726298"/>
    <n v="-7.5412439200708201"/>
    <s v="122"/>
    <s v="PE"/>
    <s v="Eixo Principal"/>
    <s v="-"/>
    <s v="122BPE0295"/>
    <s v="EXÚ"/>
    <s v="ENTR PE-507"/>
    <n v="36.799999999999997"/>
    <n v="40.1"/>
    <n v="3.3"/>
    <x v="1"/>
    <m/>
    <m/>
    <s v="Estadual"/>
    <m/>
    <s v="PE-545"/>
    <s v="PAV"/>
    <s v="Estadual"/>
    <s v="PLA"/>
    <s v="Salgueiro"/>
  </r>
  <r>
    <x v="0"/>
    <s v="122BPE0300"/>
    <n v="0"/>
    <x v="108"/>
    <s v="0300"/>
    <n v="-39.733150989726298"/>
    <n v="-7.5412439200708201"/>
    <n v="-39.933004120143998"/>
    <n v="-7.7796333499990702"/>
    <s v="122"/>
    <s v="PE"/>
    <s v="Eixo Principal"/>
    <s v="-"/>
    <s v="122BPE0300"/>
    <s v="ENTR PE-507"/>
    <s v="BODOCÓ"/>
    <n v="40.1"/>
    <n v="77.099999999999994"/>
    <n v="37"/>
    <x v="1"/>
    <m/>
    <m/>
    <s v="Estadual"/>
    <m/>
    <s v="PE-545"/>
    <s v="PAV"/>
    <s v="Estadual"/>
    <s v="PLA"/>
    <s v="Salgueiro"/>
  </r>
  <r>
    <x v="0"/>
    <s v="122BPE0305"/>
    <n v="0"/>
    <x v="108"/>
    <s v="0305"/>
    <n v="-39.933004120143998"/>
    <n v="-7.7796333499990702"/>
    <n v="-40.077967959553597"/>
    <n v="-7.8782449800217398"/>
    <s v="122"/>
    <s v="PE"/>
    <s v="Eixo Principal"/>
    <s v="-"/>
    <s v="122BPE0305"/>
    <s v="BODOCÓ"/>
    <s v="ENTR BR-316 (OURICURI)"/>
    <n v="77.099999999999994"/>
    <n v="95.8"/>
    <n v="18.7"/>
    <x v="1"/>
    <m/>
    <m/>
    <s v="Estadual"/>
    <m/>
    <s v="PE-545"/>
    <s v="PAV"/>
    <s v="Estadual"/>
    <s v="PLA"/>
    <s v="Salgueiro"/>
  </r>
  <r>
    <x v="0"/>
    <s v="122BPE0310"/>
    <n v="0"/>
    <x v="108"/>
    <s v="0310"/>
    <n v="-40.077967959553597"/>
    <n v="-7.8782449800217398"/>
    <n v="-40.327683960346398"/>
    <n v="-8.2414746496353306"/>
    <s v="122"/>
    <s v="PE"/>
    <s v="Eixo Principal"/>
    <s v="-"/>
    <s v="122BPE0310"/>
    <s v="ENTR BR-316 (OURICURI)"/>
    <s v="ENTR PE-605 (SANTA CRUZ)"/>
    <n v="95.8"/>
    <n v="149.80000000000001"/>
    <n v="54"/>
    <x v="1"/>
    <m/>
    <m/>
    <s v="Estadual"/>
    <m/>
    <s v="PE-604"/>
    <s v="PAV"/>
    <s v="Estadual"/>
    <s v="PLA"/>
    <s v="Petrolina"/>
  </r>
  <r>
    <x v="0"/>
    <s v="122BPE0330"/>
    <n v="0"/>
    <x v="108"/>
    <s v="0330"/>
    <n v="-40.327683960346398"/>
    <n v="-8.2414746496353306"/>
    <n v="-40.408020219757297"/>
    <n v="-8.50214806038462"/>
    <s v="122"/>
    <s v="PE"/>
    <s v="Eixo Principal"/>
    <s v="-"/>
    <s v="122BPE0330"/>
    <s v="ENTR PE-605 (SANTA CRUZ)"/>
    <s v="ENTR PE-635"/>
    <n v="149.80000000000001"/>
    <n v="181"/>
    <n v="31.2"/>
    <x v="1"/>
    <m/>
    <m/>
    <s v="Estadual"/>
    <m/>
    <s v="PE-604"/>
    <s v="PAV"/>
    <s v="Estadual"/>
    <s v="PLA"/>
    <s v="Petrolina"/>
  </r>
  <r>
    <x v="0"/>
    <s v="122BPE0340"/>
    <n v="0"/>
    <x v="108"/>
    <s v="0340"/>
    <n v="-40.408020219757297"/>
    <n v="-8.50214806038462"/>
    <n v="-40.132118679633301"/>
    <n v="-8.7173973099378301"/>
    <s v="122"/>
    <s v="PE"/>
    <s v="Eixo Principal"/>
    <s v="-"/>
    <s v="122BPE0340"/>
    <s v="ENTR PE-635"/>
    <s v="ENTR PE-555"/>
    <n v="181"/>
    <n v="221.3"/>
    <n v="40.299999999999997"/>
    <x v="1"/>
    <m/>
    <m/>
    <s v="Estadual"/>
    <m/>
    <s v="PE-604"/>
    <s v="PAV"/>
    <s v="Estadual"/>
    <s v="PLA"/>
    <s v="Petrolina"/>
  </r>
  <r>
    <x v="0"/>
    <s v="122BPE0350"/>
    <n v="0"/>
    <x v="108"/>
    <s v="0350"/>
    <n v="-40.132118679633301"/>
    <n v="-8.7173973099378301"/>
    <n v="-40.271764409599697"/>
    <n v="-8.9927315199436109"/>
    <s v="122"/>
    <s v="PE"/>
    <s v="Eixo Principal"/>
    <s v="-"/>
    <s v="122BPE0350"/>
    <s v="ENTR PE-555"/>
    <s v="ENTR BR-428(A) (LAGOA GRANDE)"/>
    <n v="221.3"/>
    <n v="255.6"/>
    <n v="34.299999999999997"/>
    <x v="1"/>
    <m/>
    <m/>
    <s v="Estadual"/>
    <m/>
    <s v="PE-555"/>
    <s v="PAV"/>
    <s v="Estadual"/>
    <s v="PLA"/>
    <s v="Petrolina"/>
  </r>
  <r>
    <x v="0"/>
    <s v="122BPE0360"/>
    <n v="0"/>
    <x v="108"/>
    <s v="0360"/>
    <n v="-40.271764409599697"/>
    <n v="-8.9927315199436109"/>
    <n v="-40.525928649687302"/>
    <n v="-9.3873367496911992"/>
    <s v="122"/>
    <s v="PE"/>
    <s v="Eixo Principal"/>
    <s v="-"/>
    <s v="122BPE0360"/>
    <s v="ENTR BR-428(A) (LAGOA GRANDE)"/>
    <s v="ENTR BR-235(A)/407(A) (PETROLINA)"/>
    <n v="255.6"/>
    <n v="309.2"/>
    <n v="53.6"/>
    <x v="2"/>
    <m/>
    <s v="428BPE0060"/>
    <s v="Federal"/>
    <m/>
    <m/>
    <m/>
    <s v="Federal"/>
    <s v="PAV"/>
    <s v="Petrolina"/>
  </r>
  <r>
    <x v="0"/>
    <s v="122BPE0365"/>
    <n v="0"/>
    <x v="108"/>
    <s v="0365"/>
    <n v="-40.525928649687302"/>
    <n v="-9.3873367496911992"/>
    <n v="-40.503592699743201"/>
    <n v="-9.4021686000008309"/>
    <s v="122"/>
    <s v="PE"/>
    <s v="Eixo Principal"/>
    <s v="-"/>
    <s v="122BPE0365"/>
    <s v="ENTR BR-235(A)/407(A) (PETROLINA)"/>
    <s v="INÍCIO PONTE S/RIO SÃO FRANCISCO (PETROLINA)"/>
    <n v="309.2"/>
    <n v="312.2"/>
    <n v="3"/>
    <x v="2"/>
    <m/>
    <s v="235BPE0275;428BPE0065;407BPE0260"/>
    <s v="Federal"/>
    <m/>
    <m/>
    <m/>
    <s v="Federal"/>
    <s v="PAV"/>
    <s v="Petrolina"/>
  </r>
  <r>
    <x v="0"/>
    <s v="122BPE0370"/>
    <n v="0"/>
    <x v="108"/>
    <s v="0370"/>
    <n v="-40.503592699743201"/>
    <n v="-9.4021686000008309"/>
    <n v="-40.505335540003102"/>
    <n v="-9.4095459896556601"/>
    <s v="122"/>
    <s v="PE"/>
    <s v="Eixo Principal"/>
    <s v="-"/>
    <s v="122BPE0370"/>
    <s v="INÍCIO PONTE S/RIO SÃO FRANCISCO (PETROLINA)"/>
    <s v="ENTR BR-235(B)/407(B)/428(B) (DIV PE/BA) (FIM PONTE S/RIO S FRANCISCO)"/>
    <n v="312.2"/>
    <n v="313"/>
    <n v="0.8"/>
    <x v="2"/>
    <m/>
    <s v="407BPE0270;235BPE0270;428BPE0070"/>
    <s v="Federal"/>
    <m/>
    <m/>
    <m/>
    <s v="Federal"/>
    <s v="PAV"/>
    <s v="Petrolina"/>
  </r>
  <r>
    <x v="0"/>
    <s v="135ABA1005"/>
    <n v="0"/>
    <x v="109"/>
    <s v="1005"/>
    <n v="-45.207075340154802"/>
    <n v="-11.048860460341899"/>
    <n v="-45.1952704999335"/>
    <n v="-11.0489105903513"/>
    <s v="135"/>
    <s v="BA"/>
    <s v="Acesso"/>
    <s v="-"/>
    <s v="135ABA1005"/>
    <s v="ENTR BR-135 (KM 25,3)"/>
    <s v="FORMOSA DO RIO PRETO"/>
    <n v="0"/>
    <n v="1.3"/>
    <n v="1.3"/>
    <x v="2"/>
    <m/>
    <m/>
    <s v="Federal"/>
    <m/>
    <m/>
    <m/>
    <s v="Federal"/>
    <s v="PAV"/>
    <s v="Barreiras"/>
  </r>
  <r>
    <x v="0"/>
    <s v="135AMA1005"/>
    <n v="0"/>
    <x v="110"/>
    <s v="1005"/>
    <n v="-44.293585989701597"/>
    <n v="-2.6753368302304898"/>
    <n v="-44.362791770024103"/>
    <n v="-2.56685604007412"/>
    <s v="135"/>
    <s v="MA"/>
    <s v="Acesso"/>
    <s v="-"/>
    <s v="135AMA1005"/>
    <s v="ENTR BR-135 (P/PEDRINHAS)"/>
    <s v="ENTR. ITAQUI/BACANGA"/>
    <n v="0"/>
    <n v="15.8"/>
    <n v="15.8"/>
    <x v="0"/>
    <m/>
    <m/>
    <s v="Federal"/>
    <m/>
    <m/>
    <m/>
    <s v="Federal"/>
    <s v="PAV"/>
    <s v="Pedrinhas"/>
  </r>
  <r>
    <x v="0"/>
    <s v="135AMA1010"/>
    <n v="0"/>
    <x v="110"/>
    <s v="1010"/>
    <n v="-44.362791770024103"/>
    <n v="-2.56685604007412"/>
    <n v="-44.335975260050098"/>
    <n v="-2.5651922403295599"/>
    <s v="135"/>
    <s v="MA"/>
    <s v="Acesso"/>
    <s v="-"/>
    <s v="135AMA1010"/>
    <s v="ENTR. ITAQUI/BACANGA"/>
    <s v="INÍCIO PISTA DUPLA (ANJO DA GUARDA)"/>
    <n v="15.8"/>
    <n v="20.100000000000001"/>
    <n v="4.3"/>
    <x v="2"/>
    <m/>
    <m/>
    <s v="Federal"/>
    <m/>
    <m/>
    <m/>
    <s v="Federal"/>
    <s v="PAV"/>
    <s v="Pedrinhas"/>
  </r>
  <r>
    <x v="0"/>
    <s v="135AMA1015"/>
    <n v="0"/>
    <x v="110"/>
    <s v="1015"/>
    <n v="-44.335975260050098"/>
    <n v="-2.5651922403295599"/>
    <n v="-44.3045908002251"/>
    <n v="-2.5487035195517298"/>
    <s v="135"/>
    <s v="MA"/>
    <s v="Acesso"/>
    <s v="-"/>
    <s v="135AMA1015"/>
    <s v="INÍCIO PISTA DUPLA (ANJO DA GUARDA)"/>
    <s v="BARRAGEM BACANGA"/>
    <n v="20.100000000000001"/>
    <n v="24.4"/>
    <n v="4.3"/>
    <x v="0"/>
    <m/>
    <m/>
    <s v="Federal"/>
    <m/>
    <m/>
    <m/>
    <s v="Federal"/>
    <s v="PAV"/>
    <s v="Pedrinhas"/>
  </r>
  <r>
    <x v="0"/>
    <s v="135AMA2005"/>
    <n v="0"/>
    <x v="110"/>
    <s v="2005"/>
    <n v="-44.3621159304058"/>
    <n v="-2.5648708001472702"/>
    <n v="-44.355965539777699"/>
    <n v="-2.5708433903101802"/>
    <s v="135"/>
    <s v="MA"/>
    <s v="Acesso"/>
    <s v="-"/>
    <s v="135AMA2005"/>
    <s v="ENTR BR-135 (TRECHO 135BMA9055)"/>
    <s v="ENTR BR-135 (ENTR ITAQUI/BACANGA)"/>
    <n v="0"/>
    <n v="0.7"/>
    <n v="0.7"/>
    <x v="2"/>
    <m/>
    <m/>
    <s v="Federal"/>
    <m/>
    <m/>
    <m/>
    <s v="Federal"/>
    <s v="PAV"/>
    <s v="Pedrinhas"/>
  </r>
  <r>
    <x v="0"/>
    <s v="135AMA3005"/>
    <n v="0"/>
    <x v="110"/>
    <s v="3005"/>
    <n v="-44.362791770024103"/>
    <n v="-2.56685604007412"/>
    <n v="-44.367591319583703"/>
    <n v="-2.57721966995177"/>
    <s v="135"/>
    <s v="MA"/>
    <s v="Acesso"/>
    <s v="-"/>
    <s v="135AMA3005"/>
    <s v="ENTR. ITAQUI/BACANGÁ"/>
    <s v="ACESSO AO PORTO DO ITAQUI"/>
    <n v="0"/>
    <n v="2"/>
    <n v="2"/>
    <x v="2"/>
    <m/>
    <m/>
    <s v="Federal"/>
    <m/>
    <m/>
    <m/>
    <s v="Federal"/>
    <s v="PAV"/>
    <s v="Pedrinhas"/>
  </r>
  <r>
    <x v="0"/>
    <s v="135AMA4005"/>
    <n v="0"/>
    <x v="110"/>
    <s v="4005"/>
    <n v="-44.313349099781"/>
    <n v="-2.9983948101723201"/>
    <n v="-44.304627599584002"/>
    <n v="-2.9990591798372099"/>
    <s v="135"/>
    <s v="MA"/>
    <s v="Acesso"/>
    <s v="-"/>
    <s v="135AMA4005"/>
    <s v="ENTR BR-135 (KM 54)"/>
    <s v="REFINARIA PREMIUM I - ACESSO"/>
    <n v="0"/>
    <n v="0.8"/>
    <n v="0.8"/>
    <x v="1"/>
    <m/>
    <m/>
    <s v="Federal"/>
    <m/>
    <m/>
    <m/>
    <s v="Federal"/>
    <s v="PLA"/>
    <s v="Pedrinhas"/>
  </r>
  <r>
    <x v="0"/>
    <s v="135BBA0530"/>
    <n v="0"/>
    <x v="111"/>
    <s v="0530"/>
    <n v="-45.153812839990501"/>
    <n v="-10.8390778099928"/>
    <n v="-45.177372340061403"/>
    <n v="-10.9177279799622"/>
    <s v="135"/>
    <s v="BA"/>
    <s v="Eixo Principal"/>
    <s v="-"/>
    <s v="135BBA0530"/>
    <s v="DIV PI/BA"/>
    <s v="ENTR BA-225 (P/ COACERAL)"/>
    <n v="0"/>
    <n v="10.3"/>
    <n v="10.3"/>
    <x v="2"/>
    <m/>
    <m/>
    <s v="Federal"/>
    <m/>
    <m/>
    <m/>
    <s v="Federal"/>
    <s v="PAV"/>
    <s v="Barreiras"/>
  </r>
  <r>
    <x v="0"/>
    <s v="135BBA0535"/>
    <n v="0"/>
    <x v="111"/>
    <s v="0535"/>
    <n v="-45.177372340061403"/>
    <n v="-10.9177279799622"/>
    <n v="-45.207075340154802"/>
    <n v="-11.048860460341899"/>
    <s v="135"/>
    <s v="BA"/>
    <s v="Eixo Principal"/>
    <s v="-"/>
    <s v="135BBA0535"/>
    <s v="ENTR BA-225 (P/ COACERAL)"/>
    <s v="ACESSO P/ FORMOSA DO RIO PRETO"/>
    <n v="10.3"/>
    <n v="25.7"/>
    <n v="15.4"/>
    <x v="2"/>
    <m/>
    <m/>
    <s v="Federal"/>
    <m/>
    <m/>
    <m/>
    <s v="Federal"/>
    <s v="PAV"/>
    <s v="Barreiras"/>
  </r>
  <r>
    <x v="0"/>
    <s v="135BBA0540"/>
    <n v="0"/>
    <x v="111"/>
    <s v="0540"/>
    <n v="-45.207075340154802"/>
    <n v="-11.048860460341899"/>
    <n v="-44.920344940066897"/>
    <n v="-11.373866329567401"/>
    <s v="135"/>
    <s v="BA"/>
    <s v="Eixo Principal"/>
    <s v="-"/>
    <s v="135BBA0540"/>
    <s v="ACESSO P/ FORMOSA DO RIO PRETO"/>
    <s v="ENTR BR-020(A)/BA-451 (MONTE ALEGRE)"/>
    <n v="25.7"/>
    <n v="77.900000000000006"/>
    <n v="52.2"/>
    <x v="2"/>
    <m/>
    <m/>
    <s v="Federal"/>
    <m/>
    <m/>
    <m/>
    <s v="Federal"/>
    <s v="PAV"/>
    <s v="Barreiras"/>
  </r>
  <r>
    <x v="0"/>
    <s v="135BBA0550"/>
    <n v="0"/>
    <x v="111"/>
    <s v="0550"/>
    <n v="-44.920344940066897"/>
    <n v="-11.373866329567401"/>
    <n v="-44.908234180163198"/>
    <n v="-11.761238089965801"/>
    <s v="135"/>
    <s v="BA"/>
    <s v="Eixo Principal"/>
    <s v="Coinc"/>
    <s v="135BBA0550"/>
    <s v="ENTR BR-020(A)/BA-451 (MONTE ALEGRE)"/>
    <s v="P/ RIACHÃO DAS NEVES"/>
    <n v="77.900000000000006"/>
    <n v="124.6"/>
    <n v="46.7"/>
    <x v="2"/>
    <m/>
    <s v="020BBA0270"/>
    <s v="Federal"/>
    <m/>
    <m/>
    <m/>
    <s v="Federal"/>
    <s v="PAV"/>
    <s v="Barreiras"/>
  </r>
  <r>
    <x v="0"/>
    <s v="135BBA0570"/>
    <n v="0"/>
    <x v="111"/>
    <s v="0570"/>
    <n v="-44.908234180163198"/>
    <n v="-11.761238089965801"/>
    <n v="-44.9773127100135"/>
    <n v="-12.100610959827801"/>
    <s v="135"/>
    <s v="BA"/>
    <s v="Eixo Principal"/>
    <s v="Coinc"/>
    <s v="135BBA0570"/>
    <s v="P/ RIACHÃO DAS NEVES"/>
    <s v="CONTORNO DE BARREIRAS"/>
    <n v="124.6"/>
    <n v="171.4"/>
    <n v="46.8"/>
    <x v="2"/>
    <m/>
    <s v="020BBA0265"/>
    <s v="Federal"/>
    <m/>
    <m/>
    <m/>
    <s v="Federal"/>
    <s v="PAV"/>
    <s v="Barreiras"/>
  </r>
  <r>
    <x v="0"/>
    <s v="135BBA0575"/>
    <n v="0"/>
    <x v="111"/>
    <s v="0575"/>
    <n v="-45.016794230269397"/>
    <n v="-12.129366509756499"/>
    <n v="-44.9773127100135"/>
    <n v="-12.100610959827801"/>
    <s v="135"/>
    <s v="BA"/>
    <s v="Eixo Principal"/>
    <s v="Coinc"/>
    <s v="135BBA0575"/>
    <s v="CONTORNO DE BARREIRAS"/>
    <s v="ENTR BR-020(B)/242(A) (BARREIRAS)"/>
    <n v="171.4"/>
    <n v="177.1"/>
    <n v="5.7"/>
    <x v="2"/>
    <m/>
    <s v="020BBA0260"/>
    <s v="Federal"/>
    <m/>
    <m/>
    <m/>
    <s v="Federal"/>
    <s v="PAV"/>
    <s v="Barreiras"/>
  </r>
  <r>
    <x v="0"/>
    <s v="135BBA0580"/>
    <n v="0"/>
    <x v="111"/>
    <s v="0580"/>
    <n v="-45.016794230269397"/>
    <n v="-12.129366509756499"/>
    <n v="-45.002045339720603"/>
    <n v="-12.1487293603716"/>
    <s v="135"/>
    <s v="BA"/>
    <s v="Eixo Principal"/>
    <s v="-"/>
    <s v="135BBA0580"/>
    <s v="ENTR BR-020(B)/242(A) (BARREIRAS)"/>
    <s v="ENTR BR-242(B)/430/BA-455 (BARREIRAS) *TRECHO URBANO*"/>
    <n v="177.1"/>
    <n v="179.9"/>
    <n v="2.8"/>
    <x v="2"/>
    <m/>
    <s v="242BBA0320"/>
    <s v="Federal"/>
    <m/>
    <m/>
    <m/>
    <s v="Federal"/>
    <s v="PAV"/>
    <s v="Barreiras"/>
  </r>
  <r>
    <x v="0"/>
    <s v="135BBA0590"/>
    <n v="0"/>
    <x v="111"/>
    <s v="0590"/>
    <n v="-45.002045339720603"/>
    <n v="-12.1487293603716"/>
    <n v="-44.978330470075001"/>
    <n v="-12.3572786301046"/>
    <s v="135"/>
    <s v="BA"/>
    <s v="Eixo Principal"/>
    <s v="-"/>
    <s v="135BBA0590"/>
    <s v="ENTR BR-242(B)/430/BA-455 (BARREIRAS)"/>
    <s v="ENTR BA-463 (SÃO DESIDÉRIO)"/>
    <n v="179.9"/>
    <n v="205.8"/>
    <n v="25.9"/>
    <x v="2"/>
    <m/>
    <m/>
    <s v="Federal"/>
    <m/>
    <m/>
    <m/>
    <s v="Federal"/>
    <s v="PAV"/>
    <s v="Barreiras"/>
  </r>
  <r>
    <x v="0"/>
    <s v="135BBA0591"/>
    <n v="0"/>
    <x v="111"/>
    <s v="0591"/>
    <n v="-44.978330470075001"/>
    <n v="-12.3572786301046"/>
    <n v="-44.82156822959"/>
    <n v="-12.4083523099111"/>
    <s v="135"/>
    <s v="BA"/>
    <s v="Eixo Principal"/>
    <s v="-"/>
    <s v="135BBA0591"/>
    <s v="ENTR BA-463 (SÃO DESIDÉRIO)"/>
    <s v="INÍCIO DA PAVIMENTAÇÃO"/>
    <n v="205.8"/>
    <n v="228"/>
    <n v="22.2"/>
    <x v="5"/>
    <s v="EOP"/>
    <m/>
    <s v="Federal"/>
    <m/>
    <m/>
    <m/>
    <s v="Federal"/>
    <s v="N_PAV"/>
    <s v="Barreiras"/>
  </r>
  <r>
    <x v="0"/>
    <s v="135BBA0592"/>
    <n v="0"/>
    <x v="111"/>
    <s v="0592"/>
    <n v="-44.82156822959"/>
    <n v="-12.4083523099111"/>
    <n v="-44.621641170403599"/>
    <n v="-13.042983330116501"/>
    <s v="135"/>
    <s v="BA"/>
    <s v="Eixo Principal"/>
    <s v="-"/>
    <s v="135BBA0592"/>
    <s v="INÍCIO PAVIMENTAÇÃO"/>
    <s v="ACESSO INHAÚMAS"/>
    <n v="228"/>
    <n v="306.39999999999998"/>
    <n v="78.400000000000006"/>
    <x v="2"/>
    <m/>
    <m/>
    <s v="Federal"/>
    <m/>
    <m/>
    <m/>
    <s v="Federal"/>
    <s v="PAV"/>
    <s v="Barreiras"/>
  </r>
  <r>
    <x v="0"/>
    <s v="135BBA0593"/>
    <n v="0"/>
    <x v="111"/>
    <s v="0593"/>
    <n v="-44.621641170403599"/>
    <n v="-13.042983330116501"/>
    <n v="-44.621944609755801"/>
    <n v="-13.0436635503325"/>
    <s v="135"/>
    <s v="BA"/>
    <s v="Eixo Principal"/>
    <s v="-"/>
    <s v="135BBA0593"/>
    <s v="ACESSO INHAÚMAS"/>
    <s v="FIM PAVIMENTAÇÃO"/>
    <n v="306.39999999999998"/>
    <n v="306.5"/>
    <n v="0.1"/>
    <x v="2"/>
    <m/>
    <m/>
    <s v="Federal"/>
    <m/>
    <m/>
    <m/>
    <s v="Federal"/>
    <s v="PAV"/>
    <s v="Barreiras"/>
  </r>
  <r>
    <x v="0"/>
    <s v="135BBA0594"/>
    <n v="0"/>
    <x v="111"/>
    <s v="0594"/>
    <n v="-44.621944609755801"/>
    <n v="-13.0436635503325"/>
    <n v="-44.623782420222398"/>
    <n v="-13.048240860327301"/>
    <s v="135"/>
    <s v="BA"/>
    <s v="Eixo Principal"/>
    <s v="-"/>
    <s v="135BBA0594"/>
    <s v="FIM PAVIMENTAÇÃO"/>
    <s v="INÍCIO PAVIMENTAÇÃO"/>
    <n v="306.5"/>
    <n v="307.10000000000002"/>
    <n v="0.6"/>
    <x v="5"/>
    <s v="EOP"/>
    <m/>
    <s v="Federal"/>
    <m/>
    <m/>
    <m/>
    <s v="Federal"/>
    <s v="N_PAV"/>
    <s v="Barreiras"/>
  </r>
  <r>
    <x v="0"/>
    <s v="135BBA0595"/>
    <n v="0"/>
    <x v="111"/>
    <s v="0595"/>
    <n v="-44.623782420222398"/>
    <n v="-13.048240860327301"/>
    <n v="-44.616581560290697"/>
    <n v="-13.154530349795699"/>
    <s v="135"/>
    <s v="BA"/>
    <s v="Eixo Principal"/>
    <s v="-"/>
    <s v="135BBA0595"/>
    <s v="INÍCIO PAVIMENTAÇÃO"/>
    <s v="FIM PAVIMENTAÇÃO"/>
    <n v="307.10000000000002"/>
    <n v="319.8"/>
    <n v="12.7"/>
    <x v="2"/>
    <m/>
    <m/>
    <s v="Federal"/>
    <m/>
    <m/>
    <m/>
    <s v="Federal"/>
    <s v="PAV"/>
    <s v="Barreiras"/>
  </r>
  <r>
    <x v="0"/>
    <s v="135BBA0597"/>
    <n v="0"/>
    <x v="111"/>
    <s v="0597"/>
    <n v="-44.616581560290697"/>
    <n v="-13.154530349795699"/>
    <n v="-44.612436670415903"/>
    <n v="-13.1655710495642"/>
    <s v="135"/>
    <s v="BA"/>
    <s v="Eixo Principal"/>
    <s v="-"/>
    <s v="135BBA0597"/>
    <s v="FIM PAVIMENTAÇÃO"/>
    <s v="INÍCIO PAVIMENTAÇÃO"/>
    <n v="319.8"/>
    <n v="321.2"/>
    <n v="1.4"/>
    <x v="2"/>
    <m/>
    <m/>
    <s v="Federal"/>
    <m/>
    <m/>
    <m/>
    <s v="Federal"/>
    <s v="PAV"/>
    <s v="Barreiras"/>
  </r>
  <r>
    <x v="0"/>
    <s v="135BBA0598"/>
    <n v="0"/>
    <x v="111"/>
    <s v="0598"/>
    <n v="-44.612436670415903"/>
    <n v="-13.1655710495642"/>
    <n v="-44.617547649804102"/>
    <n v="-13.182913280023699"/>
    <s v="135"/>
    <s v="BA"/>
    <s v="Eixo Principal"/>
    <s v="-"/>
    <s v="135BBA0598"/>
    <s v="INÍCIO PAVIMENTAÇÃO"/>
    <s v="FIM PAVIMENTAÇÃO"/>
    <n v="321.2"/>
    <n v="323.39999999999998"/>
    <n v="2.2000000000000002"/>
    <x v="2"/>
    <m/>
    <m/>
    <s v="Federal"/>
    <m/>
    <m/>
    <m/>
    <s v="Federal"/>
    <s v="PAV"/>
    <s v="Barreiras"/>
  </r>
  <r>
    <x v="0"/>
    <s v="135BBA0599"/>
    <n v="0"/>
    <x v="111"/>
    <s v="0599"/>
    <n v="-44.617547649804102"/>
    <n v="-13.182913280023699"/>
    <n v="-44.6323072800568"/>
    <n v="-13.190384930320199"/>
    <s v="135"/>
    <s v="BA"/>
    <s v="Eixo Principal"/>
    <s v="-"/>
    <s v="135BBA0599"/>
    <s v="FIM PAVIMENTAÇÃO"/>
    <s v="INÍCIO PAVIMENTAÇÃO"/>
    <n v="323.39999999999998"/>
    <n v="325.3"/>
    <n v="1.9"/>
    <x v="2"/>
    <m/>
    <m/>
    <s v="Federal"/>
    <m/>
    <m/>
    <m/>
    <s v="Federal"/>
    <s v="PAV"/>
    <s v="Barreiras"/>
  </r>
  <r>
    <x v="0"/>
    <s v="135BBA0601"/>
    <n v="0"/>
    <x v="111"/>
    <s v="0601"/>
    <n v="-44.6323072800568"/>
    <n v="-13.190384930320199"/>
    <n v="-44.641732890060702"/>
    <n v="-13.3096962999442"/>
    <s v="135"/>
    <s v="BA"/>
    <s v="Eixo Principal"/>
    <s v="-"/>
    <s v="135BBA0601"/>
    <s v="INÍCIO PAVIMENTAÇÃO"/>
    <s v="ACESSO A CORRENTINA"/>
    <n v="325.3"/>
    <n v="340.2"/>
    <n v="14.9"/>
    <x v="2"/>
    <m/>
    <m/>
    <s v="Federal"/>
    <m/>
    <m/>
    <m/>
    <s v="Federal"/>
    <s v="PAV"/>
    <s v="Barreiras"/>
  </r>
  <r>
    <x v="0"/>
    <s v="135BBA0603"/>
    <n v="0"/>
    <x v="111"/>
    <s v="0603"/>
    <n v="-44.641732890060702"/>
    <n v="-13.3096962999442"/>
    <n v="-44.641965050046899"/>
    <n v="-13.350612630068699"/>
    <s v="135"/>
    <s v="BA"/>
    <s v="Eixo Principal"/>
    <s v="-"/>
    <s v="135BBA0603"/>
    <s v="ACESSO A CORRENTINA"/>
    <s v="ENTR BR-349(A) (CORRENTINA)"/>
    <n v="340.2"/>
    <n v="344.8"/>
    <n v="4.5999999999999996"/>
    <x v="5"/>
    <s v="EOP"/>
    <m/>
    <s v="Federal"/>
    <m/>
    <m/>
    <m/>
    <s v="Federal"/>
    <s v="N_PAV"/>
    <s v="Barreiras"/>
  </r>
  <r>
    <x v="0"/>
    <s v="135BBA0605"/>
    <n v="0"/>
    <x v="111"/>
    <s v="0605"/>
    <n v="-44.641965050046899"/>
    <n v="-13.350612630068699"/>
    <n v="-44.663301980002302"/>
    <n v="-13.3740902801422"/>
    <s v="135"/>
    <s v="BA"/>
    <s v="Eixo Principal"/>
    <s v="-"/>
    <s v="135BBA0605"/>
    <s v="ENTR BR-349(A) (CORRENTINA)"/>
    <s v="ENTR BR-349(B)"/>
    <n v="344.8"/>
    <n v="348.6"/>
    <n v="3.8"/>
    <x v="2"/>
    <m/>
    <s v="349BBA0480"/>
    <s v="Federal"/>
    <m/>
    <m/>
    <m/>
    <s v="Federal"/>
    <s v="PAV"/>
    <s v="Barreiras"/>
  </r>
  <r>
    <x v="0"/>
    <s v="135BBA0607"/>
    <n v="0"/>
    <x v="111"/>
    <s v="0607"/>
    <n v="-44.663301980002302"/>
    <n v="-13.3740902801422"/>
    <n v="-44.443464679850997"/>
    <n v="-13.6490711204357"/>
    <s v="135"/>
    <s v="BA"/>
    <s v="Eixo Principal"/>
    <s v="-"/>
    <s v="135BBA0607"/>
    <s v="ENTR BR-349(B)"/>
    <s v="ENTR BA-172(A) (P/ JABORANDI)"/>
    <n v="348.6"/>
    <n v="381.5"/>
    <n v="32.9"/>
    <x v="1"/>
    <m/>
    <m/>
    <s v="Federal"/>
    <m/>
    <m/>
    <m/>
    <s v="Federal"/>
    <s v="PLA"/>
    <s v="Barreiras"/>
  </r>
  <r>
    <x v="0"/>
    <s v="135BBA0610"/>
    <n v="0"/>
    <x v="111"/>
    <s v="0610"/>
    <n v="-44.443464679850997"/>
    <n v="-13.6490711204357"/>
    <n v="-44.4809686295985"/>
    <n v="-13.8180568598361"/>
    <s v="135"/>
    <s v="BA"/>
    <s v="Eixo Principal"/>
    <s v="-"/>
    <s v="135BBA0610"/>
    <s v="ENTR BA-172(A) (P/ JABORANDI)"/>
    <s v="ENTR BA-172(B)/601 (ENTR. INÍCIO CONTORNO DE CORIBE)"/>
    <n v="381.5"/>
    <n v="402.1"/>
    <n v="20.6"/>
    <x v="2"/>
    <m/>
    <m/>
    <s v="Federal"/>
    <m/>
    <m/>
    <m/>
    <s v="Federal"/>
    <s v="PAV"/>
    <s v="Vitória da Conquista"/>
  </r>
  <r>
    <x v="0"/>
    <s v="135BBA0615"/>
    <n v="0"/>
    <x v="111"/>
    <s v="0615"/>
    <n v="-44.4809686295985"/>
    <n v="-13.8180568598361"/>
    <n v="-44.4515976601039"/>
    <n v="-13.8385863802571"/>
    <s v="135"/>
    <s v="BA"/>
    <s v="Eixo Principal"/>
    <s v="-"/>
    <s v="135BBA0615"/>
    <s v="ENTR BA-172(B)/601 (ENTR. INÍCIO CONTORNO DE CORIBE)"/>
    <s v="ENTR BA-172(B)/601 (ENTR. FIM CONTORNO DE CORIBE)"/>
    <n v="402.1"/>
    <n v="408.5"/>
    <n v="6.4"/>
    <x v="2"/>
    <m/>
    <m/>
    <s v="Federal"/>
    <m/>
    <m/>
    <m/>
    <s v="Federal"/>
    <s v="PAV"/>
    <s v="Vitória da Conquista"/>
  </r>
  <r>
    <x v="0"/>
    <s v="135BBA0620"/>
    <n v="0"/>
    <x v="111"/>
    <s v="0620"/>
    <n v="-44.4515976601039"/>
    <n v="-13.8385863802571"/>
    <n v="-44.531272249614503"/>
    <n v="-14.1784244604204"/>
    <s v="135"/>
    <s v="BA"/>
    <s v="Eixo Principal"/>
    <s v="-"/>
    <s v="135BBA0620"/>
    <s v="ENTR BA-172(B)/601 (ENTR. FIM CONTORNO DE CORIBE)"/>
    <s v="ENTR BR-030 (COCOS)"/>
    <n v="408.5"/>
    <n v="445.5"/>
    <n v="37"/>
    <x v="2"/>
    <m/>
    <m/>
    <s v="Federal"/>
    <m/>
    <m/>
    <m/>
    <s v="Federal"/>
    <s v="PAV"/>
    <s v="Vitória da Conquista"/>
  </r>
  <r>
    <x v="0"/>
    <s v="135BBA0630"/>
    <n v="0"/>
    <x v="111"/>
    <s v="0630"/>
    <n v="-44.531272249614503"/>
    <n v="-14.1784244604204"/>
    <n v="-44.455564690158198"/>
    <n v="-14.310804359833201"/>
    <s v="135"/>
    <s v="BA"/>
    <s v="Eixo Principal"/>
    <s v="-"/>
    <s v="135BBA0630"/>
    <s v="ENTR BR-030 (COCOS)"/>
    <s v="INÍCIO PONTE S/RIO CARINHANHA (DIV BA/MG)"/>
    <n v="445.5"/>
    <n v="469.5"/>
    <n v="24"/>
    <x v="5"/>
    <s v="EOP"/>
    <m/>
    <s v="Federal"/>
    <m/>
    <m/>
    <m/>
    <s v="Federal"/>
    <s v="N_PAV"/>
    <s v="Vitória da Conquista"/>
  </r>
  <r>
    <x v="0"/>
    <s v="135BMA0020"/>
    <n v="0"/>
    <x v="112"/>
    <s v="0020"/>
    <n v="-44.241944159595199"/>
    <n v="-2.5804488602266802"/>
    <n v="-44.271651999839797"/>
    <n v="-2.6404690497068302"/>
    <s v="135"/>
    <s v="MA"/>
    <s v="Eixo Principal"/>
    <s v="-"/>
    <s v="135BMA0020"/>
    <s v="ACESSO AEROPORTO DO TIRIRICAL"/>
    <s v="ACESSO MARACANÃ"/>
    <n v="0"/>
    <n v="7.6"/>
    <n v="7.6"/>
    <x v="0"/>
    <m/>
    <m/>
    <s v="Federal"/>
    <m/>
    <m/>
    <m/>
    <s v="Federal"/>
    <s v="PAV"/>
    <s v="Pedrinhas"/>
  </r>
  <r>
    <x v="3"/>
    <s v="135BMA0030"/>
    <s v="BR-135/316 MA"/>
    <x v="112"/>
    <s v="0030"/>
    <n v="-44.271651999839797"/>
    <n v="-2.6404690497068302"/>
    <n v="-44.293585989701597"/>
    <n v="-2.6753368302304898"/>
    <s v="135"/>
    <s v="MA"/>
    <s v="Eixo Principal"/>
    <s v="-"/>
    <s v="135BMA0030"/>
    <s v="ACESSO MARACANÃ"/>
    <s v="ACESSO ITAQUI/BACANGA"/>
    <n v="7.6"/>
    <n v="12.4"/>
    <n v="4.8"/>
    <x v="0"/>
    <m/>
    <m/>
    <s v="Federal"/>
    <m/>
    <m/>
    <m/>
    <s v="Federal"/>
    <s v="PAV"/>
    <s v="Pedrinhas"/>
  </r>
  <r>
    <x v="3"/>
    <s v="135BMA0040"/>
    <s v="BR-135/316 MA"/>
    <x v="112"/>
    <s v="0040"/>
    <n v="-44.293585989701597"/>
    <n v="-2.6753368302304898"/>
    <n v="-44.357066620228203"/>
    <n v="-2.76165421976639"/>
    <s v="135"/>
    <s v="MA"/>
    <s v="Eixo Principal"/>
    <s v="-"/>
    <s v="135BMA0040"/>
    <s v="ACESSO ITAQUI/BACANGA"/>
    <s v="INÍCIO PONTES ESTREITO DOS MOSQUITOS"/>
    <n v="12.4"/>
    <n v="24.4"/>
    <n v="12"/>
    <x v="0"/>
    <m/>
    <m/>
    <s v="Federal"/>
    <m/>
    <m/>
    <m/>
    <s v="Federal"/>
    <s v="PAV"/>
    <s v="Pedrinhas"/>
  </r>
  <r>
    <x v="3"/>
    <s v="135BMA0045"/>
    <s v="BR-135/316 MA"/>
    <x v="112"/>
    <s v="0045"/>
    <n v="-44.357066620228203"/>
    <n v="-2.76165421976639"/>
    <n v="-44.3627215302743"/>
    <n v="-2.76558568972774"/>
    <s v="135"/>
    <s v="MA"/>
    <s v="Eixo Principal"/>
    <s v="-"/>
    <s v="135BMA0045"/>
    <s v="INÍCIO PONTES ESTREITO DOS MOSQUITOS"/>
    <s v="FIM PONTES ESTREITO DOS MOSQUITOS"/>
    <n v="24.4"/>
    <n v="24.9"/>
    <n v="0.5"/>
    <x v="0"/>
    <m/>
    <m/>
    <s v="Federal"/>
    <m/>
    <m/>
    <m/>
    <s v="Federal"/>
    <s v="PAV"/>
    <s v="Pedrinhas"/>
  </r>
  <r>
    <x v="3"/>
    <s v="135BMA0050"/>
    <s v="BR-135/316 MA"/>
    <x v="112"/>
    <s v="0050"/>
    <n v="-44.3627215302743"/>
    <n v="-2.76558568972774"/>
    <n v="-44.317270959586999"/>
    <n v="-2.9721078803743199"/>
    <s v="135"/>
    <s v="MA"/>
    <s v="Eixo Principal"/>
    <s v="-"/>
    <s v="135BMA0050"/>
    <s v="FIM PONTES ESTREITO DOS MOSQUITOS"/>
    <s v="ENTR BR-402/MA-110 (BACABEIRA)"/>
    <n v="24.9"/>
    <n v="51.3"/>
    <n v="26.4"/>
    <x v="2"/>
    <s v="EOD"/>
    <m/>
    <s v="Federal"/>
    <m/>
    <m/>
    <m/>
    <s v="Federal"/>
    <s v="PAV"/>
    <s v="Pedrinhas"/>
  </r>
  <r>
    <x v="3"/>
    <s v="135BMA0070"/>
    <s v="BR-135/316 MA"/>
    <x v="112"/>
    <s v="0070"/>
    <n v="-44.317270959586999"/>
    <n v="-2.9721078803743199"/>
    <n v="-44.325042469933898"/>
    <n v="-3.1355822496210499"/>
    <s v="135"/>
    <s v="MA"/>
    <s v="Eixo Principal"/>
    <s v="-"/>
    <s v="135BMA0070"/>
    <s v="ENTR BR-402/MA-110 (BACABEIRA)"/>
    <s v="INÍCIO PISTA DUPLA(SANTA RITA)"/>
    <n v="51.3"/>
    <n v="69.3"/>
    <n v="18"/>
    <x v="2"/>
    <m/>
    <m/>
    <s v="Federal"/>
    <m/>
    <m/>
    <m/>
    <s v="Federal"/>
    <s v="PAV"/>
    <s v="Pedrinhas"/>
  </r>
  <r>
    <x v="3"/>
    <s v="135BMA0075"/>
    <s v="BR-135/316 MA"/>
    <x v="112"/>
    <s v="0075"/>
    <n v="-44.325042469933898"/>
    <n v="-3.1355822496210499"/>
    <n v="-44.327162320384701"/>
    <n v="-3.1457535199089599"/>
    <s v="135"/>
    <s v="MA"/>
    <s v="Eixo Principal"/>
    <s v="-"/>
    <s v="135BMA0075"/>
    <s v="INÍCIO PISTA DUPLA(SANTA RITA)"/>
    <s v="FIM PISTA DUPLA(SANTA RITA)"/>
    <n v="69.3"/>
    <n v="70.5"/>
    <n v="1.2"/>
    <x v="0"/>
    <m/>
    <m/>
    <s v="Federal"/>
    <m/>
    <m/>
    <m/>
    <s v="Federal"/>
    <s v="PAV"/>
    <s v="Pedrinhas"/>
  </r>
  <r>
    <x v="3"/>
    <s v="135BMA0080"/>
    <s v="BR-135/316 MA"/>
    <x v="112"/>
    <s v="0080"/>
    <n v="-44.327162320384701"/>
    <n v="-3.1457535199089599"/>
    <n v="-44.445945099986297"/>
    <n v="-3.3320338895522901"/>
    <s v="135"/>
    <s v="MA"/>
    <s v="Eixo Principal"/>
    <s v="-"/>
    <s v="135BMA0080"/>
    <s v="FIM PISTA DUPLA(SANTA RITA)"/>
    <s v="ENTR BR-222(A) (OUTEIRO)"/>
    <n v="70.5"/>
    <n v="95.6"/>
    <n v="25.1"/>
    <x v="2"/>
    <m/>
    <m/>
    <s v="Federal"/>
    <m/>
    <m/>
    <m/>
    <s v="Federal"/>
    <s v="PAV"/>
    <s v="Pedrinhas"/>
  </r>
  <r>
    <x v="3"/>
    <s v="135BMA0090"/>
    <s v="BR-135/316 MA"/>
    <x v="112"/>
    <s v="0090"/>
    <n v="-44.445945099986297"/>
    <n v="-3.3320338895522901"/>
    <n v="-44.496988360224499"/>
    <n v="-3.38979042968452"/>
    <s v="135"/>
    <s v="MA"/>
    <s v="Eixo Principal"/>
    <s v="-"/>
    <s v="135BMA0090"/>
    <s v="ENTR BR-222(A) (OUTEIRO)"/>
    <s v="ENTR MA-339 (COLOMBO)"/>
    <n v="95.6"/>
    <n v="104.1"/>
    <n v="8.5"/>
    <x v="2"/>
    <m/>
    <s v="222BMA0510"/>
    <s v="Federal"/>
    <m/>
    <m/>
    <m/>
    <s v="Federal"/>
    <s v="PAV"/>
    <s v="Pedrinhas"/>
  </r>
  <r>
    <x v="3"/>
    <s v="135BMA0110"/>
    <s v="BR-135/316 MA"/>
    <x v="112"/>
    <s v="0110"/>
    <n v="-44.496988360224499"/>
    <n v="-3.38979042968452"/>
    <n v="-44.581852289751303"/>
    <n v="-3.5707127303082302"/>
    <s v="135"/>
    <s v="MA"/>
    <s v="Eixo Principal"/>
    <s v="-"/>
    <s v="135BMA0110"/>
    <s v="ENTR MA-339 (COLOMBO)"/>
    <s v="ENTR BR-222(B) (MIRANDA DO NORTE)"/>
    <n v="104.1"/>
    <n v="127.3"/>
    <n v="23.2"/>
    <x v="2"/>
    <m/>
    <s v="222BMA0530"/>
    <s v="Federal"/>
    <m/>
    <m/>
    <m/>
    <s v="Federal"/>
    <s v="PAV"/>
    <s v="Pedrinhas"/>
  </r>
  <r>
    <x v="3"/>
    <s v="135BMA0130"/>
    <s v="BR-135/316 MA"/>
    <x v="112"/>
    <s v="0130"/>
    <n v="-44.581852289751303"/>
    <n v="-3.5707127303082302"/>
    <n v="-44.554599099568698"/>
    <n v="-3.6266317603474301"/>
    <s v="135"/>
    <s v="MA"/>
    <s v="Eixo Principal"/>
    <s v="-"/>
    <s v="135BMA0130"/>
    <s v="ENTR BR-222(B) (MIRANDA DO NORTE)"/>
    <s v="ENTR MA-332 (MATÕES DO NORTE)"/>
    <n v="127.3"/>
    <n v="134.19999999999999"/>
    <n v="6.9"/>
    <x v="2"/>
    <m/>
    <m/>
    <s v="Federal"/>
    <m/>
    <m/>
    <m/>
    <s v="Federal"/>
    <s v="PAV"/>
    <s v="Pedrinhas"/>
  </r>
  <r>
    <x v="3"/>
    <s v="135BMA0132"/>
    <s v="BR-135/316 MA"/>
    <x v="112"/>
    <s v="0132"/>
    <n v="-44.554599099568698"/>
    <n v="-3.6266317603474301"/>
    <n v="-44.469390069595903"/>
    <n v="-4.0092187101752703"/>
    <s v="135"/>
    <s v="MA"/>
    <s v="Eixo Principal"/>
    <s v="-"/>
    <s v="135BMA0132"/>
    <s v="ENTR MA-332 (MATÕES DO NORTE)"/>
    <s v="ENTR MA-338 (SÃO MATEUS DO MARANHÃO)"/>
    <n v="134.19999999999999"/>
    <n v="178.7"/>
    <n v="44.5"/>
    <x v="2"/>
    <m/>
    <m/>
    <s v="Federal"/>
    <m/>
    <m/>
    <m/>
    <s v="Federal"/>
    <s v="PAV"/>
    <s v="Pedrinhas"/>
  </r>
  <r>
    <x v="3"/>
    <s v="135BMA0135"/>
    <s v="BR-135/316 MA"/>
    <x v="112"/>
    <s v="0135"/>
    <n v="-44.469390069595903"/>
    <n v="-4.0092187101752703"/>
    <n v="-44.468869249716001"/>
    <n v="-4.1947917297544501"/>
    <s v="135"/>
    <s v="MA"/>
    <s v="Eixo Principal"/>
    <s v="-"/>
    <s v="135BMA0135"/>
    <s v="ENTR MA-338 (SÃO MATEUS DO MARANHÃO)"/>
    <s v="ENTR BR-316(A) (CACHUCHA)"/>
    <n v="178.7"/>
    <n v="199.5"/>
    <n v="20.8"/>
    <x v="2"/>
    <m/>
    <m/>
    <s v="Federal"/>
    <m/>
    <m/>
    <m/>
    <s v="Federal"/>
    <s v="PAV"/>
    <s v="Pedrinhas"/>
  </r>
  <r>
    <x v="3"/>
    <s v="135BMA0150"/>
    <s v="BR-135/316 MA"/>
    <x v="112"/>
    <s v="0150"/>
    <n v="-44.468869249716001"/>
    <n v="-4.1947917297544501"/>
    <n v="-44.344779139945302"/>
    <n v="-4.3681063000656701"/>
    <s v="135"/>
    <s v="MA"/>
    <s v="Eixo Principal"/>
    <s v="-"/>
    <s v="135BMA0150"/>
    <s v="ENTR BR-316(A) (CACHUCHA)"/>
    <s v="ENTR BR-316(B) (PERITORÓ)"/>
    <n v="199.5"/>
    <n v="224.5"/>
    <n v="25"/>
    <x v="2"/>
    <m/>
    <s v="316BMA0340"/>
    <s v="Federal"/>
    <m/>
    <m/>
    <m/>
    <s v="Federal"/>
    <s v="PAV"/>
    <s v="Caxias"/>
  </r>
  <r>
    <x v="3"/>
    <s v="135BMA0170"/>
    <s v="BR-135/316 MA"/>
    <x v="112"/>
    <s v="0170"/>
    <n v="-44.344779139945302"/>
    <n v="-4.3681063000656701"/>
    <n v="-44.375931970384102"/>
    <n v="-4.44718457970452"/>
    <s v="135"/>
    <s v="MA"/>
    <s v="Eixo Principal"/>
    <s v="-"/>
    <s v="135BMA0170"/>
    <s v="ENTR BR-316(B) (PERITORÓ)"/>
    <s v="ENTR MA-020 (INDEPENDÊNCIA)"/>
    <n v="224.5"/>
    <n v="234.9"/>
    <n v="10.4"/>
    <x v="2"/>
    <m/>
    <m/>
    <s v="Federal"/>
    <m/>
    <m/>
    <m/>
    <s v="Federal"/>
    <s v="PAV"/>
    <s v="Caxias"/>
  </r>
  <r>
    <x v="0"/>
    <s v="135BMA0190"/>
    <n v="0"/>
    <x v="112"/>
    <s v="0190"/>
    <n v="-44.375931970384102"/>
    <n v="-4.44718457970452"/>
    <n v="-44.365654039602099"/>
    <n v="-4.9101310400154103"/>
    <s v="135"/>
    <s v="MA"/>
    <s v="Eixo Principal"/>
    <s v="-"/>
    <s v="135BMA0190"/>
    <s v="ENTR MA-020 (INDEPENDÊNCIA)"/>
    <s v="ENTR MA-026 (TRIÂNGULO)"/>
    <n v="234.9"/>
    <n v="291.39999999999998"/>
    <n v="56.5"/>
    <x v="2"/>
    <m/>
    <m/>
    <s v="Federal"/>
    <m/>
    <m/>
    <m/>
    <s v="Federal"/>
    <s v="PAV"/>
    <s v="Caxias"/>
  </r>
  <r>
    <x v="0"/>
    <s v="135BMA0210"/>
    <n v="0"/>
    <x v="112"/>
    <s v="0210"/>
    <n v="-44.365654039602099"/>
    <n v="-4.9101310400154103"/>
    <n v="-44.436828849571697"/>
    <n v="-5.0437766003097897"/>
    <s v="135"/>
    <s v="MA"/>
    <s v="Eixo Principal"/>
    <s v="-"/>
    <s v="135BMA0210"/>
    <s v="ENTR MA-026 (TRIÂNGULO)"/>
    <s v="ENTR MA-256 (DOM PEDRO)"/>
    <n v="291.39999999999998"/>
    <n v="309.89999999999998"/>
    <n v="18.5"/>
    <x v="2"/>
    <m/>
    <m/>
    <s v="Federal"/>
    <m/>
    <m/>
    <m/>
    <s v="Federal"/>
    <s v="PAV"/>
    <s v="Caxias"/>
  </r>
  <r>
    <x v="0"/>
    <s v="135BMA0230"/>
    <n v="0"/>
    <x v="112"/>
    <s v="0230"/>
    <n v="-44.436828849571697"/>
    <n v="-5.0437766003097897"/>
    <n v="-44.455797760258399"/>
    <n v="-5.14851566036935"/>
    <s v="135"/>
    <s v="MA"/>
    <s v="Eixo Principal"/>
    <s v="-"/>
    <s v="135BMA0230"/>
    <s v="ENTR MA-256 (DOM PEDRO)"/>
    <s v="ENTR MA-336 (POV. MIRANORTE)"/>
    <n v="309.89999999999998"/>
    <n v="323.2"/>
    <n v="13.3"/>
    <x v="2"/>
    <m/>
    <m/>
    <s v="Federal"/>
    <m/>
    <m/>
    <m/>
    <s v="Federal"/>
    <s v="PAV"/>
    <s v="Caxias"/>
  </r>
  <r>
    <x v="0"/>
    <s v="135BMA0235"/>
    <n v="0"/>
    <x v="112"/>
    <s v="0235"/>
    <n v="-44.455797760258399"/>
    <n v="-5.14851566036935"/>
    <n v="-44.4966495001742"/>
    <n v="-5.2817101602956296"/>
    <s v="135"/>
    <s v="MA"/>
    <s v="Eixo Principal"/>
    <s v="-"/>
    <s v="135BMA0235"/>
    <s v="ENTR MA-336 (POV. MIRANORTE)"/>
    <s v="ENTR BR-226(A)"/>
    <n v="323.2"/>
    <n v="339.3"/>
    <n v="16.100000000000001"/>
    <x v="2"/>
    <m/>
    <m/>
    <s v="Federal"/>
    <m/>
    <m/>
    <m/>
    <s v="Federal"/>
    <s v="PAV"/>
    <s v="Caxias"/>
  </r>
  <r>
    <x v="0"/>
    <s v="135BMA0240"/>
    <n v="0"/>
    <x v="112"/>
    <s v="0240"/>
    <n v="-44.4966495001742"/>
    <n v="-5.2817101602956296"/>
    <n v="-44.489757159865"/>
    <n v="-5.3000448402971099"/>
    <s v="135"/>
    <s v="MA"/>
    <s v="Eixo Principal"/>
    <s v="-"/>
    <s v="135BMA0240"/>
    <s v="ENTR BR-226(A)"/>
    <s v="ENTR BR-226(B) (PRESIDENTE DUTRA)"/>
    <n v="339.3"/>
    <n v="341.5"/>
    <n v="2.2000000000000002"/>
    <x v="0"/>
    <m/>
    <s v="226BMA0845"/>
    <s v="Federal"/>
    <m/>
    <m/>
    <m/>
    <s v="Federal"/>
    <s v="PAV"/>
    <s v="Caxias"/>
  </r>
  <r>
    <x v="0"/>
    <s v="135BMA0250"/>
    <n v="0"/>
    <x v="112"/>
    <s v="0250"/>
    <n v="-44.489757159865"/>
    <n v="-5.3000448402971099"/>
    <n v="-44.461333049680398"/>
    <n v="-5.4520915701697801"/>
    <s v="135"/>
    <s v="MA"/>
    <s v="Eixo Principal"/>
    <s v="-"/>
    <s v="135BMA0250"/>
    <s v="ENTR BR-226(B) (PRESIDENTE DUTRA)"/>
    <s v="ENTR MA-360"/>
    <n v="341.5"/>
    <n v="358.2"/>
    <n v="16.7"/>
    <x v="2"/>
    <m/>
    <m/>
    <s v="Federal"/>
    <m/>
    <m/>
    <m/>
    <s v="Federal"/>
    <s v="PAV"/>
    <s v="Caxias"/>
  </r>
  <r>
    <x v="0"/>
    <s v="135BMA0252"/>
    <n v="0"/>
    <x v="112"/>
    <s v="0252"/>
    <n v="-44.461333049680398"/>
    <n v="-5.4520915701697801"/>
    <n v="-44.383901450291603"/>
    <n v="-5.5736272500974398"/>
    <s v="135"/>
    <s v="MA"/>
    <s v="Eixo Principal"/>
    <s v="-"/>
    <s v="135BMA0252"/>
    <s v="ENTR MA-360"/>
    <s v="ENTR MA-141 (SÃO DOMINGOS DO MARANHÃO)"/>
    <n v="358.2"/>
    <n v="375.6"/>
    <n v="17.399999999999999"/>
    <x v="2"/>
    <m/>
    <m/>
    <s v="Federal"/>
    <m/>
    <m/>
    <m/>
    <s v="Federal"/>
    <s v="PAV"/>
    <s v="Caxias"/>
  </r>
  <r>
    <x v="0"/>
    <s v="135BMA0270"/>
    <n v="0"/>
    <x v="112"/>
    <s v="0270"/>
    <n v="-44.383901450291603"/>
    <n v="-5.5736272500974398"/>
    <n v="-44.343032629552098"/>
    <n v="-5.7072001298820396"/>
    <s v="135"/>
    <s v="MA"/>
    <s v="Eixo Principal"/>
    <s v="-"/>
    <s v="135BMA0270"/>
    <s v="ENTR MA-141 (SÃO DOMINGOS DO MARANHÃO)"/>
    <s v="ENTR MA-362"/>
    <n v="375.6"/>
    <n v="391.3"/>
    <n v="15.7"/>
    <x v="2"/>
    <m/>
    <m/>
    <s v="Federal"/>
    <m/>
    <m/>
    <m/>
    <s v="Federal"/>
    <s v="PAV"/>
    <s v="Caxias"/>
  </r>
  <r>
    <x v="0"/>
    <s v="135BMA0272"/>
    <n v="0"/>
    <x v="112"/>
    <s v="0272"/>
    <n v="-44.343032629552098"/>
    <n v="-5.7072001298820396"/>
    <n v="-44.297397679858904"/>
    <n v="-5.8729098603017702"/>
    <s v="135"/>
    <s v="MA"/>
    <s v="Eixo Principal"/>
    <s v="-"/>
    <s v="135BMA0272"/>
    <s v="ENTR MA-362"/>
    <s v="ENTR MA-333 (P/JATOBÁ)"/>
    <n v="391.3"/>
    <n v="411.4"/>
    <n v="20.100000000000001"/>
    <x v="2"/>
    <m/>
    <m/>
    <s v="Federal"/>
    <m/>
    <m/>
    <m/>
    <s v="Federal"/>
    <s v="PAV"/>
    <s v="Caxias"/>
  </r>
  <r>
    <x v="0"/>
    <s v="135BMA0280"/>
    <n v="0"/>
    <x v="112"/>
    <s v="0280"/>
    <n v="-44.297397679858904"/>
    <n v="-5.8729098603017702"/>
    <n v="-44.247653219620297"/>
    <n v="-6.0225771000530699"/>
    <s v="135"/>
    <s v="MA"/>
    <s v="Eixo Principal"/>
    <s v="-"/>
    <s v="135BMA0280"/>
    <s v="ENTR MA-333 (P/JATOBÁ)"/>
    <s v="INÍCIO DUPLICAÇÃO"/>
    <n v="411.4"/>
    <n v="431.3"/>
    <n v="19.899999999999999"/>
    <x v="2"/>
    <m/>
    <m/>
    <s v="Federal"/>
    <m/>
    <m/>
    <m/>
    <s v="Federal"/>
    <s v="PAV"/>
    <s v="Barão de Grajaú"/>
  </r>
  <r>
    <x v="0"/>
    <s v="135BMA0285"/>
    <n v="0"/>
    <x v="112"/>
    <s v="0285"/>
    <n v="-44.247653219620297"/>
    <n v="-6.0225771000530699"/>
    <n v="-44.241769360167702"/>
    <n v="-6.0301311498326404"/>
    <s v="135"/>
    <s v="MA"/>
    <s v="Eixo Principal"/>
    <s v="-"/>
    <s v="135BMA0285"/>
    <s v="INÍCIO DUPLICAÇÃO"/>
    <s v="ENTR MA-132/270 (COLINAS)"/>
    <n v="431.3"/>
    <n v="432.4"/>
    <n v="1.1000000000000001"/>
    <x v="0"/>
    <m/>
    <m/>
    <s v="Federal"/>
    <m/>
    <m/>
    <m/>
    <s v="Federal"/>
    <s v="PAV"/>
    <s v="Barão de Grajaú"/>
  </r>
  <r>
    <x v="0"/>
    <s v="135BMA0290"/>
    <n v="0"/>
    <x v="112"/>
    <s v="0290"/>
    <n v="-44.241769360167702"/>
    <n v="-6.0301311498326404"/>
    <n v="-43.977834850298002"/>
    <n v="-6.2697364199997301"/>
    <s v="135"/>
    <s v="MA"/>
    <s v="Eixo Principal"/>
    <s v="-"/>
    <s v="135BMA0290"/>
    <s v="ENTR MA-132/270 (COLINAS)"/>
    <s v="ENTR MA-134 (P/ PEIXE)"/>
    <n v="432.4"/>
    <n v="475.9"/>
    <n v="43.5"/>
    <x v="2"/>
    <m/>
    <m/>
    <s v="Federal"/>
    <m/>
    <m/>
    <m/>
    <s v="Federal"/>
    <s v="PAV"/>
    <s v="Barão de Grajaú"/>
  </r>
  <r>
    <x v="0"/>
    <s v="135BMA0292"/>
    <n v="0"/>
    <x v="112"/>
    <s v="0292"/>
    <n v="-43.977834850298002"/>
    <n v="-6.2697364199997301"/>
    <n v="-43.991599119903398"/>
    <n v="-6.4223824499900299"/>
    <s v="135"/>
    <s v="MA"/>
    <s v="Eixo Principal"/>
    <s v="-"/>
    <s v="135BMA0292"/>
    <s v="ENTR MA-134 (P/ PEIXE)"/>
    <s v="INICIO PISTA DUPLA (PARAIBANO)"/>
    <n v="475.9"/>
    <n v="495.6"/>
    <n v="19.7"/>
    <x v="2"/>
    <m/>
    <m/>
    <s v="Federal"/>
    <m/>
    <m/>
    <m/>
    <s v="Federal"/>
    <s v="PAV"/>
    <s v="Barão de Grajaú"/>
  </r>
  <r>
    <x v="0"/>
    <s v="135BMA0293"/>
    <n v="0"/>
    <x v="112"/>
    <s v="0293"/>
    <n v="-43.991599119903398"/>
    <n v="-6.4223824499900299"/>
    <n v="-43.988519479690098"/>
    <n v="-6.4287467704470398"/>
    <s v="135"/>
    <s v="MA"/>
    <s v="Eixo Principal"/>
    <s v="-"/>
    <s v="135BMA0293"/>
    <s v="INICIO PISTA DUPLA (PARAIBANO)"/>
    <s v="FIM PISTA DUPLA (PARAIBANO)"/>
    <n v="495.6"/>
    <n v="496.3"/>
    <n v="0.7"/>
    <x v="0"/>
    <m/>
    <m/>
    <s v="Federal"/>
    <m/>
    <m/>
    <m/>
    <s v="Federal"/>
    <s v="PAV"/>
    <s v="Barão de Grajaú"/>
  </r>
  <r>
    <x v="0"/>
    <s v="135BMA0298"/>
    <n v="0"/>
    <x v="112"/>
    <s v="0298"/>
    <n v="-43.988519479690098"/>
    <n v="-6.4287467704470398"/>
    <n v="-43.988320109885102"/>
    <n v="-6.4324306102843698"/>
    <s v="135"/>
    <s v="MA"/>
    <s v="Eixo Principal"/>
    <s v="-"/>
    <s v="135BMA0298"/>
    <s v="FIM PISTA DUPLA (PARAIBANO)"/>
    <s v="INÍCIO DUPLICAÇÃO"/>
    <n v="496.3"/>
    <n v="496.7"/>
    <n v="0.4"/>
    <x v="2"/>
    <m/>
    <m/>
    <s v="Federal"/>
    <m/>
    <m/>
    <m/>
    <s v="Federal"/>
    <s v="PAV"/>
    <s v="Barão de Grajaú"/>
  </r>
  <r>
    <x v="0"/>
    <s v="135BMA0300"/>
    <n v="0"/>
    <x v="112"/>
    <s v="0300"/>
    <n v="-43.988320109885102"/>
    <n v="-6.4324306102843698"/>
    <n v="-43.987049630435997"/>
    <n v="-6.4378177597817503"/>
    <s v="135"/>
    <s v="MA"/>
    <s v="Eixo Principal"/>
    <s v="-"/>
    <s v="135BMA0300"/>
    <s v="INÍCIO DUPLICAÇÃO"/>
    <s v="FIM DUPLICAÇÃO"/>
    <n v="496.7"/>
    <n v="497.4"/>
    <n v="0.7"/>
    <x v="0"/>
    <m/>
    <m/>
    <s v="Federal"/>
    <m/>
    <m/>
    <m/>
    <s v="Federal"/>
    <s v="PAV"/>
    <s v="Barão de Grajaú"/>
  </r>
  <r>
    <x v="0"/>
    <s v="135BMA0302"/>
    <n v="0"/>
    <x v="112"/>
    <s v="0302"/>
    <n v="-43.987049630435997"/>
    <n v="-6.4378177597817503"/>
    <n v="-43.877827069563502"/>
    <n v="-6.51471834997181"/>
    <s v="135"/>
    <s v="MA"/>
    <s v="Eixo Principal"/>
    <s v="-"/>
    <s v="135BMA0302"/>
    <s v="FIM DUPLICAÇÃO"/>
    <s v="ENTR BR-230(A)/MA-368 (OROSIMBO)"/>
    <n v="497.4"/>
    <n v="514.6"/>
    <n v="17.2"/>
    <x v="2"/>
    <m/>
    <m/>
    <s v="Federal"/>
    <m/>
    <m/>
    <m/>
    <s v="Federal"/>
    <s v="PAV"/>
    <s v="Barão de Grajaú"/>
  </r>
  <r>
    <x v="0"/>
    <s v="135BMA0310"/>
    <n v="0"/>
    <x v="112"/>
    <s v="0310"/>
    <n v="-43.877827069563502"/>
    <n v="-6.51471834997181"/>
    <n v="-43.720070509846003"/>
    <n v="-6.4897403402444498"/>
    <s v="135"/>
    <s v="MA"/>
    <s v="Eixo Principal"/>
    <s v="-"/>
    <s v="135BMA0310"/>
    <s v="ENTR BR-230(A)/MA-368 (OROSIMBO)"/>
    <s v="INÍCIO DUPLICAÇÃO"/>
    <n v="514.6"/>
    <n v="535.29999999999995"/>
    <n v="20.7"/>
    <x v="2"/>
    <m/>
    <s v="230BMA0975"/>
    <s v="Federal"/>
    <m/>
    <m/>
    <m/>
    <s v="Federal"/>
    <s v="PAV"/>
    <s v="Barão de Grajaú"/>
  </r>
  <r>
    <x v="0"/>
    <s v="135BMA0320"/>
    <n v="0"/>
    <x v="112"/>
    <s v="0320"/>
    <n v="-43.720070509846003"/>
    <n v="-6.4897403402444498"/>
    <n v="-43.713452989763603"/>
    <n v="-6.4921629600524904"/>
    <s v="135"/>
    <s v="MA"/>
    <s v="Eixo Principal"/>
    <s v="-"/>
    <s v="135BMA0320"/>
    <s v="INÍCIO DUPLICAÇÃO"/>
    <s v="ENTR MA-034 (SÃO JOÃO DOS PATOS)"/>
    <n v="535.29999999999995"/>
    <n v="536.1"/>
    <n v="0.8"/>
    <x v="0"/>
    <m/>
    <s v="230BMA0970"/>
    <s v="Federal"/>
    <m/>
    <m/>
    <m/>
    <s v="Federal"/>
    <s v="PAV"/>
    <s v="Barão de Grajaú"/>
  </r>
  <r>
    <x v="0"/>
    <s v="135BMA0330"/>
    <n v="0"/>
    <x v="112"/>
    <s v="0330"/>
    <n v="-43.713452989763603"/>
    <n v="-6.4921629600524904"/>
    <n v="-43.6910256399212"/>
    <n v="-6.4960767997044897"/>
    <s v="135"/>
    <s v="MA"/>
    <s v="Eixo Principal"/>
    <s v="-"/>
    <s v="135BMA0330"/>
    <s v="ENTR MA-034 (SÃO JOÃO DOS PATOS)"/>
    <s v="FIM DUPLICAÇÃO"/>
    <n v="536.1"/>
    <n v="538.70000000000005"/>
    <n v="2.6"/>
    <x v="0"/>
    <m/>
    <s v="230BMA0960"/>
    <s v="Federal"/>
    <m/>
    <m/>
    <m/>
    <s v="Federal"/>
    <s v="PAV"/>
    <s v="Barão de Grajaú"/>
  </r>
  <r>
    <x v="0"/>
    <s v="135BMA0340"/>
    <n v="0"/>
    <x v="112"/>
    <s v="0340"/>
    <n v="-43.6910256399212"/>
    <n v="-6.4960767997044897"/>
    <n v="-43.462424450028301"/>
    <n v="-6.5941795195691304"/>
    <s v="135"/>
    <s v="MA"/>
    <s v="Eixo Principal"/>
    <s v="-"/>
    <s v="135BMA0340"/>
    <s v="FIM DUPLICAÇÃO"/>
    <s v="ENTR BR-230(B)/MA-364(A) (DOIS IRMÃOS)"/>
    <n v="538.70000000000005"/>
    <n v="571.9"/>
    <n v="33.200000000000003"/>
    <x v="0"/>
    <m/>
    <s v="230BMA0950"/>
    <s v="Federal"/>
    <m/>
    <m/>
    <m/>
    <s v="Federal"/>
    <s v="PAV"/>
    <s v="Barão de Grajaú"/>
  </r>
  <r>
    <x v="0"/>
    <s v="135BMA0350"/>
    <n v="0"/>
    <x v="112"/>
    <s v="0350"/>
    <n v="-43.462424450028301"/>
    <n v="-6.5941795195691304"/>
    <n v="-43.571295859815997"/>
    <n v="-6.7481426399708004"/>
    <s v="135"/>
    <s v="MA"/>
    <s v="Eixo Principal"/>
    <s v="-"/>
    <s v="135BMA0350"/>
    <s v="ENTR BR-230(B)/MA-364(A) (DOIS IRMÃOS)"/>
    <s v="ENTR MA-364(B) (DIV MA/PI) (GUADALUPE)"/>
    <n v="571.9"/>
    <n v="601.9"/>
    <n v="30"/>
    <x v="1"/>
    <m/>
    <m/>
    <s v="Estadual"/>
    <m/>
    <s v="MA-364"/>
    <s v="IMP"/>
    <s v="Estadual"/>
    <s v="PLA"/>
    <s v="Barão de Grajaú"/>
  </r>
  <r>
    <x v="0"/>
    <s v="135BMG0650"/>
    <n v="0"/>
    <x v="113"/>
    <s v="0650"/>
    <n v="-44.455564690158198"/>
    <n v="-14.310804359833201"/>
    <n v="-44.349105219829902"/>
    <n v="-14.419573200143001"/>
    <s v="135"/>
    <s v="MG"/>
    <s v="Eixo Principal"/>
    <s v="-"/>
    <s v="135BMG0650"/>
    <s v="INÍCIO PONTE S/RIO CARINHANHA (DIV BA/MG)"/>
    <s v="ENTR MG-892 (MONTALVÂNIA)"/>
    <n v="0"/>
    <n v="18.100000000000001"/>
    <n v="18.100000000000001"/>
    <x v="2"/>
    <m/>
    <m/>
    <s v="Federal"/>
    <m/>
    <m/>
    <m/>
    <s v="Federal"/>
    <s v="PAV"/>
    <s v="Montes Claros"/>
  </r>
  <r>
    <x v="0"/>
    <s v="135BMG0655"/>
    <n v="0"/>
    <x v="113"/>
    <s v="0655"/>
    <n v="-44.349105219829902"/>
    <n v="-14.419573200143001"/>
    <n v="-44.213179739653199"/>
    <n v="-14.4876994999319"/>
    <s v="135"/>
    <s v="MG"/>
    <s v="Eixo Principal"/>
    <s v="-"/>
    <s v="135BMG0655"/>
    <s v="ENTR MG-892 (MONTALVÂNIA)"/>
    <s v="MONTE REI"/>
    <n v="18.100000000000001"/>
    <n v="36.5"/>
    <n v="18.399999999999999"/>
    <x v="1"/>
    <m/>
    <m/>
    <s v="Estadual"/>
    <m/>
    <s v="MG-135"/>
    <s v="PAV"/>
    <s v="Estadual"/>
    <s v="PLA"/>
    <s v="Montes Claros"/>
  </r>
  <r>
    <x v="0"/>
    <s v="135BMG0660"/>
    <n v="0"/>
    <x v="113"/>
    <s v="0660"/>
    <n v="-44.213179739653199"/>
    <n v="-14.4876994999319"/>
    <n v="-43.935380680374003"/>
    <n v="-14.749260740290801"/>
    <s v="135"/>
    <s v="MG"/>
    <s v="Eixo Principal"/>
    <s v="-"/>
    <s v="135BMG0660"/>
    <s v="MONTE REI"/>
    <s v="MANGA"/>
    <n v="36.5"/>
    <n v="82"/>
    <n v="45.5"/>
    <x v="1"/>
    <m/>
    <m/>
    <s v="Estadual"/>
    <m/>
    <s v="MG-135"/>
    <s v="PAV"/>
    <s v="Estadual"/>
    <s v="PLA"/>
    <s v="Montes Claros"/>
  </r>
  <r>
    <x v="0"/>
    <s v="135BMG0665"/>
    <n v="0"/>
    <x v="113"/>
    <s v="0665"/>
    <n v="-43.935380680374003"/>
    <n v="-14.749260740290801"/>
    <n v="-44.083110150013297"/>
    <n v="-14.8824545504371"/>
    <s v="135"/>
    <s v="MG"/>
    <s v="Eixo Principal"/>
    <s v="-"/>
    <s v="135BMG0665"/>
    <s v="MANGA"/>
    <s v="SÃO JOÃO DAS MISSÕES"/>
    <n v="82"/>
    <n v="106.4"/>
    <n v="24.4"/>
    <x v="1"/>
    <m/>
    <m/>
    <s v="Estadual"/>
    <m/>
    <s v="MG-135"/>
    <s v="IMP"/>
    <s v="Estadual"/>
    <s v="PLA"/>
    <s v="Montes Claros"/>
  </r>
  <r>
    <x v="0"/>
    <s v="135BMG0670"/>
    <n v="0"/>
    <x v="113"/>
    <s v="0670"/>
    <n v="-44.083110150013297"/>
    <n v="-14.8824545504371"/>
    <n v="-44.067948199949299"/>
    <n v="-14.949057109997501"/>
    <s v="135"/>
    <s v="MG"/>
    <s v="Eixo Principal"/>
    <s v="-"/>
    <s v="135BMG0670"/>
    <s v="SÃO JOÃO DAS MISSÕES"/>
    <s v="INÍCIO DO TRECHO PAVIMENTADO"/>
    <n v="106.4"/>
    <n v="125.4"/>
    <n v="19"/>
    <x v="1"/>
    <m/>
    <m/>
    <s v="Estadual"/>
    <m/>
    <s v="MG-135"/>
    <s v="PAV"/>
    <s v="Estadual"/>
    <s v="PLA"/>
    <s v="Montes Claros"/>
  </r>
  <r>
    <x v="0"/>
    <s v="135BMG0675"/>
    <n v="0"/>
    <x v="113"/>
    <s v="0675"/>
    <n v="-44.067948199949299"/>
    <n v="-14.949057109997501"/>
    <n v="-44.082907489588898"/>
    <n v="-15.051907699880401"/>
    <s v="135"/>
    <s v="MG"/>
    <s v="Eixo Principal"/>
    <s v="-"/>
    <s v="135BMG0675"/>
    <s v="INÍCIO DO TRECHO PAVIMENTADO"/>
    <s v="FIM DO TRECHO PAVIMENTADO"/>
    <n v="125.4"/>
    <n v="135.4"/>
    <n v="10"/>
    <x v="1"/>
    <m/>
    <m/>
    <s v="Estadual"/>
    <m/>
    <s v="MG-135"/>
    <s v="PAV"/>
    <s v="Estadual"/>
    <s v="PLA"/>
    <s v="Montes Claros"/>
  </r>
  <r>
    <x v="0"/>
    <s v="135BMG0680"/>
    <n v="0"/>
    <x v="113"/>
    <s v="0680"/>
    <n v="-44.082907489588898"/>
    <n v="-15.051907699880401"/>
    <n v="-44.093046469718701"/>
    <n v="-15.0941903097349"/>
    <s v="135"/>
    <s v="MG"/>
    <s v="Eixo Principal"/>
    <s v="-"/>
    <s v="135BMG0680"/>
    <s v="FIM DO TRECHO PAVIMENTADO"/>
    <s v="ITACARAMBÍ"/>
    <n v="135.4"/>
    <n v="137.80000000000001"/>
    <n v="2.4"/>
    <x v="1"/>
    <m/>
    <m/>
    <s v="Estadual"/>
    <m/>
    <s v="MG-135"/>
    <s v="PAV"/>
    <s v="Estadual"/>
    <s v="PLA"/>
    <s v="Montes Claros"/>
  </r>
  <r>
    <x v="0"/>
    <s v="135BMG0685"/>
    <n v="0"/>
    <x v="113"/>
    <s v="0685"/>
    <n v="-44.093046469718701"/>
    <n v="-15.0941903097349"/>
    <n v="-44.246734009966502"/>
    <n v="-15.2900411701638"/>
    <s v="135"/>
    <s v="MG"/>
    <s v="Eixo Principal"/>
    <s v="-"/>
    <s v="135BMG0685"/>
    <s v="ITACARAMBÍ"/>
    <s v="ACESSO LEVINÓPOLIS"/>
    <n v="137.80000000000001"/>
    <n v="168.8"/>
    <n v="31"/>
    <x v="1"/>
    <m/>
    <m/>
    <s v="Estadual"/>
    <m/>
    <s v="MGT-135"/>
    <s v="PAV"/>
    <s v="Estadual"/>
    <s v="PLA"/>
    <s v="Montes Claros"/>
  </r>
  <r>
    <x v="0"/>
    <s v="135BMG0690"/>
    <n v="0"/>
    <x v="113"/>
    <s v="0690"/>
    <n v="-44.246734009966502"/>
    <n v="-15.2900411701638"/>
    <n v="-44.368622889634501"/>
    <n v="-15.479129289784799"/>
    <s v="135"/>
    <s v="MG"/>
    <s v="Eixo Principal"/>
    <s v="-"/>
    <s v="135BMG0690"/>
    <s v="ACESSO LEVINÓPOLIS"/>
    <s v="ENTR BR-479 (JANUÁRIA)"/>
    <n v="168.8"/>
    <n v="198.7"/>
    <n v="29.9"/>
    <x v="1"/>
    <m/>
    <m/>
    <s v="Estadual"/>
    <m/>
    <s v="MGT-135"/>
    <s v="PAV"/>
    <s v="Estadual"/>
    <s v="PLA"/>
    <s v="Montes Claros"/>
  </r>
  <r>
    <x v="0"/>
    <s v="135BMG0695"/>
    <n v="0"/>
    <x v="113"/>
    <s v="0695"/>
    <n v="-44.368622889634501"/>
    <n v="-15.479129289784799"/>
    <n v="-44.374441739794399"/>
    <n v="-15.6308767396697"/>
    <s v="135"/>
    <s v="MG"/>
    <s v="Eixo Principal"/>
    <s v="-"/>
    <s v="135BMG0695"/>
    <s v="ENTR BR-479 (JANUÁRIA)"/>
    <s v="ENTR MG-161 (PEDRAS DE MARIA DA CRUZ)"/>
    <n v="198.7"/>
    <n v="218.4"/>
    <n v="19.7"/>
    <x v="1"/>
    <m/>
    <m/>
    <s v="Estadual"/>
    <m/>
    <s v="MGT-135"/>
    <s v="PAV"/>
    <s v="Estadual"/>
    <s v="PLA"/>
    <s v="Montes Claros"/>
  </r>
  <r>
    <x v="0"/>
    <s v="135BMG0700"/>
    <n v="0"/>
    <x v="113"/>
    <s v="0700"/>
    <n v="-44.374441739794399"/>
    <n v="-15.6308767396697"/>
    <n v="-44.275369090311202"/>
    <n v="-15.995059330023899"/>
    <s v="135"/>
    <s v="MG"/>
    <s v="Eixo Principal"/>
    <s v="-"/>
    <s v="135BMG0700"/>
    <s v="ENTR MG-161 (PEDRAS DE MARIA DA CRUZ)"/>
    <s v="ENTR MG-202(A) (JAPONVAR)"/>
    <n v="218.4"/>
    <n v="265.5"/>
    <n v="47.1"/>
    <x v="1"/>
    <m/>
    <m/>
    <s v="Estadual"/>
    <m/>
    <s v="MGT-135"/>
    <s v="PAV"/>
    <s v="Estadual"/>
    <s v="PLA"/>
    <s v="Montes Claros"/>
  </r>
  <r>
    <x v="0"/>
    <s v="135BMG0710"/>
    <n v="0"/>
    <x v="113"/>
    <s v="0710"/>
    <n v="-44.275369090311202"/>
    <n v="-15.995059330023899"/>
    <n v="-44.214662180315301"/>
    <n v="-16.180493409743001"/>
    <s v="135"/>
    <s v="MG"/>
    <s v="Eixo Principal"/>
    <s v="-"/>
    <s v="135BMG0710"/>
    <s v="ENTR MG-202(A) (JAPONVAR)"/>
    <s v="ENTR MG-202(B)"/>
    <n v="265.5"/>
    <n v="291.39999999999998"/>
    <n v="25.9"/>
    <x v="1"/>
    <m/>
    <m/>
    <s v="Estadual"/>
    <m/>
    <s v="MGT-135"/>
    <s v="PAV"/>
    <s v="Estadual"/>
    <s v="PLA"/>
    <s v="Montes Claros"/>
  </r>
  <r>
    <x v="0"/>
    <s v="135BMG0730"/>
    <n v="0"/>
    <x v="113"/>
    <s v="0730"/>
    <n v="-44.214662180315301"/>
    <n v="-16.180493409743001"/>
    <n v="-43.863247989902703"/>
    <n v="-16.716167749841699"/>
    <s v="135"/>
    <s v="MG"/>
    <s v="Eixo Principal"/>
    <s v="-"/>
    <s v="135BMG0730"/>
    <s v="ENTR MG-202(B)"/>
    <s v="ENTR BR-122/251/365 (MONTES CLAROS)"/>
    <n v="291.39999999999998"/>
    <n v="368.8"/>
    <n v="77.400000000000006"/>
    <x v="1"/>
    <m/>
    <m/>
    <s v="Estadual"/>
    <m/>
    <s v="MGT-135"/>
    <s v="PAV"/>
    <s v="Estadual"/>
    <s v="PLA"/>
    <s v="Montes Claros"/>
  </r>
  <r>
    <x v="0"/>
    <s v="135BMG0750"/>
    <n v="0"/>
    <x v="113"/>
    <s v="0750"/>
    <n v="-43.863247989902703"/>
    <n v="-16.716167749841699"/>
    <n v="-43.820689500420002"/>
    <n v="-17.136663900118801"/>
    <s v="135"/>
    <s v="MG"/>
    <s v="Eixo Principal"/>
    <s v="-"/>
    <s v="135BMG0750"/>
    <s v="ENTR BR-122/251/365 (MONTES CLAROS)"/>
    <s v="ENTR BR-451 (BOCAIÚVA)"/>
    <n v="368.8"/>
    <n v="418.1"/>
    <n v="49.3"/>
    <x v="1"/>
    <m/>
    <m/>
    <s v="Estadual"/>
    <m/>
    <s v="MG-135"/>
    <s v="PAV"/>
    <s v="Estadual"/>
    <s v="PLA"/>
    <s v="Montes Claros"/>
  </r>
  <r>
    <x v="0"/>
    <s v="135BMG0770"/>
    <n v="0"/>
    <x v="113"/>
    <s v="0770"/>
    <n v="-43.820689500420002"/>
    <n v="-17.136663900118801"/>
    <n v="-43.940800350255898"/>
    <n v="-17.299974769919601"/>
    <s v="135"/>
    <s v="MG"/>
    <s v="Eixo Principal"/>
    <s v="-"/>
    <s v="135BMG0770"/>
    <s v="ENTR BR-451 (BOCAIÚVA)"/>
    <s v="ENTR MG-208 (ENGENHEIRO NAVARRO)"/>
    <n v="418.1"/>
    <n v="444.3"/>
    <n v="26.2"/>
    <x v="1"/>
    <m/>
    <m/>
    <s v="Estadual"/>
    <m/>
    <s v="MG-135"/>
    <s v="PAV"/>
    <s v="Estadual"/>
    <s v="PLA"/>
    <s v="Montes Claros"/>
  </r>
  <r>
    <x v="0"/>
    <s v="135BMG0790"/>
    <n v="0"/>
    <x v="113"/>
    <s v="0790"/>
    <n v="-43.940800350255898"/>
    <n v="-17.299974769919601"/>
    <n v="-44.137674130156903"/>
    <n v="-17.764171789696299"/>
    <s v="135"/>
    <s v="MG"/>
    <s v="Eixo Principal"/>
    <s v="-"/>
    <s v="135BMG0790"/>
    <s v="ENTR MG-208 (ENGENHEIRO NAVARRO)"/>
    <s v="JOAQUIM FELÍCIO"/>
    <n v="444.3"/>
    <n v="504.7"/>
    <n v="60.4"/>
    <x v="1"/>
    <m/>
    <m/>
    <s v="Estadual"/>
    <m/>
    <s v="MG-135"/>
    <s v="PAV"/>
    <s v="Estadual"/>
    <s v="PLA"/>
    <s v="Montes Claros"/>
  </r>
  <r>
    <x v="0"/>
    <s v="135BMG0800"/>
    <n v="0"/>
    <x v="113"/>
    <s v="0800"/>
    <n v="-44.137674130156903"/>
    <n v="-17.764171789696299"/>
    <n v="-44.459185449748603"/>
    <n v="-18.403988889875301"/>
    <s v="135"/>
    <s v="MG"/>
    <s v="Eixo Principal"/>
    <s v="-"/>
    <s v="135BMG0800"/>
    <s v="JOAQUIM FELÍCIO"/>
    <s v="ENTR BR-496 (CORINTO)"/>
    <n v="504.7"/>
    <n v="586.5"/>
    <n v="81.8"/>
    <x v="1"/>
    <m/>
    <m/>
    <s v="Estadual"/>
    <m/>
    <s v="MG-135"/>
    <s v="PAV"/>
    <s v="Estadual"/>
    <s v="PLA"/>
    <s v="Montes Claros"/>
  </r>
  <r>
    <x v="0"/>
    <s v="135BMG0810"/>
    <n v="0"/>
    <x v="113"/>
    <s v="0810"/>
    <n v="-44.459185449748603"/>
    <n v="-18.403988889875301"/>
    <n v="-44.467067320400403"/>
    <n v="-18.565199470379099"/>
    <s v="135"/>
    <s v="MG"/>
    <s v="Eixo Principal"/>
    <s v="-"/>
    <s v="135BMG0810"/>
    <s v="ENTR BR-496 (CORINTO)"/>
    <s v="P/MORRO DA GARÇA"/>
    <n v="586.5"/>
    <n v="604.9"/>
    <n v="18.399999999999999"/>
    <x v="1"/>
    <m/>
    <m/>
    <s v="Estadual"/>
    <m/>
    <s v="MG-135"/>
    <s v="PAV"/>
    <s v="Estadual"/>
    <s v="PLA"/>
    <s v="Bom Despacho"/>
  </r>
  <r>
    <x v="0"/>
    <s v="135BMG0820"/>
    <n v="0"/>
    <x v="113"/>
    <s v="0820"/>
    <n v="-44.467067320400403"/>
    <n v="-18.565199470379099"/>
    <n v="-44.420077620285802"/>
    <n v="-18.747422400223499"/>
    <s v="135"/>
    <s v="MG"/>
    <s v="Eixo Principal"/>
    <s v="-"/>
    <s v="135BMG0820"/>
    <s v="P/MORRO DA GARÇA"/>
    <s v="ENTR BR-259(A)"/>
    <n v="604.9"/>
    <n v="626.20000000000005"/>
    <n v="21.3"/>
    <x v="1"/>
    <m/>
    <m/>
    <s v="Estadual"/>
    <m/>
    <s v="MG-135"/>
    <s v="PAV"/>
    <s v="Estadual"/>
    <s v="PLA"/>
    <s v="Bom Despacho"/>
  </r>
  <r>
    <x v="0"/>
    <s v="135BMG0830"/>
    <n v="0"/>
    <x v="113"/>
    <s v="0830"/>
    <n v="-44.420077620285802"/>
    <n v="-18.747422400223499"/>
    <n v="-44.418105050008002"/>
    <n v="-18.753042660290401"/>
    <s v="135"/>
    <s v="MG"/>
    <s v="Eixo Principal"/>
    <s v="-"/>
    <s v="135BMG0830"/>
    <s v="ENTR BR-259(A)"/>
    <s v="ENTR BR-259(B) (CURVELO)"/>
    <n v="626.20000000000005"/>
    <n v="626.9"/>
    <n v="0.7"/>
    <x v="1"/>
    <m/>
    <s v="259BMG0350"/>
    <s v="Estadual"/>
    <m/>
    <s v="MG-135"/>
    <s v="PAV"/>
    <s v="Estadual"/>
    <s v="PLA"/>
    <s v="Bom Despacho"/>
  </r>
  <r>
    <x v="0"/>
    <s v="135BMG0850"/>
    <n v="0"/>
    <x v="113"/>
    <s v="0850"/>
    <n v="-44.418105050008002"/>
    <n v="-18.753042660290401"/>
    <n v="-44.545084339770398"/>
    <n v="-19.134313499967998"/>
    <s v="135"/>
    <s v="MG"/>
    <s v="Eixo Principal"/>
    <s v="-"/>
    <s v="135BMG0850"/>
    <s v="ENTR BR-259(B) (CURVELO)"/>
    <s v="INÍCIO DUPLICAÇÃO"/>
    <n v="626.9"/>
    <n v="669"/>
    <n v="42.1"/>
    <x v="1"/>
    <m/>
    <m/>
    <s v="Estadual"/>
    <m/>
    <s v="MG-135"/>
    <s v="PAV"/>
    <s v="Estadual"/>
    <s v="PLA"/>
    <s v="Bom Despacho"/>
  </r>
  <r>
    <x v="0"/>
    <s v="135BMG0865"/>
    <n v="0"/>
    <x v="113"/>
    <s v="0865"/>
    <n v="-44.545084339770398"/>
    <n v="-19.134313499967998"/>
    <n v="-44.5318091898421"/>
    <n v="-19.1546277595634"/>
    <s v="135"/>
    <s v="MG"/>
    <s v="Eixo Principal"/>
    <s v="-"/>
    <s v="135BMG0865"/>
    <s v="INÍCIO DUPLICAÇÃO"/>
    <s v="ENTR BR-040(A)"/>
    <n v="669"/>
    <n v="671.7"/>
    <n v="2.7"/>
    <x v="1"/>
    <m/>
    <m/>
    <s v="Estadual"/>
    <m/>
    <s v="MG-135"/>
    <s v="DUP"/>
    <s v="Estadual"/>
    <s v="PLA"/>
    <s v="Bom Despacho"/>
  </r>
  <r>
    <x v="0"/>
    <s v="135BMG0880"/>
    <n v="0"/>
    <x v="113"/>
    <s v="0880"/>
    <n v="-44.5318091898421"/>
    <n v="-19.1546277595634"/>
    <n v="-44.430938559966499"/>
    <n v="-19.2353446102654"/>
    <s v="135"/>
    <s v="MG"/>
    <s v="Eixo Principal"/>
    <s v="Coinc"/>
    <s v="135BMG0880"/>
    <s v="ENTR BR-040(A)"/>
    <s v="ACESSO NORTE DE PARAOPEBA"/>
    <n v="671.7"/>
    <n v="685.7"/>
    <n v="14"/>
    <x v="0"/>
    <m/>
    <s v="040BMG0240"/>
    <s v="Concessão Federal"/>
    <m/>
    <m/>
    <m/>
    <s v="Federal"/>
    <s v="PAV"/>
    <s v="Bom Despacho"/>
  </r>
  <r>
    <x v="0"/>
    <s v="135BMG0890"/>
    <n v="0"/>
    <x v="113"/>
    <s v="0890"/>
    <n v="-44.430938559966499"/>
    <n v="-19.2353446102654"/>
    <n v="-44.392100719572497"/>
    <n v="-19.288099640086202"/>
    <s v="135"/>
    <s v="MG"/>
    <s v="Eixo Principal"/>
    <s v="Coinc"/>
    <s v="135BMG0890"/>
    <s v="ACESSO NORTE DE PARAOPEBA"/>
    <s v="ACESSO SUL DE PARAOPEBA"/>
    <n v="685.7"/>
    <n v="694"/>
    <n v="8.3000000000000007"/>
    <x v="0"/>
    <m/>
    <s v="040BMG0250"/>
    <s v="Concessão Federal"/>
    <m/>
    <m/>
    <m/>
    <s v="Federal"/>
    <s v="PAV"/>
    <s v="Bom Despacho"/>
  </r>
  <r>
    <x v="0"/>
    <s v="135BMG0900"/>
    <n v="0"/>
    <x v="113"/>
    <s v="0900"/>
    <n v="-44.392100719572497"/>
    <n v="-19.288099640086202"/>
    <n v="-44.377923650356102"/>
    <n v="-19.301650319806299"/>
    <s v="135"/>
    <s v="MG"/>
    <s v="Eixo Principal"/>
    <s v="Coinc"/>
    <s v="135BMG0900"/>
    <s v="ACESSO SUL DE PARAOPEBA"/>
    <s v="ENTR MG-231"/>
    <n v="694"/>
    <n v="696"/>
    <n v="2"/>
    <x v="0"/>
    <m/>
    <s v="040BMG0260"/>
    <s v="Concessão Federal"/>
    <m/>
    <m/>
    <m/>
    <s v="Federal"/>
    <s v="PAV"/>
    <s v="Bom Despacho"/>
  </r>
  <r>
    <x v="0"/>
    <s v="135BMG0910"/>
    <n v="0"/>
    <x v="113"/>
    <s v="0910"/>
    <n v="-44.377923650356102"/>
    <n v="-19.301650319806299"/>
    <n v="-44.288587500212898"/>
    <n v="-19.477306640189202"/>
    <s v="135"/>
    <s v="MG"/>
    <s v="Eixo Principal"/>
    <s v="Coinc"/>
    <s v="135BMG0910"/>
    <s v="ENTR MG-231"/>
    <s v="ENTR MG-424 (P/SETE LAGOAS)"/>
    <n v="696"/>
    <n v="719.3"/>
    <n v="23.3"/>
    <x v="0"/>
    <m/>
    <s v="040BMG0270"/>
    <s v="Concessão Federal"/>
    <m/>
    <m/>
    <m/>
    <s v="Federal"/>
    <s v="PAV"/>
    <s v="Bom Despacho"/>
  </r>
  <r>
    <x v="0"/>
    <s v="135BMG0930"/>
    <n v="0"/>
    <x v="113"/>
    <s v="0930"/>
    <n v="-44.288587500212898"/>
    <n v="-19.477306640189202"/>
    <n v="-44.280134519592302"/>
    <n v="-19.491868710072801"/>
    <s v="135"/>
    <s v="MG"/>
    <s v="Eixo Principal"/>
    <s v="Coinc"/>
    <s v="135BMG0930"/>
    <s v="ENTR MG-424 (P/SETE LAGOAS)"/>
    <s v="ENTR MG-238 (P/SETE LAGOAS)"/>
    <n v="719.3"/>
    <n v="721.3"/>
    <n v="2"/>
    <x v="0"/>
    <m/>
    <s v="040BMG0290"/>
    <s v="Concessão Federal"/>
    <m/>
    <m/>
    <m/>
    <s v="Federal"/>
    <s v="PAV"/>
    <s v="Bom Despacho"/>
  </r>
  <r>
    <x v="0"/>
    <s v="135BMG0970"/>
    <n v="0"/>
    <x v="113"/>
    <s v="0970"/>
    <n v="-44.280134519592302"/>
    <n v="-19.491868710072801"/>
    <n v="-44.1299555404158"/>
    <n v="-19.7649532596851"/>
    <s v="135"/>
    <s v="MG"/>
    <s v="Eixo Principal"/>
    <s v="Coinc"/>
    <s v="135BMG0970"/>
    <s v="ENTR MG-238 (P/SETE LAGOAS)"/>
    <s v="ENTR MG-432 (P/ESMERALDAS)"/>
    <n v="721.3"/>
    <n v="756.7"/>
    <n v="35.4"/>
    <x v="0"/>
    <m/>
    <s v="040BMG0330"/>
    <s v="Concessão Federal"/>
    <m/>
    <m/>
    <m/>
    <s v="Federal"/>
    <s v="PAV"/>
    <s v="Contagem"/>
  </r>
  <r>
    <x v="0"/>
    <s v="135BMG0990"/>
    <n v="0"/>
    <x v="113"/>
    <s v="0990"/>
    <n v="-44.1299555404158"/>
    <n v="-19.7649532596851"/>
    <n v="-44.0060609999151"/>
    <n v="-19.926556830433299"/>
    <s v="135"/>
    <s v="MG"/>
    <s v="Eixo Principal"/>
    <s v="Coinc"/>
    <s v="135BMG0990"/>
    <s v="ENTR MG-432 (P/ESMERALDAS)"/>
    <s v="ENTR BR-040(B)/262/381 (ANEL RODOVIÁRIO BELO HORIZONTE)"/>
    <n v="756.7"/>
    <n v="781.2"/>
    <n v="24.5"/>
    <x v="0"/>
    <m/>
    <s v="040BMG0360"/>
    <s v="Concessão Federal"/>
    <m/>
    <m/>
    <m/>
    <s v="Federal"/>
    <s v="PAV"/>
    <s v="Contagem"/>
  </r>
  <r>
    <x v="0"/>
    <s v="135BPI0370"/>
    <n v="0"/>
    <x v="114"/>
    <s v="0370"/>
    <n v="-43.571295859815997"/>
    <n v="-6.7481426399708004"/>
    <n v="-43.575478419593303"/>
    <n v="-7.0450115102729498"/>
    <s v="135"/>
    <s v="PI"/>
    <s v="Eixo Principal"/>
    <s v="-"/>
    <s v="135BPI0370"/>
    <s v="DIV MA/PI (GUADALUPE)"/>
    <s v="ENTR PI-240"/>
    <n v="0"/>
    <n v="28.3"/>
    <n v="28.3"/>
    <x v="1"/>
    <m/>
    <m/>
    <s v="Estadual"/>
    <m/>
    <s v="PI-218"/>
    <s v="PAV"/>
    <s v="Estadual"/>
    <s v="PLA"/>
    <s v="Floriano"/>
  </r>
  <r>
    <x v="0"/>
    <s v="135BPI0375"/>
    <n v="0"/>
    <x v="114"/>
    <s v="0375"/>
    <n v="-43.575478419593303"/>
    <n v="-7.0450115102729498"/>
    <n v="-43.494919589667198"/>
    <n v="-7.08050637996541"/>
    <s v="135"/>
    <s v="PI"/>
    <s v="Eixo Principal"/>
    <s v="-"/>
    <s v="135BPI0375"/>
    <s v="ENTR PI-240"/>
    <s v="ENTR BR-343(A)/PI-250(A)"/>
    <n v="28.3"/>
    <n v="38.799999999999997"/>
    <n v="10.5"/>
    <x v="1"/>
    <m/>
    <m/>
    <s v="Estadual"/>
    <m/>
    <s v="PI-218"/>
    <s v="PAV"/>
    <s v="Estadual"/>
    <s v="PLA"/>
    <s v="Floriano"/>
  </r>
  <r>
    <x v="0"/>
    <s v="135BPI0380"/>
    <n v="0"/>
    <x v="114"/>
    <s v="0380"/>
    <n v="-43.494919589667198"/>
    <n v="-7.08050637996541"/>
    <n v="-43.503448800421701"/>
    <n v="-7.0865524402428797"/>
    <s v="135"/>
    <s v="PI"/>
    <s v="Eixo Principal"/>
    <s v="-"/>
    <s v="135BPI0380"/>
    <s v="ENTR BR-343(A)/PI-250(A)"/>
    <s v="INÍCIO DE PISTA DUPLA (JERUMENHA)"/>
    <n v="38.799999999999997"/>
    <n v="40"/>
    <n v="1.2"/>
    <x v="2"/>
    <m/>
    <s v="343BPI0325"/>
    <s v="Federal"/>
    <m/>
    <m/>
    <m/>
    <s v="Federal"/>
    <s v="PAV"/>
    <s v="Floriano"/>
  </r>
  <r>
    <x v="0"/>
    <s v="135BPI0390"/>
    <n v="0"/>
    <x v="114"/>
    <s v="0390"/>
    <n v="-43.503448800421701"/>
    <n v="-7.0865524402428797"/>
    <n v="-43.505613490170298"/>
    <n v="-7.0880519302523304"/>
    <s v="135"/>
    <s v="PI"/>
    <s v="Eixo Principal"/>
    <s v="-"/>
    <s v="135BPI0390"/>
    <s v="INÍCIO DE PISTA DUPLA (JERUMENHA)"/>
    <s v="FIM DE PISTA DUPLA"/>
    <n v="40"/>
    <n v="40.299999999999997"/>
    <n v="0.3"/>
    <x v="0"/>
    <m/>
    <s v="343BPI0330"/>
    <s v="Federal"/>
    <m/>
    <m/>
    <m/>
    <s v="Federal"/>
    <s v="PAV"/>
    <s v="Floriano"/>
  </r>
  <r>
    <x v="0"/>
    <s v="135BPI0391"/>
    <n v="0"/>
    <x v="114"/>
    <s v="0391"/>
    <n v="-43.505613490170298"/>
    <n v="-7.0880519302523304"/>
    <n v="-43.507527010063399"/>
    <n v="-7.0879838398822699"/>
    <s v="135"/>
    <s v="PI"/>
    <s v="Eixo Principal"/>
    <s v="-"/>
    <s v="135BPI0391"/>
    <s v="FIM DE PISTA DUPLA"/>
    <s v="INÍCIO DE PISTA DUPLA"/>
    <n v="40.299999999999997"/>
    <n v="40.5"/>
    <n v="0.2"/>
    <x v="2"/>
    <m/>
    <s v="343BPI0331"/>
    <s v="Federal"/>
    <m/>
    <m/>
    <m/>
    <s v="Federal"/>
    <s v="PAV"/>
    <s v="Floriano"/>
  </r>
  <r>
    <x v="0"/>
    <s v="135BPI0392"/>
    <n v="0"/>
    <x v="114"/>
    <s v="0392"/>
    <n v="-43.507527010063399"/>
    <n v="-7.0879838398822699"/>
    <n v="-43.5086116697926"/>
    <n v="-7.0884640598684401"/>
    <s v="135"/>
    <s v="PI"/>
    <s v="Eixo Principal"/>
    <s v="-"/>
    <s v="135BPI0392"/>
    <s v="INÍCIO DE PISTA DUPLA"/>
    <s v="FIM DE PISTA DUPLA"/>
    <n v="40.5"/>
    <n v="40.6"/>
    <n v="0.1"/>
    <x v="0"/>
    <m/>
    <s v="343BPI0332"/>
    <s v="Federal"/>
    <m/>
    <m/>
    <m/>
    <s v="Federal"/>
    <s v="PAV"/>
    <s v="Floriano"/>
  </r>
  <r>
    <x v="0"/>
    <s v="135BPI0393"/>
    <n v="0"/>
    <x v="114"/>
    <s v="0393"/>
    <n v="-43.5086116697926"/>
    <n v="-7.0884640598684401"/>
    <n v="-43.718748070267097"/>
    <n v="-7.3175840902335301"/>
    <s v="135"/>
    <s v="PI"/>
    <s v="Eixo Principal"/>
    <s v="-"/>
    <s v="135BPI0393"/>
    <s v="FIM DE PISTA DUPLA"/>
    <s v="ENTR PI-219(A)"/>
    <n v="40.6"/>
    <n v="76.7"/>
    <n v="36.1"/>
    <x v="2"/>
    <m/>
    <s v="343BPI0333"/>
    <s v="Federal"/>
    <m/>
    <m/>
    <m/>
    <s v="Federal"/>
    <s v="PAV"/>
    <s v="Floriano"/>
  </r>
  <r>
    <x v="0"/>
    <s v="135BPI0395"/>
    <n v="0"/>
    <x v="114"/>
    <s v="0395"/>
    <n v="-43.718748070267097"/>
    <n v="-7.3175840902335301"/>
    <n v="-43.784371889550997"/>
    <n v="-7.3955094102310497"/>
    <s v="135"/>
    <s v="PI"/>
    <s v="Eixo Principal"/>
    <s v="-"/>
    <s v="135BPI0395"/>
    <s v="ENTR PI-219(A)"/>
    <s v="ENTR PI-219(B) (SANTA FÉ)"/>
    <n v="76.7"/>
    <n v="88"/>
    <n v="11.3"/>
    <x v="2"/>
    <m/>
    <s v="343BPI0334"/>
    <s v="Federal"/>
    <m/>
    <m/>
    <m/>
    <s v="Federal"/>
    <s v="PAV"/>
    <s v="Floriano"/>
  </r>
  <r>
    <x v="0"/>
    <s v="135BPI0397"/>
    <n v="0"/>
    <x v="114"/>
    <s v="0397"/>
    <n v="-43.784371889550997"/>
    <n v="-7.3955094102310497"/>
    <n v="-43.964888809970503"/>
    <n v="-7.6028161397529699"/>
    <s v="135"/>
    <s v="PI"/>
    <s v="Eixo Principal"/>
    <s v="-"/>
    <s v="135BPI0397"/>
    <s v="ENTR PI-219(B) (SANTA FÉ)"/>
    <s v="ENTR BR-324(A)/PI-247(A)"/>
    <n v="88"/>
    <n v="119.5"/>
    <n v="31.5"/>
    <x v="2"/>
    <m/>
    <s v="343BPI0335"/>
    <s v="Federal"/>
    <m/>
    <m/>
    <m/>
    <s v="Federal"/>
    <s v="PAV"/>
    <s v="Floriano"/>
  </r>
  <r>
    <x v="0"/>
    <s v="135BPI0400"/>
    <n v="0"/>
    <x v="114"/>
    <s v="0400"/>
    <n v="-43.964888809970503"/>
    <n v="-7.6028161397529699"/>
    <n v="-43.959528859569097"/>
    <n v="-7.6189688198551204"/>
    <s v="135"/>
    <s v="PI"/>
    <s v="Eixo Principal"/>
    <s v="-"/>
    <s v="135BPI0400"/>
    <s v="ENTR BR-324(A)/PI-247(A)"/>
    <s v="ENTR BR-343(B)/PI-247(B) (BERTOLÍNIA)"/>
    <n v="119.5"/>
    <n v="121.4"/>
    <n v="1.9"/>
    <x v="2"/>
    <m/>
    <s v="324BPI0080;343BPI0340"/>
    <s v="Federal"/>
    <m/>
    <m/>
    <m/>
    <s v="Federal"/>
    <s v="PAV"/>
    <s v="Floriano"/>
  </r>
  <r>
    <x v="0"/>
    <s v="135BPI0405"/>
    <n v="0"/>
    <x v="114"/>
    <s v="0405"/>
    <n v="-43.959528859569097"/>
    <n v="-7.6189688198551204"/>
    <n v="-43.952896429626399"/>
    <n v="-7.6505607595713601"/>
    <s v="135"/>
    <s v="PI"/>
    <s v="Eixo Principal"/>
    <s v="-"/>
    <s v="135BPI0405"/>
    <s v="ENTR BR-343(B)/PI-247(B) (BERTOLÍNIA)"/>
    <s v="FIM DO CONTORNO DE BERTOLÍNIA"/>
    <n v="121.4"/>
    <n v="125.3"/>
    <n v="3.9"/>
    <x v="2"/>
    <m/>
    <s v="324BPI0085"/>
    <s v="Federal"/>
    <m/>
    <m/>
    <m/>
    <s v="Federal"/>
    <s v="PAV"/>
    <s v="Floriano"/>
  </r>
  <r>
    <x v="0"/>
    <s v="135BPI0410"/>
    <n v="0"/>
    <x v="114"/>
    <s v="0410"/>
    <n v="-43.952896429626399"/>
    <n v="-7.6505607595713601"/>
    <n v="-43.872916999619797"/>
    <n v="-8.0046335500982195"/>
    <s v="135"/>
    <s v="PI"/>
    <s v="Eixo Principal"/>
    <s v="-"/>
    <s v="135BPI0410"/>
    <s v="FIM DO CONTORNO DE BERTOLÍNIA"/>
    <s v="RUA JUSCELINO KUBITSCHEK (MANOEL EMÍDIO)"/>
    <n v="125.3"/>
    <n v="176.8"/>
    <n v="51.5"/>
    <x v="2"/>
    <m/>
    <s v="324BPI0090"/>
    <s v="Federal"/>
    <m/>
    <m/>
    <m/>
    <s v="Federal"/>
    <s v="PAV"/>
    <s v="Floriano"/>
  </r>
  <r>
    <x v="0"/>
    <s v="135BPI0415"/>
    <n v="0"/>
    <x v="114"/>
    <s v="0415"/>
    <n v="-43.872916999619797"/>
    <n v="-8.0046335500982195"/>
    <n v="-43.783194339746899"/>
    <n v="-8.0975072500594898"/>
    <s v="135"/>
    <s v="PI"/>
    <s v="Eixo Principal"/>
    <s v="-"/>
    <s v="135BPI0415"/>
    <s v="RUA JUSCELINO KUBITSCHEK (MANOEL EMÍDIO)"/>
    <s v="ENTR PI-394 (COLÔNIA DO PADRE)"/>
    <n v="176.8"/>
    <n v="195.8"/>
    <n v="19"/>
    <x v="2"/>
    <m/>
    <s v="324BPI0095"/>
    <s v="Federal"/>
    <m/>
    <m/>
    <m/>
    <s v="Federal"/>
    <s v="PAV"/>
    <s v="Floriano"/>
  </r>
  <r>
    <x v="0"/>
    <s v="135BPI0417"/>
    <n v="0"/>
    <x v="114"/>
    <s v="0417"/>
    <n v="-43.783194339746899"/>
    <n v="-8.0975072500594898"/>
    <n v="-43.665816810197597"/>
    <n v="-8.09639826007162"/>
    <s v="135"/>
    <s v="PI"/>
    <s v="Eixo Principal"/>
    <s v="-"/>
    <s v="135BPI0417"/>
    <s v="ENTR PI-394 (COLÔNIA DO PADRE)"/>
    <s v="ENTR BR-324(B)/PI-141/250(B) (ELISEU MARTINS)"/>
    <n v="195.8"/>
    <n v="209.8"/>
    <n v="14"/>
    <x v="2"/>
    <m/>
    <s v="324BPI0097"/>
    <s v="Federal"/>
    <m/>
    <m/>
    <m/>
    <s v="Federal"/>
    <s v="PAV"/>
    <s v="Floriano"/>
  </r>
  <r>
    <x v="0"/>
    <s v="135BPI0420"/>
    <n v="0"/>
    <x v="114"/>
    <s v="0420"/>
    <n v="-43.665816810197597"/>
    <n v="-8.09639826007162"/>
    <n v="-43.791909259604601"/>
    <n v="-8.18700162962147"/>
    <s v="135"/>
    <s v="PI"/>
    <s v="Eixo Principal"/>
    <s v="-"/>
    <s v="135BPI0420"/>
    <s v="ENTR BR-324(B)/PI-141/250(B) (ELISEU MARTINS)"/>
    <s v="ENTR PI-394 (COLÔNIA DO GURGUÉIA)"/>
    <n v="209.8"/>
    <n v="227.9"/>
    <n v="18.100000000000001"/>
    <x v="2"/>
    <m/>
    <m/>
    <s v="Federal"/>
    <m/>
    <m/>
    <m/>
    <s v="Federal"/>
    <s v="PAV"/>
    <s v="Floriano"/>
  </r>
  <r>
    <x v="0"/>
    <s v="135BPI0423"/>
    <n v="0"/>
    <x v="114"/>
    <s v="0423"/>
    <n v="-43.791909259604601"/>
    <n v="-8.18700162962147"/>
    <n v="-43.879882890083202"/>
    <n v="-8.4337245400554295"/>
    <s v="135"/>
    <s v="PI"/>
    <s v="Eixo Principal"/>
    <s v="-"/>
    <s v="135BPI0423"/>
    <s v="ENTR PI-394 (COLÔNIA DO GURGUÉIA)"/>
    <s v="P/ALVORADA DO GURGUÉIA"/>
    <n v="227.9"/>
    <n v="258.2"/>
    <n v="30.3"/>
    <x v="2"/>
    <m/>
    <m/>
    <s v="Federal"/>
    <m/>
    <m/>
    <m/>
    <s v="Federal"/>
    <s v="PAV"/>
    <s v="Floriano"/>
  </r>
  <r>
    <x v="0"/>
    <s v="135BPI0425"/>
    <n v="0"/>
    <x v="114"/>
    <s v="0425"/>
    <n v="-43.879882890083202"/>
    <n v="-8.4337245400554295"/>
    <n v="-44.0767377095775"/>
    <n v="-8.6876863697301498"/>
    <s v="135"/>
    <s v="PI"/>
    <s v="Eixo Principal"/>
    <s v="-"/>
    <s v="135BPI0425"/>
    <s v="P/ALVORADA DO GURGUÉIA"/>
    <s v="ENTR PI-396"/>
    <n v="258.2"/>
    <n v="295.2"/>
    <n v="37"/>
    <x v="2"/>
    <m/>
    <m/>
    <s v="Federal"/>
    <m/>
    <m/>
    <m/>
    <s v="Federal"/>
    <s v="PAV"/>
    <s v="Floriano"/>
  </r>
  <r>
    <x v="0"/>
    <s v="135BPI0427"/>
    <n v="0"/>
    <x v="114"/>
    <s v="0427"/>
    <n v="-44.0767377095775"/>
    <n v="-8.6876863697301498"/>
    <n v="-44.194604699647101"/>
    <n v="-8.7809506704370506"/>
    <s v="135"/>
    <s v="PI"/>
    <s v="Eixo Principal"/>
    <s v="-"/>
    <s v="135BPI0427"/>
    <s v="ENTR PI-396"/>
    <s v="ENTR PI-252(A)"/>
    <n v="295.2"/>
    <n v="311.89999999999998"/>
    <n v="16.7"/>
    <x v="2"/>
    <m/>
    <m/>
    <s v="Federal"/>
    <m/>
    <m/>
    <m/>
    <s v="Federal"/>
    <s v="PAV"/>
    <s v="Floriano"/>
  </r>
  <r>
    <x v="0"/>
    <s v="135BPI0430"/>
    <n v="0"/>
    <x v="114"/>
    <s v="0430"/>
    <n v="-44.194604699647101"/>
    <n v="-8.7809506704370506"/>
    <n v="-44.221719629856899"/>
    <n v="-8.8168151497992504"/>
    <s v="135"/>
    <s v="PI"/>
    <s v="Eixo Principal"/>
    <s v="-"/>
    <s v="135BPI0430"/>
    <s v="ENTR PI-252(A)"/>
    <s v="CRISTINO CASTRO"/>
    <n v="311.89999999999998"/>
    <n v="316.8"/>
    <n v="4.9000000000000004"/>
    <x v="2"/>
    <m/>
    <m/>
    <s v="Federal"/>
    <m/>
    <m/>
    <m/>
    <s v="Federal"/>
    <s v="PAV"/>
    <s v="Floriano"/>
  </r>
  <r>
    <x v="0"/>
    <s v="135BPI0435"/>
    <n v="0"/>
    <x v="114"/>
    <s v="0435"/>
    <n v="-44.221719629856899"/>
    <n v="-8.8168151497992504"/>
    <n v="-44.239907160087299"/>
    <n v="-8.8668182703468599"/>
    <s v="135"/>
    <s v="PI"/>
    <s v="Eixo Principal"/>
    <s v="-"/>
    <s v="135BPI0435"/>
    <s v="CRISTINO CASTRO"/>
    <s v="ENTR PI-252(B)"/>
    <n v="316.8"/>
    <n v="322.89999999999998"/>
    <n v="6.1"/>
    <x v="2"/>
    <m/>
    <m/>
    <s v="Federal"/>
    <m/>
    <m/>
    <m/>
    <s v="Federal"/>
    <s v="PAV"/>
    <s v="Floriano"/>
  </r>
  <r>
    <x v="0"/>
    <s v="135BPI0440"/>
    <n v="0"/>
    <x v="114"/>
    <s v="0440"/>
    <n v="-44.239907160087299"/>
    <n v="-8.8668182703468599"/>
    <n v="-44.360655290209401"/>
    <n v="-9.0784687100628503"/>
    <s v="135"/>
    <s v="PI"/>
    <s v="Eixo Principal"/>
    <s v="-"/>
    <s v="135BPI0440"/>
    <s v="ENTR PI-252(B)"/>
    <s v="ENTR BR-235(A)/330(A) (BOM JESUS)"/>
    <n v="322.89999999999998"/>
    <n v="352.8"/>
    <n v="29.9"/>
    <x v="2"/>
    <m/>
    <m/>
    <s v="Federal"/>
    <m/>
    <m/>
    <m/>
    <s v="Federal"/>
    <s v="PAV"/>
    <s v="Floriano"/>
  </r>
  <r>
    <x v="0"/>
    <s v="135BPI0450"/>
    <n v="0"/>
    <x v="114"/>
    <s v="0450"/>
    <n v="-44.360655290209401"/>
    <n v="-9.0784687100628503"/>
    <n v="-44.602009409906302"/>
    <n v="-9.4712710500189097"/>
    <s v="135"/>
    <s v="PI"/>
    <s v="Eixo Principal"/>
    <s v="-"/>
    <s v="135BPI0450"/>
    <s v="ENTR BR-235(A)/330(A) (BOM JESUS)"/>
    <s v="ENTR BR-330(B)/PI-257 (P/REDENÇÃO DO GURGÉIA)"/>
    <n v="352.8"/>
    <n v="408.1"/>
    <n v="55.3"/>
    <x v="2"/>
    <m/>
    <s v="330BPI0070;235BPI0410"/>
    <s v="Federal"/>
    <m/>
    <m/>
    <m/>
    <s v="Federal"/>
    <s v="PAV"/>
    <s v="Floriano"/>
  </r>
  <r>
    <x v="0"/>
    <s v="135BPI0470"/>
    <n v="0"/>
    <x v="114"/>
    <s v="0470"/>
    <n v="-44.602009409906302"/>
    <n v="-9.4712710500189097"/>
    <n v="-45.304642760155197"/>
    <n v="-9.7490576995531306"/>
    <s v="135"/>
    <s v="PI"/>
    <s v="Eixo Principal"/>
    <s v="-"/>
    <s v="135BPI0470"/>
    <s v="ENTR BR-330(B)/PI-257 (P/REDENÇÃO DO GURGÉIA)"/>
    <s v="MONTE ALEGRE DO PIAUÍ"/>
    <n v="408.1"/>
    <n v="504.4"/>
    <n v="96.3"/>
    <x v="2"/>
    <m/>
    <s v="235BPI0412"/>
    <s v="Federal"/>
    <m/>
    <m/>
    <m/>
    <s v="Federal"/>
    <s v="PAV"/>
    <s v="Floriano"/>
  </r>
  <r>
    <x v="0"/>
    <s v="135BPI0475"/>
    <n v="0"/>
    <x v="114"/>
    <s v="0475"/>
    <n v="-45.304642760155197"/>
    <n v="-9.7490576995531306"/>
    <n v="-45.319018360109098"/>
    <n v="-9.7679984803455593"/>
    <s v="135"/>
    <s v="PI"/>
    <s v="Eixo Principal"/>
    <s v="-"/>
    <s v="135BPI0475"/>
    <s v="MONTE ALEGRE DO PIAUÍ"/>
    <s v="ENTR BR-235(B)/PI-254"/>
    <n v="504.4"/>
    <n v="507.2"/>
    <n v="2.8"/>
    <x v="2"/>
    <m/>
    <s v="235BPI0415"/>
    <s v="Federal"/>
    <m/>
    <m/>
    <m/>
    <s v="Federal"/>
    <s v="PAV"/>
    <s v="Floriano"/>
  </r>
  <r>
    <x v="0"/>
    <s v="135BPI0480"/>
    <n v="0"/>
    <x v="114"/>
    <s v="0480"/>
    <n v="-45.319018360109098"/>
    <n v="-9.7679984803455593"/>
    <n v="-45.3442816401855"/>
    <n v="-9.8353785200026707"/>
    <s v="135"/>
    <s v="PI"/>
    <s v="Eixo Principal"/>
    <s v="-"/>
    <s v="135BPI0480"/>
    <s v="ENTR BR-235(B)/PI-254"/>
    <s v="ENTR PI-254 (GILBUÉS)"/>
    <n v="507.2"/>
    <n v="515.5"/>
    <n v="8.3000000000000007"/>
    <x v="2"/>
    <m/>
    <m/>
    <s v="Federal"/>
    <m/>
    <m/>
    <m/>
    <s v="Federal"/>
    <s v="PAV"/>
    <s v="Floriano"/>
  </r>
  <r>
    <x v="0"/>
    <s v="135BPI0490"/>
    <n v="0"/>
    <x v="114"/>
    <s v="0490"/>
    <n v="-45.3442816401855"/>
    <n v="-9.8353785200026707"/>
    <n v="-45.318239020214499"/>
    <n v="-10.0047430196745"/>
    <s v="135"/>
    <s v="PI"/>
    <s v="Eixo Principal"/>
    <s v="-"/>
    <s v="135BPI0490"/>
    <s v="ENTR PI-254 (GILBUÉS)"/>
    <s v="ENTR PI-260 (P/BARREIRAS DO PIAUÍ)"/>
    <n v="515.5"/>
    <n v="535.1"/>
    <n v="19.600000000000001"/>
    <x v="2"/>
    <m/>
    <m/>
    <s v="Federal"/>
    <m/>
    <m/>
    <m/>
    <s v="Federal"/>
    <s v="PAV"/>
    <s v="Floriano"/>
  </r>
  <r>
    <x v="0"/>
    <s v="135BPI0495"/>
    <n v="0"/>
    <x v="114"/>
    <s v="0495"/>
    <n v="-45.318239020214499"/>
    <n v="-10.0047430196745"/>
    <n v="-45.173276539680501"/>
    <n v="-10.4410900699507"/>
    <s v="135"/>
    <s v="PI"/>
    <s v="Eixo Principal"/>
    <s v="-"/>
    <s v="135BPI0495"/>
    <s v="ENTR PI-260 (P/BARREIRAS DO PIAUÍ)"/>
    <s v="ENTR PI-255 (CORRENTE)"/>
    <n v="535.1"/>
    <n v="590.29999999999995"/>
    <n v="55.2"/>
    <x v="2"/>
    <m/>
    <m/>
    <s v="Federal"/>
    <m/>
    <m/>
    <m/>
    <s v="Federal"/>
    <s v="PAV"/>
    <s v="Floriano"/>
  </r>
  <r>
    <x v="0"/>
    <s v="135BPI0510"/>
    <n v="0"/>
    <x v="114"/>
    <s v="0510"/>
    <n v="-45.173276539680501"/>
    <n v="-10.4410900699507"/>
    <n v="-45.178721190030799"/>
    <n v="-10.6507616396378"/>
    <s v="135"/>
    <s v="PI"/>
    <s v="Eixo Principal"/>
    <s v="-"/>
    <s v="135BPI0510"/>
    <s v="ENTR PI-255 (CORRENTE)"/>
    <s v="CRISTALÂNDIA"/>
    <n v="590.29999999999995"/>
    <n v="618.1"/>
    <n v="27.8"/>
    <x v="2"/>
    <m/>
    <m/>
    <s v="Federal"/>
    <m/>
    <m/>
    <m/>
    <s v="Federal"/>
    <s v="PAV"/>
    <s v="Floriano"/>
  </r>
  <r>
    <x v="0"/>
    <s v="135BPI0511"/>
    <n v="0"/>
    <x v="114"/>
    <s v="0511"/>
    <n v="-45.178721190030799"/>
    <n v="-10.6507616396378"/>
    <n v="-45.153812839990501"/>
    <n v="-10.8390778099928"/>
    <s v="135"/>
    <s v="PI"/>
    <s v="Eixo Principal"/>
    <s v="-"/>
    <s v="135BPI0511"/>
    <s v="CRISTALÂNDIA"/>
    <s v="DIV PI/BA"/>
    <n v="618.1"/>
    <n v="641"/>
    <n v="22.9"/>
    <x v="2"/>
    <m/>
    <m/>
    <s v="Federal"/>
    <m/>
    <m/>
    <m/>
    <s v="Federal"/>
    <s v="PAV"/>
    <s v="Floriano"/>
  </r>
  <r>
    <x v="0"/>
    <s v="135CBA1005"/>
    <n v="0"/>
    <x v="115"/>
    <s v="1005"/>
    <n v="-44.4809686295985"/>
    <n v="-13.8180568598361"/>
    <n v="-44.4515976601039"/>
    <n v="-13.8385863802571"/>
    <s v="135"/>
    <s v="BA"/>
    <s v="Contorno"/>
    <s v="-"/>
    <s v="135CBA1005"/>
    <s v="ENTR. BA-172(B)/601 (ENTR. INÍCIO CONTORNO CORIBE)"/>
    <s v="ENTR. BA-172(B)/601 (ENTR. FIM CONTORNO CORIBE)"/>
    <n v="0"/>
    <n v="6"/>
    <n v="6"/>
    <x v="5"/>
    <s v="EOP"/>
    <m/>
    <s v="Federal"/>
    <m/>
    <m/>
    <m/>
    <s v="Federal"/>
    <s v="N_PAV"/>
    <s v="Vitória da Conquista"/>
  </r>
  <r>
    <x v="0"/>
    <s v="135CMG1005"/>
    <n v="0"/>
    <x v="116"/>
    <s v="1005"/>
    <n v="-43.9963817100478"/>
    <n v="-14.726853369787101"/>
    <n v="-43.992854079751901"/>
    <n v="-14.7833869200702"/>
    <s v="135"/>
    <s v="MG"/>
    <s v="Contorno"/>
    <s v="-"/>
    <s v="135CMG1005"/>
    <s v="ENTR BR-135 (KM 85)"/>
    <s v="ENTR BR-135 (KM 93)(CONTORNO DE MANGA)"/>
    <n v="0"/>
    <n v="4.0999999999999996"/>
    <n v="4.0999999999999996"/>
    <x v="1"/>
    <m/>
    <m/>
    <s v="Federal"/>
    <m/>
    <m/>
    <m/>
    <s v="Federal"/>
    <s v="PLA"/>
    <s v="Montes Claros"/>
  </r>
  <r>
    <x v="0"/>
    <s v="135CMG2005"/>
    <n v="0"/>
    <x v="116"/>
    <s v="2005"/>
    <n v="-44.080553229947498"/>
    <n v="-14.872673510374099"/>
    <n v="-44.0794563700154"/>
    <n v="-14.8904601696011"/>
    <s v="135"/>
    <s v="MG"/>
    <s v="Contorno"/>
    <s v="-"/>
    <s v="135CMG2005"/>
    <s v="ENTR BR-135 (KM 109)"/>
    <s v="ENTR BR-135 (KM 111)(CONTORNO DE S J DAS MISSÕES)"/>
    <n v="0"/>
    <n v="1.9"/>
    <n v="1.9"/>
    <x v="1"/>
    <m/>
    <m/>
    <s v="Federal"/>
    <m/>
    <m/>
    <m/>
    <s v="Federal"/>
    <s v="PLA"/>
    <s v="Montes Claros"/>
  </r>
  <r>
    <x v="0"/>
    <s v="135CMG3005"/>
    <n v="0"/>
    <x v="116"/>
    <s v="3005"/>
    <n v="-44.067441110019097"/>
    <n v="-14.9394710501488"/>
    <n v="-44.067948199949299"/>
    <n v="-14.949057109997501"/>
    <s v="135"/>
    <s v="MG"/>
    <s v="Contorno"/>
    <s v="-"/>
    <s v="135CMG3005"/>
    <s v="ENTR BR-135 (KM 119)"/>
    <s v="ENTR BR-135 (KM 120)(CONTORNO DE RANCHARIA)"/>
    <n v="0"/>
    <n v="1.6"/>
    <n v="1.6"/>
    <x v="1"/>
    <m/>
    <m/>
    <s v="Federal"/>
    <m/>
    <m/>
    <m/>
    <s v="Federal"/>
    <s v="PLA"/>
    <s v="Montes Claros"/>
  </r>
  <r>
    <x v="0"/>
    <s v="135CMG4005"/>
    <n v="0"/>
    <x v="116"/>
    <s v="4005"/>
    <n v="-44.090460020413502"/>
    <n v="-15.087345180235801"/>
    <n v="-44.1042493496277"/>
    <n v="-15.1039781801488"/>
    <s v="135"/>
    <s v="MG"/>
    <s v="Contorno"/>
    <s v="-"/>
    <s v="135CMG4005"/>
    <s v="ENTR BR-135 (KM 135)"/>
    <s v="ENTR BR-135 (KM 139)(CONTORNO DE ITACARAMBI)"/>
    <n v="0"/>
    <n v="3.7"/>
    <n v="3.7"/>
    <x v="1"/>
    <m/>
    <m/>
    <s v="Federal"/>
    <m/>
    <m/>
    <m/>
    <s v="Federal"/>
    <s v="PLA"/>
    <s v="Montes Claros"/>
  </r>
  <r>
    <x v="0"/>
    <s v="135CMG5005"/>
    <n v="0"/>
    <x v="116"/>
    <s v="5005"/>
    <n v="-44.440361839826998"/>
    <n v="-18.704202300195899"/>
    <n v="-44.463574830214199"/>
    <n v="-18.795818960176799"/>
    <s v="135"/>
    <s v="MG"/>
    <s v="Contorno"/>
    <s v="-"/>
    <s v="135CMG5005"/>
    <s v="INÍCIO CONTORNO CURVELO"/>
    <s v="FIM CONTORNO CURVELO"/>
    <n v="0"/>
    <n v="11.6"/>
    <n v="11.6"/>
    <x v="1"/>
    <m/>
    <m/>
    <s v="Estadual"/>
    <m/>
    <s v="MGT-135"/>
    <s v="PAV"/>
    <s v="Estadual"/>
    <s v="PLA"/>
    <s v="Bom Despacho"/>
  </r>
  <r>
    <x v="0"/>
    <s v="135CMG6005"/>
    <n v="0"/>
    <x v="116"/>
    <s v="6005"/>
    <n v="-43.878533419581601"/>
    <n v="-16.679744379599398"/>
    <n v="-43.799485070279701"/>
    <n v="-16.676575889965299"/>
    <s v="135"/>
    <s v="MG"/>
    <s v="Contorno"/>
    <s v="-"/>
    <s v="135CMG6005"/>
    <s v="ENTR BR-135"/>
    <s v="ENTR BR-251 (CONTORNO DE MONTES CLAROS)"/>
    <n v="0"/>
    <n v="8.6"/>
    <n v="8.6"/>
    <x v="1"/>
    <m/>
    <s v="251NMG1020"/>
    <s v="Federal"/>
    <m/>
    <m/>
    <m/>
    <s v="Federal"/>
    <s v="PLA"/>
    <s v="Montes Claros"/>
  </r>
  <r>
    <x v="0"/>
    <s v="135CMG6010"/>
    <n v="0"/>
    <x v="116"/>
    <s v="6010"/>
    <n v="-43.799485070279701"/>
    <n v="-16.676575889965299"/>
    <n v="-43.841509939831802"/>
    <n v="-16.768631050382599"/>
    <s v="135"/>
    <s v="MG"/>
    <s v="Contorno"/>
    <s v="-"/>
    <s v="135CMG6010"/>
    <s v="ENTR BR-251 (CONTORNO DE MONTES CLAROS)"/>
    <s v="ENTR BR-135 (CONTORNO LESTE DE MONTES CLAROS)"/>
    <n v="8.6"/>
    <n v="30.6"/>
    <n v="22"/>
    <x v="1"/>
    <m/>
    <s v="251NMG1005"/>
    <s v="Estadual"/>
    <m/>
    <s v="MG653"/>
    <s v="PAV"/>
    <s v="Estadual"/>
    <s v="PLA"/>
    <s v="Montes Claros"/>
  </r>
  <r>
    <x v="0"/>
    <s v="146BMG0010"/>
    <n v="0"/>
    <x v="117"/>
    <s v="0010"/>
    <n v="-46.515228770191499"/>
    <n v="-18.605042449749099"/>
    <n v="-46.487401309822502"/>
    <n v="-18.638191060169198"/>
    <s v="146"/>
    <s v="MG"/>
    <s v="Eixo Principal"/>
    <s v="-"/>
    <s v="146BMG0010"/>
    <s v="ENTR R. LAURO SANTOS (PATOS DE MINAS)"/>
    <s v="ENTR BR-352(A)/354/365(A) (P/LAGOA FORMOSA)"/>
    <n v="0"/>
    <n v="4.9000000000000004"/>
    <n v="4.9000000000000004"/>
    <x v="2"/>
    <m/>
    <m/>
    <s v="Federal"/>
    <m/>
    <m/>
    <m/>
    <s v="Federal"/>
    <s v="PAV"/>
    <s v="Patos de Minas"/>
  </r>
  <r>
    <x v="0"/>
    <s v="146BMG0030"/>
    <n v="0"/>
    <x v="117"/>
    <s v="0030"/>
    <n v="-46.487401309822502"/>
    <n v="-18.638191060169198"/>
    <n v="-46.588334930012898"/>
    <n v="-18.6916481799195"/>
    <s v="146"/>
    <s v="MG"/>
    <s v="Eixo Principal"/>
    <s v="-"/>
    <s v="146BMG0030"/>
    <s v="ENTR BR-352(A)/354/365(A) (P/LAGOA FORMOSA)"/>
    <s v="ENTR BR-352(B) (P/COROMANDEL)"/>
    <n v="4.9000000000000004"/>
    <n v="17.600000000000001"/>
    <n v="12.7"/>
    <x v="2"/>
    <m/>
    <s v="352BMG0190;365BMG0170"/>
    <s v="Federal"/>
    <m/>
    <m/>
    <m/>
    <s v="Federal"/>
    <s v="PAV"/>
    <s v="Patos de Minas"/>
  </r>
  <r>
    <x v="0"/>
    <s v="146BMG0035"/>
    <n v="0"/>
    <x v="117"/>
    <s v="0035"/>
    <n v="-46.588334930012898"/>
    <n v="-18.6916481799195"/>
    <n v="-46.663875579794102"/>
    <n v="-18.7591164799415"/>
    <s v="146"/>
    <s v="MG"/>
    <s v="Eixo Principal"/>
    <s v="-"/>
    <s v="146BMG0035"/>
    <s v="ENTR BR-352(B) (P/COROMANDEL)"/>
    <s v="ENTR BR-365(B) (P/PATROCÍNIO)"/>
    <n v="17.600000000000001"/>
    <n v="29.2"/>
    <n v="11.6"/>
    <x v="2"/>
    <m/>
    <s v="365BMG0175"/>
    <s v="Federal"/>
    <m/>
    <m/>
    <m/>
    <s v="Federal"/>
    <s v="PAV"/>
    <s v="Patos de Minas"/>
  </r>
  <r>
    <x v="0"/>
    <s v="146BMG0050"/>
    <n v="0"/>
    <x v="117"/>
    <s v="0050"/>
    <n v="-46.663875579794102"/>
    <n v="-18.7591164799415"/>
    <n v="-46.609358389577899"/>
    <n v="-18.830238679571298"/>
    <s v="146"/>
    <s v="MG"/>
    <s v="Eixo Principal"/>
    <s v="-"/>
    <s v="146BMG0050"/>
    <s v="ENTR BR-365(B) (P/PATROCÍNIO)"/>
    <s v="ACESSO P/ SANTANA DOS PATOS"/>
    <n v="29.2"/>
    <n v="39.200000000000003"/>
    <n v="10"/>
    <x v="2"/>
    <m/>
    <m/>
    <s v="Federal"/>
    <m/>
    <m/>
    <m/>
    <s v="Federal"/>
    <s v="PAV"/>
    <s v="Patos de Minas"/>
  </r>
  <r>
    <x v="0"/>
    <s v="146BMG0055"/>
    <n v="0"/>
    <x v="117"/>
    <s v="0055"/>
    <n v="-46.609358389577899"/>
    <n v="-18.830238679571298"/>
    <n v="-46.671864709888297"/>
    <n v="-19.096097100101002"/>
    <s v="146"/>
    <s v="MG"/>
    <s v="Eixo Principal"/>
    <s v="-"/>
    <s v="146BMG0055"/>
    <s v="ACESSO P/ SANTANA DOS PATOS"/>
    <s v="ENTR MG-230 (SERRA DO SALITRE)"/>
    <n v="39.200000000000003"/>
    <n v="79.099999999999994"/>
    <n v="39.9"/>
    <x v="2"/>
    <m/>
    <m/>
    <s v="Federal"/>
    <m/>
    <m/>
    <m/>
    <s v="Federal"/>
    <s v="PAV"/>
    <s v="Patos de Minas"/>
  </r>
  <r>
    <x v="0"/>
    <s v="146BMG0060"/>
    <n v="0"/>
    <x v="117"/>
    <s v="0060"/>
    <n v="-46.671864709888297"/>
    <n v="-19.096097100101002"/>
    <n v="-46.742054139886498"/>
    <n v="-19.198903279662598"/>
    <s v="146"/>
    <s v="MG"/>
    <s v="Eixo Principal"/>
    <s v="-"/>
    <s v="146BMG0060"/>
    <s v="ENTR MG-230 (SERRA DO SALITRE)"/>
    <s v="ENTR MG-187"/>
    <n v="79.099999999999994"/>
    <n v="99.8"/>
    <n v="20.7"/>
    <x v="2"/>
    <m/>
    <m/>
    <s v="Federal"/>
    <m/>
    <m/>
    <m/>
    <s v="Federal"/>
    <s v="PAV"/>
    <s v="Patos de Minas"/>
  </r>
  <r>
    <x v="0"/>
    <s v="146BMG0070"/>
    <n v="0"/>
    <x v="117"/>
    <s v="0070"/>
    <n v="-46.742054139886498"/>
    <n v="-19.198903279662598"/>
    <n v="-46.891520689628003"/>
    <n v="-19.553275229667999"/>
    <s v="146"/>
    <s v="MG"/>
    <s v="Eixo Principal"/>
    <s v="-"/>
    <s v="146BMG0070"/>
    <s v="ENTR MG-187"/>
    <s v="ENTR BR-262"/>
    <n v="99.8"/>
    <n v="149.30000000000001"/>
    <n v="49.5"/>
    <x v="2"/>
    <m/>
    <m/>
    <s v="Federal"/>
    <m/>
    <m/>
    <m/>
    <s v="Federal"/>
    <s v="PAV"/>
    <s v="Patos de Minas"/>
  </r>
  <r>
    <x v="0"/>
    <s v="146BMG0090"/>
    <n v="0"/>
    <x v="117"/>
    <s v="0090"/>
    <n v="-46.891520689628003"/>
    <n v="-19.553275229667999"/>
    <n v="-46.932724960188601"/>
    <n v="-19.5921846399091"/>
    <s v="146"/>
    <s v="MG"/>
    <s v="Eixo Principal"/>
    <s v="-"/>
    <s v="146BMG0090"/>
    <s v="ENTR BR-262"/>
    <s v="ENTR BR-452 (ARAXÁ)"/>
    <n v="149.30000000000001"/>
    <n v="156"/>
    <n v="6.7"/>
    <x v="1"/>
    <m/>
    <m/>
    <s v="Estadual"/>
    <m/>
    <s v="MG-428"/>
    <s v="PAV"/>
    <s v="Estadual"/>
    <s v="PLA"/>
    <s v="Passos"/>
  </r>
  <r>
    <x v="0"/>
    <s v="146BMG0110"/>
    <n v="0"/>
    <x v="117"/>
    <s v="0110"/>
    <n v="-46.932724960188601"/>
    <n v="-19.5921846399091"/>
    <n v="-46.935076270053699"/>
    <n v="-19.700044270126899"/>
    <s v="146"/>
    <s v="MG"/>
    <s v="Eixo Principal"/>
    <s v="-"/>
    <s v="146BMG0110"/>
    <s v="ENTR BR-452 (ARAXÁ)"/>
    <s v="ENTR MG-341/428"/>
    <n v="156"/>
    <n v="169.9"/>
    <n v="13.9"/>
    <x v="1"/>
    <m/>
    <m/>
    <s v="Estadual"/>
    <m/>
    <s v="MG-428"/>
    <s v="PAV"/>
    <s v="Estadual"/>
    <s v="PLA"/>
    <s v="Passos"/>
  </r>
  <r>
    <x v="0"/>
    <s v="146BMG0130"/>
    <n v="0"/>
    <x v="117"/>
    <s v="0130"/>
    <n v="-46.935076270053699"/>
    <n v="-19.700044270126899"/>
    <n v="-46.855139449925602"/>
    <n v="-19.840334650323801"/>
    <s v="146"/>
    <s v="MG"/>
    <s v="Eixo Principal"/>
    <s v="-"/>
    <s v="146BMG0130"/>
    <s v="ENTR MG-341/428"/>
    <s v="FOSFÉRTIL"/>
    <n v="169.9"/>
    <n v="194.1"/>
    <n v="24.2"/>
    <x v="1"/>
    <m/>
    <m/>
    <s v="Estadual"/>
    <m/>
    <s v="MG-341"/>
    <s v="PAV"/>
    <s v="Estadual"/>
    <s v="PLA"/>
    <s v="Passos"/>
  </r>
  <r>
    <x v="0"/>
    <s v="146BMG0135"/>
    <n v="0"/>
    <x v="117"/>
    <s v="0135"/>
    <n v="-46.855139449925602"/>
    <n v="-19.840334650323801"/>
    <n v="-46.8268007303693"/>
    <n v="-19.923963700064601"/>
    <s v="146"/>
    <s v="MG"/>
    <s v="Eixo Principal"/>
    <s v="-"/>
    <s v="146BMG0135"/>
    <s v="FOSFÉRTIL"/>
    <s v="TAPIRA"/>
    <n v="194.1"/>
    <n v="211.7"/>
    <n v="17.600000000000001"/>
    <x v="1"/>
    <m/>
    <m/>
    <s v="Estadual"/>
    <m/>
    <s v="MG-341"/>
    <s v="PAV"/>
    <s v="Estadual"/>
    <s v="PLA"/>
    <s v="Passos"/>
  </r>
  <r>
    <x v="0"/>
    <s v="146BMG0140"/>
    <n v="0"/>
    <x v="117"/>
    <s v="0140"/>
    <n v="-46.8268007303693"/>
    <n v="-19.923963700064601"/>
    <n v="-46.366355350319097"/>
    <n v="-20.249977419722001"/>
    <s v="146"/>
    <s v="MG"/>
    <s v="Eixo Principal"/>
    <s v="-"/>
    <s v="146BMG0140"/>
    <s v="TAPIRA"/>
    <s v="ENTR R JOÃO DOMINGOS DE FARIA (SÃO ROQUE DE MINAS)"/>
    <n v="211.7"/>
    <n v="263.3"/>
    <n v="51.6"/>
    <x v="3"/>
    <m/>
    <m/>
    <s v="Federal"/>
    <m/>
    <m/>
    <m/>
    <s v="Federal"/>
    <s v="N_PAV"/>
    <s v="Passos"/>
  </r>
  <r>
    <x v="0"/>
    <s v="146BMG0150"/>
    <n v="0"/>
    <x v="117"/>
    <s v="0150"/>
    <n v="-46.366355350319097"/>
    <n v="-20.249977419722001"/>
    <n v="-46.366104700271599"/>
    <n v="-20.331282669859199"/>
    <s v="146"/>
    <s v="MG"/>
    <s v="Eixo Principal"/>
    <s v="-"/>
    <s v="146BMG0150"/>
    <s v="ENTR R JOÃO DOMINGOS DE FARIA (SÃO ROQUE DE MINAS)"/>
    <s v="FIM DA PONTE S/ RIO SÃO FRANCISCO (VARGEM BONITA)"/>
    <n v="263.3"/>
    <n v="276.8"/>
    <n v="13.5"/>
    <x v="3"/>
    <m/>
    <m/>
    <s v="Federal"/>
    <m/>
    <m/>
    <m/>
    <s v="Federal"/>
    <s v="N_PAV"/>
    <s v="Passos"/>
  </r>
  <r>
    <x v="0"/>
    <s v="146BMG0160"/>
    <n v="0"/>
    <x v="117"/>
    <s v="0160"/>
    <n v="-46.366104700271599"/>
    <n v="-20.331282669859199"/>
    <n v="-46.540941689707097"/>
    <n v="-20.546999459857101"/>
    <s v="146"/>
    <s v="MG"/>
    <s v="Eixo Principal"/>
    <s v="-"/>
    <s v="146BMG0160"/>
    <s v="FIM DA PONTE S/ RIO SÃO FRANCISCO (VARGEM BONITA)"/>
    <s v="ENTR BR-464(A)"/>
    <n v="276.8"/>
    <n v="310.5"/>
    <n v="33.700000000000003"/>
    <x v="3"/>
    <m/>
    <m/>
    <s v="Federal"/>
    <m/>
    <m/>
    <m/>
    <s v="Federal"/>
    <s v="N_PAV"/>
    <s v="Passos"/>
  </r>
  <r>
    <x v="0"/>
    <s v="146BMG0165"/>
    <n v="0"/>
    <x v="117"/>
    <s v="0165"/>
    <n v="-46.540941689707097"/>
    <n v="-20.546999459857101"/>
    <n v="-46.518415570022498"/>
    <n v="-20.625455260252"/>
    <s v="146"/>
    <s v="MG"/>
    <s v="Eixo Principal"/>
    <s v="-"/>
    <s v="146BMG0165"/>
    <s v="ENTR BR-464(A)"/>
    <s v="ENTR BR-464(B) (SÃO JOÃO BATISTA DO GLÓRIA)"/>
    <n v="310.5"/>
    <n v="321.10000000000002"/>
    <n v="10.6"/>
    <x v="3"/>
    <m/>
    <s v="464BMG0120"/>
    <s v="Federal"/>
    <m/>
    <m/>
    <m/>
    <s v="Federal"/>
    <s v="N_PAV"/>
    <s v="Passos"/>
  </r>
  <r>
    <x v="0"/>
    <s v="146BMG0170"/>
    <n v="0"/>
    <x v="117"/>
    <s v="0170"/>
    <n v="-46.518415570022498"/>
    <n v="-20.625455260252"/>
    <n v="-46.518902689607302"/>
    <n v="-20.645152899686501"/>
    <s v="146"/>
    <s v="MG"/>
    <s v="Eixo Principal"/>
    <s v="-"/>
    <s v="146BMG0170"/>
    <s v="ENTR BR-464(B) (SÃO JOÃO BATISTA DO GLÓRIA)"/>
    <s v="FIM CONTORNO SÃO JOÃO BATISTA DO GLÓRIA"/>
    <n v="321.10000000000002"/>
    <n v="324.60000000000002"/>
    <n v="3.5"/>
    <x v="1"/>
    <m/>
    <m/>
    <s v="Estadual"/>
    <m/>
    <s v="MGT-146"/>
    <s v="PAV"/>
    <s v="Estadual"/>
    <s v="PLA"/>
    <s v="Passos"/>
  </r>
  <r>
    <x v="0"/>
    <s v="146BMG0180"/>
    <n v="0"/>
    <x v="117"/>
    <s v="0180"/>
    <n v="-46.518902689607302"/>
    <n v="-20.645152899686501"/>
    <n v="-46.602348360388397"/>
    <n v="-20.7405896503919"/>
    <s v="146"/>
    <s v="MG"/>
    <s v="Eixo Principal"/>
    <s v="-"/>
    <s v="146BMG0180"/>
    <s v="FIM CONTORNO SÃO JOÃO BATISTA DO GLÓRIA"/>
    <s v="ENTR MG-050 (PASSOS)"/>
    <n v="324.60000000000002"/>
    <n v="341.6"/>
    <n v="17"/>
    <x v="1"/>
    <m/>
    <m/>
    <s v="Estadual"/>
    <m/>
    <s v="MGT-146"/>
    <s v="PAV"/>
    <s v="Estadual"/>
    <s v="PLA"/>
    <s v="Passos"/>
  </r>
  <r>
    <x v="0"/>
    <s v="146BMG0190"/>
    <n v="0"/>
    <x v="117"/>
    <s v="0190"/>
    <n v="-46.602348360388397"/>
    <n v="-20.7405896503919"/>
    <n v="-46.598677260347202"/>
    <n v="-20.755482310160399"/>
    <s v="146"/>
    <s v="MG"/>
    <s v="Eixo Principal"/>
    <s v="-"/>
    <s v="146BMG0190"/>
    <s v="ENTR MG-050 (PASSOS)"/>
    <s v="FIM PISTA DUPLA"/>
    <n v="341.6"/>
    <n v="343.3"/>
    <n v="1.7"/>
    <x v="0"/>
    <m/>
    <m/>
    <s v="Federal"/>
    <m/>
    <m/>
    <m/>
    <s v="Federal"/>
    <s v="PAV"/>
    <s v="Passos"/>
  </r>
  <r>
    <x v="0"/>
    <s v="146BMG0200"/>
    <n v="0"/>
    <x v="117"/>
    <s v="0200"/>
    <n v="-46.598677260347202"/>
    <n v="-20.755482310160399"/>
    <n v="-46.511176739814601"/>
    <n v="-20.995144379709298"/>
    <s v="146"/>
    <s v="MG"/>
    <s v="Eixo Principal"/>
    <s v="-"/>
    <s v="146BMG0200"/>
    <s v="FIM PISTA DUPLA"/>
    <s v="ENTR BR-265(A)"/>
    <n v="343.3"/>
    <n v="379.7"/>
    <n v="36.4"/>
    <x v="5"/>
    <s v="EOP"/>
    <m/>
    <s v="Federal"/>
    <m/>
    <m/>
    <m/>
    <s v="Federal"/>
    <s v="N_PAV"/>
    <s v="Passos"/>
  </r>
  <r>
    <x v="0"/>
    <s v="146BMG0210"/>
    <n v="0"/>
    <x v="117"/>
    <s v="0210"/>
    <n v="-46.511176739814601"/>
    <n v="-20.995144379709298"/>
    <n v="-46.523614030063399"/>
    <n v="-21.007601869630498"/>
    <s v="146"/>
    <s v="MG"/>
    <s v="Eixo Principal"/>
    <s v="-"/>
    <s v="146BMG0210"/>
    <s v="ENTR BR-265(A)"/>
    <s v="ACESSO P/ BOM JESUS DA PENHA"/>
    <n v="379.7"/>
    <n v="381.8"/>
    <n v="2.1"/>
    <x v="2"/>
    <m/>
    <s v="265BMG0412"/>
    <s v="Federal"/>
    <m/>
    <m/>
    <m/>
    <s v="Federal"/>
    <s v="PAV"/>
    <s v="Passos"/>
  </r>
  <r>
    <x v="0"/>
    <s v="146BMG0220"/>
    <n v="0"/>
    <x v="117"/>
    <s v="0220"/>
    <n v="-46.523614030063399"/>
    <n v="-21.007601869630498"/>
    <n v="-46.535544049618103"/>
    <n v="-21.020615160361299"/>
    <s v="146"/>
    <s v="MG"/>
    <s v="Eixo Principal"/>
    <s v="-"/>
    <s v="146BMG0220"/>
    <s v="ACESSO P/ BOM JESUS DA PENHA"/>
    <s v="ENTR BR-265(B)"/>
    <n v="381.8"/>
    <n v="383.9"/>
    <n v="2.1"/>
    <x v="5"/>
    <s v="EOP"/>
    <s v="265BMG0415"/>
    <s v="Federal"/>
    <m/>
    <m/>
    <m/>
    <s v="Federal"/>
    <s v="N_PAV"/>
    <s v="Passos"/>
  </r>
  <r>
    <x v="0"/>
    <s v="146BMG0225"/>
    <n v="0"/>
    <x v="117"/>
    <s v="0225"/>
    <n v="-46.535544049618103"/>
    <n v="-21.020615160361299"/>
    <n v="-46.613931559993397"/>
    <n v="-21.122030739826702"/>
    <s v="146"/>
    <s v="MG"/>
    <s v="Eixo Principal"/>
    <s v="-"/>
    <s v="146BMG0225"/>
    <s v="ENTR BR-265(B)"/>
    <s v="ACESSO(A) P/ SÃO PEDRO DA UNIÃO"/>
    <n v="383.9"/>
    <n v="400.4"/>
    <n v="16.5"/>
    <x v="2"/>
    <m/>
    <m/>
    <s v="Federal"/>
    <m/>
    <m/>
    <m/>
    <s v="Federal"/>
    <s v="PAV"/>
    <s v="Passos"/>
  </r>
  <r>
    <x v="0"/>
    <s v="146BMG0230"/>
    <n v="0"/>
    <x v="117"/>
    <s v="0230"/>
    <n v="-46.613931559993397"/>
    <n v="-21.122030739826702"/>
    <n v="-46.622837709892302"/>
    <n v="-21.136358799818701"/>
    <s v="146"/>
    <s v="MG"/>
    <s v="Eixo Principal"/>
    <s v="-"/>
    <s v="146BMG0230"/>
    <s v="ACESSO(A) P/ SÃO PEDRO DA UNIÃO"/>
    <s v="ACESSO(B) P/ SÃO PEDRO DA UNIÃO"/>
    <n v="400.4"/>
    <n v="402.7"/>
    <n v="2.2999999999999998"/>
    <x v="2"/>
    <m/>
    <m/>
    <s v="Federal"/>
    <m/>
    <m/>
    <m/>
    <s v="Federal"/>
    <s v="PAV"/>
    <s v="Passos"/>
  </r>
  <r>
    <x v="0"/>
    <s v="146BMG0240"/>
    <n v="0"/>
    <x v="117"/>
    <s v="0240"/>
    <n v="-46.622837709892302"/>
    <n v="-21.136358799818701"/>
    <n v="-46.695999859705601"/>
    <n v="-21.2890126197365"/>
    <s v="146"/>
    <s v="MG"/>
    <s v="Eixo Principal"/>
    <s v="-"/>
    <s v="146BMG0240"/>
    <s v="ACESSO(B) P/ SÃO PEDRO DA UNIÃO"/>
    <s v="ENTR BR-491(A) (GUAXUPÉ)"/>
    <n v="402.7"/>
    <n v="426.8"/>
    <n v="24.1"/>
    <x v="2"/>
    <m/>
    <m/>
    <s v="Federal"/>
    <m/>
    <m/>
    <m/>
    <s v="Federal"/>
    <s v="PAV"/>
    <s v="Passos"/>
  </r>
  <r>
    <x v="0"/>
    <s v="146BMG0250"/>
    <n v="0"/>
    <x v="117"/>
    <s v="0250"/>
    <n v="-46.695999859705601"/>
    <n v="-21.2890126197365"/>
    <n v="-46.520825510289001"/>
    <n v="-21.3541906199011"/>
    <s v="146"/>
    <s v="MG"/>
    <s v="Eixo Principal"/>
    <s v="-"/>
    <s v="146BMG0250"/>
    <s v="ENTR BR-491(A) (GUAXUPÉ)"/>
    <s v="ENTR MG-446 (P/MUZAMBINHO)"/>
    <n v="426.8"/>
    <n v="450.7"/>
    <n v="23.9"/>
    <x v="2"/>
    <m/>
    <s v="491BMG0070"/>
    <s v="Federal"/>
    <m/>
    <m/>
    <m/>
    <s v="Federal"/>
    <s v="PAV"/>
    <s v="Passos"/>
  </r>
  <r>
    <x v="0"/>
    <s v="146BMG0252"/>
    <n v="0"/>
    <x v="117"/>
    <s v="0252"/>
    <n v="-46.520825510289001"/>
    <n v="-21.3541906199011"/>
    <n v="-46.473555149750297"/>
    <n v="-21.3585062298785"/>
    <s v="146"/>
    <s v="MG"/>
    <s v="Eixo Principal"/>
    <s v="-"/>
    <s v="146BMG0252"/>
    <s v="ENTR MG-446 (P/MUZAMBINHO)"/>
    <s v="ENTR BR-491(B)"/>
    <n v="450.7"/>
    <n v="456"/>
    <n v="5.3"/>
    <x v="2"/>
    <m/>
    <s v="491BMG0085"/>
    <s v="Federal"/>
    <m/>
    <m/>
    <m/>
    <s v="Federal"/>
    <s v="PAV"/>
    <s v="Passos"/>
  </r>
  <r>
    <x v="0"/>
    <s v="146BMG0253"/>
    <n v="0"/>
    <x v="117"/>
    <s v="0253"/>
    <n v="-46.473555149750297"/>
    <n v="-21.3585062298785"/>
    <n v="-46.404561749724898"/>
    <n v="-21.6379963698365"/>
    <s v="146"/>
    <s v="MG"/>
    <s v="Eixo Principal"/>
    <s v="-"/>
    <s v="146BMG0253"/>
    <s v="ENTR BR-491(B)"/>
    <s v="ENTR BR-369 (BOTELHOS)"/>
    <n v="456"/>
    <n v="492"/>
    <n v="36"/>
    <x v="2"/>
    <m/>
    <m/>
    <s v="Federal"/>
    <m/>
    <m/>
    <m/>
    <s v="Federal"/>
    <s v="PAV"/>
    <s v="Caxambu"/>
  </r>
  <r>
    <x v="0"/>
    <s v="146BMG0270"/>
    <n v="0"/>
    <x v="117"/>
    <s v="0270"/>
    <n v="-46.404561749724898"/>
    <n v="-21.6379963698365"/>
    <n v="-46.404225139778298"/>
    <n v="-21.745630110141398"/>
    <s v="146"/>
    <s v="MG"/>
    <s v="Eixo Principal"/>
    <s v="-"/>
    <s v="146BMG0270"/>
    <s v="ENTR BR-369 (BOTELHOS)"/>
    <s v="ENTR BR-267(A) (P/BANDEIRA DO SUL)"/>
    <n v="492"/>
    <n v="507"/>
    <n v="15"/>
    <x v="2"/>
    <m/>
    <m/>
    <s v="Federal"/>
    <m/>
    <m/>
    <m/>
    <s v="Federal"/>
    <s v="PAV"/>
    <s v="Caxambu"/>
  </r>
  <r>
    <x v="0"/>
    <s v="146BMG0290"/>
    <n v="0"/>
    <x v="117"/>
    <s v="0290"/>
    <n v="-46.404225139778298"/>
    <n v="-21.745630110141398"/>
    <n v="-46.471237710152103"/>
    <n v="-21.808462240440001"/>
    <s v="146"/>
    <s v="MG"/>
    <s v="Eixo Principal"/>
    <s v="-"/>
    <s v="146BMG0290"/>
    <s v="ENTR BR-267(A) (P/BANDEIRA DO SUL)"/>
    <s v="ENTR BR-459(A)"/>
    <n v="507"/>
    <n v="518.70000000000005"/>
    <n v="11.7"/>
    <x v="2"/>
    <m/>
    <s v="267BMG0400"/>
    <s v="Federal"/>
    <m/>
    <m/>
    <m/>
    <s v="Federal"/>
    <s v="PAV"/>
    <s v="Caxambu"/>
  </r>
  <r>
    <x v="0"/>
    <s v="146BMG0295"/>
    <n v="0"/>
    <x v="117"/>
    <s v="0295"/>
    <n v="-46.471237710152103"/>
    <n v="-21.808462240440001"/>
    <n v="-46.494480739694303"/>
    <n v="-21.8057898501214"/>
    <s v="146"/>
    <s v="MG"/>
    <s v="Eixo Principal"/>
    <s v="-"/>
    <s v="146BMG0295"/>
    <s v="ENTR BR-459(A)"/>
    <s v="INÍCIO TRECHO DUP (POÇOS DE CALDAS) *TRECHO URBANO*"/>
    <n v="518.70000000000005"/>
    <n v="521.20000000000005"/>
    <n v="2.5"/>
    <x v="2"/>
    <m/>
    <s v="459BMG0010;267BMG0405"/>
    <s v="Federal"/>
    <m/>
    <m/>
    <m/>
    <s v="Federal"/>
    <s v="PAV"/>
    <s v="Caxambu"/>
  </r>
  <r>
    <x v="0"/>
    <s v="146BMG0300"/>
    <n v="0"/>
    <x v="117"/>
    <s v="0300"/>
    <n v="-46.494480739694303"/>
    <n v="-21.8057898501214"/>
    <n v="-46.542116219587697"/>
    <n v="-21.787886199888099"/>
    <s v="146"/>
    <s v="MG"/>
    <s v="Eixo Principal"/>
    <s v="-"/>
    <s v="146BMG0300"/>
    <s v="INÍCIO TRECHO DUP (POÇOS DE CALDAS)"/>
    <s v="ENTR R. LUIZ CASSARO/BR-267(A)/459 (DEER POÇOS DE CALDAS)"/>
    <n v="521.20000000000005"/>
    <n v="526.5"/>
    <n v="5.3"/>
    <x v="0"/>
    <m/>
    <s v="459BMG0005;267BMG0410"/>
    <s v="Federal"/>
    <m/>
    <m/>
    <m/>
    <s v="Federal"/>
    <s v="PAV"/>
    <s v="Caxambu"/>
  </r>
  <r>
    <x v="0"/>
    <s v="146BMG0302"/>
    <n v="0"/>
    <x v="117"/>
    <s v="0302"/>
    <n v="-46.542116219587697"/>
    <n v="-21.787886199888099"/>
    <n v="-46.571746159657401"/>
    <n v="-21.786379759917899"/>
    <s v="146"/>
    <s v="MG"/>
    <s v="Eixo Principal"/>
    <s v="-"/>
    <s v="146BMG0302"/>
    <s v="ENTR R. LUIZ CASSARO/BR-267(A)/459 (DEER POÇOS DE CALDAS)"/>
    <s v="ENTR BR-267(B) (POÇOS DE CALDAS) *TRECHO MUNICIPAL*"/>
    <n v="526.5"/>
    <n v="528.70000000000005"/>
    <n v="2.2000000000000002"/>
    <x v="1"/>
    <m/>
    <s v="267BMG0420"/>
    <s v="Estadual"/>
    <m/>
    <s v="MG-146"/>
    <s v="DUP"/>
    <s v="Estadual"/>
    <s v="PLA"/>
    <s v="Caxambu"/>
  </r>
  <r>
    <x v="0"/>
    <s v="146BMG0306"/>
    <n v="0"/>
    <x v="117"/>
    <s v="0306"/>
    <n v="-46.571746159657401"/>
    <n v="-21.786379759917899"/>
    <n v="-46.551134329685503"/>
    <n v="-21.819611039617701"/>
    <s v="146"/>
    <s v="MG"/>
    <s v="Eixo Principal"/>
    <s v="-"/>
    <s v="146BMG0306"/>
    <s v="ENTR BR-267(B) (POÇOS DE CALDAS)"/>
    <s v="ENTR BMG-877(ROD. DO CONTORNO)*TRECHO MUNICIPAL*"/>
    <n v="528.70000000000005"/>
    <n v="533.6"/>
    <n v="4.9000000000000004"/>
    <x v="1"/>
    <m/>
    <m/>
    <s v="Estadual"/>
    <m/>
    <s v="MG-146"/>
    <s v="DUP"/>
    <s v="Estadual"/>
    <s v="PLA"/>
    <s v="Caxambu"/>
  </r>
  <r>
    <x v="0"/>
    <s v="146BMG0312"/>
    <n v="0"/>
    <x v="117"/>
    <s v="0312"/>
    <n v="-46.551134329685503"/>
    <n v="-21.819611039617701"/>
    <n v="-46.574769710053999"/>
    <n v="-21.854106999938001"/>
    <s v="146"/>
    <s v="MG"/>
    <s v="Eixo Principal"/>
    <s v="-"/>
    <s v="146BMG0312"/>
    <s v="ENTR BMG-877(ROD. DO CONTORNO)"/>
    <s v="ENTR ALCOA"/>
    <n v="533.6"/>
    <n v="538.6"/>
    <n v="5"/>
    <x v="1"/>
    <m/>
    <m/>
    <s v="Estadual"/>
    <m/>
    <s v="MG-146"/>
    <s v="DUP"/>
    <s v="Estadual"/>
    <s v="PLA"/>
    <s v="Caxambu"/>
  </r>
  <r>
    <x v="0"/>
    <s v="146BMG0316"/>
    <n v="0"/>
    <x v="117"/>
    <s v="0316"/>
    <n v="-46.574769710053999"/>
    <n v="-21.854106999938001"/>
    <n v="-46.566308479952298"/>
    <n v="-22.055112060273299"/>
    <s v="146"/>
    <s v="MG"/>
    <s v="Eixo Principal"/>
    <s v="-"/>
    <s v="146BMG0316"/>
    <s v="ENTR ALCOA"/>
    <s v="INÍCIO DO PERÍMETRO URBANO DE ANDRADAS"/>
    <n v="538.6"/>
    <n v="568.79999999999995"/>
    <n v="30.2"/>
    <x v="1"/>
    <m/>
    <m/>
    <s v="Estadual"/>
    <m/>
    <s v="MG-146"/>
    <s v="PAV"/>
    <s v="Estadual"/>
    <s v="PLA"/>
    <s v="Caxambu"/>
  </r>
  <r>
    <x v="0"/>
    <s v="146BMG0320"/>
    <n v="0"/>
    <x v="117"/>
    <s v="0320"/>
    <n v="-46.566308479952298"/>
    <n v="-22.055112060273299"/>
    <n v="-46.565515859769"/>
    <n v="-22.0858983396366"/>
    <s v="146"/>
    <s v="MG"/>
    <s v="Eixo Principal"/>
    <s v="-"/>
    <s v="146BMG0320"/>
    <s v="INÍCIO DO PERÍMETRO URBANO DE ANDRADAS"/>
    <s v="ENTR MG-455 (FIM PERÍMETRO URBANO DE ANDRADAS) *TRECHO MUNICIPAL*"/>
    <n v="568.79999999999995"/>
    <n v="577"/>
    <n v="8.1999999999999993"/>
    <x v="1"/>
    <m/>
    <m/>
    <s v="Estadual"/>
    <m/>
    <s v="MG-146"/>
    <s v="PAV"/>
    <s v="Estadual"/>
    <s v="PLA"/>
    <s v="Caxambu"/>
  </r>
  <r>
    <x v="0"/>
    <s v="146BMG0330"/>
    <n v="0"/>
    <x v="117"/>
    <s v="0330"/>
    <n v="-46.565515859769"/>
    <n v="-22.0858983396366"/>
    <n v="-46.613385640035197"/>
    <n v="-22.2944943003716"/>
    <s v="146"/>
    <s v="MG"/>
    <s v="Eixo Principal"/>
    <s v="-"/>
    <s v="146BMG0330"/>
    <s v="ENTR MG-455 (FIM PERÍMETRO URBANO DE ANDRADAS)"/>
    <s v="ENTR MG-290 (P/JACUTINGA)"/>
    <n v="577"/>
    <n v="609.6"/>
    <n v="32.6"/>
    <x v="1"/>
    <m/>
    <m/>
    <s v="Federal"/>
    <m/>
    <m/>
    <m/>
    <s v="Federal"/>
    <s v="PLA"/>
    <s v="Caxambu"/>
  </r>
  <r>
    <x v="0"/>
    <s v="146BMG0350"/>
    <n v="0"/>
    <x v="117"/>
    <s v="0350"/>
    <n v="-46.613385640035197"/>
    <n v="-22.2944943003716"/>
    <n v="-46.577835669780299"/>
    <n v="-22.4429888997178"/>
    <s v="146"/>
    <s v="MG"/>
    <s v="Eixo Principal"/>
    <s v="-"/>
    <s v="146BMG0350"/>
    <s v="ENTR MG-290 (P/JACUTINGA)"/>
    <s v="DIV MG/SP (MONTE SIÃO)"/>
    <n v="609.6"/>
    <n v="632.1"/>
    <n v="22.5"/>
    <x v="1"/>
    <m/>
    <m/>
    <s v="Federal"/>
    <m/>
    <m/>
    <m/>
    <s v="Federal"/>
    <s v="PLA"/>
    <s v="Caxambu"/>
  </r>
  <r>
    <x v="0"/>
    <s v="146BSP0370"/>
    <n v="0"/>
    <x v="118"/>
    <s v="0370"/>
    <n v="-46.577835669780299"/>
    <n v="-22.4429888997178"/>
    <n v="-46.516170860396798"/>
    <n v="-22.5817819096074"/>
    <s v="146"/>
    <s v="SP"/>
    <s v="Eixo Principal"/>
    <s v="-"/>
    <s v="146BSP0370"/>
    <s v="DIV MG/SP (MONTE SIÃO)"/>
    <s v="ENTR SP-147 (SOCORRO) *TRECHO MUNICIPAL*"/>
    <n v="0"/>
    <n v="14.2"/>
    <n v="14.2"/>
    <x v="1"/>
    <m/>
    <m/>
    <s v="Estadual"/>
    <m/>
    <s v="SPT-146"/>
    <s v="LEN"/>
    <s v="Estadual"/>
    <s v="PLA"/>
    <s v="Taubaté"/>
  </r>
  <r>
    <x v="0"/>
    <s v="146BSP0390"/>
    <n v="0"/>
    <x v="118"/>
    <s v="0390"/>
    <n v="-46.516170860396798"/>
    <n v="-22.5817819096074"/>
    <n v="-46.5612662995999"/>
    <n v="-22.783411079657501"/>
    <s v="146"/>
    <s v="SP"/>
    <s v="Eixo Principal"/>
    <s v="-"/>
    <s v="146BSP0390"/>
    <s v="ENTR SP-147 (SOCORRO)"/>
    <s v="ACESSO PINHALZINHO"/>
    <n v="14.2"/>
    <n v="42"/>
    <n v="27.8"/>
    <x v="1"/>
    <m/>
    <m/>
    <s v="Estadual"/>
    <m/>
    <s v="SP-008"/>
    <s v="PAV"/>
    <s v="Estadual"/>
    <s v="PLA"/>
    <s v="Taubaté"/>
  </r>
  <r>
    <x v="0"/>
    <s v="146BSP0400"/>
    <n v="0"/>
    <x v="118"/>
    <s v="0400"/>
    <n v="-46.5612662995999"/>
    <n v="-22.783411079657501"/>
    <n v="-46.546903979934697"/>
    <n v="-22.816023730110899"/>
    <s v="146"/>
    <s v="SP"/>
    <s v="Eixo Principal"/>
    <s v="-"/>
    <s v="146BSP0400"/>
    <s v="ACESSO PINHALZINHO"/>
    <s v="ACESSO PEDRA BELA"/>
    <n v="42"/>
    <n v="46.1"/>
    <n v="4.0999999999999996"/>
    <x v="1"/>
    <m/>
    <m/>
    <s v="Estadual"/>
    <m/>
    <s v="SP-008"/>
    <s v="PAV"/>
    <s v="Estadual"/>
    <s v="PLA"/>
    <s v="Taubaté"/>
  </r>
  <r>
    <x v="0"/>
    <s v="146BSP0405"/>
    <n v="0"/>
    <x v="118"/>
    <s v="0405"/>
    <n v="-46.546903979934697"/>
    <n v="-22.816023730110899"/>
    <n v="-46.556368910097"/>
    <n v="-22.9348115396207"/>
    <s v="146"/>
    <s v="SP"/>
    <s v="Eixo Principal"/>
    <s v="-"/>
    <s v="146BSP0405"/>
    <s v="ACESSO PEDRA BELA"/>
    <s v="ENTR SP-095 (BRAGANÇA PAULISTA)"/>
    <n v="46.1"/>
    <n v="61.2"/>
    <n v="15.1"/>
    <x v="1"/>
    <m/>
    <m/>
    <s v="Estadual"/>
    <m/>
    <s v="SP-008"/>
    <s v="PAV"/>
    <s v="Estadual"/>
    <s v="PLA"/>
    <s v="Taubaté"/>
  </r>
  <r>
    <x v="0"/>
    <s v="153APR1005"/>
    <n v="0"/>
    <x v="119"/>
    <s v="1005"/>
    <n v="-50.596709710184903"/>
    <n v="-25.180765139899201"/>
    <n v="-50.599026350285698"/>
    <n v="-25.225579069718201"/>
    <s v="153"/>
    <s v="PR"/>
    <s v="Acesso"/>
    <s v="-"/>
    <s v="153APR1005"/>
    <s v="ENTR BR-373 (P/IMBITUVA)"/>
    <s v="INÍCIO DO PERÍMETRO URBANO DE IMBITUVA"/>
    <n v="0"/>
    <n v="5.7"/>
    <n v="5.7"/>
    <x v="2"/>
    <m/>
    <m/>
    <s v="Federal"/>
    <m/>
    <m/>
    <m/>
    <s v="Federal"/>
    <s v="PAV"/>
    <s v="Ponta Grossa"/>
  </r>
  <r>
    <x v="0"/>
    <s v="153APR2005"/>
    <n v="0"/>
    <x v="119"/>
    <s v="2005"/>
    <n v="-50.6404993301799"/>
    <n v="-25.256912389595001"/>
    <n v="-50.612121259888099"/>
    <n v="-25.229670219704801"/>
    <s v="153"/>
    <s v="PR"/>
    <s v="Acesso"/>
    <s v="-"/>
    <s v="153APR2005"/>
    <s v="ENTR BR-153"/>
    <s v="IMBITUVA (ACESSO SUL)"/>
    <n v="0"/>
    <n v="4.3"/>
    <n v="4.3"/>
    <x v="2"/>
    <m/>
    <m/>
    <s v="Federal"/>
    <m/>
    <m/>
    <m/>
    <s v="Federal"/>
    <s v="PAV"/>
    <s v="Ponta Grossa"/>
  </r>
  <r>
    <x v="0"/>
    <s v="153ARS1005"/>
    <n v="0"/>
    <x v="120"/>
    <s v="1005"/>
    <n v="-52.908798379941203"/>
    <n v="-30.0499059498995"/>
    <n v="-52.884404120153903"/>
    <n v="-30.053486429754901"/>
    <s v="153"/>
    <s v="RS"/>
    <s v="Acesso"/>
    <s v="-"/>
    <s v="153ARS1005"/>
    <s v="ENTR BR-153"/>
    <s v="P/PORTO CACHOEIRA DO SUL *TRECHO URBANO*"/>
    <n v="0"/>
    <n v="8.6999999999999993"/>
    <n v="8.6999999999999993"/>
    <x v="2"/>
    <m/>
    <m/>
    <s v="Federal"/>
    <m/>
    <m/>
    <m/>
    <s v="Federal"/>
    <s v="PAV"/>
    <s v="Santa Maria"/>
  </r>
  <r>
    <x v="0"/>
    <s v="153ASP1005"/>
    <n v="0"/>
    <x v="121"/>
    <s v="1005"/>
    <n v="-49.889572649557998"/>
    <n v="-22.910802640229601"/>
    <n v="-49.8911371200819"/>
    <n v="-22.929104129851599"/>
    <s v="153"/>
    <s v="SP"/>
    <s v="Acesso"/>
    <s v="-"/>
    <s v="153ASP1005"/>
    <s v="ENTR BR-153 (DIV PR/SP) (KM 336)"/>
    <s v="ENTR BR-369/SP-270/327 (ACESSO A OURINHOS)"/>
    <n v="0"/>
    <n v="2.1"/>
    <n v="2.1"/>
    <x v="2"/>
    <m/>
    <m/>
    <s v="Concessão Federal"/>
    <m/>
    <m/>
    <m/>
    <s v="Federal"/>
    <s v="PAV"/>
    <s v="São José do Rio Preto"/>
  </r>
  <r>
    <x v="0"/>
    <s v="153BGO0312"/>
    <n v="0"/>
    <x v="122"/>
    <s v="0312"/>
    <n v="-49.102305939767199"/>
    <n v="-12.835353729590899"/>
    <n v="-49.198836419864797"/>
    <n v="-13.102622709770101"/>
    <s v="153"/>
    <s v="GO"/>
    <s v="Eixo Principal"/>
    <s v="-"/>
    <s v="153BGO0312"/>
    <s v="DIV TO/GO"/>
    <s v="ENTR GO-448 (P/NOVO PLANALTO)"/>
    <n v="0"/>
    <n v="31.9"/>
    <n v="31.9"/>
    <x v="2"/>
    <m/>
    <m/>
    <s v="Federal"/>
    <m/>
    <m/>
    <m/>
    <s v="Federal"/>
    <s v="PAV"/>
    <s v="Uruaçu"/>
  </r>
  <r>
    <x v="0"/>
    <s v="153BGO0330"/>
    <n v="0"/>
    <x v="122"/>
    <s v="0330"/>
    <n v="-49.198836419864797"/>
    <n v="-13.102622709770101"/>
    <n v="-49.118119499914897"/>
    <n v="-13.317231390216399"/>
    <s v="153"/>
    <s v="GO"/>
    <s v="Eixo Principal"/>
    <s v="-"/>
    <s v="153BGO0330"/>
    <s v="ENTR GO-448 (P/NOVO PLANALTO)"/>
    <s v="ENTR GO-353(A) (LINDA VISTA)"/>
    <n v="31.9"/>
    <n v="57.8"/>
    <n v="25.9"/>
    <x v="2"/>
    <m/>
    <m/>
    <s v="Federal"/>
    <m/>
    <m/>
    <m/>
    <s v="Federal"/>
    <s v="PAV"/>
    <s v="Uruaçu"/>
  </r>
  <r>
    <x v="0"/>
    <s v="153BGO0340"/>
    <n v="0"/>
    <x v="122"/>
    <s v="0340"/>
    <n v="-49.118119499914897"/>
    <n v="-13.317231390216399"/>
    <n v="-49.132729349879497"/>
    <n v="-13.441010050373499"/>
    <s v="153"/>
    <s v="GO"/>
    <s v="Eixo Principal"/>
    <s v="-"/>
    <s v="153BGO0340"/>
    <s v="ENTR GO-353(A) (LINDA VISTA)"/>
    <s v="ENTR BR-414(A)/GO-151/244/353(B) (PORANGATU)"/>
    <n v="57.8"/>
    <n v="68.900000000000006"/>
    <n v="11.1"/>
    <x v="2"/>
    <m/>
    <m/>
    <s v="Federal"/>
    <m/>
    <m/>
    <m/>
    <s v="Federal"/>
    <s v="PAV"/>
    <s v="Uruaçu"/>
  </r>
  <r>
    <x v="0"/>
    <s v="153BGO0350"/>
    <n v="0"/>
    <x v="122"/>
    <s v="0350"/>
    <n v="-49.132729349879497"/>
    <n v="-13.441010050373499"/>
    <n v="-49.021032649736902"/>
    <n v="-13.7143794701364"/>
    <s v="153"/>
    <s v="GO"/>
    <s v="Eixo Principal"/>
    <s v="-"/>
    <s v="153BGO0350"/>
    <s v="ENTR BR-414(A)/GO-151/244/353(B) (PORANGATU)"/>
    <s v="ENTR BR-414(B)/GO-241(A) (STA TEREZA DE GOIAS)"/>
    <n v="68.900000000000006"/>
    <n v="107.5"/>
    <n v="38.6"/>
    <x v="2"/>
    <m/>
    <s v="414BGO0010"/>
    <s v="Federal"/>
    <m/>
    <m/>
    <m/>
    <s v="Federal"/>
    <s v="PAV"/>
    <s v="Uruaçu"/>
  </r>
  <r>
    <x v="0"/>
    <s v="153BGO0370"/>
    <n v="0"/>
    <x v="122"/>
    <s v="0370"/>
    <n v="-49.021032649736902"/>
    <n v="-13.7143794701364"/>
    <n v="-49.051363759729597"/>
    <n v="-13.865776189819201"/>
    <s v="153"/>
    <s v="GO"/>
    <s v="Eixo Principal"/>
    <s v="-"/>
    <s v="153BGO0370"/>
    <s v="ENTR BR-414(B)/GO-241(A) (STA TEREZA DE GOIAS)"/>
    <s v="ENTR GO-241(B) (ESTRELA DO NORTE)"/>
    <n v="107.5"/>
    <n v="124.9"/>
    <n v="17.399999999999999"/>
    <x v="2"/>
    <m/>
    <m/>
    <s v="Federal"/>
    <m/>
    <m/>
    <m/>
    <s v="Federal"/>
    <s v="PAV"/>
    <s v="Uruaçu"/>
  </r>
  <r>
    <x v="0"/>
    <s v="153BGO0390"/>
    <n v="0"/>
    <x v="122"/>
    <s v="0390"/>
    <n v="-49.051363759729597"/>
    <n v="-13.865776189819201"/>
    <n v="-49.085802489892899"/>
    <n v="-14.014917110336301"/>
    <s v="153"/>
    <s v="GO"/>
    <s v="Eixo Principal"/>
    <s v="-"/>
    <s v="153BGO0390"/>
    <s v="ENTR GO-241(B) (ESTRELA DO NORTE)"/>
    <s v="ENTR GO-239 (P/MARA ROSA)"/>
    <n v="124.9"/>
    <n v="142.4"/>
    <n v="17.5"/>
    <x v="2"/>
    <m/>
    <m/>
    <s v="Federal"/>
    <m/>
    <m/>
    <m/>
    <s v="Federal"/>
    <s v="PAV"/>
    <s v="Uruaçu"/>
  </r>
  <r>
    <x v="0"/>
    <s v="153BGO0392"/>
    <n v="0"/>
    <x v="122"/>
    <s v="0392"/>
    <n v="-49.085802489892899"/>
    <n v="-14.014917110336301"/>
    <n v="-49.149990689918297"/>
    <n v="-14.314801449727"/>
    <s v="153"/>
    <s v="GO"/>
    <s v="Eixo Principal"/>
    <s v="-"/>
    <s v="153BGO0392"/>
    <s v="ENTR GO-239 (P/MARA ROSA)"/>
    <s v="ENTR GO-428 (CAMPINORTE)"/>
    <n v="142.4"/>
    <n v="176.5"/>
    <n v="34.1"/>
    <x v="2"/>
    <m/>
    <m/>
    <s v="Federal"/>
    <m/>
    <m/>
    <m/>
    <s v="Federal"/>
    <s v="PAV"/>
    <s v="Uruaçu"/>
  </r>
  <r>
    <x v="0"/>
    <s v="153BGO0410"/>
    <n v="0"/>
    <x v="122"/>
    <s v="0410"/>
    <n v="-49.149990689918297"/>
    <n v="-14.314801449727"/>
    <n v="-49.1608411596916"/>
    <n v="-14.533037030334601"/>
    <s v="153"/>
    <s v="GO"/>
    <s v="Eixo Principal"/>
    <s v="-"/>
    <s v="153BGO0410"/>
    <s v="ENTR GO-428 (CAMPINORTE)"/>
    <s v="ENTR BR-080(A)/GO-237 (URUAÇU)"/>
    <n v="176.5"/>
    <n v="202.7"/>
    <n v="26.2"/>
    <x v="2"/>
    <m/>
    <m/>
    <s v="Federal"/>
    <m/>
    <m/>
    <m/>
    <s v="Federal"/>
    <s v="PAV"/>
    <s v="Uruaçu"/>
  </r>
  <r>
    <x v="0"/>
    <s v="153BGO0412"/>
    <n v="0"/>
    <x v="122"/>
    <s v="0412"/>
    <n v="-49.1608411596916"/>
    <n v="-14.533037030334601"/>
    <n v="-49.175986609893997"/>
    <n v="-14.6345781200841"/>
    <s v="153"/>
    <s v="GO"/>
    <s v="Eixo Principal"/>
    <s v="Coinc"/>
    <s v="153BGO0412"/>
    <s v="ENTR BR-080(A)/GO-237 (URUAÇU)"/>
    <s v="ENTR BR-080(B)/GO-342 (P/BARRO ALTO)"/>
    <n v="202.7"/>
    <n v="213"/>
    <n v="10.3"/>
    <x v="2"/>
    <m/>
    <s v="080BGO0190"/>
    <s v="Federal"/>
    <m/>
    <m/>
    <m/>
    <s v="Federal"/>
    <s v="PAV"/>
    <s v="Uruaçu"/>
  </r>
  <r>
    <x v="0"/>
    <s v="153BGO0430"/>
    <n v="0"/>
    <x v="122"/>
    <s v="0430"/>
    <n v="-49.175986609893997"/>
    <n v="-14.6345781200841"/>
    <n v="-49.326464520121398"/>
    <n v="-14.862930679806899"/>
    <s v="153"/>
    <s v="GO"/>
    <s v="Eixo Principal"/>
    <s v="-"/>
    <s v="153BGO0430"/>
    <s v="ENTR BR-080(B)/GO-342 (P/BARRO ALTO)"/>
    <s v="ENTR GO-338 (SAO LUIZ DO NORTE)"/>
    <n v="213"/>
    <n v="243.2"/>
    <n v="30.2"/>
    <x v="2"/>
    <m/>
    <m/>
    <s v="Federal"/>
    <m/>
    <m/>
    <m/>
    <s v="Federal"/>
    <s v="PAV"/>
    <s v="Uruaçu"/>
  </r>
  <r>
    <x v="0"/>
    <s v="153BGO0450"/>
    <n v="0"/>
    <x v="122"/>
    <s v="0450"/>
    <n v="-49.326464520121398"/>
    <n v="-14.862930679806899"/>
    <n v="-49.487064030180797"/>
    <n v="-15.110209640162701"/>
    <s v="153"/>
    <s v="GO"/>
    <s v="Eixo Principal"/>
    <s v="-"/>
    <s v="153BGO0450"/>
    <s v="ENTR GO-338 (SAO LUIZ DO NORTE)"/>
    <s v="ENTR GO-336 (P/ITAPACI)"/>
    <n v="243.2"/>
    <n v="275.60000000000002"/>
    <n v="32.4"/>
    <x v="2"/>
    <m/>
    <m/>
    <s v="Federal"/>
    <m/>
    <m/>
    <m/>
    <s v="Federal"/>
    <s v="PAV"/>
    <s v="Uruaçu"/>
  </r>
  <r>
    <x v="0"/>
    <s v="153BGO0452"/>
    <n v="0"/>
    <x v="122"/>
    <s v="0452"/>
    <n v="-49.487064030180797"/>
    <n v="-15.110209640162701"/>
    <n v="-49.544853499889001"/>
    <n v="-15.172878080359"/>
    <s v="153"/>
    <s v="GO"/>
    <s v="Eixo Principal"/>
    <s v="-"/>
    <s v="153BGO0452"/>
    <s v="ENTR GO-336 (P/ITAPACI)"/>
    <s v="ENTR GO-434 (JARDIM PAULISTA)"/>
    <n v="275.60000000000002"/>
    <n v="285.3"/>
    <n v="9.6999999999999993"/>
    <x v="2"/>
    <m/>
    <m/>
    <s v="Federal"/>
    <m/>
    <m/>
    <m/>
    <s v="Federal"/>
    <s v="PAV"/>
    <s v="Uruaçu"/>
  </r>
  <r>
    <x v="0"/>
    <s v="153BGO0470"/>
    <n v="0"/>
    <x v="122"/>
    <s v="0470"/>
    <n v="-49.544853499889001"/>
    <n v="-15.172878080359"/>
    <n v="-49.546599319602798"/>
    <n v="-15.2087793698719"/>
    <s v="153"/>
    <s v="GO"/>
    <s v="Eixo Principal"/>
    <s v="-"/>
    <s v="153BGO0470"/>
    <s v="ENTR GO-434 (JARDIM PAULISTA)"/>
    <s v="ENTR GO-483 (RIALCEMA)"/>
    <n v="285.3"/>
    <n v="289.8"/>
    <n v="4.5"/>
    <x v="2"/>
    <m/>
    <m/>
    <s v="Federal"/>
    <m/>
    <m/>
    <m/>
    <s v="Federal"/>
    <s v="PAV"/>
    <s v="Uruaçu"/>
  </r>
  <r>
    <x v="0"/>
    <s v="153BGO0471"/>
    <n v="0"/>
    <x v="122"/>
    <s v="0471"/>
    <n v="-49.546599319602798"/>
    <n v="-15.2087793698719"/>
    <n v="-49.572026609940004"/>
    <n v="-15.3199633602208"/>
    <s v="153"/>
    <s v="GO"/>
    <s v="Eixo Principal"/>
    <s v="-"/>
    <s v="153BGO0471"/>
    <s v="ENTR GO-483 (RIALCEMA)"/>
    <s v="ENTR BR-251/GO-480 (RIALMA)"/>
    <n v="289.8"/>
    <n v="305.10000000000002"/>
    <n v="15.3"/>
    <x v="2"/>
    <m/>
    <m/>
    <s v="Federal"/>
    <m/>
    <m/>
    <m/>
    <s v="Federal"/>
    <s v="PAV"/>
    <s v="Uruaçu"/>
  </r>
  <r>
    <x v="0"/>
    <s v="153BGO0472"/>
    <n v="0"/>
    <x v="122"/>
    <s v="0472"/>
    <n v="-49.572026609940004"/>
    <n v="-15.3199633602208"/>
    <n v="-49.504109950214001"/>
    <n v="-15.451596549840801"/>
    <s v="153"/>
    <s v="GO"/>
    <s v="Eixo Principal"/>
    <s v="-"/>
    <s v="153BGO0472"/>
    <s v="ENTR BR-251/GO-480 (RIALMA)"/>
    <s v="ENTR GO-230(A) (RIANÁPOLIS)"/>
    <n v="305.10000000000002"/>
    <n v="320.39999999999998"/>
    <n v="15.3"/>
    <x v="2"/>
    <m/>
    <m/>
    <s v="Federal"/>
    <m/>
    <m/>
    <m/>
    <s v="Federal"/>
    <s v="PAV"/>
    <s v="Uruaçu"/>
  </r>
  <r>
    <x v="0"/>
    <s v="153BGO0474"/>
    <n v="0"/>
    <x v="122"/>
    <s v="0474"/>
    <n v="-49.504109950214001"/>
    <n v="-15.451596549840801"/>
    <n v="-49.496122240149198"/>
    <n v="-15.4738167201654"/>
    <s v="153"/>
    <s v="GO"/>
    <s v="Eixo Principal"/>
    <s v="-"/>
    <s v="153BGO0474"/>
    <s v="ENTR GO-230(A) (RIANÁPOLIS)"/>
    <s v="ENTR GO-230(B) (P/URUANA)"/>
    <n v="320.39999999999998"/>
    <n v="323.10000000000002"/>
    <n v="2.7"/>
    <x v="2"/>
    <m/>
    <m/>
    <s v="Federal"/>
    <m/>
    <m/>
    <m/>
    <s v="Federal"/>
    <s v="PAV"/>
    <s v="Uruaçu"/>
  </r>
  <r>
    <x v="0"/>
    <s v="153BGO0490"/>
    <n v="0"/>
    <x v="122"/>
    <s v="0490"/>
    <n v="-49.496122240149198"/>
    <n v="-15.4738167201654"/>
    <n v="-49.3230744402331"/>
    <n v="-15.735411579880401"/>
    <s v="153"/>
    <s v="GO"/>
    <s v="Eixo Principal"/>
    <s v="-"/>
    <s v="153BGO0490"/>
    <s v="ENTR GO-230(B) (P/URUANA)"/>
    <s v="ENTR GO-080(A) (P/GOIANÉSIA)"/>
    <n v="323.10000000000002"/>
    <n v="358.2"/>
    <n v="35.1"/>
    <x v="2"/>
    <m/>
    <m/>
    <s v="Federal"/>
    <m/>
    <m/>
    <m/>
    <s v="Federal"/>
    <s v="PAV"/>
    <s v="Uruaçu"/>
  </r>
  <r>
    <x v="0"/>
    <s v="153BGO0495"/>
    <n v="0"/>
    <x v="122"/>
    <s v="0495"/>
    <n v="-49.3230744402331"/>
    <n v="-15.735411579880401"/>
    <n v="-49.313059990126398"/>
    <n v="-15.759040930294599"/>
    <s v="153"/>
    <s v="GO"/>
    <s v="Eixo Principal"/>
    <s v="-"/>
    <s v="153BGO0495"/>
    <s v="ENTR GO-080(A) (P/GOIANÉSIA)"/>
    <s v="ENTR GO-427 (JARAGUÁ)"/>
    <n v="358.2"/>
    <n v="361"/>
    <n v="2.8"/>
    <x v="2"/>
    <m/>
    <m/>
    <s v="Federal"/>
    <m/>
    <m/>
    <m/>
    <s v="Federal"/>
    <s v="PAV"/>
    <s v="Uruaçu"/>
  </r>
  <r>
    <x v="0"/>
    <s v="153BGO0510"/>
    <n v="0"/>
    <x v="122"/>
    <s v="0510"/>
    <n v="-49.313059990126398"/>
    <n v="-15.759040930294599"/>
    <n v="-49.275373200113002"/>
    <n v="-15.8357382799975"/>
    <s v="153"/>
    <s v="GO"/>
    <s v="Eixo Principal"/>
    <s v="-"/>
    <s v="153BGO0510"/>
    <s v="ENTR GO-427 (JARAGUÁ)"/>
    <s v="ENTR BR-070"/>
    <n v="361"/>
    <n v="371.1"/>
    <n v="10.1"/>
    <x v="2"/>
    <m/>
    <m/>
    <s v="Federal"/>
    <m/>
    <m/>
    <m/>
    <s v="Federal"/>
    <s v="PAV"/>
    <s v="Uruaçu"/>
  </r>
  <r>
    <x v="0"/>
    <s v="153BGO0530"/>
    <n v="0"/>
    <x v="122"/>
    <s v="0530"/>
    <n v="-49.275373200113002"/>
    <n v="-15.8357382799975"/>
    <n v="-49.237631010062998"/>
    <n v="-15.892800639737599"/>
    <s v="153"/>
    <s v="GO"/>
    <s v="Eixo Principal"/>
    <s v="-"/>
    <s v="153BGO0530"/>
    <s v="ENTR BR-070"/>
    <s v="ENTR GO-080(B) (P/SAO FRANCISCO DE GOIÁS)"/>
    <n v="371.1"/>
    <n v="378.1"/>
    <n v="7"/>
    <x v="2"/>
    <m/>
    <m/>
    <s v="Federal"/>
    <m/>
    <m/>
    <m/>
    <s v="Federal"/>
    <s v="PAV"/>
    <s v="Uruaçu"/>
  </r>
  <r>
    <x v="0"/>
    <s v="153BGO0550"/>
    <n v="0"/>
    <x v="122"/>
    <s v="0550"/>
    <n v="-49.237631010062998"/>
    <n v="-15.892800639737599"/>
    <n v="-49.074416800294998"/>
    <n v="-16.0480118500667"/>
    <s v="153"/>
    <s v="GO"/>
    <s v="Eixo Principal"/>
    <s v="-"/>
    <s v="153BGO0550"/>
    <s v="ENTR GO-080(B) (P/SAO FRANCISCO DE GOIÁS)"/>
    <s v="ENTR GO-431 (P/PIRENOPOLIS)"/>
    <n v="378.1"/>
    <n v="403"/>
    <n v="24.9"/>
    <x v="2"/>
    <m/>
    <m/>
    <s v="Federal"/>
    <m/>
    <m/>
    <m/>
    <s v="Federal"/>
    <s v="PAV"/>
    <s v="Uruaçu"/>
  </r>
  <r>
    <x v="0"/>
    <s v="153BGO0552"/>
    <n v="0"/>
    <x v="122"/>
    <s v="0552"/>
    <n v="-49.074416800294998"/>
    <n v="-16.0480118500667"/>
    <n v="-49.0349676700218"/>
    <n v="-16.1904974501971"/>
    <s v="153"/>
    <s v="GO"/>
    <s v="Eixo Principal"/>
    <s v="-"/>
    <s v="153BGO0552"/>
    <s v="ENTR GO-431 (P/PIRENOPOLIS)"/>
    <s v="ENTR GO-433"/>
    <n v="403"/>
    <n v="421.7"/>
    <n v="18.7"/>
    <x v="2"/>
    <s v="EOD"/>
    <m/>
    <s v="Federal"/>
    <m/>
    <m/>
    <m/>
    <s v="Federal"/>
    <s v="PAV"/>
    <s v="Uruaçu"/>
  </r>
  <r>
    <x v="0"/>
    <s v="153BGO0560"/>
    <n v="0"/>
    <x v="122"/>
    <s v="0560"/>
    <n v="-49.0349676700218"/>
    <n v="-16.1904974501971"/>
    <n v="-48.943903999569798"/>
    <n v="-16.286578139769201"/>
    <s v="153"/>
    <s v="GO"/>
    <s v="Eixo Principal"/>
    <s v="-"/>
    <s v="153BGO0560"/>
    <s v="ENTR GO-433"/>
    <s v="ENTR BR-414/GO-222/330(A) (ANÁPOLIS)"/>
    <n v="421.7"/>
    <n v="436.9"/>
    <n v="15.2"/>
    <x v="0"/>
    <m/>
    <m/>
    <s v="Federal"/>
    <m/>
    <m/>
    <m/>
    <s v="Federal"/>
    <s v="PAV"/>
    <s v="Uruaçu"/>
  </r>
  <r>
    <x v="0"/>
    <s v="153BGO0570"/>
    <n v="0"/>
    <x v="122"/>
    <s v="0570"/>
    <n v="-48.943903999569798"/>
    <n v="-16.286578139769201"/>
    <n v="-48.928585769817403"/>
    <n v="-16.354054629917101"/>
    <s v="153"/>
    <s v="GO"/>
    <s v="Eixo Principal"/>
    <s v="-"/>
    <s v="153BGO0570"/>
    <s v="ENTR BR-414/GO-222/330(A) (ANÁPOLIS)"/>
    <s v="ENTR BR-060(A)"/>
    <n v="436.9"/>
    <n v="445.2"/>
    <n v="8.3000000000000007"/>
    <x v="0"/>
    <m/>
    <m/>
    <s v="Federal"/>
    <m/>
    <m/>
    <m/>
    <s v="Federal"/>
    <s v="PAV"/>
    <s v="Uruaçu"/>
  </r>
  <r>
    <x v="0"/>
    <s v="153BGO0574"/>
    <n v="0"/>
    <x v="122"/>
    <s v="0574"/>
    <n v="-48.928585769817403"/>
    <n v="-16.354054629917101"/>
    <n v="-48.9622426401856"/>
    <n v="-16.395686139603601"/>
    <s v="153"/>
    <s v="GO"/>
    <s v="Eixo Principal"/>
    <s v="Coinc"/>
    <s v="153BGO0574"/>
    <s v="ENTR BR-060(A)"/>
    <s v="ENTR GO-330 (P/ANÁPOLIS/DAIA)"/>
    <n v="445.2"/>
    <n v="451.1"/>
    <n v="5.9"/>
    <x v="0"/>
    <m/>
    <s v="060BGO0114"/>
    <s v="Concessão Federal"/>
    <m/>
    <m/>
    <m/>
    <s v="Federal"/>
    <s v="PAV"/>
    <s v="Goiânia"/>
  </r>
  <r>
    <x v="0"/>
    <s v="153BGO0576"/>
    <n v="0"/>
    <x v="122"/>
    <s v="0576"/>
    <n v="-48.9622426401856"/>
    <n v="-16.395686139603601"/>
    <n v="-49.020715600044802"/>
    <n v="-16.446741340140701"/>
    <s v="153"/>
    <s v="GO"/>
    <s v="Eixo Principal"/>
    <s v="Coinc"/>
    <s v="153BGO0576"/>
    <s v="ENTR GO-330 (P/ANÁPOLIS/DAIA)"/>
    <s v="ENTR GO-415 (P/GOIANÁPOLIS)"/>
    <n v="451.1"/>
    <n v="460.2"/>
    <n v="9.1"/>
    <x v="0"/>
    <m/>
    <s v="060BGO0116"/>
    <s v="Concessão Federal"/>
    <m/>
    <m/>
    <m/>
    <s v="Federal"/>
    <s v="PAV"/>
    <s v="Goiânia"/>
  </r>
  <r>
    <x v="0"/>
    <s v="153BGO0578"/>
    <n v="0"/>
    <x v="122"/>
    <s v="0578"/>
    <n v="-49.020715600044802"/>
    <n v="-16.446741340140701"/>
    <n v="-49.206325890227603"/>
    <n v="-16.619322829884599"/>
    <s v="153"/>
    <s v="GO"/>
    <s v="Eixo Principal"/>
    <s v="Coinc"/>
    <s v="153BGO0578"/>
    <s v="ENTR GO-415 (P/GOIANÁPOLIS)"/>
    <s v="ENTR BR-060(B) (GOIÂNIA)"/>
    <n v="460.2"/>
    <n v="490.4"/>
    <n v="30.2"/>
    <x v="0"/>
    <m/>
    <s v="060BGO0118"/>
    <s v="Concessão Federal"/>
    <m/>
    <m/>
    <m/>
    <s v="Federal"/>
    <s v="PAV"/>
    <s v="Goiânia"/>
  </r>
  <r>
    <x v="2"/>
    <s v="153BGO0590"/>
    <s v="BR-060/153/262/DF/GO/MG (Concebra)"/>
    <x v="122"/>
    <s v="0590"/>
    <n v="-49.206325890227603"/>
    <n v="-16.619322829884599"/>
    <n v="-49.219573609934102"/>
    <n v="-16.6582000398998"/>
    <s v="153"/>
    <s v="GO"/>
    <s v="Eixo Principal"/>
    <s v="-"/>
    <s v="153BGO0590"/>
    <s v="ENTR BR-060(B) (GOIÂNIA)"/>
    <s v="ENTR BR-457 (GOIÂNIA)"/>
    <n v="490.4"/>
    <n v="496.8"/>
    <n v="6.4"/>
    <x v="0"/>
    <m/>
    <m/>
    <s v="Concessão Federal"/>
    <m/>
    <m/>
    <m/>
    <s v="Federal"/>
    <s v="PAV"/>
    <s v="Goiânia"/>
  </r>
  <r>
    <x v="2"/>
    <s v="153BGO0592"/>
    <s v="BR-060/153/262/DF/GO/MG (Concebra)"/>
    <x v="122"/>
    <s v="0592"/>
    <n v="-49.219573609934102"/>
    <n v="-16.6582000398998"/>
    <n v="-49.230992730030401"/>
    <n v="-16.709869040323799"/>
    <s v="153"/>
    <s v="GO"/>
    <s v="Eixo Principal"/>
    <s v="-"/>
    <s v="153BGO0592"/>
    <s v="ENTR BR-457 (GOIÂNIA)"/>
    <s v="ENTR BR-352 (GOIÂNIA)"/>
    <n v="496.8"/>
    <n v="501.3"/>
    <n v="4.5"/>
    <x v="0"/>
    <m/>
    <m/>
    <s v="Concessão Federal"/>
    <m/>
    <m/>
    <m/>
    <s v="Federal"/>
    <s v="PAV"/>
    <s v="Goiânia"/>
  </r>
  <r>
    <x v="2"/>
    <s v="153BGO0610"/>
    <s v="BR-060/153/262/DF/GO/MG (Concebra)"/>
    <x v="122"/>
    <s v="0610"/>
    <n v="-49.230992730030401"/>
    <n v="-16.709869040323799"/>
    <n v="-49.242167290288101"/>
    <n v="-16.728660899680701"/>
    <s v="153"/>
    <s v="GO"/>
    <s v="Eixo Principal"/>
    <s v="-"/>
    <s v="153BGO0610"/>
    <s v="ENTR BR-352 (GOIÂNIA)"/>
    <s v="ACESSO SUL GOIÂNIA"/>
    <n v="501.3"/>
    <n v="503.8"/>
    <n v="2.5"/>
    <x v="0"/>
    <m/>
    <m/>
    <s v="Concessão Federal"/>
    <m/>
    <m/>
    <m/>
    <s v="Federal"/>
    <s v="PAV"/>
    <s v="Goiânia"/>
  </r>
  <r>
    <x v="2"/>
    <s v="153BGO0612"/>
    <s v="BR-060/153/262/DF/GO/MG (Concebra)"/>
    <x v="122"/>
    <s v="0612"/>
    <n v="-49.242167290288101"/>
    <n v="-16.728660899680701"/>
    <n v="-49.239544359984102"/>
    <n v="-16.810823919588099"/>
    <s v="153"/>
    <s v="GO"/>
    <s v="Eixo Principal"/>
    <s v="-"/>
    <s v="153BGO0612"/>
    <s v="ACESSO SUL GOIÂNIA"/>
    <s v="APARECIDA DE GOIÂNIA"/>
    <n v="503.8"/>
    <n v="513.1"/>
    <n v="9.3000000000000007"/>
    <x v="0"/>
    <m/>
    <m/>
    <s v="Concessão Federal"/>
    <m/>
    <m/>
    <m/>
    <s v="Federal"/>
    <s v="PAV"/>
    <s v="Goiânia"/>
  </r>
  <r>
    <x v="2"/>
    <s v="153BGO0620"/>
    <s v="BR-060/153/262/DF/GO/MG (Concebra)"/>
    <x v="122"/>
    <s v="0620"/>
    <n v="-49.239544359984102"/>
    <n v="-16.810823919588099"/>
    <n v="-49.2438819997544"/>
    <n v="-16.835520619580901"/>
    <s v="153"/>
    <s v="GO"/>
    <s v="Eixo Principal"/>
    <s v="-"/>
    <s v="153BGO0620"/>
    <s v="APARECIDA DE GOIÂNIA"/>
    <s v="ENTR GO-319"/>
    <n v="513.1"/>
    <n v="515.79999999999995"/>
    <n v="2.7"/>
    <x v="0"/>
    <m/>
    <m/>
    <s v="Concessão Federal"/>
    <m/>
    <m/>
    <m/>
    <s v="Federal"/>
    <s v="PAV"/>
    <s v="Goiânia"/>
  </r>
  <r>
    <x v="2"/>
    <s v="153BGO0625"/>
    <s v="BR-060/153/262/DF/GO/MG (Concebra)"/>
    <x v="122"/>
    <s v="0625"/>
    <n v="-49.2438819997544"/>
    <n v="-16.835520619580901"/>
    <n v="-49.238882240423003"/>
    <n v="-16.959320330169"/>
    <s v="153"/>
    <s v="GO"/>
    <s v="Eixo Principal"/>
    <s v="-"/>
    <s v="153BGO0625"/>
    <s v="ENTR GO-319"/>
    <s v="ENTR GO-219(A)"/>
    <n v="515.79999999999995"/>
    <n v="531.29999999999995"/>
    <n v="15.5"/>
    <x v="0"/>
    <m/>
    <m/>
    <s v="Concessão Federal"/>
    <m/>
    <m/>
    <m/>
    <s v="Federal"/>
    <s v="PAV"/>
    <s v="Goiânia"/>
  </r>
  <r>
    <x v="2"/>
    <s v="153BGO0627"/>
    <s v="BR-060/153/262/DF/GO/MG (Concebra)"/>
    <x v="122"/>
    <s v="0627"/>
    <n v="-49.238882240423003"/>
    <n v="-16.959320330169"/>
    <n v="-49.233555580225797"/>
    <n v="-16.967025859955399"/>
    <s v="153"/>
    <s v="GO"/>
    <s v="Eixo Principal"/>
    <s v="-"/>
    <s v="153BGO0627"/>
    <s v="ENTR GO-219(A)"/>
    <s v="ENTR GO-219(B) (HIDROLÂNDIA)"/>
    <n v="531.29999999999995"/>
    <n v="533.29999999999995"/>
    <n v="2"/>
    <x v="0"/>
    <m/>
    <m/>
    <s v="Concessão Federal"/>
    <m/>
    <m/>
    <m/>
    <s v="Federal"/>
    <s v="PAV"/>
    <s v="Goiânia"/>
  </r>
  <r>
    <x v="2"/>
    <s v="153BGO0628"/>
    <s v="BR-060/153/262/DF/GO/MG (Concebra)"/>
    <x v="122"/>
    <s v="0628"/>
    <n v="-49.233555580225797"/>
    <n v="-16.967025859955399"/>
    <n v="-49.210233070399802"/>
    <n v="-17.1763650797845"/>
    <s v="153"/>
    <s v="GO"/>
    <s v="Eixo Principal"/>
    <s v="-"/>
    <s v="153BGO0628"/>
    <s v="ENTR GO-219(B) (HIDROLÂNDIA)"/>
    <s v="ENTR GO-217(A) (P/PIRACANJUBA)"/>
    <n v="533.29999999999995"/>
    <n v="555.5"/>
    <n v="22.2"/>
    <x v="0"/>
    <m/>
    <m/>
    <s v="Concessão Federal"/>
    <m/>
    <m/>
    <m/>
    <s v="Federal"/>
    <s v="PAV"/>
    <s v="Goiânia"/>
  </r>
  <r>
    <x v="2"/>
    <s v="153BGO0632"/>
    <s v="BR-060/153/262/DF/GO/MG (Concebra)"/>
    <x v="122"/>
    <s v="0632"/>
    <n v="-49.210233070399802"/>
    <n v="-17.1763650797845"/>
    <n v="-49.241650680134697"/>
    <n v="-17.249740250212302"/>
    <s v="153"/>
    <s v="GO"/>
    <s v="Eixo Principal"/>
    <s v="-"/>
    <s v="153BGO0632"/>
    <s v="ENTR GO-217(A) (P/PIRACANJUBA)"/>
    <s v="ENTR GO-217(B) (PROFESSOR JAMIL)"/>
    <n v="555.5"/>
    <n v="565.29999999999995"/>
    <n v="9.8000000000000007"/>
    <x v="0"/>
    <m/>
    <m/>
    <s v="Concessão Federal"/>
    <m/>
    <m/>
    <m/>
    <s v="Federal"/>
    <s v="PAV"/>
    <s v="Goiânia"/>
  </r>
  <r>
    <x v="2"/>
    <s v="153BGO0650"/>
    <s v="BR-060/153/262/DF/GO/MG (Concebra)"/>
    <x v="122"/>
    <s v="0650"/>
    <n v="-49.241650680134697"/>
    <n v="-17.249740250212302"/>
    <n v="-49.227679310151899"/>
    <n v="-17.3899482902813"/>
    <s v="153"/>
    <s v="GO"/>
    <s v="Eixo Principal"/>
    <s v="-"/>
    <s v="153BGO0650"/>
    <s v="ENTR GO-217(B) (PROFESSOR JAMIL)"/>
    <s v="ENTR GO-470"/>
    <n v="565.29999999999995"/>
    <n v="582.4"/>
    <n v="17.100000000000001"/>
    <x v="0"/>
    <m/>
    <m/>
    <s v="Concessão Federal"/>
    <m/>
    <m/>
    <m/>
    <s v="Federal"/>
    <s v="PAV"/>
    <s v="Goiânia"/>
  </r>
  <r>
    <x v="2"/>
    <s v="153BGO0655"/>
    <s v="BR-060/153/262/DF/GO/MG (Concebra)"/>
    <x v="122"/>
    <s v="0655"/>
    <n v="-49.227679310151899"/>
    <n v="-17.3899482902813"/>
    <n v="-49.215299250060198"/>
    <n v="-17.5249202004068"/>
    <s v="153"/>
    <s v="GO"/>
    <s v="Eixo Principal"/>
    <s v="-"/>
    <s v="153BGO0655"/>
    <s v="ENTR GO-470"/>
    <s v="ENTR GO-215 (P/PONTALINA)"/>
    <n v="582.4"/>
    <n v="598.20000000000005"/>
    <n v="15.8"/>
    <x v="0"/>
    <m/>
    <m/>
    <s v="Concessão Federal"/>
    <m/>
    <m/>
    <m/>
    <s v="Federal"/>
    <s v="PAV"/>
    <s v="Goiânia"/>
  </r>
  <r>
    <x v="2"/>
    <s v="153BGO0670"/>
    <s v="BR-060/153/262/DF/GO/MG (Concebra)"/>
    <x v="122"/>
    <s v="0670"/>
    <n v="-49.215299250060198"/>
    <n v="-17.5249202004068"/>
    <n v="-49.154310509622199"/>
    <n v="-17.727535979801502"/>
    <s v="153"/>
    <s v="GO"/>
    <s v="Eixo Principal"/>
    <s v="-"/>
    <s v="153BGO0670"/>
    <s v="ENTR GO-215 (P/PONTALINA)"/>
    <s v="ENTR BR-490/GO-213(A) (P/MORRINHOS)"/>
    <n v="598.20000000000005"/>
    <n v="621.70000000000005"/>
    <n v="23.5"/>
    <x v="0"/>
    <m/>
    <m/>
    <s v="Concessão Federal"/>
    <m/>
    <m/>
    <m/>
    <s v="Federal"/>
    <s v="PAV"/>
    <s v="Goiânia"/>
  </r>
  <r>
    <x v="2"/>
    <s v="153BGO0690"/>
    <s v="BR-060/153/262/DF/GO/MG (Concebra)"/>
    <x v="122"/>
    <s v="0690"/>
    <n v="-49.154310509622199"/>
    <n v="-17.727535979801502"/>
    <n v="-49.209137629597798"/>
    <n v="-17.811094719645499"/>
    <s v="153"/>
    <s v="GO"/>
    <s v="Eixo Principal"/>
    <s v="-"/>
    <s v="153BGO0690"/>
    <s v="ENTR BR-490/GO-213(A) (P/MORRINHOS)"/>
    <s v="ENTR GO-213(B) (P/ALOÂNDIA)"/>
    <n v="621.70000000000005"/>
    <n v="633.20000000000005"/>
    <n v="11.5"/>
    <x v="0"/>
    <m/>
    <m/>
    <s v="Concessão Federal"/>
    <m/>
    <m/>
    <m/>
    <s v="Federal"/>
    <s v="PAV"/>
    <s v="Goiânia"/>
  </r>
  <r>
    <x v="2"/>
    <s v="153BGO0710"/>
    <s v="BR-060/153/262/DF/GO/MG (Concebra)"/>
    <x v="122"/>
    <s v="0710"/>
    <n v="-49.209137629597798"/>
    <n v="-17.811094719645499"/>
    <n v="-49.217420019618103"/>
    <n v="-17.840180280295598"/>
    <s v="153"/>
    <s v="GO"/>
    <s v="Eixo Principal"/>
    <s v="-"/>
    <s v="153BGO0710"/>
    <s v="ENTR GO-213(B) (P/ALOÂNDIA)"/>
    <s v="ENTR GO-419"/>
    <n v="633.20000000000005"/>
    <n v="636.5"/>
    <n v="3.3"/>
    <x v="0"/>
    <m/>
    <m/>
    <s v="Concessão Federal"/>
    <m/>
    <m/>
    <m/>
    <s v="Federal"/>
    <s v="PAV"/>
    <s v="Goiânia"/>
  </r>
  <r>
    <x v="2"/>
    <s v="153BGO0711"/>
    <s v="BR-060/153/262/DF/GO/MG (Concebra)"/>
    <x v="122"/>
    <s v="0711"/>
    <n v="-49.217420019618103"/>
    <n v="-17.840180280295598"/>
    <n v="-49.267905499638999"/>
    <n v="-18.046889940018598"/>
    <s v="153"/>
    <s v="GO"/>
    <s v="Eixo Principal"/>
    <s v="-"/>
    <s v="153BGO0711"/>
    <s v="ENTR GO-419"/>
    <s v="ENTR GO-320 (P/GOIATUBA)"/>
    <n v="636.5"/>
    <n v="660.1"/>
    <n v="23.6"/>
    <x v="0"/>
    <m/>
    <m/>
    <s v="Concessão Federal"/>
    <m/>
    <m/>
    <m/>
    <s v="Federal"/>
    <s v="PAV"/>
    <s v="Goiânia"/>
  </r>
  <r>
    <x v="2"/>
    <s v="153BGO0712"/>
    <s v="BR-060/153/262/DF/GO/MG (Concebra)"/>
    <x v="122"/>
    <s v="0712"/>
    <n v="-49.267905499638999"/>
    <n v="-18.046889940018598"/>
    <n v="-49.276754039867001"/>
    <n v="-18.108513320333401"/>
    <s v="153"/>
    <s v="GO"/>
    <s v="Eixo Principal"/>
    <s v="-"/>
    <s v="153BGO0712"/>
    <s v="ENTR GO-320 (P/GOIATUBA)"/>
    <s v="ENTR GO-210(A) (P/BURITI ALEGRE)"/>
    <n v="660.1"/>
    <n v="667.1"/>
    <n v="7"/>
    <x v="0"/>
    <m/>
    <m/>
    <s v="Concessão Federal"/>
    <m/>
    <m/>
    <m/>
    <s v="Federal"/>
    <s v="PAV"/>
    <s v="Goiânia"/>
  </r>
  <r>
    <x v="2"/>
    <s v="153BGO0730"/>
    <s v="BR-060/153/262/DF/GO/MG (Concebra)"/>
    <x v="122"/>
    <s v="0730"/>
    <n v="-49.276754039867001"/>
    <n v="-18.108513320333401"/>
    <n v="-49.290429399796899"/>
    <n v="-18.181899369859899"/>
    <s v="153"/>
    <s v="GO"/>
    <s v="Eixo Principal"/>
    <s v="-"/>
    <s v="153BGO0730"/>
    <s v="ENTR GO-210(A) (P/BURITI ALEGRE)"/>
    <s v="ENTR GO-210(B) (P/PANAMÁ)"/>
    <n v="667.1"/>
    <n v="675.5"/>
    <n v="8.4"/>
    <x v="0"/>
    <m/>
    <m/>
    <s v="Concessão Federal"/>
    <m/>
    <m/>
    <m/>
    <s v="Federal"/>
    <s v="PAV"/>
    <s v="Goiânia"/>
  </r>
  <r>
    <x v="2"/>
    <s v="153BGO0750"/>
    <s v="BR-060/153/262/DF/GO/MG (Concebra)"/>
    <x v="122"/>
    <s v="0750"/>
    <n v="-49.290429399796899"/>
    <n v="-18.181899369859899"/>
    <n v="-49.216545480189701"/>
    <n v="-18.358221179563699"/>
    <s v="153"/>
    <s v="GO"/>
    <s v="Eixo Principal"/>
    <s v="-"/>
    <s v="153BGO0750"/>
    <s v="ENTR GO-210(B) (P/PANAMÁ)"/>
    <s v="ENTR BR-154/452(A)/483"/>
    <n v="675.5"/>
    <n v="696.7"/>
    <n v="21.2"/>
    <x v="0"/>
    <m/>
    <m/>
    <s v="Concessão Federal"/>
    <m/>
    <m/>
    <m/>
    <s v="Federal"/>
    <s v="PAV"/>
    <s v="Goiânia"/>
  </r>
  <r>
    <x v="2"/>
    <s v="153BGO0770"/>
    <s v="BR-060/153/262/DF/GO/MG (Concebra)"/>
    <x v="122"/>
    <s v="0770"/>
    <n v="-49.216545480189701"/>
    <n v="-18.358221179563699"/>
    <n v="-49.194560229870604"/>
    <n v="-18.419153849970101"/>
    <s v="153"/>
    <s v="GO"/>
    <s v="Eixo Principal"/>
    <s v="-"/>
    <s v="153BGO0770"/>
    <s v="ENTR BR-154/452(A)/483"/>
    <s v="ENTR BR-452(B) (INÍCIO PONTE S/RIO PARANAÍBA) (DIV GO/MG) (ITUMBIARA)"/>
    <n v="696.7"/>
    <n v="703.6"/>
    <n v="6.9"/>
    <x v="0"/>
    <m/>
    <s v="452BGO0090"/>
    <s v="Concessão Federal"/>
    <m/>
    <m/>
    <m/>
    <s v="Federal"/>
    <s v="PAV"/>
    <s v="Rio Verde"/>
  </r>
  <r>
    <x v="2"/>
    <s v="153BMG0790"/>
    <s v="BR-060/153/262/DF/GO/MG (Concebra)"/>
    <x v="123"/>
    <s v="0790"/>
    <n v="-49.194560229870604"/>
    <n v="-18.419153849970101"/>
    <n v="-49.1878993103048"/>
    <n v="-18.4521984196213"/>
    <s v="153"/>
    <s v="MG"/>
    <s v="Eixo Principal"/>
    <s v="-"/>
    <s v="153BMG0790"/>
    <s v="ENTR BR-452(A) (FIM PONTE S/RIO PARANAÍBA) (DIV GO/MG)"/>
    <s v="ENTR BR-452(B)"/>
    <n v="0"/>
    <n v="4.0999999999999996"/>
    <n v="4.0999999999999996"/>
    <x v="0"/>
    <m/>
    <s v="452BMG0110"/>
    <s v="Concessão Federal"/>
    <m/>
    <m/>
    <m/>
    <s v="Federal"/>
    <s v="PAV"/>
    <s v="Prata"/>
  </r>
  <r>
    <x v="2"/>
    <s v="153BMG0800"/>
    <s v="BR-060/153/262/DF/GO/MG (Concebra)"/>
    <x v="123"/>
    <s v="0800"/>
    <n v="-49.1878993103048"/>
    <n v="-18.4521984196213"/>
    <n v="-49.134661810394199"/>
    <n v="-18.712435490105701"/>
    <s v="153"/>
    <s v="MG"/>
    <s v="Eixo Principal"/>
    <s v="-"/>
    <s v="153BMG0800"/>
    <s v="ENTR BR-452(B)"/>
    <s v="ENTR MG-226 (P/CANÁPOLIS)"/>
    <n v="4.0999999999999996"/>
    <n v="34.299999999999997"/>
    <n v="30.2"/>
    <x v="2"/>
    <s v="EOD"/>
    <m/>
    <s v="Concessão Federal"/>
    <m/>
    <m/>
    <m/>
    <s v="Federal"/>
    <s v="PAV"/>
    <s v="Prata"/>
  </r>
  <r>
    <x v="2"/>
    <s v="153BMG0810"/>
    <s v="BR-060/153/262/DF/GO/MG (Concebra)"/>
    <x v="123"/>
    <s v="0810"/>
    <n v="-49.134661810394199"/>
    <n v="-18.712435490105701"/>
    <n v="-49.056638100068099"/>
    <n v="-18.878384620054099"/>
    <s v="153"/>
    <s v="MG"/>
    <s v="Eixo Principal"/>
    <s v="-"/>
    <s v="153BMG0810"/>
    <s v="ENTR MG-226 (P/CANÁPOLIS)"/>
    <s v="ENTR BR-365 (P/MONTE ALEGRE DE MINAS)"/>
    <n v="34.299999999999997"/>
    <n v="58"/>
    <n v="23.7"/>
    <x v="2"/>
    <s v="EOD"/>
    <m/>
    <s v="Concessão Federal"/>
    <m/>
    <m/>
    <m/>
    <s v="Federal"/>
    <s v="PAV"/>
    <s v="Prata"/>
  </r>
  <r>
    <x v="2"/>
    <s v="153BMG0830"/>
    <s v="BR-060/153/262/DF/GO/MG (Concebra)"/>
    <x v="123"/>
    <s v="0830"/>
    <n v="-49.056638100068099"/>
    <n v="-18.878384620054099"/>
    <n v="-48.907412080303203"/>
    <n v="-19.297439749744601"/>
    <s v="153"/>
    <s v="MG"/>
    <s v="Eixo Principal"/>
    <s v="-"/>
    <s v="153BMG0830"/>
    <s v="ENTR BR-365 (P/MONTE ALEGRE DE MINAS)"/>
    <s v="ENTR BR-464(A)/497 (PRATA)"/>
    <n v="58"/>
    <n v="108.1"/>
    <n v="50.1"/>
    <x v="2"/>
    <m/>
    <m/>
    <s v="Concessão Federal"/>
    <m/>
    <m/>
    <m/>
    <s v="Federal"/>
    <s v="PAV"/>
    <s v="Prata"/>
  </r>
  <r>
    <x v="2"/>
    <s v="153BMG0850"/>
    <s v="BR-060/153/262/DF/GO/MG (Concebra)"/>
    <x v="123"/>
    <s v="0850"/>
    <n v="-48.907412080303203"/>
    <n v="-19.297439749744601"/>
    <n v="-48.862428149839197"/>
    <n v="-19.4838873699061"/>
    <s v="153"/>
    <s v="MG"/>
    <s v="Eixo Principal"/>
    <s v="-"/>
    <s v="153BMG0850"/>
    <s v="ENTR BR-464(A)/497 (PRATA)"/>
    <s v="ENTR BR-464(B)(ACESSO PATRIMÔNIO)"/>
    <n v="108.1"/>
    <n v="129.9"/>
    <n v="21.8"/>
    <x v="2"/>
    <m/>
    <s v="464BMG0030"/>
    <s v="Concessão Federal"/>
    <m/>
    <m/>
    <m/>
    <s v="Federal"/>
    <s v="PAV"/>
    <s v="Prata"/>
  </r>
  <r>
    <x v="2"/>
    <s v="153BMG0857"/>
    <s v="BR-060/153/262/DF/GO/MG (Concebra)"/>
    <x v="123"/>
    <s v="0857"/>
    <n v="-48.862428149839197"/>
    <n v="-19.4838873699061"/>
    <n v="-48.849149550111598"/>
    <n v="-19.629688999747401"/>
    <s v="153"/>
    <s v="MG"/>
    <s v="Eixo Principal"/>
    <s v="-"/>
    <s v="153BMG0857"/>
    <s v="ENTR BR-464(B)(ACESSO PATRIMÔNIO)"/>
    <s v="ENTR BR-262(A) (P/POUSO ALTO)"/>
    <n v="129.9"/>
    <n v="147.69999999999999"/>
    <n v="17.8"/>
    <x v="2"/>
    <m/>
    <m/>
    <s v="Concessão Federal"/>
    <m/>
    <m/>
    <m/>
    <s v="Federal"/>
    <s v="PAV"/>
    <s v="Prata"/>
  </r>
  <r>
    <x v="2"/>
    <s v="153BMG0863"/>
    <s v="BR-060/153/262/DF/GO/MG (Concebra)"/>
    <x v="123"/>
    <s v="0863"/>
    <n v="-48.849149550111598"/>
    <n v="-19.629688999747401"/>
    <n v="-48.973782149826299"/>
    <n v="-19.728921379617901"/>
    <s v="153"/>
    <s v="MG"/>
    <s v="Eixo Principal"/>
    <s v="-"/>
    <s v="153BMG0863"/>
    <s v="ENTR BR-262(A) (P/POUSO ALTO)"/>
    <s v="ENTR BR-364(A)/262(A) (P/COMENDADOR GOMES)"/>
    <n v="147.69999999999999"/>
    <n v="165.7"/>
    <n v="18"/>
    <x v="2"/>
    <m/>
    <s v="262BMG1040"/>
    <s v="Concessão Federal"/>
    <m/>
    <m/>
    <m/>
    <s v="Federal"/>
    <s v="PAV"/>
    <s v="Prata"/>
  </r>
  <r>
    <x v="2"/>
    <s v="153BMG0870"/>
    <s v="BR-060/153/262/DF/GO/MG (Concebra)"/>
    <x v="123"/>
    <s v="0870"/>
    <n v="-48.973782149826299"/>
    <n v="-19.728921379617901"/>
    <n v="-48.9601756500861"/>
    <n v="-19.942016019923301"/>
    <s v="153"/>
    <s v="MG"/>
    <s v="Eixo Principal"/>
    <s v="-"/>
    <s v="153BMG0870"/>
    <s v="ENTR BR-364(A)/262(A) (P/COMENDADOR GOMES)"/>
    <s v="ENTR BR-364(B)/262(B) (P/FRUTAL)"/>
    <n v="165.7"/>
    <n v="190.3"/>
    <n v="24.6"/>
    <x v="2"/>
    <m/>
    <s v="262BMG1050;364BMG0290"/>
    <s v="Concessão Federal"/>
    <m/>
    <m/>
    <m/>
    <s v="Federal"/>
    <s v="PAV"/>
    <s v="Prata"/>
  </r>
  <r>
    <x v="2"/>
    <s v="153BMG0890"/>
    <s v="BR-060/153/262/DF/GO/MG (Concebra)"/>
    <x v="123"/>
    <s v="0890"/>
    <n v="-48.9601756500861"/>
    <n v="-19.942016019923301"/>
    <n v="-49.047119570311899"/>
    <n v="-20.019917310035702"/>
    <s v="153"/>
    <s v="MG"/>
    <s v="Eixo Principal"/>
    <s v="-"/>
    <s v="153BMG0890"/>
    <s v="ENTR BR-364(B)/262(B) (P/FRUTAL)"/>
    <s v="ENTR MG-255"/>
    <n v="190.3"/>
    <n v="203.3"/>
    <n v="13"/>
    <x v="2"/>
    <m/>
    <s v="262BMG1060"/>
    <s v="Concessão Federal"/>
    <m/>
    <m/>
    <m/>
    <s v="Federal"/>
    <s v="PAV"/>
    <s v="Prata"/>
  </r>
  <r>
    <x v="2"/>
    <s v="153BMG0910"/>
    <s v="BR-060/153/262/DF/GO/MG (Concebra)"/>
    <x v="123"/>
    <s v="0910"/>
    <n v="-49.047119570311899"/>
    <n v="-20.019917310035702"/>
    <n v="-49.207646380076298"/>
    <n v="-20.3065298503722"/>
    <s v="153"/>
    <s v="MG"/>
    <s v="Eixo Principal"/>
    <s v="-"/>
    <s v="153BMG0910"/>
    <s v="ENTR MG-255"/>
    <s v="ENTR BR-262(B)/FIM PONTE S/RIO GRANDE (DIV MG/SP)"/>
    <n v="203.3"/>
    <n v="239.9"/>
    <n v="36.6"/>
    <x v="2"/>
    <m/>
    <s v="262BMG1070"/>
    <s v="Concessão Federal"/>
    <m/>
    <m/>
    <m/>
    <s v="Federal"/>
    <s v="PAV"/>
    <s v="Prata"/>
  </r>
  <r>
    <x v="0"/>
    <s v="153BPA0010"/>
    <n v="0"/>
    <x v="124"/>
    <s v="0010"/>
    <n v="-49.078453970274403"/>
    <n v="-5.3615281601963698"/>
    <n v="-48.800194469798797"/>
    <n v="-5.4728901398680101"/>
    <s v="153"/>
    <s v="PA"/>
    <s v="Eixo Principal"/>
    <s v="-"/>
    <s v="153BPA0010"/>
    <s v="ENTR BR-222/230(A)/PA-150 (MARABÁ)"/>
    <s v="ENTR PA-405"/>
    <n v="0"/>
    <n v="34.9"/>
    <n v="34.9"/>
    <x v="2"/>
    <m/>
    <s v="230BPA1270"/>
    <s v="Federal"/>
    <m/>
    <m/>
    <m/>
    <s v="Federal"/>
    <s v="PAV"/>
    <s v="Marabá"/>
  </r>
  <r>
    <x v="0"/>
    <s v="153BPA0030"/>
    <n v="0"/>
    <x v="124"/>
    <s v="0030"/>
    <n v="-48.800194469798797"/>
    <n v="-5.4728901398680101"/>
    <n v="-48.739672460415598"/>
    <n v="-5.4878228500444299"/>
    <s v="153"/>
    <s v="PA"/>
    <s v="Eixo Principal"/>
    <s v="-"/>
    <s v="153BPA0030"/>
    <s v="ENTR PA-405"/>
    <s v="ENTR BR-230(B)"/>
    <n v="34.9"/>
    <n v="41.7"/>
    <n v="6.8"/>
    <x v="2"/>
    <m/>
    <s v="230BPA1250"/>
    <s v="Federal"/>
    <m/>
    <m/>
    <m/>
    <s v="Federal"/>
    <s v="PAV"/>
    <s v="Marabá"/>
  </r>
  <r>
    <x v="0"/>
    <s v="153BPA0050"/>
    <n v="0"/>
    <x v="124"/>
    <s v="0050"/>
    <n v="-48.739672460415598"/>
    <n v="-5.4878228500444299"/>
    <n v="-48.700463870011497"/>
    <n v="-5.6725040704064904"/>
    <s v="153"/>
    <s v="PA"/>
    <s v="Eixo Principal"/>
    <s v="-"/>
    <s v="153BPA0050"/>
    <s v="ENTR BR-230(B)"/>
    <s v="ENTR PA-461 (P/BREJO GDE DO ARAGUAIA)"/>
    <n v="41.7"/>
    <n v="63"/>
    <n v="21.3"/>
    <x v="2"/>
    <m/>
    <m/>
    <s v="Federal"/>
    <m/>
    <m/>
    <m/>
    <s v="Federal"/>
    <s v="PAV"/>
    <s v="Marabá"/>
  </r>
  <r>
    <x v="0"/>
    <s v="153BPA0070"/>
    <n v="0"/>
    <x v="124"/>
    <s v="0070"/>
    <n v="-48.700463870011497"/>
    <n v="-5.6725040704064904"/>
    <n v="-48.567527810060298"/>
    <n v="-6.3900436700792502"/>
    <s v="153"/>
    <s v="PA"/>
    <s v="Eixo Principal"/>
    <s v="-"/>
    <s v="153BPA0070"/>
    <s v="ENTR PA-461 (P/BREJO GDE DO ARAGUAIA)"/>
    <s v="INÍCIO DUPLICAÇÃO (SÃO GERALDO DO ARAGUAIA)"/>
    <n v="63"/>
    <n v="150.1"/>
    <n v="87.1"/>
    <x v="2"/>
    <m/>
    <m/>
    <s v="Federal"/>
    <m/>
    <m/>
    <m/>
    <s v="Federal"/>
    <s v="PAV"/>
    <s v="Marabá"/>
  </r>
  <r>
    <x v="0"/>
    <s v="153BPA0075"/>
    <n v="0"/>
    <x v="124"/>
    <s v="0075"/>
    <n v="-48.567527810060298"/>
    <n v="-6.3900436700792502"/>
    <n v="-48.552853869910102"/>
    <n v="-6.40042385018051"/>
    <s v="153"/>
    <s v="PA"/>
    <s v="Eixo Principal"/>
    <s v="-"/>
    <s v="153BPA0075"/>
    <s v="INÍCIO DUPLICAÇÃO (SÃO GERALDO DO ARAGUAIA)"/>
    <s v="DIV PA/TO (SÃO GERALDO DO ARAGUAIA) (INÍCIO TRAVESSIA)"/>
    <n v="150.1"/>
    <n v="152.1"/>
    <n v="2"/>
    <x v="0"/>
    <m/>
    <m/>
    <s v="Federal"/>
    <m/>
    <m/>
    <m/>
    <s v="Federal"/>
    <s v="PAV"/>
    <s v="Marabá"/>
  </r>
  <r>
    <x v="0"/>
    <s v="153BPR1210"/>
    <n v="0"/>
    <x v="125"/>
    <s v="1210"/>
    <n v="-49.9056926096262"/>
    <n v="-22.998523449697402"/>
    <n v="-49.908331189932397"/>
    <n v="-23.002904249731198"/>
    <s v="153"/>
    <s v="PR"/>
    <s v="Eixo Principal"/>
    <s v="-"/>
    <s v="153BPR1210"/>
    <s v="ENTR BR-369(A) (DIV SP/PR)"/>
    <s v="ENTR BR-369(B)"/>
    <n v="0"/>
    <n v="1"/>
    <n v="1"/>
    <x v="0"/>
    <m/>
    <s v="369BPR0470"/>
    <s v="Concessão Estadual"/>
    <m/>
    <m/>
    <m/>
    <s v="Federal"/>
    <s v="PAV"/>
    <s v="Ponta Grossa"/>
  </r>
  <r>
    <x v="0"/>
    <s v="153BPR1213"/>
    <n v="0"/>
    <x v="125"/>
    <s v="1213"/>
    <n v="-49.908331189932397"/>
    <n v="-23.002904249731198"/>
    <n v="-49.954916339917098"/>
    <n v="-23.151285270098999"/>
    <s v="153"/>
    <s v="PR"/>
    <s v="Eixo Principal"/>
    <s v="-"/>
    <s v="153BPR1213"/>
    <s v="ENTR BR-369(B)"/>
    <s v="ENTR PR-431(A) (JACAREZINHO)"/>
    <n v="1"/>
    <n v="19.100000000000001"/>
    <n v="18.100000000000001"/>
    <x v="2"/>
    <m/>
    <m/>
    <s v="Concessão Estadual"/>
    <m/>
    <m/>
    <m/>
    <s v="Federal"/>
    <s v="PAV"/>
    <s v="Ponta Grossa"/>
  </r>
  <r>
    <x v="0"/>
    <s v="153BPR1220"/>
    <n v="0"/>
    <x v="125"/>
    <s v="1220"/>
    <n v="-49.954916339917098"/>
    <n v="-23.151285270098999"/>
    <n v="-49.985833719750303"/>
    <n v="-23.189076449818199"/>
    <s v="153"/>
    <s v="PR"/>
    <s v="Eixo Principal"/>
    <s v="-"/>
    <s v="153BPR1220"/>
    <s v="ENTR PR-431(A) (JACAREZINHO)"/>
    <s v="ENTR PR-431(B)"/>
    <n v="19.100000000000001"/>
    <n v="24.7"/>
    <n v="5.6"/>
    <x v="2"/>
    <m/>
    <m/>
    <s v="Concessão Estadual"/>
    <m/>
    <m/>
    <m/>
    <s v="Federal"/>
    <s v="PAV"/>
    <s v="Ponta Grossa"/>
  </r>
  <r>
    <x v="0"/>
    <s v="153BPR1230"/>
    <n v="0"/>
    <x v="125"/>
    <s v="1230"/>
    <n v="-49.985833719750303"/>
    <n v="-23.189076449818199"/>
    <n v="-50.055893960337897"/>
    <n v="-23.279650819829399"/>
    <s v="153"/>
    <s v="PR"/>
    <s v="Eixo Principal"/>
    <s v="-"/>
    <s v="153BPR1230"/>
    <s v="ENTR PR-431(B)"/>
    <s v="ENTR PR-092(A) (P/BARRA DO JACARÉ)"/>
    <n v="24.7"/>
    <n v="39.9"/>
    <n v="15.2"/>
    <x v="2"/>
    <m/>
    <m/>
    <s v="Concessão Estadual"/>
    <m/>
    <m/>
    <m/>
    <s v="Federal"/>
    <s v="PAV"/>
    <s v="Ponta Grossa"/>
  </r>
  <r>
    <x v="0"/>
    <s v="153BPR1240"/>
    <n v="0"/>
    <x v="125"/>
    <s v="1240"/>
    <n v="-50.055893960337897"/>
    <n v="-23.279650819829399"/>
    <n v="-50.059215279861199"/>
    <n v="-23.2879320596168"/>
    <s v="153"/>
    <s v="PR"/>
    <s v="Eixo Principal"/>
    <s v="-"/>
    <s v="153BPR1240"/>
    <s v="ENTR PR-092(A) (P/BARRA DO JACARÉ)"/>
    <s v="ACESSO SANTO ANTÔNIO DA PLATINA"/>
    <n v="39.9"/>
    <n v="41"/>
    <n v="1.1000000000000001"/>
    <x v="2"/>
    <m/>
    <m/>
    <s v="Concessão Estadual"/>
    <m/>
    <m/>
    <m/>
    <s v="Federal"/>
    <s v="PAV"/>
    <s v="Ponta Grossa"/>
  </r>
  <r>
    <x v="0"/>
    <s v="153BPR1250"/>
    <n v="0"/>
    <x v="125"/>
    <s v="1250"/>
    <n v="-50.059215279861199"/>
    <n v="-23.2879320596168"/>
    <n v="-50.065044240199398"/>
    <n v="-23.294591599622599"/>
    <s v="153"/>
    <s v="PR"/>
    <s v="Eixo Principal"/>
    <s v="-"/>
    <s v="153BPR1250"/>
    <s v="ACESSO SANTO ANTÔNIO DA PLATINA"/>
    <s v="ENTR PR-439(A) (P/PLATINA)"/>
    <n v="41"/>
    <n v="41.9"/>
    <n v="0.9"/>
    <x v="0"/>
    <m/>
    <m/>
    <s v="Concessão Estadual"/>
    <m/>
    <m/>
    <m/>
    <s v="Federal"/>
    <s v="PAV"/>
    <s v="Ponta Grossa"/>
  </r>
  <r>
    <x v="0"/>
    <s v="153BPR1252"/>
    <n v="0"/>
    <x v="125"/>
    <s v="1252"/>
    <n v="-50.065044240199398"/>
    <n v="-23.294591599622599"/>
    <n v="-50.070308449675103"/>
    <n v="-23.302117460152601"/>
    <s v="153"/>
    <s v="PR"/>
    <s v="Eixo Principal"/>
    <s v="-"/>
    <s v="153BPR1252"/>
    <s v="ENTR PR-439(A) (P/PLATINA)"/>
    <s v="INÍCIO PISTA DUPLA"/>
    <n v="41.9"/>
    <n v="43"/>
    <n v="1.1000000000000001"/>
    <x v="2"/>
    <m/>
    <m/>
    <s v="Concessão Estadual"/>
    <m/>
    <m/>
    <m/>
    <s v="Federal"/>
    <s v="PAV"/>
    <s v="Ponta Grossa"/>
  </r>
  <r>
    <x v="0"/>
    <s v="153BPR1253"/>
    <n v="0"/>
    <x v="125"/>
    <s v="1253"/>
    <n v="-50.070308449675103"/>
    <n v="-23.302117460152601"/>
    <n v="-50.070578089806901"/>
    <n v="-23.309731990239101"/>
    <s v="153"/>
    <s v="PR"/>
    <s v="Eixo Principal"/>
    <s v="-"/>
    <s v="153BPR1253"/>
    <s v="INÍCIO PISTA DUPLA"/>
    <s v="ENTR PR-439(B) (P/RIBEIRÃO DO PINHAL) (FIM PISTA DUPLA)"/>
    <n v="43"/>
    <n v="43.9"/>
    <n v="0.9"/>
    <x v="0"/>
    <m/>
    <m/>
    <s v="Concessão Estadual"/>
    <m/>
    <m/>
    <m/>
    <s v="Federal"/>
    <s v="PAV"/>
    <s v="Ponta Grossa"/>
  </r>
  <r>
    <x v="0"/>
    <s v="153BPR1255"/>
    <n v="0"/>
    <x v="125"/>
    <s v="1255"/>
    <n v="-50.070578089806901"/>
    <n v="-23.309731990239101"/>
    <n v="-50.060109300403802"/>
    <n v="-23.384813439888301"/>
    <s v="153"/>
    <s v="PR"/>
    <s v="Eixo Principal"/>
    <s v="-"/>
    <s v="153BPR1255"/>
    <s v="ENTR PR-439(B) (P/RIBEIRÃO DO PINHAL) (FIM PISTA DUPLA)"/>
    <s v="ENTR PR-092(B) (P/JOAQUIM TÁVORA)"/>
    <n v="43.9"/>
    <n v="52.5"/>
    <n v="8.6"/>
    <x v="2"/>
    <m/>
    <m/>
    <s v="Concessão Estadual"/>
    <m/>
    <m/>
    <m/>
    <s v="Federal"/>
    <s v="PAV"/>
    <s v="Ponta Grossa"/>
  </r>
  <r>
    <x v="0"/>
    <s v="153BPR1270"/>
    <n v="0"/>
    <x v="125"/>
    <s v="1270"/>
    <n v="-50.060109300403802"/>
    <n v="-23.384813439888301"/>
    <n v="-50.107760090355796"/>
    <n v="-23.495624649557801"/>
    <s v="153"/>
    <s v="PR"/>
    <s v="Eixo Principal"/>
    <s v="-"/>
    <s v="153BPR1270"/>
    <s v="ENTR PR-092(B) (P/JOAQUIM TÁVORA)"/>
    <s v="ENTR PR-218(A) (P/GUAPIRAMA)"/>
    <n v="52.5"/>
    <n v="66.599999999999994"/>
    <n v="14.1"/>
    <x v="2"/>
    <m/>
    <m/>
    <s v="Federal"/>
    <m/>
    <m/>
    <m/>
    <s v="Federal"/>
    <s v="PAV"/>
    <s v="Ponta Grossa"/>
  </r>
  <r>
    <x v="0"/>
    <s v="153BPR1290"/>
    <n v="0"/>
    <x v="125"/>
    <s v="1290"/>
    <n v="-50.107760090355796"/>
    <n v="-23.495624649557801"/>
    <n v="-50.112715700169304"/>
    <n v="-23.5107246399301"/>
    <s v="153"/>
    <s v="PR"/>
    <s v="Eixo Principal"/>
    <s v="-"/>
    <s v="153BPR1290"/>
    <s v="ENTR PR-218(A) (P/GUAPIRAMA)"/>
    <s v="ENTR PR-218(B) (P/JUNDIAÍ DO SUL)"/>
    <n v="66.599999999999994"/>
    <n v="68.400000000000006"/>
    <n v="1.8"/>
    <x v="2"/>
    <m/>
    <m/>
    <s v="Federal"/>
    <m/>
    <m/>
    <m/>
    <s v="Federal"/>
    <s v="PAV"/>
    <s v="Ponta Grossa"/>
  </r>
  <r>
    <x v="0"/>
    <s v="153BPR1293"/>
    <n v="0"/>
    <x v="125"/>
    <s v="1293"/>
    <n v="-50.112715700169304"/>
    <n v="-23.5107246399301"/>
    <n v="-50.147754619879699"/>
    <n v="-23.627597839568502"/>
    <s v="153"/>
    <s v="PR"/>
    <s v="Eixo Principal"/>
    <s v="-"/>
    <s v="153BPR1293"/>
    <s v="ENTR PR-218(B) (P/JUNDIAÍ DO SUL)"/>
    <s v="ACESSO CONSELHEIRO MAIRINK"/>
    <n v="68.400000000000006"/>
    <n v="82.7"/>
    <n v="14.3"/>
    <x v="2"/>
    <m/>
    <m/>
    <s v="Federal"/>
    <m/>
    <m/>
    <m/>
    <s v="Federal"/>
    <s v="PAV"/>
    <s v="Ponta Grossa"/>
  </r>
  <r>
    <x v="0"/>
    <s v="153BPR1295"/>
    <n v="0"/>
    <x v="125"/>
    <s v="1295"/>
    <n v="-50.147754619879699"/>
    <n v="-23.627597839568502"/>
    <n v="-50.187729209635201"/>
    <n v="-23.765763600209901"/>
    <s v="153"/>
    <s v="PR"/>
    <s v="Eixo Principal"/>
    <s v="-"/>
    <s v="153BPR1295"/>
    <s v="ACESSO CONSELHEIRO MAIRINK"/>
    <s v="ENTR PR-436 (P/VILA GUAÍ/RIBEIRÃO DO PINHAL)"/>
    <n v="82.7"/>
    <n v="99.2"/>
    <n v="16.5"/>
    <x v="2"/>
    <m/>
    <m/>
    <s v="Federal"/>
    <m/>
    <m/>
    <m/>
    <s v="Federal"/>
    <s v="PAV"/>
    <s v="Ponta Grossa"/>
  </r>
  <r>
    <x v="0"/>
    <s v="153BPR1297"/>
    <n v="0"/>
    <x v="125"/>
    <s v="1297"/>
    <n v="-50.187729209635201"/>
    <n v="-23.765763600209901"/>
    <n v="-50.179105769715399"/>
    <n v="-23.814184330342499"/>
    <s v="153"/>
    <s v="PR"/>
    <s v="Eixo Principal"/>
    <s v="-"/>
    <s v="153BPR1297"/>
    <s v="ENTR PR-436 (P/VILA GUAÍ/RIBEIRÃO DO PINHAL)"/>
    <s v="ENTR BR-272(A) (P/JAPÍRA)"/>
    <n v="99.2"/>
    <n v="105"/>
    <n v="5.8"/>
    <x v="2"/>
    <m/>
    <m/>
    <s v="Federal"/>
    <m/>
    <m/>
    <m/>
    <s v="Federal"/>
    <s v="PAV"/>
    <s v="Ponta Grossa"/>
  </r>
  <r>
    <x v="0"/>
    <s v="153BPR1298"/>
    <n v="0"/>
    <x v="125"/>
    <s v="1298"/>
    <n v="-50.179105769715399"/>
    <n v="-23.814184330342499"/>
    <n v="-50.193119690221401"/>
    <n v="-23.8380095602929"/>
    <s v="153"/>
    <s v="PR"/>
    <s v="Eixo Principal"/>
    <s v="-"/>
    <s v="153BPR1298"/>
    <s v="ENTR BR-272(A) (P/JAPÍRA)"/>
    <s v="ACESSO IBAITÍ (JARDIM SÃO RAFAEL)"/>
    <n v="105"/>
    <n v="108"/>
    <n v="3"/>
    <x v="2"/>
    <m/>
    <s v="272BPR0298"/>
    <s v="Federal"/>
    <m/>
    <m/>
    <m/>
    <s v="Federal"/>
    <s v="PAV"/>
    <s v="Ponta Grossa"/>
  </r>
  <r>
    <x v="0"/>
    <s v="153BPR1300"/>
    <n v="0"/>
    <x v="125"/>
    <s v="1300"/>
    <n v="-50.193119690221401"/>
    <n v="-23.8380095602929"/>
    <n v="-50.193998510422801"/>
    <n v="-23.8555546499271"/>
    <s v="153"/>
    <s v="PR"/>
    <s v="Eixo Principal"/>
    <s v="-"/>
    <s v="153BPR1300"/>
    <s v="ACESSO IBAITÍ (JARDIM SÃO RAFAEL)"/>
    <s v="ACESSO II IBAITÍ (VILA SANTO ANTÔNIO)"/>
    <n v="108"/>
    <n v="110.1"/>
    <n v="2.1"/>
    <x v="2"/>
    <m/>
    <s v="272BPR0300"/>
    <s v="Federal"/>
    <m/>
    <m/>
    <m/>
    <s v="Federal"/>
    <s v="PAV"/>
    <s v="Ponta Grossa"/>
  </r>
  <r>
    <x v="0"/>
    <s v="153BPR1305"/>
    <n v="0"/>
    <x v="125"/>
    <s v="1305"/>
    <n v="-50.193998510422801"/>
    <n v="-23.8555546499271"/>
    <n v="-50.202726220438699"/>
    <n v="-23.873676999993499"/>
    <s v="153"/>
    <s v="PR"/>
    <s v="Eixo Principal"/>
    <s v="-"/>
    <s v="153BPR1305"/>
    <s v="ACESSO II IBAITÍ (VILA SANTO ANTÔNIO)"/>
    <s v="ENTR BR-272(B)"/>
    <n v="110.1"/>
    <n v="112.4"/>
    <n v="2.2999999999999998"/>
    <x v="2"/>
    <m/>
    <s v="272BPR0305"/>
    <s v="Federal"/>
    <m/>
    <m/>
    <m/>
    <s v="Federal"/>
    <s v="PAV"/>
    <s v="Ponta Grossa"/>
  </r>
  <r>
    <x v="0"/>
    <s v="153BPR1310"/>
    <n v="0"/>
    <x v="125"/>
    <s v="1310"/>
    <n v="-50.202726220438699"/>
    <n v="-23.873676999993499"/>
    <n v="-50.205523249598201"/>
    <n v="-23.9032665596039"/>
    <s v="153"/>
    <s v="PR"/>
    <s v="Eixo Principal"/>
    <s v="-"/>
    <s v="153BPR1310"/>
    <s v="ENTR BR-272(B)"/>
    <s v="ENTR PR-531"/>
    <n v="112.4"/>
    <n v="115.9"/>
    <n v="3.5"/>
    <x v="2"/>
    <m/>
    <m/>
    <s v="Federal"/>
    <m/>
    <m/>
    <m/>
    <s v="Federal"/>
    <s v="PAV"/>
    <s v="Ponta Grossa"/>
  </r>
  <r>
    <x v="0"/>
    <s v="153BPR1320"/>
    <n v="0"/>
    <x v="125"/>
    <s v="1320"/>
    <n v="-50.205523249598201"/>
    <n v="-23.9032665596039"/>
    <n v="-50.232746250439"/>
    <n v="-24.235250860338901"/>
    <s v="153"/>
    <s v="PR"/>
    <s v="Eixo Principal"/>
    <s v="-"/>
    <s v="153BPR1320"/>
    <s v="ENTR PR-531"/>
    <s v="ENTR PR-090 (VENTANIA)"/>
    <n v="115.9"/>
    <n v="161.4"/>
    <n v="45.5"/>
    <x v="2"/>
    <m/>
    <m/>
    <s v="Federal"/>
    <m/>
    <m/>
    <m/>
    <s v="Federal"/>
    <s v="PAV"/>
    <s v="Ponta Grossa"/>
  </r>
  <r>
    <x v="0"/>
    <s v="153BPR1330"/>
    <n v="0"/>
    <x v="125"/>
    <s v="1330"/>
    <n v="-50.232746250439"/>
    <n v="-24.235250860338901"/>
    <n v="-50.4447834498962"/>
    <n v="-24.5010780204342"/>
    <s v="153"/>
    <s v="PR"/>
    <s v="Eixo Principal"/>
    <s v="-"/>
    <s v="153BPR1330"/>
    <s v="ENTR PR-090 (VENTANIA)"/>
    <s v="ENTR PR-340 (P/TIBAGI)"/>
    <n v="161.4"/>
    <n v="204.2"/>
    <n v="42.8"/>
    <x v="2"/>
    <m/>
    <m/>
    <s v="Federal"/>
    <m/>
    <m/>
    <m/>
    <s v="Federal"/>
    <s v="PAV"/>
    <s v="Ponta Grossa"/>
  </r>
  <r>
    <x v="0"/>
    <s v="153BPR1350"/>
    <n v="0"/>
    <x v="125"/>
    <s v="1350"/>
    <n v="-50.4447834498962"/>
    <n v="-24.5010780204342"/>
    <n v="-50.487586539687001"/>
    <n v="-24.814485020267401"/>
    <s v="153"/>
    <s v="PR"/>
    <s v="Eixo Principal"/>
    <s v="-"/>
    <s v="153BPR1350"/>
    <s v="ENTR PR-340 (P/TIBAGI)"/>
    <s v="ENTR BR-376"/>
    <n v="204.2"/>
    <n v="246.5"/>
    <n v="42.3"/>
    <x v="2"/>
    <m/>
    <m/>
    <s v="Federal"/>
    <m/>
    <m/>
    <m/>
    <s v="Federal"/>
    <s v="PAV"/>
    <s v="Ponta Grossa"/>
  </r>
  <r>
    <x v="0"/>
    <s v="153BPR1370"/>
    <n v="0"/>
    <x v="125"/>
    <s v="1370"/>
    <n v="-50.487586539687001"/>
    <n v="-24.814485020267401"/>
    <n v="-50.589338940439603"/>
    <n v="-25.0216143297374"/>
    <s v="153"/>
    <s v="PR"/>
    <s v="Eixo Principal"/>
    <s v="-"/>
    <s v="153BPR1370"/>
    <s v="ENTR BR-376"/>
    <s v="ENTR BR-487 (IPIRANGA)"/>
    <n v="246.5"/>
    <n v="274"/>
    <n v="27.5"/>
    <x v="1"/>
    <m/>
    <m/>
    <s v="Federal"/>
    <m/>
    <m/>
    <m/>
    <s v="Federal"/>
    <s v="PLA"/>
    <s v="Ponta Grossa"/>
  </r>
  <r>
    <x v="0"/>
    <s v="153BPR1390"/>
    <n v="0"/>
    <x v="125"/>
    <s v="1390"/>
    <n v="-50.589338940439603"/>
    <n v="-25.0216143297374"/>
    <n v="-50.602910290177697"/>
    <n v="-25.177510020370999"/>
    <s v="153"/>
    <s v="PR"/>
    <s v="Eixo Principal"/>
    <s v="-"/>
    <s v="153BPR1390"/>
    <s v="ENTR BR-487 (IPIRANGA)"/>
    <s v="ENTR BR-373"/>
    <n v="274"/>
    <n v="297"/>
    <n v="23"/>
    <x v="1"/>
    <m/>
    <m/>
    <s v="Federal"/>
    <m/>
    <m/>
    <m/>
    <s v="Federal"/>
    <s v="PLA"/>
    <s v="Ponta Grossa"/>
  </r>
  <r>
    <x v="0"/>
    <s v="153BPR1400"/>
    <n v="0"/>
    <x v="125"/>
    <s v="1400"/>
    <n v="-50.602910290177697"/>
    <n v="-25.177510020370999"/>
    <n v="-50.6404993301799"/>
    <n v="-25.256912389595001"/>
    <s v="153"/>
    <s v="PR"/>
    <s v="Eixo Principal"/>
    <s v="-"/>
    <s v="153BPR1400"/>
    <s v="ENTR BR-373"/>
    <s v="ENTR ACESSO IMBITUVA"/>
    <n v="297"/>
    <n v="306.7"/>
    <n v="9.6999999999999993"/>
    <x v="1"/>
    <m/>
    <m/>
    <s v="Federal"/>
    <m/>
    <m/>
    <m/>
    <s v="Federal"/>
    <s v="PLA"/>
    <s v="Ponta Grossa"/>
  </r>
  <r>
    <x v="0"/>
    <s v="153BPR1410"/>
    <n v="0"/>
    <x v="125"/>
    <s v="1410"/>
    <n v="-50.6404993301799"/>
    <n v="-25.256912389595001"/>
    <n v="-50.619187600127503"/>
    <n v="-25.453936779858399"/>
    <s v="153"/>
    <s v="PR"/>
    <s v="Eixo Principal"/>
    <s v="-"/>
    <s v="153BPR1410"/>
    <s v="ENTR ACESSO IMBITUVA"/>
    <s v="ENTR BR-277"/>
    <n v="306.7"/>
    <n v="329.9"/>
    <n v="23.2"/>
    <x v="2"/>
    <m/>
    <m/>
    <s v="Federal"/>
    <m/>
    <m/>
    <m/>
    <s v="Federal"/>
    <s v="PAV"/>
    <s v="Ponta Grossa"/>
  </r>
  <r>
    <x v="0"/>
    <s v="153BPR1420"/>
    <n v="0"/>
    <x v="125"/>
    <s v="1420"/>
    <n v="-50.619187600127503"/>
    <n v="-25.453936779858399"/>
    <n v="-50.629406649597101"/>
    <n v="-25.4643279002123"/>
    <s v="153"/>
    <s v="PR"/>
    <s v="Eixo Principal"/>
    <s v="-"/>
    <s v="153BPR1420"/>
    <s v="ENTR BR-277"/>
    <s v="IRATI"/>
    <n v="329.9"/>
    <n v="331.7"/>
    <n v="1.8"/>
    <x v="0"/>
    <m/>
    <m/>
    <s v="Federal"/>
    <m/>
    <m/>
    <m/>
    <s v="Federal"/>
    <s v="PAV"/>
    <s v="Ponta Grossa"/>
  </r>
  <r>
    <x v="0"/>
    <s v="153BPR1430"/>
    <n v="0"/>
    <x v="125"/>
    <s v="1430"/>
    <n v="-50.629406649597101"/>
    <n v="-25.4643279002123"/>
    <n v="-50.6472292502296"/>
    <n v="-25.494952879871398"/>
    <s v="153"/>
    <s v="PR"/>
    <s v="Eixo Principal"/>
    <s v="-"/>
    <s v="153BPR1430"/>
    <s v="IRATI"/>
    <s v="ENTR PR-364(A)"/>
    <n v="331.7"/>
    <n v="335.7"/>
    <n v="4"/>
    <x v="2"/>
    <m/>
    <m/>
    <s v="Federal"/>
    <m/>
    <m/>
    <m/>
    <s v="Federal"/>
    <s v="PAV"/>
    <s v="Ponta Grossa"/>
  </r>
  <r>
    <x v="0"/>
    <s v="153BPR1431"/>
    <n v="0"/>
    <x v="125"/>
    <s v="1431"/>
    <n v="-50.6472292502296"/>
    <n v="-25.494952879871398"/>
    <n v="-50.654171590146703"/>
    <n v="-25.5309474299798"/>
    <s v="153"/>
    <s v="PR"/>
    <s v="Eixo Principal"/>
    <s v="-"/>
    <s v="153BPR1431"/>
    <s v="ENTR PR-364(A)"/>
    <s v="ENTR PR-364(B)"/>
    <n v="335.7"/>
    <n v="339.8"/>
    <n v="4.0999999999999996"/>
    <x v="2"/>
    <m/>
    <m/>
    <s v="Federal"/>
    <m/>
    <m/>
    <m/>
    <s v="Federal"/>
    <s v="PAV"/>
    <s v="Ponta Grossa"/>
  </r>
  <r>
    <x v="0"/>
    <s v="153BPR1433"/>
    <n v="0"/>
    <x v="125"/>
    <s v="1433"/>
    <n v="-50.654171590146703"/>
    <n v="-25.5309474299798"/>
    <n v="-50.693218920416797"/>
    <n v="-25.605154549742601"/>
    <s v="153"/>
    <s v="PR"/>
    <s v="Eixo Principal"/>
    <s v="-"/>
    <s v="153BPR1433"/>
    <s v="ENTR PR-364(B)"/>
    <s v="ENTR. P/ REBOUÇAS"/>
    <n v="339.8"/>
    <n v="349.2"/>
    <n v="9.4"/>
    <x v="2"/>
    <m/>
    <m/>
    <s v="Federal"/>
    <m/>
    <m/>
    <m/>
    <s v="Federal"/>
    <s v="PAV"/>
    <s v="Ponta Grossa"/>
  </r>
  <r>
    <x v="0"/>
    <s v="153BPR1437"/>
    <n v="0"/>
    <x v="125"/>
    <s v="1437"/>
    <n v="-50.693218920416797"/>
    <n v="-25.605154549742601"/>
    <n v="-50.783628639849702"/>
    <n v="-25.7063924699364"/>
    <s v="153"/>
    <s v="PR"/>
    <s v="Eixo Principal"/>
    <s v="-"/>
    <s v="153BPR1437"/>
    <s v="ENTR. P/ REBOUÇAS"/>
    <s v="ENTR AV. MANOEL RIBAS (RIO AZUL)"/>
    <n v="349.2"/>
    <n v="364.8"/>
    <n v="15.6"/>
    <x v="2"/>
    <m/>
    <m/>
    <s v="Federal"/>
    <m/>
    <m/>
    <m/>
    <s v="Federal"/>
    <s v="PAV"/>
    <s v="Ponta Grossa"/>
  </r>
  <r>
    <x v="0"/>
    <s v="153BPR1440"/>
    <n v="0"/>
    <x v="125"/>
    <s v="1440"/>
    <n v="-50.783628639849702"/>
    <n v="-25.7063924699364"/>
    <n v="-50.837774830044303"/>
    <n v="-25.884821449650101"/>
    <s v="153"/>
    <s v="PR"/>
    <s v="Eixo Principal"/>
    <s v="-"/>
    <s v="153BPR1440"/>
    <s v="ENTR AV. MANOEL RIBAS (RIO AZUL)"/>
    <s v="ENTR PR-281 (MALLET)"/>
    <n v="364.8"/>
    <n v="390.5"/>
    <n v="25.7"/>
    <x v="2"/>
    <m/>
    <m/>
    <s v="Federal"/>
    <m/>
    <m/>
    <m/>
    <s v="Federal"/>
    <s v="PAV"/>
    <s v="Ponta Grossa"/>
  </r>
  <r>
    <x v="0"/>
    <s v="153BPR1443"/>
    <n v="0"/>
    <x v="125"/>
    <s v="1443"/>
    <n v="-50.837774830044303"/>
    <n v="-25.884821449650101"/>
    <n v="-50.824548409881103"/>
    <n v="-26.045250709952199"/>
    <s v="153"/>
    <s v="PR"/>
    <s v="Eixo Principal"/>
    <s v="-"/>
    <s v="153BPR1443"/>
    <s v="ENTR PR-281 (MALLET)"/>
    <s v="ENTR PR-160(B) (PAULO FRONTIN)"/>
    <n v="390.5"/>
    <n v="409.6"/>
    <n v="19.100000000000001"/>
    <x v="2"/>
    <m/>
    <m/>
    <s v="Federal"/>
    <m/>
    <m/>
    <m/>
    <s v="Federal"/>
    <s v="PAV"/>
    <s v="Ponta Grossa"/>
  </r>
  <r>
    <x v="0"/>
    <s v="153BPR1445"/>
    <n v="0"/>
    <x v="125"/>
    <s v="1445"/>
    <n v="-50.824548409881103"/>
    <n v="-26.045250709952199"/>
    <n v="-50.774563229908999"/>
    <n v="-26.0930610899972"/>
    <s v="153"/>
    <s v="PR"/>
    <s v="Eixo Principal"/>
    <s v="-"/>
    <s v="153BPR1445"/>
    <s v="ENTR PR-160(B) (PAULO FRONTIN)"/>
    <s v="ENTR BR-476(A)"/>
    <n v="409.6"/>
    <n v="417"/>
    <n v="7.4"/>
    <x v="2"/>
    <m/>
    <m/>
    <s v="Federal"/>
    <m/>
    <m/>
    <m/>
    <s v="Federal"/>
    <s v="PAV"/>
    <s v="Ponta Grossa"/>
  </r>
  <r>
    <x v="4"/>
    <s v="153BPR1448"/>
    <s v="BR-476/153/282/480/SC/PR"/>
    <x v="125"/>
    <s v="1448"/>
    <n v="-50.774563229908999"/>
    <n v="-26.0930610899972"/>
    <n v="-50.912578230001202"/>
    <n v="-26.1720213300203"/>
    <s v="153"/>
    <s v="PR"/>
    <s v="Eixo Principal"/>
    <s v="-"/>
    <s v="153BPR1448"/>
    <s v="ENTR BR-476(A)"/>
    <s v="ENTR PR-160"/>
    <n v="417"/>
    <n v="434"/>
    <n v="17"/>
    <x v="2"/>
    <m/>
    <s v="476BPR0145"/>
    <s v="Federal"/>
    <m/>
    <m/>
    <m/>
    <s v="Federal"/>
    <s v="PAV"/>
    <s v="Colombo"/>
  </r>
  <r>
    <x v="4"/>
    <s v="153BPR1449"/>
    <s v="BR-476/153/282/480/SC/PR"/>
    <x v="125"/>
    <s v="1449"/>
    <n v="-50.912578230001202"/>
    <n v="-26.1720213300203"/>
    <n v="-50.926112649978698"/>
    <n v="-26.181635869599599"/>
    <s v="153"/>
    <s v="PR"/>
    <s v="Eixo Principal"/>
    <s v="-"/>
    <s v="153BPR1449"/>
    <s v="ENTR PR-160"/>
    <s v="ENTR PR-831 (P/PAULO DE FREITAS)"/>
    <n v="434"/>
    <n v="435.7"/>
    <n v="1.7"/>
    <x v="2"/>
    <m/>
    <s v="476BPR0148"/>
    <s v="Federal"/>
    <m/>
    <m/>
    <m/>
    <s v="Federal"/>
    <s v="PAV"/>
    <s v="Colombo"/>
  </r>
  <r>
    <x v="4"/>
    <s v="153BPR1450"/>
    <s v="BR-476/153/282/480/SC/PR"/>
    <x v="125"/>
    <s v="1450"/>
    <n v="-50.926112649978698"/>
    <n v="-26.181635869599599"/>
    <n v="-51.060156350035399"/>
    <n v="-26.201471080126201"/>
    <s v="153"/>
    <s v="PR"/>
    <s v="Eixo Principal"/>
    <s v="-"/>
    <s v="153BPR1450"/>
    <s v="ENTR PR-831 (P/PAULO DE FREITAS)"/>
    <s v="ENTR BR-476(B) (P/UNIÃO DA VITÓRIA)"/>
    <n v="435.7"/>
    <n v="450.5"/>
    <n v="14.8"/>
    <x v="2"/>
    <m/>
    <s v="476BPR0150"/>
    <s v="Federal"/>
    <m/>
    <m/>
    <m/>
    <s v="Federal"/>
    <s v="PAV"/>
    <s v="Colombo"/>
  </r>
  <r>
    <x v="4"/>
    <s v="153BPR1470"/>
    <s v="BR-476/153/282/480/SC/PR"/>
    <x v="125"/>
    <s v="1470"/>
    <n v="-51.060156350035399"/>
    <n v="-26.201471080126201"/>
    <n v="-51.112932069659202"/>
    <n v="-26.202640259939901"/>
    <s v="153"/>
    <s v="PR"/>
    <s v="Eixo Principal"/>
    <s v="-"/>
    <s v="153BPR1470"/>
    <s v="ENTR BR-476(B) (P/UNIÃO DA VITÓRIA)"/>
    <s v="ENTR BR-466(A)/PR-447(A)"/>
    <n v="450.5"/>
    <n v="456.5"/>
    <n v="6"/>
    <x v="2"/>
    <m/>
    <m/>
    <s v="Federal"/>
    <m/>
    <m/>
    <m/>
    <s v="Federal"/>
    <s v="PAV"/>
    <s v="Colombo"/>
  </r>
  <r>
    <x v="4"/>
    <s v="153BPR1475"/>
    <s v="BR-476/153/282/480/SC/PR"/>
    <x v="125"/>
    <s v="1475"/>
    <n v="-51.112932069659202"/>
    <n v="-26.202640259939901"/>
    <n v="-51.115758910445301"/>
    <n v="-26.208778769624399"/>
    <s v="153"/>
    <s v="PR"/>
    <s v="Eixo Principal"/>
    <s v="-"/>
    <s v="153BPR1475"/>
    <s v="ENTR BR-466(A)/PR-447(A)"/>
    <s v="ENTR BR-466(B)/PR-447(B)"/>
    <n v="456.5"/>
    <n v="457.3"/>
    <n v="0.8"/>
    <x v="2"/>
    <m/>
    <s v="466BPR0160"/>
    <s v="Federal"/>
    <m/>
    <m/>
    <m/>
    <s v="Federal"/>
    <s v="PAV"/>
    <s v="Colombo"/>
  </r>
  <r>
    <x v="4"/>
    <s v="153BPR1480"/>
    <s v="BR-476/153/282/480/SC/PR"/>
    <x v="125"/>
    <s v="1480"/>
    <n v="-51.115758910445301"/>
    <n v="-26.208778769624399"/>
    <n v="-51.1309173801329"/>
    <n v="-26.217541769936702"/>
    <s v="153"/>
    <s v="PR"/>
    <s v="Eixo Principal"/>
    <s v="-"/>
    <s v="153BPR1480"/>
    <s v="ENTR BR-466(B)/PR-447(B)"/>
    <s v="ENTR BR-280(A)/PR-446"/>
    <n v="457.3"/>
    <n v="459.1"/>
    <n v="1.8"/>
    <x v="2"/>
    <m/>
    <m/>
    <s v="Federal"/>
    <m/>
    <m/>
    <m/>
    <s v="Federal"/>
    <s v="PAV"/>
    <s v="Colombo"/>
  </r>
  <r>
    <x v="4"/>
    <s v="153BPR1490"/>
    <s v="BR-476/153/282/480/SC/PR"/>
    <x v="125"/>
    <s v="1490"/>
    <n v="-51.1309173801329"/>
    <n v="-26.217541769936702"/>
    <n v="-51.272135679917596"/>
    <n v="-26.386347140408098"/>
    <s v="153"/>
    <s v="PR"/>
    <s v="Eixo Principal"/>
    <s v="-"/>
    <s v="153BPR1490"/>
    <s v="ENTR BR-280(A)/PR-446"/>
    <s v="ENTR PR-170"/>
    <n v="459.1"/>
    <n v="485.3"/>
    <n v="26.2"/>
    <x v="2"/>
    <m/>
    <s v="280BPR0180"/>
    <s v="Federal"/>
    <m/>
    <m/>
    <m/>
    <s v="Federal"/>
    <s v="PAV"/>
    <s v="Colombo"/>
  </r>
  <r>
    <x v="4"/>
    <s v="153BPR1497"/>
    <s v="BR-476/153/282/480/SC/PR"/>
    <x v="125"/>
    <s v="1497"/>
    <n v="-51.272135679917596"/>
    <n v="-26.386347140408098"/>
    <n v="-51.313459119642602"/>
    <n v="-26.4291942996771"/>
    <s v="153"/>
    <s v="PR"/>
    <s v="Eixo Principal"/>
    <s v="-"/>
    <s v="153BPR1497"/>
    <s v="ENTR PR-170"/>
    <s v="GENERAL CARNEIRO"/>
    <n v="485.3"/>
    <n v="492.8"/>
    <n v="7.5"/>
    <x v="2"/>
    <m/>
    <s v="280BPR0187"/>
    <s v="Federal"/>
    <m/>
    <m/>
    <m/>
    <s v="Federal"/>
    <s v="PAV"/>
    <s v="Colombo"/>
  </r>
  <r>
    <x v="4"/>
    <s v="153BPR1500"/>
    <s v="BR-476/153/282/480/SC/PR"/>
    <x v="125"/>
    <s v="1500"/>
    <n v="-51.313459119642602"/>
    <n v="-26.4291942996771"/>
    <n v="-51.4788371998768"/>
    <n v="-26.609163409763401"/>
    <s v="153"/>
    <s v="PR"/>
    <s v="Eixo Principal"/>
    <s v="-"/>
    <s v="153BPR1500"/>
    <s v="GENERAL CARNEIRO"/>
    <s v="ENTR BR-280(B)"/>
    <n v="492.8"/>
    <n v="523.20000000000005"/>
    <n v="30.4"/>
    <x v="2"/>
    <m/>
    <s v="280BPR0190"/>
    <s v="Federal"/>
    <m/>
    <m/>
    <m/>
    <s v="Federal"/>
    <s v="PAV"/>
    <s v="Colombo"/>
  </r>
  <r>
    <x v="4"/>
    <s v="153BPR1510"/>
    <s v="BR-476/153/282/480/SC/PR"/>
    <x v="125"/>
    <s v="1510"/>
    <n v="-51.4788371998768"/>
    <n v="-26.609163409763401"/>
    <n v="-51.492153080100501"/>
    <n v="-26.612095970352598"/>
    <s v="153"/>
    <s v="PR"/>
    <s v="Eixo Principal"/>
    <s v="-"/>
    <s v="153BPR1510"/>
    <s v="ENTR BR-280(B)"/>
    <s v="DIV PR/SC"/>
    <n v="523.20000000000005"/>
    <n v="524.5"/>
    <n v="1.3"/>
    <x v="2"/>
    <m/>
    <m/>
    <s v="Federal"/>
    <m/>
    <m/>
    <m/>
    <s v="Federal"/>
    <s v="PAV"/>
    <s v="Colombo"/>
  </r>
  <r>
    <x v="0"/>
    <s v="153BRS1650"/>
    <n v="0"/>
    <x v="126"/>
    <s v="1650"/>
    <n v="-51.9850538101851"/>
    <n v="-27.3792170200493"/>
    <n v="-52.025456909808398"/>
    <n v="-27.424338779710801"/>
    <s v="153"/>
    <s v="RS"/>
    <s v="Eixo Principal"/>
    <s v="-"/>
    <s v="153BRS1650"/>
    <s v="DIV SC/RS(FIM PONTE S/RIO URUGUAI)"/>
    <s v="ENTR RS-491 (P/MARCELINO RAMOS)"/>
    <n v="0"/>
    <n v="7.7"/>
    <n v="7.7"/>
    <x v="2"/>
    <m/>
    <m/>
    <s v="Federal"/>
    <m/>
    <m/>
    <m/>
    <s v="Federal"/>
    <s v="PAV"/>
    <s v="Passo Fundo"/>
  </r>
  <r>
    <x v="0"/>
    <s v="153BRS1655"/>
    <n v="0"/>
    <x v="126"/>
    <s v="1655"/>
    <n v="-52.025456909808398"/>
    <n v="-27.424338779710801"/>
    <n v="-52.105036209853097"/>
    <n v="-27.4692048702085"/>
    <s v="153"/>
    <s v="RS"/>
    <s v="Eixo Principal"/>
    <s v="-"/>
    <s v="153BRS1655"/>
    <s v="ENTR RS-491 (P/MARCELINO RAMOS)"/>
    <s v="ENTR RS-426 (P/SEVERIANO DE ALMEIDA)"/>
    <n v="7.7"/>
    <n v="20.2"/>
    <n v="12.5"/>
    <x v="2"/>
    <m/>
    <m/>
    <s v="Federal"/>
    <m/>
    <m/>
    <m/>
    <s v="Federal"/>
    <s v="PAV"/>
    <s v="Passo Fundo"/>
  </r>
  <r>
    <x v="0"/>
    <s v="153BRS1658"/>
    <n v="0"/>
    <x v="126"/>
    <s v="1658"/>
    <n v="-52.105036209853097"/>
    <n v="-27.4692048702085"/>
    <n v="-52.2374114202008"/>
    <n v="-27.621806499770098"/>
    <s v="153"/>
    <s v="RS"/>
    <s v="Eixo Principal"/>
    <s v="-"/>
    <s v="153BRS1658"/>
    <s v="ENTR RS-426 (P/SEVERIANO DE ALMEIDA)"/>
    <s v="ENTR RS-331 (P/ERECHIM)"/>
    <n v="20.2"/>
    <n v="43.9"/>
    <n v="23.7"/>
    <x v="2"/>
    <m/>
    <m/>
    <s v="Federal"/>
    <m/>
    <m/>
    <m/>
    <s v="Federal"/>
    <s v="PAV"/>
    <s v="Passo Fundo"/>
  </r>
  <r>
    <x v="0"/>
    <s v="153BRS1660"/>
    <n v="0"/>
    <x v="126"/>
    <s v="1660"/>
    <n v="-52.2374114202008"/>
    <n v="-27.621806499770098"/>
    <n v="-52.253370759552801"/>
    <n v="-27.648076360435599"/>
    <s v="153"/>
    <s v="RS"/>
    <s v="Eixo Principal"/>
    <s v="-"/>
    <s v="153BRS1660"/>
    <s v="ENTR RS-331 (P/ERECHIM)"/>
    <s v="ENTR R. DR JOÃO CARUSO (DISTRITO INDUSTRIAL-ERECHIM)"/>
    <n v="43.9"/>
    <n v="46.9"/>
    <n v="3"/>
    <x v="2"/>
    <m/>
    <m/>
    <s v="Federal"/>
    <m/>
    <m/>
    <m/>
    <s v="Federal"/>
    <s v="PAV"/>
    <s v="Passo Fundo"/>
  </r>
  <r>
    <x v="0"/>
    <s v="153BRS1662"/>
    <n v="0"/>
    <x v="126"/>
    <s v="1662"/>
    <n v="-52.253370759552801"/>
    <n v="-27.648076360435599"/>
    <n v="-52.287407499955997"/>
    <n v="-27.6634949203542"/>
    <s v="153"/>
    <s v="RS"/>
    <s v="Eixo Principal"/>
    <s v="-"/>
    <s v="153BRS1662"/>
    <s v="ENTR R. DR JOÃO CARUSO (DISTRITO INDUSTRIAL-ERECHIM)"/>
    <s v="ENTR BR-480/RS-211(B) (P/ERECHIM)"/>
    <n v="46.9"/>
    <n v="51.5"/>
    <n v="4.5999999999999996"/>
    <x v="2"/>
    <m/>
    <m/>
    <s v="Federal"/>
    <m/>
    <m/>
    <m/>
    <s v="Federal"/>
    <s v="PAV"/>
    <s v="Passo Fundo"/>
  </r>
  <r>
    <x v="0"/>
    <s v="153BRS1663"/>
    <n v="0"/>
    <x v="126"/>
    <s v="1663"/>
    <n v="-52.287407499955997"/>
    <n v="-27.6634949203542"/>
    <n v="-52.290383110192302"/>
    <n v="-27.6767677599241"/>
    <s v="153"/>
    <s v="RS"/>
    <s v="Eixo Principal"/>
    <s v="-"/>
    <s v="153BRS1663"/>
    <s v="ENTR BR-480/RS-211(B) (P/ERECHIM)"/>
    <s v="ENTR RS-135 (P/GETULIO VARGAS)"/>
    <n v="51.5"/>
    <n v="53.1"/>
    <n v="1.6"/>
    <x v="2"/>
    <m/>
    <m/>
    <s v="Federal"/>
    <m/>
    <m/>
    <m/>
    <s v="Federal"/>
    <s v="PAV"/>
    <s v="Passo Fundo"/>
  </r>
  <r>
    <x v="0"/>
    <s v="153BRS1664"/>
    <n v="0"/>
    <x v="126"/>
    <s v="1664"/>
    <n v="-52.290383110192302"/>
    <n v="-27.6767677599241"/>
    <n v="-52.374565600022301"/>
    <n v="-27.947225010325798"/>
    <s v="153"/>
    <s v="RS"/>
    <s v="Eixo Principal"/>
    <s v="-"/>
    <s v="153BRS1664"/>
    <s v="ENTR RS-135 (P/GETULIO VARGAS)"/>
    <s v="ENTR RS-469/475 (P/ESTAÇÃO)"/>
    <n v="53.1"/>
    <n v="85.8"/>
    <n v="32.700000000000003"/>
    <x v="5"/>
    <m/>
    <m/>
    <s v="Federal"/>
    <m/>
    <m/>
    <m/>
    <s v="Federal"/>
    <s v="N_PAV"/>
    <s v="Passo Fundo"/>
  </r>
  <r>
    <x v="0"/>
    <s v="153BRS1666"/>
    <n v="0"/>
    <x v="126"/>
    <s v="1666"/>
    <n v="-52.374565600022301"/>
    <n v="-27.947225010325798"/>
    <n v="-52.464142629978298"/>
    <n v="-28.220117140093901"/>
    <s v="153"/>
    <s v="RS"/>
    <s v="Eixo Principal"/>
    <s v="-"/>
    <s v="153BRS1666"/>
    <s v="ENTR RS-469/475 (P/ESTAÇÃO)"/>
    <s v="ENTR BR-285(A) (CONTORNO DE PASSO FUNDO)"/>
    <n v="85.8"/>
    <n v="121.5"/>
    <n v="35.700000000000003"/>
    <x v="5"/>
    <m/>
    <m/>
    <s v="Federal"/>
    <m/>
    <m/>
    <m/>
    <s v="Federal"/>
    <s v="N_PAV"/>
    <s v="Passo Fundo"/>
  </r>
  <r>
    <x v="0"/>
    <s v="153BRS1670"/>
    <n v="0"/>
    <x v="126"/>
    <s v="1670"/>
    <n v="-52.464142629978298"/>
    <n v="-28.220117140093901"/>
    <n v="-52.480008199718597"/>
    <n v="-28.227342549718799"/>
    <s v="153"/>
    <s v="RS"/>
    <s v="Eixo Principal"/>
    <s v="-"/>
    <s v="153BRS1670"/>
    <s v="ENTR BR-285(A) (CONTORNO DE PASSO FUNDO)"/>
    <s v="ENTR BR-285(B)/RS-324(A) (P/CARAZINHO)"/>
    <n v="121.5"/>
    <n v="123.3"/>
    <n v="1.8"/>
    <x v="2"/>
    <m/>
    <s v="285BRS0191"/>
    <s v="Federal"/>
    <m/>
    <m/>
    <m/>
    <s v="Federal"/>
    <s v="PAV"/>
    <s v="Passo Fundo"/>
  </r>
  <r>
    <x v="0"/>
    <s v="153BRS1672"/>
    <n v="0"/>
    <x v="126"/>
    <s v="1672"/>
    <n v="-52.480008199718597"/>
    <n v="-28.227342549718799"/>
    <n v="-52.440883640167797"/>
    <n v="-28.2704143497423"/>
    <s v="153"/>
    <s v="RS"/>
    <s v="Eixo Principal"/>
    <s v="-"/>
    <s v="153BRS1672"/>
    <s v="ENTR BR-285(B)/RS-324(A) (P/CARAZINHO)"/>
    <s v="ENTR RS-324(B) (P/PASSO FUNDO)"/>
    <n v="123.3"/>
    <n v="129.69999999999999"/>
    <n v="6.4"/>
    <x v="1"/>
    <m/>
    <m/>
    <s v="Estadual"/>
    <m/>
    <s v="RST-153"/>
    <s v="PAV"/>
    <s v="Estadual"/>
    <s v="PLA"/>
    <s v="Passo Fundo"/>
  </r>
  <r>
    <x v="0"/>
    <s v="153BRS1690"/>
    <n v="0"/>
    <x v="126"/>
    <s v="1690"/>
    <n v="-52.440883640167797"/>
    <n v="-28.2704143497423"/>
    <n v="-52.595287350131002"/>
    <n v="-28.574985530257901"/>
    <s v="153"/>
    <s v="RS"/>
    <s v="Eixo Principal"/>
    <s v="-"/>
    <s v="153BRS1690"/>
    <s v="ENTR RS-324(B) (P/PASSO FUNDO)"/>
    <s v="ENTR BR-386(A)/RS-223 (P/CARAZINHO)"/>
    <n v="129.69999999999999"/>
    <n v="168.4"/>
    <n v="38.700000000000003"/>
    <x v="1"/>
    <m/>
    <m/>
    <s v="Estadual"/>
    <m/>
    <s v="RST-153"/>
    <s v="PAV"/>
    <s v="Estadual"/>
    <s v="PLA"/>
    <s v="Passo Fundo"/>
  </r>
  <r>
    <x v="0"/>
    <s v="153BRS1710"/>
    <n v="0"/>
    <x v="126"/>
    <s v="1710"/>
    <n v="-52.595287350131002"/>
    <n v="-28.574985530257901"/>
    <n v="-52.507555319822103"/>
    <n v="-28.803825740165699"/>
    <s v="153"/>
    <s v="RS"/>
    <s v="Eixo Principal"/>
    <s v="-"/>
    <s v="153BRS1710"/>
    <s v="ENTR BR-386(A)/RS-223 (P/CARAZINHO)"/>
    <s v="ENTR ACESSO NORTE DE SOLEDADE"/>
    <n v="168.4"/>
    <n v="198.9"/>
    <n v="30.5"/>
    <x v="2"/>
    <m/>
    <s v="386BRS0210"/>
    <s v="Concessão Federal"/>
    <m/>
    <m/>
    <m/>
    <s v="Federal"/>
    <s v="PAV"/>
    <s v="Passo Fundo"/>
  </r>
  <r>
    <x v="0"/>
    <s v="153BRS1720"/>
    <n v="0"/>
    <x v="126"/>
    <s v="1720"/>
    <n v="-52.507555319822103"/>
    <n v="-28.803825740165699"/>
    <n v="-52.476098669617798"/>
    <n v="-28.822922160329298"/>
    <s v="153"/>
    <s v="RS"/>
    <s v="Eixo Principal"/>
    <s v="-"/>
    <s v="153BRS1720"/>
    <s v="ENTR ACESSO NORTE DE SOLEDADE"/>
    <s v="ENTR BR-386(B)/471(A)/RS-332(A) (SOLEDADE)"/>
    <n v="198.9"/>
    <n v="202.6"/>
    <n v="3.7"/>
    <x v="2"/>
    <m/>
    <s v="386BRS0220"/>
    <s v="Concessão Federal"/>
    <m/>
    <m/>
    <m/>
    <s v="Federal"/>
    <s v="PAV"/>
    <s v="Passo Fundo"/>
  </r>
  <r>
    <x v="0"/>
    <s v="153BRS1725"/>
    <n v="0"/>
    <x v="126"/>
    <s v="1725"/>
    <n v="-52.476098669617798"/>
    <n v="-28.822922160329298"/>
    <n v="-52.516773889703103"/>
    <n v="-28.853131449956301"/>
    <s v="153"/>
    <s v="RS"/>
    <s v="Eixo Principal"/>
    <s v="-"/>
    <s v="153BRS1725"/>
    <s v="ENTR BR-386(B)/471(A)/RS-332(A) (SOLEDADE)"/>
    <s v="ENTR BR-471(A)/RS-332 (SOLEDADE)"/>
    <n v="202.6"/>
    <n v="208.4"/>
    <n v="5.8"/>
    <x v="1"/>
    <m/>
    <s v="471BRS0005"/>
    <s v="Estadual"/>
    <m/>
    <s v="RS-332"/>
    <s v="PAV"/>
    <s v="Estadual"/>
    <s v="PLA"/>
    <s v="Passo Fundo"/>
  </r>
  <r>
    <x v="0"/>
    <s v="153BRS1730"/>
    <n v="0"/>
    <x v="126"/>
    <s v="1730"/>
    <n v="-52.516773889703103"/>
    <n v="-28.853131449956301"/>
    <n v="-52.5960624596147"/>
    <n v="-29.0936539899396"/>
    <s v="153"/>
    <s v="RS"/>
    <s v="Eixo Principal"/>
    <s v="-"/>
    <s v="153BRS1730"/>
    <s v="ENTR BR-471(A)/RS-332 (SOLEDADE)"/>
    <s v="BARROS CASSAL"/>
    <n v="208.4"/>
    <n v="243.6"/>
    <n v="35.200000000000003"/>
    <x v="1"/>
    <m/>
    <s v="471BRS0010"/>
    <s v="Estadual"/>
    <m/>
    <s v="RS-332"/>
    <s v="PAV"/>
    <s v="Estadual"/>
    <s v="PLA"/>
    <s v="Passo Fundo"/>
  </r>
  <r>
    <x v="0"/>
    <s v="153BRS1740"/>
    <n v="0"/>
    <x v="126"/>
    <s v="1740"/>
    <n v="-52.5960624596147"/>
    <n v="-29.0936539899396"/>
    <n v="-52.667645589672098"/>
    <n v="-29.4579902096803"/>
    <s v="153"/>
    <s v="RS"/>
    <s v="Eixo Principal"/>
    <s v="-"/>
    <s v="153BRS1740"/>
    <s v="BARROS CASSAL"/>
    <s v="HERVEIRAS"/>
    <n v="243.6"/>
    <n v="291.5"/>
    <n v="47.9"/>
    <x v="1"/>
    <m/>
    <s v="471BRS0020"/>
    <s v="Estadual"/>
    <m/>
    <s v="RS-153"/>
    <s v="PAV"/>
    <s v="Estadual"/>
    <s v="PLA"/>
    <s v="Passo Fundo"/>
  </r>
  <r>
    <x v="0"/>
    <s v="153BRS1750"/>
    <n v="0"/>
    <x v="126"/>
    <s v="1750"/>
    <n v="-52.667645589672098"/>
    <n v="-29.4579902096803"/>
    <n v="-52.560991790238802"/>
    <n v="-29.703069150420902"/>
    <s v="153"/>
    <s v="RS"/>
    <s v="Eixo Principal"/>
    <s v="-"/>
    <s v="153BRS1750"/>
    <s v="HERVEIRAS"/>
    <s v="ENTR BR-287(A)/471(B) (VERA CRUZ)"/>
    <n v="291.5"/>
    <n v="325.2"/>
    <n v="33.700000000000003"/>
    <x v="1"/>
    <m/>
    <s v="471BRS0030"/>
    <s v="Estadual"/>
    <m/>
    <s v="RS-153"/>
    <s v="PAV"/>
    <s v="Estadual"/>
    <s v="PLA"/>
    <s v="Passo Fundo"/>
  </r>
  <r>
    <x v="0"/>
    <s v="153BRS1760"/>
    <n v="0"/>
    <x v="126"/>
    <s v="1760"/>
    <n v="-52.560991790238802"/>
    <n v="-29.703069150420902"/>
    <n v="-52.781009950348903"/>
    <n v="-29.681610870445201"/>
    <s v="153"/>
    <s v="RS"/>
    <s v="Eixo Principal"/>
    <s v="-"/>
    <s v="153BRS1760"/>
    <s v="ENTR BR-287(A)/471(B) (VERA CRUZ)"/>
    <s v="ENTR RS-410 (CANDELÁRIA)"/>
    <n v="325.2"/>
    <n v="348.1"/>
    <n v="22.9"/>
    <x v="1"/>
    <m/>
    <s v="287BRS0120"/>
    <s v="Estadual"/>
    <m/>
    <s v="RST-287"/>
    <s v="PAV"/>
    <s v="Estadual"/>
    <s v="PLA"/>
    <s v="Passo Fundo"/>
  </r>
  <r>
    <x v="0"/>
    <s v="153BRS1770"/>
    <n v="0"/>
    <x v="126"/>
    <s v="1770"/>
    <n v="-52.781009950348903"/>
    <n v="-29.681610870445201"/>
    <n v="-52.796363300425902"/>
    <n v="-29.681182730198699"/>
    <s v="153"/>
    <s v="RS"/>
    <s v="Eixo Principal"/>
    <s v="-"/>
    <s v="153BRS1770"/>
    <s v="ENTR RS-410 (CANDELÁRIA)"/>
    <s v="ENTR RS-400 (P/SOBRADINHO)"/>
    <n v="348.1"/>
    <n v="349.6"/>
    <n v="1.5"/>
    <x v="1"/>
    <m/>
    <s v="287BRS0130"/>
    <s v="Estadual"/>
    <m/>
    <s v="RST-287"/>
    <s v="PAV"/>
    <s v="Estadual"/>
    <s v="PLA"/>
    <s v="Passo Fundo"/>
  </r>
  <r>
    <x v="0"/>
    <s v="153BRS1775"/>
    <n v="0"/>
    <x v="126"/>
    <s v="1775"/>
    <n v="-52.796363300425902"/>
    <n v="-29.681182730198699"/>
    <n v="-52.946089540199999"/>
    <n v="-29.731983650125301"/>
    <s v="153"/>
    <s v="RS"/>
    <s v="Eixo Principal"/>
    <s v="-"/>
    <s v="153BRS1775"/>
    <s v="ENTR RS-400 (P/SOBRADINHO)"/>
    <s v="ENTR BR-481 (NOVO CABRAIS)"/>
    <n v="349.6"/>
    <n v="366"/>
    <n v="16.399999999999999"/>
    <x v="1"/>
    <m/>
    <s v="287BRS0140"/>
    <s v="Estadual"/>
    <m/>
    <s v="RST-287"/>
    <s v="PAV"/>
    <s v="Estadual"/>
    <s v="PLA"/>
    <s v="Passo Fundo"/>
  </r>
  <r>
    <x v="0"/>
    <s v="153BRS1780"/>
    <n v="0"/>
    <x v="126"/>
    <s v="1780"/>
    <n v="-52.946089540199999"/>
    <n v="-29.731983650125301"/>
    <n v="-52.961176660374498"/>
    <n v="-29.739817889983598"/>
    <s v="153"/>
    <s v="RS"/>
    <s v="Eixo Principal"/>
    <s v="-"/>
    <s v="153BRS1780"/>
    <s v="ENTR BR-481 (NOVO CABRAIS)"/>
    <s v="ENTR BR-287(B) (P/SANTA MARIA)"/>
    <n v="366"/>
    <n v="367.7"/>
    <n v="1.7"/>
    <x v="1"/>
    <m/>
    <s v="287BRS0150"/>
    <s v="Estadual"/>
    <m/>
    <s v="RST-287"/>
    <s v="PAV"/>
    <s v="Estadual"/>
    <s v="PLA"/>
    <s v="Santa Maria"/>
  </r>
  <r>
    <x v="0"/>
    <s v="153BRS1785"/>
    <n v="0"/>
    <x v="126"/>
    <s v="1785"/>
    <n v="-52.961176660374498"/>
    <n v="-29.739817889983598"/>
    <n v="-52.9217204002762"/>
    <n v="-30.014497440304499"/>
    <s v="153"/>
    <s v="RS"/>
    <s v="Eixo Principal"/>
    <s v="-"/>
    <s v="153BRS1785"/>
    <s v="ENTR BR-287(B) (P/SANTA MARIA)"/>
    <s v="INÍCIO PISTA DUPLA (CACHOEIRA DO SUL)"/>
    <n v="367.7"/>
    <n v="400.7"/>
    <n v="33"/>
    <x v="2"/>
    <m/>
    <m/>
    <s v="Federal"/>
    <m/>
    <m/>
    <m/>
    <s v="Federal"/>
    <s v="PAV"/>
    <s v="Santa Maria"/>
  </r>
  <r>
    <x v="0"/>
    <s v="153BRS1800"/>
    <n v="0"/>
    <x v="126"/>
    <s v="1800"/>
    <n v="-52.9217204002762"/>
    <n v="-30.014497440304499"/>
    <n v="-52.908798379941203"/>
    <n v="-30.0499059498995"/>
    <s v="153"/>
    <s v="RS"/>
    <s v="Eixo Principal"/>
    <s v="-"/>
    <s v="153BRS1800"/>
    <s v="INÍCIO PISTA DUPLA (CACHOEIRA DO SUL)"/>
    <s v="ENTR AV. JOÃO NEVES DE FONTOURA (CACHOEIRA DO SUL)"/>
    <n v="400.7"/>
    <n v="404.7"/>
    <n v="4"/>
    <x v="0"/>
    <m/>
    <m/>
    <s v="Federal"/>
    <m/>
    <m/>
    <m/>
    <s v="Federal"/>
    <s v="PAV"/>
    <s v="Santa Maria"/>
  </r>
  <r>
    <x v="0"/>
    <s v="153BRS1810"/>
    <n v="0"/>
    <x v="126"/>
    <s v="1810"/>
    <n v="-52.908798379941203"/>
    <n v="-30.0499059498995"/>
    <n v="-52.853412489594596"/>
    <n v="-30.264991770154001"/>
    <s v="153"/>
    <s v="RS"/>
    <s v="Eixo Principal"/>
    <s v="-"/>
    <s v="153BRS1810"/>
    <s v="ENTR AV. JOÃO NEVES DE FONTOURA (CACHOEIRA DO SUL)"/>
    <s v="ENTR BR-290(A)"/>
    <n v="404.7"/>
    <n v="430.9"/>
    <n v="26.2"/>
    <x v="2"/>
    <m/>
    <m/>
    <s v="Federal"/>
    <m/>
    <m/>
    <m/>
    <s v="Federal"/>
    <s v="PAV"/>
    <s v="Santa Maria"/>
  </r>
  <r>
    <x v="0"/>
    <s v="153BRS1830"/>
    <n v="0"/>
    <x v="126"/>
    <s v="1830"/>
    <n v="-52.853412489594596"/>
    <n v="-30.264991770154001"/>
    <n v="-53.059719069579302"/>
    <n v="-30.250021790273301"/>
    <s v="153"/>
    <s v="RS"/>
    <s v="Eixo Principal"/>
    <s v="-"/>
    <s v="153BRS1830"/>
    <s v="ENTR BR-290(A)"/>
    <s v="ENTR RS-705 (P/GERIBA)"/>
    <n v="430.9"/>
    <n v="451.7"/>
    <n v="20.8"/>
    <x v="2"/>
    <m/>
    <s v="290BRS0210"/>
    <s v="Federal"/>
    <m/>
    <m/>
    <m/>
    <s v="Federal"/>
    <s v="PAV"/>
    <s v="São Leopoldo"/>
  </r>
  <r>
    <x v="0"/>
    <s v="153BRS1840"/>
    <n v="0"/>
    <x v="126"/>
    <s v="1840"/>
    <n v="-53.059719069579302"/>
    <n v="-30.250021790273301"/>
    <n v="-53.362406090368701"/>
    <n v="-30.366571500174501"/>
    <s v="153"/>
    <s v="RS"/>
    <s v="Eixo Principal"/>
    <s v="-"/>
    <s v="153BRS1840"/>
    <s v="ENTR RS-705 (P/GERIBA)"/>
    <s v="ENTR BR-290(B)"/>
    <n v="451.7"/>
    <n v="485.4"/>
    <n v="33.700000000000003"/>
    <x v="2"/>
    <m/>
    <s v="290BRS0220"/>
    <s v="Federal"/>
    <m/>
    <m/>
    <m/>
    <s v="Federal"/>
    <s v="PAV"/>
    <s v="São Leopoldo"/>
  </r>
  <r>
    <x v="0"/>
    <s v="153BRS1850"/>
    <n v="0"/>
    <x v="126"/>
    <s v="1850"/>
    <n v="-53.362406090368701"/>
    <n v="-30.366571500174501"/>
    <n v="-53.393290060387898"/>
    <n v="-30.583026499573201"/>
    <s v="153"/>
    <s v="RS"/>
    <s v="Eixo Principal"/>
    <s v="-"/>
    <s v="153BRS1850"/>
    <s v="ENTR BR-290(B)"/>
    <s v="ENTR BR-392"/>
    <n v="485.4"/>
    <n v="510.9"/>
    <n v="25.5"/>
    <x v="2"/>
    <m/>
    <m/>
    <s v="Federal"/>
    <m/>
    <m/>
    <m/>
    <s v="Federal"/>
    <s v="PAV"/>
    <s v="Santana do Livramento"/>
  </r>
  <r>
    <x v="0"/>
    <s v="153BRS1870"/>
    <n v="0"/>
    <x v="126"/>
    <s v="1870"/>
    <n v="-53.393290060387898"/>
    <n v="-30.583026499573201"/>
    <n v="-53.533627240404698"/>
    <n v="-30.7522661103926"/>
    <s v="153"/>
    <s v="RS"/>
    <s v="Eixo Principal"/>
    <s v="-"/>
    <s v="153BRS1870"/>
    <s v="ENTR BR-392"/>
    <s v="ENTR RS-625 (P/MINAS DO CAMAQUÃ)"/>
    <n v="510.9"/>
    <n v="537.9"/>
    <n v="27"/>
    <x v="2"/>
    <m/>
    <m/>
    <s v="Federal"/>
    <m/>
    <m/>
    <m/>
    <s v="Federal"/>
    <s v="PAV"/>
    <s v="Santana do Livramento"/>
  </r>
  <r>
    <x v="0"/>
    <s v="153BRS1890"/>
    <n v="0"/>
    <x v="126"/>
    <s v="1890"/>
    <n v="-53.533627059640999"/>
    <n v="-30.752265979990899"/>
    <n v="-53.979742400291499"/>
    <n v="-31.3286664903661"/>
    <s v="153"/>
    <s v="RS"/>
    <s v="Eixo Principal"/>
    <s v="-"/>
    <s v="153BRS1890"/>
    <s v="ENTR RS-625 (P/MINAS DO CAMAQUÃ)"/>
    <s v="ENTR BR-293 (SANTA TEREZA)"/>
    <n v="537.9"/>
    <n v="622.79999999999995"/>
    <n v="84.9"/>
    <x v="2"/>
    <m/>
    <m/>
    <s v="Federal"/>
    <m/>
    <m/>
    <m/>
    <s v="Federal"/>
    <s v="PAV"/>
    <s v="Santana do Livramento"/>
  </r>
  <r>
    <x v="0"/>
    <s v="153BRS1910"/>
    <n v="0"/>
    <x v="126"/>
    <s v="1910"/>
    <n v="-53.979742400291499"/>
    <n v="-31.3286664903661"/>
    <n v="-54.035840040185597"/>
    <n v="-31.365182079789101"/>
    <s v="153"/>
    <s v="RS"/>
    <s v="Eixo Principal"/>
    <s v="-"/>
    <s v="153BRS1910"/>
    <s v="ENTR BR-293 (SANTA TEREZA)"/>
    <s v="ACESSO LESTE BAGÉ"/>
    <n v="622.79999999999995"/>
    <n v="629.5"/>
    <n v="6.7"/>
    <x v="2"/>
    <m/>
    <m/>
    <s v="Federal"/>
    <m/>
    <m/>
    <m/>
    <s v="Federal"/>
    <s v="PAV"/>
    <s v="Santana do Livramento"/>
  </r>
  <r>
    <x v="0"/>
    <s v="153BRS1920"/>
    <n v="0"/>
    <x v="126"/>
    <s v="1920"/>
    <n v="-54.035840040185597"/>
    <n v="-31.365182079789101"/>
    <n v="-54.122941310293101"/>
    <n v="-31.3841424604061"/>
    <s v="153"/>
    <s v="RS"/>
    <s v="Eixo Principal"/>
    <s v="-"/>
    <s v="153BRS1920"/>
    <s v="ACESSO LESTE BAGÉ"/>
    <s v="ENTR BR-473(A) (AEROPORTO DE BAGÉ)"/>
    <n v="629.5"/>
    <n v="638.4"/>
    <n v="8.9"/>
    <x v="2"/>
    <m/>
    <m/>
    <s v="Federal"/>
    <m/>
    <m/>
    <m/>
    <s v="Federal"/>
    <s v="PAV"/>
    <s v="Santana do Livramento"/>
  </r>
  <r>
    <x v="0"/>
    <s v="153BRS1930"/>
    <n v="0"/>
    <x v="126"/>
    <s v="1930"/>
    <n v="-54.122941310293101"/>
    <n v="-31.3841424604061"/>
    <n v="-54.150887759962103"/>
    <n v="-31.6422919499134"/>
    <s v="153"/>
    <s v="RS"/>
    <s v="Eixo Principal"/>
    <s v="-"/>
    <s v="153BRS1930"/>
    <s v="ENTR BR-473(A) (AEROPORTO DE BAGÉ)"/>
    <s v="ENTR RS-647 (P/ COLÔNIA NOVA)"/>
    <n v="638.4"/>
    <n v="668.5"/>
    <n v="30.1"/>
    <x v="2"/>
    <m/>
    <s v="473BRS0120"/>
    <s v="Federal"/>
    <m/>
    <m/>
    <m/>
    <s v="Federal"/>
    <s v="PAV"/>
    <s v="Santana do Livramento"/>
  </r>
  <r>
    <x v="0"/>
    <s v="153BRS1940"/>
    <n v="0"/>
    <x v="126"/>
    <s v="1940"/>
    <n v="-54.150887759962103"/>
    <n v="-31.6422919499134"/>
    <n v="-54.166569519967297"/>
    <n v="-31.8670977300761"/>
    <s v="153"/>
    <s v="RS"/>
    <s v="Eixo Principal"/>
    <s v="-"/>
    <s v="153BRS1940"/>
    <s v="ENTR RS-647 (P/ COLÔNIA NOVA)"/>
    <s v="ENTR BR-473(B) (ACEGUÁ)"/>
    <n v="668.5"/>
    <n v="693.2"/>
    <n v="24.7"/>
    <x v="2"/>
    <m/>
    <s v="473BRS0130"/>
    <s v="Federal"/>
    <m/>
    <m/>
    <m/>
    <s v="Federal"/>
    <s v="PAV"/>
    <s v="Santana do Livramento"/>
  </r>
  <r>
    <x v="0"/>
    <s v="153BRS1950"/>
    <n v="0"/>
    <x v="126"/>
    <s v="1950"/>
    <n v="-54.166569519967297"/>
    <n v="-31.8670977300761"/>
    <n v="-54.161972620040302"/>
    <n v="-31.871224459940802"/>
    <s v="153"/>
    <s v="RS"/>
    <s v="Eixo Principal"/>
    <s v="-"/>
    <s v="153BRS1950"/>
    <s v="ENTR BR-473(B) (ACEGUÁ)"/>
    <s v="FRONT BRASIL/URUGUAI"/>
    <n v="693.2"/>
    <n v="693.9"/>
    <n v="0.7"/>
    <x v="2"/>
    <m/>
    <m/>
    <s v="Federal"/>
    <m/>
    <m/>
    <m/>
    <s v="Federal"/>
    <s v="PAV"/>
    <s v="Santana do Livramento"/>
  </r>
  <r>
    <x v="4"/>
    <s v="153BSC1530"/>
    <s v="BR-476/153/282/480/SC/PR"/>
    <x v="127"/>
    <s v="1530"/>
    <n v="-51.492153080100501"/>
    <n v="-26.612095970352598"/>
    <n v="-51.564975320354698"/>
    <n v="-26.684246300126599"/>
    <s v="153"/>
    <s v="SC"/>
    <s v="Eixo Principal"/>
    <s v="-"/>
    <s v="153BSC1530"/>
    <s v="DIV PR/SC"/>
    <s v="ENTR SC-350 (P/CAÇADOR)"/>
    <n v="0"/>
    <n v="12.3"/>
    <n v="12.3"/>
    <x v="2"/>
    <m/>
    <m/>
    <s v="Federal"/>
    <m/>
    <m/>
    <m/>
    <s v="Federal"/>
    <s v="PAV"/>
    <s v="Joaçaba"/>
  </r>
  <r>
    <x v="4"/>
    <s v="153BSC1540"/>
    <s v="BR-476/153/282/480/SC/PR"/>
    <x v="127"/>
    <s v="1540"/>
    <n v="-51.564975320354698"/>
    <n v="-26.684246300126599"/>
    <n v="-51.574588049598702"/>
    <n v="-26.698697329817801"/>
    <s v="153"/>
    <s v="SC"/>
    <s v="Eixo Principal"/>
    <s v="-"/>
    <s v="153BSC1540"/>
    <s v="ENTR SC-350 (P/CAÇADOR)"/>
    <s v="ENTR SC-150 (P/ÁGUA DOCE)"/>
    <n v="12.3"/>
    <n v="14.2"/>
    <n v="1.9"/>
    <x v="2"/>
    <m/>
    <m/>
    <s v="Federal"/>
    <m/>
    <m/>
    <m/>
    <s v="Federal"/>
    <s v="PAV"/>
    <s v="Joaçaba"/>
  </r>
  <r>
    <x v="4"/>
    <s v="153BSC1550"/>
    <s v="BR-476/153/282/480/SC/PR"/>
    <x v="127"/>
    <s v="1550"/>
    <n v="-51.574588049598702"/>
    <n v="-26.698697329817801"/>
    <n v="-51.778331729925299"/>
    <n v="-26.907229999864501"/>
    <s v="153"/>
    <s v="SC"/>
    <s v="Eixo Principal"/>
    <s v="-"/>
    <s v="153BSC1550"/>
    <s v="ENTR SC-150 (P/ÁGUA DOCE)"/>
    <s v="P/CAMPINA DA ALEGRIA"/>
    <n v="14.2"/>
    <n v="48.5"/>
    <n v="34.299999999999997"/>
    <x v="2"/>
    <m/>
    <m/>
    <s v="Federal"/>
    <m/>
    <m/>
    <m/>
    <s v="Federal"/>
    <s v="PAV"/>
    <s v="Joaçaba"/>
  </r>
  <r>
    <x v="4"/>
    <s v="153BSC1565"/>
    <s v="BR-476/153/282/480/SC/PR"/>
    <x v="127"/>
    <s v="1565"/>
    <n v="-51.778331729925299"/>
    <n v="-26.907229999864501"/>
    <n v="-51.854645460319702"/>
    <n v="-26.969581220396901"/>
    <s v="153"/>
    <s v="SC"/>
    <s v="Eixo Principal"/>
    <s v="-"/>
    <s v="153BSC1565"/>
    <s v="P/CAMPINA DA ALEGRIA"/>
    <s v="ENTR BR-282 (P/PONTE SERRADA)"/>
    <n v="48.5"/>
    <n v="59.5"/>
    <n v="11"/>
    <x v="2"/>
    <m/>
    <m/>
    <s v="Federal"/>
    <m/>
    <m/>
    <m/>
    <s v="Federal"/>
    <s v="PAV"/>
    <s v="Joaçaba"/>
  </r>
  <r>
    <x v="0"/>
    <s v="153BSC1570"/>
    <n v="0"/>
    <x v="127"/>
    <s v="1570"/>
    <n v="-51.854645460319702"/>
    <n v="-26.969581220396901"/>
    <n v="-51.918043060039103"/>
    <n v="-27.181024379871101"/>
    <s v="153"/>
    <s v="SC"/>
    <s v="Eixo Principal"/>
    <s v="-"/>
    <s v="153BSC1570"/>
    <s v="ENTR BR-282 (P/PONTE SERRADA)"/>
    <s v="ENTR SC-355 (P/JABORÁ)"/>
    <n v="59.5"/>
    <n v="90.5"/>
    <n v="31"/>
    <x v="2"/>
    <m/>
    <m/>
    <s v="Federal"/>
    <m/>
    <m/>
    <m/>
    <s v="Federal"/>
    <s v="PAV"/>
    <s v="Joaçaba"/>
  </r>
  <r>
    <x v="0"/>
    <s v="153BSC1590"/>
    <n v="0"/>
    <x v="127"/>
    <s v="1590"/>
    <n v="-51.918043060039103"/>
    <n v="-27.181024379871101"/>
    <n v="-51.950007409914001"/>
    <n v="-27.224402110368999"/>
    <s v="153"/>
    <s v="SC"/>
    <s v="Eixo Principal"/>
    <s v="-"/>
    <s v="153BSC1590"/>
    <s v="ENTR SC-355 (P/JABORÁ)"/>
    <s v="ENTR BR-283 (P/CONCÓRDIA)"/>
    <n v="90.5"/>
    <n v="97.5"/>
    <n v="7"/>
    <x v="2"/>
    <m/>
    <m/>
    <s v="Federal"/>
    <m/>
    <m/>
    <m/>
    <s v="Federal"/>
    <s v="PAV"/>
    <s v="Joaçaba"/>
  </r>
  <r>
    <x v="0"/>
    <s v="153BSC1610"/>
    <n v="0"/>
    <x v="127"/>
    <s v="1610"/>
    <n v="-51.950007409914001"/>
    <n v="-27.224402110368999"/>
    <n v="-51.986251869927699"/>
    <n v="-27.315877219757802"/>
    <s v="153"/>
    <s v="SC"/>
    <s v="Eixo Principal"/>
    <s v="-"/>
    <s v="153BSC1610"/>
    <s v="ENTR BR-283 (P/CONCÓRDIA)"/>
    <s v="ENTR SC-390(A)"/>
    <n v="97.5"/>
    <n v="110.3"/>
    <n v="12.8"/>
    <x v="2"/>
    <m/>
    <m/>
    <s v="Federal"/>
    <m/>
    <m/>
    <m/>
    <s v="Federal"/>
    <s v="PAV"/>
    <s v="Joaçaba"/>
  </r>
  <r>
    <x v="0"/>
    <s v="153BSC1620"/>
    <n v="0"/>
    <x v="127"/>
    <s v="1620"/>
    <n v="-51.986251869927699"/>
    <n v="-27.315877219757802"/>
    <n v="-51.979298919809203"/>
    <n v="-27.327525620211102"/>
    <s v="153"/>
    <s v="SC"/>
    <s v="Eixo Principal"/>
    <s v="-"/>
    <s v="153BSC1620"/>
    <s v="ENTR SC-390(A)"/>
    <s v="ENTR SC-390(B)"/>
    <n v="110.3"/>
    <n v="112"/>
    <n v="1.7"/>
    <x v="2"/>
    <m/>
    <m/>
    <s v="Federal"/>
    <m/>
    <m/>
    <m/>
    <s v="Federal"/>
    <s v="PAV"/>
    <s v="Joaçaba"/>
  </r>
  <r>
    <x v="0"/>
    <s v="153BSC1630"/>
    <n v="0"/>
    <x v="127"/>
    <s v="1630"/>
    <n v="-51.979298919809203"/>
    <n v="-27.327525620211102"/>
    <n v="-51.9879211798185"/>
    <n v="-27.374005900252001"/>
    <s v="153"/>
    <s v="SC"/>
    <s v="Eixo Principal"/>
    <s v="-"/>
    <s v="153BSC1630"/>
    <s v="ENTR SC-390(B)"/>
    <s v="INÍCIO DA PONTE S/RIO URUGUAI"/>
    <n v="112"/>
    <n v="119.4"/>
    <n v="7.4"/>
    <x v="2"/>
    <m/>
    <m/>
    <s v="Federal"/>
    <m/>
    <m/>
    <m/>
    <s v="Federal"/>
    <s v="PAV"/>
    <s v="Joaçaba"/>
  </r>
  <r>
    <x v="0"/>
    <s v="153BSC1640"/>
    <n v="0"/>
    <x v="127"/>
    <s v="1640"/>
    <n v="-51.9879211798185"/>
    <n v="-27.374005900252001"/>
    <n v="-51.9850538101851"/>
    <n v="-27.3792170200493"/>
    <s v="153"/>
    <s v="SC"/>
    <s v="Eixo Principal"/>
    <s v="-"/>
    <s v="153BSC1640"/>
    <s v="INÍCIO DA PONTE S/RIO URUGUAI"/>
    <s v="DIV SC/RS(FIM PONTE S/RIO URUGUAI)"/>
    <n v="119.4"/>
    <n v="120"/>
    <n v="0.6"/>
    <x v="2"/>
    <m/>
    <m/>
    <s v="Federal"/>
    <m/>
    <m/>
    <m/>
    <s v="Federal"/>
    <s v="PAV"/>
    <s v="Joaçaba"/>
  </r>
  <r>
    <x v="0"/>
    <s v="153BSP0950"/>
    <n v="0"/>
    <x v="128"/>
    <s v="0950"/>
    <n v="-49.207646380076298"/>
    <n v="-20.3065298503722"/>
    <n v="-49.211680299905801"/>
    <n v="-20.325110030003799"/>
    <s v="153"/>
    <s v="SP"/>
    <s v="Eixo Principal"/>
    <s v="-"/>
    <s v="153BSP0950"/>
    <s v="ENTR BR-262(B)/FIM PONTE S/RIO GRANDE (DIV MG/SP)"/>
    <s v="ENTR SP-322 (P/ ICÉM)"/>
    <n v="0"/>
    <n v="2.4"/>
    <n v="2.4"/>
    <x v="2"/>
    <m/>
    <m/>
    <s v="Concessão Federal"/>
    <m/>
    <m/>
    <m/>
    <s v="Federal"/>
    <s v="PAV"/>
    <s v="São José do Rio Preto"/>
  </r>
  <r>
    <x v="0"/>
    <s v="153BSP0953"/>
    <n v="0"/>
    <x v="128"/>
    <s v="0953"/>
    <n v="-49.211680299905801"/>
    <n v="-20.325110030003799"/>
    <n v="-49.320357080214997"/>
    <n v="-20.5016130000398"/>
    <s v="153"/>
    <s v="SP"/>
    <s v="Eixo Principal"/>
    <s v="-"/>
    <s v="153BSP0953"/>
    <s v="ENTR SP-322 (P/ ICÉM)"/>
    <s v="ENTR SP-423"/>
    <n v="2.4"/>
    <n v="25.7"/>
    <n v="23.3"/>
    <x v="2"/>
    <m/>
    <m/>
    <s v="Concessão Federal"/>
    <m/>
    <m/>
    <m/>
    <s v="Federal"/>
    <s v="PAV"/>
    <s v="São José do Rio Preto"/>
  </r>
  <r>
    <x v="0"/>
    <s v="153BSP0970"/>
    <n v="0"/>
    <x v="128"/>
    <s v="0970"/>
    <n v="-49.320357080214997"/>
    <n v="-20.5016130000398"/>
    <n v="-49.325625590248698"/>
    <n v="-20.519862110447999"/>
    <s v="153"/>
    <s v="SP"/>
    <s v="Eixo Principal"/>
    <s v="-"/>
    <s v="153BSP0970"/>
    <s v="ENTR SP-423"/>
    <s v="ACESSO NOVA GRANADA (I)"/>
    <n v="25.7"/>
    <n v="27.8"/>
    <n v="2.1"/>
    <x v="2"/>
    <m/>
    <m/>
    <s v="Concessão Federal"/>
    <m/>
    <m/>
    <m/>
    <s v="Federal"/>
    <s v="PAV"/>
    <s v="São José do Rio Preto"/>
  </r>
  <r>
    <x v="0"/>
    <s v="153BSP0973"/>
    <n v="0"/>
    <x v="128"/>
    <s v="0973"/>
    <n v="-49.325625590248698"/>
    <n v="-20.519862110447999"/>
    <n v="-49.330422170246798"/>
    <n v="-20.5412539503095"/>
    <s v="153"/>
    <s v="SP"/>
    <s v="Eixo Principal"/>
    <s v="-"/>
    <s v="153BSP0973"/>
    <s v="ACESSO NOVA GRANADA (I)"/>
    <s v="ACESSO NOVA GRANADA (II)"/>
    <n v="27.8"/>
    <n v="30.3"/>
    <n v="2.5"/>
    <x v="2"/>
    <m/>
    <m/>
    <s v="Concessão Federal"/>
    <m/>
    <m/>
    <m/>
    <s v="Federal"/>
    <s v="PAV"/>
    <s v="São José do Rio Preto"/>
  </r>
  <r>
    <x v="0"/>
    <s v="153BSP0975"/>
    <n v="0"/>
    <x v="128"/>
    <s v="0975"/>
    <n v="-49.330422170246798"/>
    <n v="-20.5412539503095"/>
    <n v="-49.320538879965198"/>
    <n v="-20.6023240596076"/>
    <s v="153"/>
    <s v="SP"/>
    <s v="Eixo Principal"/>
    <s v="-"/>
    <s v="153BSP0975"/>
    <s v="ACESSO NOVA GRANADA (II)"/>
    <s v="ACESSO ONDA VERDE"/>
    <n v="30.3"/>
    <n v="37.6"/>
    <n v="7.3"/>
    <x v="2"/>
    <m/>
    <m/>
    <s v="Concessão Federal"/>
    <m/>
    <m/>
    <m/>
    <s v="Federal"/>
    <s v="PAV"/>
    <s v="São José do Rio Preto"/>
  </r>
  <r>
    <x v="0"/>
    <s v="153BSP0980"/>
    <n v="0"/>
    <x v="128"/>
    <s v="0980"/>
    <n v="-49.320538879965198"/>
    <n v="-20.6023240596076"/>
    <n v="-49.354205730110301"/>
    <n v="-20.7898422399273"/>
    <s v="153"/>
    <s v="SP"/>
    <s v="Eixo Principal"/>
    <s v="-"/>
    <s v="153BSP0980"/>
    <s v="ACESSO ONDA VERDE"/>
    <s v="INÍCIO PISTA DUPLA"/>
    <n v="37.6"/>
    <n v="59.3"/>
    <n v="21.7"/>
    <x v="2"/>
    <m/>
    <m/>
    <s v="Concessão Federal"/>
    <m/>
    <m/>
    <m/>
    <s v="Federal"/>
    <s v="PAV"/>
    <s v="São José do Rio Preto"/>
  </r>
  <r>
    <x v="0"/>
    <s v="153BSP0985"/>
    <n v="0"/>
    <x v="128"/>
    <s v="0985"/>
    <n v="-49.354205730110301"/>
    <n v="-20.7898422399273"/>
    <n v="-49.355419679974197"/>
    <n v="-20.8025643202871"/>
    <s v="153"/>
    <s v="SP"/>
    <s v="Eixo Principal"/>
    <s v="-"/>
    <s v="153BSP0985"/>
    <s v="INÍCIO PISTA DUPLA"/>
    <s v="ENTR BR-265 (SÃO JOSÉ DO RIO PRETO)"/>
    <n v="59.3"/>
    <n v="60.7"/>
    <n v="1.4"/>
    <x v="0"/>
    <m/>
    <m/>
    <s v="Concessão Federal"/>
    <m/>
    <m/>
    <m/>
    <s v="Federal"/>
    <s v="PAV"/>
    <s v="São José do Rio Preto"/>
  </r>
  <r>
    <x v="0"/>
    <s v="153BSP0990"/>
    <n v="0"/>
    <x v="128"/>
    <s v="0990"/>
    <n v="-49.355419679974197"/>
    <n v="-20.8025643202871"/>
    <n v="-49.361473889907998"/>
    <n v="-20.830539870218701"/>
    <s v="153"/>
    <s v="SP"/>
    <s v="Eixo Principal"/>
    <s v="-"/>
    <s v="153BSP0990"/>
    <s v="ENTR BR-265 (SÃO JOSÉ DO RIO PRETO)"/>
    <s v="ENTR BR-456 (SÃO JOSÉ DO RIO PRETO)"/>
    <n v="60.7"/>
    <n v="64.2"/>
    <n v="3.5"/>
    <x v="0"/>
    <m/>
    <m/>
    <s v="Concessão Federal"/>
    <m/>
    <m/>
    <m/>
    <s v="Federal"/>
    <s v="PAV"/>
    <s v="São José do Rio Preto"/>
  </r>
  <r>
    <x v="0"/>
    <s v="153BSP0995"/>
    <n v="0"/>
    <x v="128"/>
    <s v="0995"/>
    <n v="-49.361473889907998"/>
    <n v="-20.830539870218701"/>
    <n v="-49.364984399810098"/>
    <n v="-20.834710180330401"/>
    <s v="153"/>
    <s v="SP"/>
    <s v="Eixo Principal"/>
    <s v="-"/>
    <s v="153BSP0995"/>
    <s v="ENTR BR-456 (SÃO JOSÉ DO RIO PRETO)"/>
    <s v="FIM PISTA DUPLA"/>
    <n v="64.2"/>
    <n v="64.8"/>
    <n v="0.6"/>
    <x v="0"/>
    <m/>
    <m/>
    <s v="Concessão Federal"/>
    <m/>
    <m/>
    <m/>
    <s v="Federal"/>
    <s v="PAV"/>
    <s v="São José do Rio Preto"/>
  </r>
  <r>
    <x v="0"/>
    <s v="153BSP0997"/>
    <n v="0"/>
    <x v="128"/>
    <s v="0997"/>
    <n v="-49.364984399810098"/>
    <n v="-20.834710180330401"/>
    <n v="-49.405996540108198"/>
    <n v="-20.857103980064601"/>
    <s v="153"/>
    <s v="SP"/>
    <s v="Eixo Principal"/>
    <s v="-"/>
    <s v="153BSP0997"/>
    <s v="FIM PISTA DUPLA"/>
    <s v="ENTR AV.ANÍSIO HADDAD (SÃO JOSÉ DO RIO PRETO)"/>
    <n v="64.8"/>
    <n v="70.900000000000006"/>
    <n v="6.1"/>
    <x v="2"/>
    <m/>
    <m/>
    <s v="Concessão Federal"/>
    <m/>
    <m/>
    <m/>
    <s v="Federal"/>
    <s v="PAV"/>
    <s v="São José do Rio Preto"/>
  </r>
  <r>
    <x v="0"/>
    <s v="153BSP1000"/>
    <n v="0"/>
    <x v="128"/>
    <s v="1000"/>
    <n v="-49.405996540108198"/>
    <n v="-20.857103980064601"/>
    <n v="-49.439649510116702"/>
    <n v="-20.898021369590399"/>
    <s v="153"/>
    <s v="SP"/>
    <s v="Eixo Principal"/>
    <s v="-"/>
    <s v="153BSP1000"/>
    <s v="ENTR AV.ANÍSIO HADDAD (SÃO JOSÉ DO RIO PRETO)"/>
    <s v="ENTR SP-355 (BADY BASSITT)"/>
    <n v="70.900000000000006"/>
    <n v="75.599999999999994"/>
    <n v="4.7"/>
    <x v="2"/>
    <m/>
    <m/>
    <s v="Concessão Federal"/>
    <m/>
    <m/>
    <m/>
    <s v="Federal"/>
    <s v="PAV"/>
    <s v="São José do Rio Preto"/>
  </r>
  <r>
    <x v="0"/>
    <s v="153BSP1010"/>
    <n v="0"/>
    <x v="128"/>
    <s v="1010"/>
    <n v="-49.439649510116702"/>
    <n v="-20.898021369590399"/>
    <n v="-49.633491390315299"/>
    <n v="-21.004952369756001"/>
    <s v="153"/>
    <s v="SP"/>
    <s v="Eixo Principal"/>
    <s v="-"/>
    <s v="153BSP1010"/>
    <s v="ENTR SP-355 (BADY BASSITT)"/>
    <s v="ENTR SP-425 (P/ASSIS)"/>
    <n v="75.599999999999994"/>
    <n v="99.8"/>
    <n v="24.2"/>
    <x v="2"/>
    <m/>
    <m/>
    <s v="Concessão Federal"/>
    <m/>
    <m/>
    <m/>
    <s v="Federal"/>
    <s v="PAV"/>
    <s v="São José do Rio Preto"/>
  </r>
  <r>
    <x v="0"/>
    <s v="153BSP1023"/>
    <n v="0"/>
    <x v="128"/>
    <s v="1023"/>
    <n v="-49.633491390315299"/>
    <n v="-21.004952369756001"/>
    <n v="-49.6653383903544"/>
    <n v="-21.069635070102301"/>
    <s v="153"/>
    <s v="SP"/>
    <s v="Eixo Principal"/>
    <s v="-"/>
    <s v="153BSP1023"/>
    <s v="ENTR SP-425 (P/ASSIS)"/>
    <s v="ENTR SP-387(A) (JOSÉ BONIFÁCIO)"/>
    <n v="99.8"/>
    <n v="107.7"/>
    <n v="7.9"/>
    <x v="2"/>
    <m/>
    <m/>
    <s v="Concessão Federal"/>
    <m/>
    <m/>
    <m/>
    <s v="Federal"/>
    <s v="PAV"/>
    <s v="São José do Rio Preto"/>
  </r>
  <r>
    <x v="0"/>
    <s v="153BSP1030"/>
    <n v="0"/>
    <x v="128"/>
    <s v="1030"/>
    <n v="-49.6653383903544"/>
    <n v="-21.069635070102301"/>
    <n v="-49.7809784297107"/>
    <n v="-21.5190396901295"/>
    <s v="153"/>
    <s v="SP"/>
    <s v="Eixo Principal"/>
    <s v="-"/>
    <s v="153BSP1030"/>
    <s v="ENTR SP-387(A) (JOSÉ BONIFÁCIO)"/>
    <s v="ENTR SP-387(B) (P/ PROMISSÃO)"/>
    <n v="107.7"/>
    <n v="161.30000000000001"/>
    <n v="53.6"/>
    <x v="2"/>
    <m/>
    <m/>
    <s v="Concessão Federal"/>
    <m/>
    <m/>
    <m/>
    <s v="Federal"/>
    <s v="PAV"/>
    <s v="São José do Rio Preto"/>
  </r>
  <r>
    <x v="0"/>
    <s v="153BSP1040"/>
    <n v="0"/>
    <x v="128"/>
    <s v="1040"/>
    <n v="-49.7809784297107"/>
    <n v="-21.5190396901295"/>
    <n v="-49.787742649903301"/>
    <n v="-21.633101900432301"/>
    <s v="153"/>
    <s v="SP"/>
    <s v="Eixo Principal"/>
    <s v="-"/>
    <s v="153BSP1040"/>
    <s v="ENTR SP-387(B) (P/ PROMISSÃO)"/>
    <s v="ENTR SP-387(C) (P/GUAIÇARA)"/>
    <n v="161.30000000000001"/>
    <n v="174"/>
    <n v="12.7"/>
    <x v="2"/>
    <m/>
    <m/>
    <s v="Concessão Federal"/>
    <m/>
    <m/>
    <m/>
    <s v="Federal"/>
    <s v="PAV"/>
    <s v="São José do Rio Preto"/>
  </r>
  <r>
    <x v="0"/>
    <s v="153BSP1043"/>
    <n v="0"/>
    <x v="128"/>
    <s v="1043"/>
    <n v="-49.787742649903301"/>
    <n v="-21.633101900432301"/>
    <n v="-49.789663480385201"/>
    <n v="-21.666240549961302"/>
    <s v="153"/>
    <s v="SP"/>
    <s v="Eixo Principal"/>
    <s v="-"/>
    <s v="153BSP1043"/>
    <s v="ENTR SP-387(C) (P/GUAIÇARA)"/>
    <s v="ENTR BR-154/267 (LINS)"/>
    <n v="174"/>
    <n v="178.2"/>
    <n v="4.2"/>
    <x v="2"/>
    <m/>
    <m/>
    <s v="Concessão Federal"/>
    <m/>
    <m/>
    <m/>
    <s v="Federal"/>
    <s v="PAV"/>
    <s v="São José do Rio Preto"/>
  </r>
  <r>
    <x v="0"/>
    <s v="153BSP1045"/>
    <n v="0"/>
    <x v="128"/>
    <s v="1045"/>
    <n v="-49.789663480385201"/>
    <n v="-21.666240549961302"/>
    <n v="-49.800325240017699"/>
    <n v="-21.705520780359599"/>
    <s v="153"/>
    <s v="SP"/>
    <s v="Eixo Principal"/>
    <s v="-"/>
    <s v="153BSP1045"/>
    <s v="ENTR BR-154/267 (LINS)"/>
    <s v="ACESSO LINS"/>
    <n v="178.2"/>
    <n v="182.7"/>
    <n v="4.5"/>
    <x v="2"/>
    <m/>
    <m/>
    <s v="Concessão Federal"/>
    <m/>
    <m/>
    <m/>
    <s v="Federal"/>
    <s v="PAV"/>
    <s v="São José do Rio Preto"/>
  </r>
  <r>
    <x v="0"/>
    <s v="153BSP1050"/>
    <n v="0"/>
    <x v="128"/>
    <s v="1050"/>
    <n v="-49.800325240017699"/>
    <n v="-21.705520780359599"/>
    <n v="-49.892316980244402"/>
    <n v="-21.7764419401434"/>
    <s v="153"/>
    <s v="SP"/>
    <s v="Eixo Principal"/>
    <s v="-"/>
    <s v="153BSP1050"/>
    <s v="ACESSO LINS"/>
    <s v="ENTR SP-387(D) (P/GETULINA)"/>
    <n v="182.7"/>
    <n v="195"/>
    <n v="12.3"/>
    <x v="2"/>
    <m/>
    <m/>
    <s v="Concessão Federal"/>
    <m/>
    <m/>
    <m/>
    <s v="Federal"/>
    <s v="PAV"/>
    <s v="São José do Rio Preto"/>
  </r>
  <r>
    <x v="0"/>
    <s v="153BSP1070"/>
    <n v="0"/>
    <x v="128"/>
    <s v="1070"/>
    <n v="-49.892316980244402"/>
    <n v="-21.7764419401434"/>
    <n v="-49.911837630402196"/>
    <n v="-21.899029219822499"/>
    <s v="153"/>
    <s v="SP"/>
    <s v="Eixo Principal"/>
    <s v="-"/>
    <s v="153BSP1070"/>
    <s v="ENTR SP-387(D) (P/GETULINA)"/>
    <s v="ACESSO GUAIMBÊ"/>
    <n v="195"/>
    <n v="208.9"/>
    <n v="13.9"/>
    <x v="2"/>
    <m/>
    <m/>
    <s v="Concessão Federal"/>
    <m/>
    <m/>
    <m/>
    <s v="Federal"/>
    <s v="PAV"/>
    <s v="São José do Rio Preto"/>
  </r>
  <r>
    <x v="0"/>
    <s v="153BSP1077"/>
    <n v="0"/>
    <x v="128"/>
    <s v="1077"/>
    <n v="-49.911837630402196"/>
    <n v="-21.899029219822499"/>
    <n v="-49.901926589740199"/>
    <n v="-22.087250449648401"/>
    <s v="153"/>
    <s v="SP"/>
    <s v="Eixo Principal"/>
    <s v="-"/>
    <s v="153BSP1077"/>
    <s v="ACESSO GUAIMBÊ"/>
    <s v="ENTR SP-333(A)"/>
    <n v="208.9"/>
    <n v="230.2"/>
    <n v="21.3"/>
    <x v="2"/>
    <m/>
    <m/>
    <s v="Concessão Federal"/>
    <m/>
    <m/>
    <m/>
    <s v="Federal"/>
    <s v="PAV"/>
    <s v="São José do Rio Preto"/>
  </r>
  <r>
    <x v="0"/>
    <s v="153BSP1090"/>
    <n v="0"/>
    <x v="128"/>
    <s v="1090"/>
    <n v="-49.901926589740199"/>
    <n v="-22.087250449648401"/>
    <n v="-49.9481679396986"/>
    <n v="-22.139940349667299"/>
    <s v="153"/>
    <s v="SP"/>
    <s v="Eixo Principal"/>
    <s v="-"/>
    <s v="153BSP1090"/>
    <s v="ENTR SP-333(A)"/>
    <s v="INÍCIO PISTA DUPLA"/>
    <n v="230.2"/>
    <n v="238.8"/>
    <n v="8.6"/>
    <x v="1"/>
    <m/>
    <m/>
    <s v="Estadual"/>
    <m/>
    <s v="SP-333"/>
    <s v="PAV"/>
    <s v="Estadual"/>
    <s v="PLA"/>
    <s v="São José do Rio Preto"/>
  </r>
  <r>
    <x v="0"/>
    <s v="153BSP1100"/>
    <n v="0"/>
    <x v="128"/>
    <s v="1100"/>
    <n v="-49.9481679396986"/>
    <n v="-22.139940349667299"/>
    <n v="-49.971789730411601"/>
    <n v="-22.178525789933101"/>
    <s v="153"/>
    <s v="SP"/>
    <s v="Eixo Principal"/>
    <s v="-"/>
    <s v="153BSP1100"/>
    <s v="INÍCIO PISTA DUPLA"/>
    <s v="ENTR SP-294(A) (MARÍLIA)"/>
    <n v="238.8"/>
    <n v="242.9"/>
    <n v="4.0999999999999996"/>
    <x v="1"/>
    <m/>
    <m/>
    <s v="Estadual"/>
    <m/>
    <s v="SP-333"/>
    <s v="DUP"/>
    <s v="Estadual"/>
    <s v="PLA"/>
    <s v="São José do Rio Preto"/>
  </r>
  <r>
    <x v="0"/>
    <s v="153BSP1110"/>
    <n v="0"/>
    <x v="128"/>
    <s v="1110"/>
    <n v="-49.971789730411601"/>
    <n v="-22.178525789933101"/>
    <n v="-49.971212419617402"/>
    <n v="-22.234936289577998"/>
    <s v="153"/>
    <s v="SP"/>
    <s v="Eixo Principal"/>
    <s v="-"/>
    <s v="153BSP1110"/>
    <s v="ENTR SP-294(A) (MARÍLIA)"/>
    <s v="ENTR SP-333(B) (P/ASSIS)"/>
    <n v="242.9"/>
    <n v="249.8"/>
    <n v="6.9"/>
    <x v="1"/>
    <m/>
    <m/>
    <s v="Estadual"/>
    <m/>
    <s v="SP-333"/>
    <s v="DUP"/>
    <s v="Estadual"/>
    <s v="PLA"/>
    <s v="São José do Rio Preto"/>
  </r>
  <r>
    <x v="0"/>
    <s v="153BSP1120"/>
    <n v="0"/>
    <x v="128"/>
    <s v="1120"/>
    <n v="-49.971212419617402"/>
    <n v="-22.234936289577998"/>
    <n v="-49.919681629703398"/>
    <n v="-22.231551510293901"/>
    <s v="153"/>
    <s v="SP"/>
    <s v="Eixo Principal"/>
    <s v="-"/>
    <s v="153BSP1120"/>
    <s v="ENTR SP-333(B) (P/ASSIS)"/>
    <s v="ENTR SP-294(B) (P/VERA CRUZ)"/>
    <n v="249.8"/>
    <n v="256"/>
    <n v="6.2"/>
    <x v="1"/>
    <m/>
    <m/>
    <s v="Estadual"/>
    <m/>
    <s v="SP-294"/>
    <s v="DUP"/>
    <s v="Estadual"/>
    <s v="PLA"/>
    <s v="São José do Rio Preto"/>
  </r>
  <r>
    <x v="0"/>
    <s v="153BSP1130"/>
    <n v="0"/>
    <x v="128"/>
    <s v="1130"/>
    <n v="-49.919681629703398"/>
    <n v="-22.231551510293901"/>
    <n v="-49.860610129653701"/>
    <n v="-22.4167599303264"/>
    <s v="153"/>
    <s v="SP"/>
    <s v="Eixo Principal"/>
    <s v="-"/>
    <s v="153BSP1130"/>
    <s v="ENTR SP-294(B) (P/VERA CRUZ)"/>
    <s v="ENTR SP-331(A) (P/LUPÉRCIO)"/>
    <n v="256"/>
    <n v="280.39999999999998"/>
    <n v="24.4"/>
    <x v="2"/>
    <m/>
    <m/>
    <s v="Concessão Federal"/>
    <m/>
    <m/>
    <m/>
    <s v="Federal"/>
    <s v="PAV"/>
    <s v="São José do Rio Preto"/>
  </r>
  <r>
    <x v="0"/>
    <s v="153BSP1135"/>
    <n v="0"/>
    <x v="128"/>
    <s v="1135"/>
    <n v="-49.860610129653701"/>
    <n v="-22.4167599303264"/>
    <n v="-49.859632300390302"/>
    <n v="-22.441802460115401"/>
    <s v="153"/>
    <s v="SP"/>
    <s v="Eixo Principal"/>
    <s v="-"/>
    <s v="153BSP1135"/>
    <s v="ENTR SP-331(A) (P/LUPÉRCIO)"/>
    <s v="ENTR BR-374(A)"/>
    <n v="280.39999999999998"/>
    <n v="283.2"/>
    <n v="2.8"/>
    <x v="2"/>
    <m/>
    <m/>
    <s v="Concessão Federal"/>
    <m/>
    <m/>
    <m/>
    <s v="Federal"/>
    <s v="PAV"/>
    <s v="São José do Rio Preto"/>
  </r>
  <r>
    <x v="0"/>
    <s v="153BSP1140"/>
    <n v="0"/>
    <x v="128"/>
    <s v="1140"/>
    <n v="-49.859632300390302"/>
    <n v="-22.441802460115401"/>
    <n v="-49.889568310329103"/>
    <n v="-22.6082293099346"/>
    <s v="153"/>
    <s v="SP"/>
    <s v="Eixo Principal"/>
    <s v="-"/>
    <s v="153BSP1140"/>
    <s v="ENTR BR-374(A)"/>
    <s v="ENTR SP-331(B) (P/CAMPOS NOVOS PAULISTA)"/>
    <n v="283.2"/>
    <n v="303"/>
    <n v="19.8"/>
    <x v="2"/>
    <m/>
    <s v="374BSP0192"/>
    <s v="Concessão Federal"/>
    <m/>
    <m/>
    <m/>
    <s v="Federal"/>
    <s v="PAV"/>
    <s v="São José do Rio Preto"/>
  </r>
  <r>
    <x v="0"/>
    <s v="153BSP1145"/>
    <n v="0"/>
    <x v="128"/>
    <s v="1145"/>
    <n v="-49.889568310329103"/>
    <n v="-22.6082293099346"/>
    <n v="-49.889563400030802"/>
    <n v="-22.662620179577502"/>
    <s v="153"/>
    <s v="SP"/>
    <s v="Eixo Principal"/>
    <s v="-"/>
    <s v="153BSP1145"/>
    <s v="ENTR SP-331(B) (P/CAMPOS NOVOS PAULISTA)"/>
    <s v="ENTR BR-374(B)"/>
    <n v="303"/>
    <n v="309.39999999999998"/>
    <n v="6.4"/>
    <x v="2"/>
    <m/>
    <s v="374BSP0185"/>
    <s v="Concessão Federal"/>
    <m/>
    <m/>
    <m/>
    <s v="Federal"/>
    <s v="PAV"/>
    <s v="São José do Rio Preto"/>
  </r>
  <r>
    <x v="0"/>
    <s v="153BSP1150"/>
    <n v="0"/>
    <x v="128"/>
    <s v="1150"/>
    <n v="-49.889563400030802"/>
    <n v="-22.662620179577502"/>
    <n v="-49.900824680114802"/>
    <n v="-22.9229479898577"/>
    <s v="153"/>
    <s v="SP"/>
    <s v="Eixo Principal"/>
    <s v="-"/>
    <s v="153BSP1150"/>
    <s v="ENTR BR-374(B)"/>
    <s v="ENTR BR-369(A)/SP-270"/>
    <n v="309.39999999999998"/>
    <n v="338"/>
    <n v="28.6"/>
    <x v="2"/>
    <m/>
    <m/>
    <s v="Concessão Federal"/>
    <m/>
    <m/>
    <m/>
    <s v="Federal"/>
    <s v="PAV"/>
    <s v="São José do Rio Preto"/>
  </r>
  <r>
    <x v="0"/>
    <s v="153BSP1170"/>
    <n v="0"/>
    <x v="128"/>
    <s v="1170"/>
    <n v="-49.900824680114802"/>
    <n v="-22.9229479898577"/>
    <n v="-49.902091459753002"/>
    <n v="-22.9743048598813"/>
    <s v="153"/>
    <s v="SP"/>
    <s v="Eixo Principal"/>
    <s v="-"/>
    <s v="153BSP1170"/>
    <s v="ENTR BR-369(A)/SP-270"/>
    <s v="ACESSO OURINHOS (AVENIDA FABRIL)"/>
    <n v="338"/>
    <n v="344.7"/>
    <n v="6.7"/>
    <x v="2"/>
    <m/>
    <s v="369BSP0440"/>
    <s v="Concessão Federal"/>
    <m/>
    <m/>
    <m/>
    <s v="Federal"/>
    <s v="PAV"/>
    <s v="Taubaté"/>
  </r>
  <r>
    <x v="0"/>
    <s v="153BSP1190"/>
    <n v="0"/>
    <x v="128"/>
    <s v="1190"/>
    <n v="-49.902091459753002"/>
    <n v="-22.9743048598813"/>
    <n v="-49.9056926096262"/>
    <n v="-22.998523449697402"/>
    <s v="153"/>
    <s v="SP"/>
    <s v="Eixo Principal"/>
    <s v="-"/>
    <s v="153BSP1190"/>
    <s v="ACESSO OURINHOS (AVENIDA FABRIL)"/>
    <s v="ENTR BR-369(B) (DIV SP/PR)"/>
    <n v="344.7"/>
    <n v="347.3"/>
    <n v="2.6"/>
    <x v="0"/>
    <m/>
    <s v="369BSP0450"/>
    <s v="Concessão Federal"/>
    <m/>
    <m/>
    <m/>
    <s v="Federal"/>
    <s v="PAV"/>
    <s v="Taubaté"/>
  </r>
  <r>
    <x v="0"/>
    <s v="153BTO0077"/>
    <n v="0"/>
    <x v="129"/>
    <s v="0077"/>
    <n v="-48.552853869910102"/>
    <n v="-6.40042385018051"/>
    <n v="-48.543034810108303"/>
    <n v="-6.4109486295755502"/>
    <s v="153"/>
    <s v="TO"/>
    <s v="Eixo Principal"/>
    <s v="-"/>
    <s v="153BTO0077"/>
    <s v="DIV PA/TO (SÃO GERALDO ARAGUAIA)"/>
    <s v="FINAL TRAVESSIA RIO ARAGUAIA (XAMBIOÁ)"/>
    <n v="0"/>
    <n v="1.7"/>
    <n v="1.7"/>
    <x v="4"/>
    <m/>
    <m/>
    <s v="Federal"/>
    <m/>
    <m/>
    <m/>
    <s v="Federal"/>
    <s v="N_PAV"/>
    <s v="Paraíso de Tocantins"/>
  </r>
  <r>
    <x v="0"/>
    <s v="153BTO0082"/>
    <n v="0"/>
    <x v="129"/>
    <s v="0082"/>
    <n v="-48.543034810108303"/>
    <n v="-6.4109486295755502"/>
    <n v="-48.536436540014201"/>
    <n v="-6.4248421902148598"/>
    <s v="153"/>
    <s v="TO"/>
    <s v="Eixo Principal"/>
    <s v="-"/>
    <s v="153BTO0082"/>
    <s v="FINAL TRAVESSIA RIO ARAGUAIA (XAMBIOÁ)"/>
    <s v="ENTR  TO-164(A)"/>
    <n v="1.7"/>
    <n v="3.3"/>
    <n v="1.6"/>
    <x v="1"/>
    <m/>
    <m/>
    <s v="Federal"/>
    <m/>
    <m/>
    <m/>
    <s v="Federal"/>
    <s v="PLA"/>
    <s v="Paraíso de Tocantins"/>
  </r>
  <r>
    <x v="0"/>
    <s v="153BTO0084"/>
    <n v="0"/>
    <x v="129"/>
    <s v="0084"/>
    <n v="-48.536436540014201"/>
    <n v="-6.4248421902148598"/>
    <n v="-48.533106149928798"/>
    <n v="-6.4201879297291304"/>
    <s v="153"/>
    <s v="TO"/>
    <s v="Eixo Principal"/>
    <s v="-"/>
    <s v="153BTO0084"/>
    <s v="ENTR  TO-164(A)"/>
    <s v="ENTR  TO-164(B)"/>
    <n v="3.3"/>
    <n v="3.9"/>
    <n v="0.6"/>
    <x v="1"/>
    <m/>
    <m/>
    <s v="Estadual"/>
    <m/>
    <s v="TO-164"/>
    <s v="PAV"/>
    <s v="Estadual"/>
    <s v="PLA"/>
    <s v="Paraíso de Tocantins"/>
  </r>
  <r>
    <x v="0"/>
    <s v="153BTO0085"/>
    <n v="0"/>
    <x v="129"/>
    <s v="0085"/>
    <n v="-48.533106149928798"/>
    <n v="-6.4201879297291304"/>
    <n v="-48.3611045196578"/>
    <n v="-6.6128110999522303"/>
    <s v="153"/>
    <s v="TO"/>
    <s v="Eixo Principal"/>
    <s v="-"/>
    <s v="153BTO0085"/>
    <s v="ENTR  TO-164(B)"/>
    <s v="ENTR TO-416 (P/ANANÁS)"/>
    <n v="3.9"/>
    <n v="34.5"/>
    <n v="30.6"/>
    <x v="2"/>
    <m/>
    <m/>
    <s v="Federal"/>
    <m/>
    <m/>
    <m/>
    <s v="Federal"/>
    <s v="PAV"/>
    <s v="Paraíso de Tocantins"/>
  </r>
  <r>
    <x v="0"/>
    <s v="153BTO0090"/>
    <n v="0"/>
    <x v="129"/>
    <s v="0090"/>
    <n v="-48.3611045196578"/>
    <n v="-6.6128110999522303"/>
    <n v="-48.277056259938298"/>
    <n v="-6.7110950997590004"/>
    <s v="153"/>
    <s v="TO"/>
    <s v="Eixo Principal"/>
    <s v="-"/>
    <s v="153BTO0090"/>
    <s v="ENTR TO-416 (P/ANANÁS)"/>
    <s v="ENTR TO-420 (P/PIRAQUÊ)"/>
    <n v="34.5"/>
    <n v="48.9"/>
    <n v="14.4"/>
    <x v="2"/>
    <m/>
    <m/>
    <s v="Federal"/>
    <m/>
    <m/>
    <m/>
    <s v="Federal"/>
    <s v="PAV"/>
    <s v="Paraíso de Tocantins"/>
  </r>
  <r>
    <x v="0"/>
    <s v="153BTO0095"/>
    <n v="0"/>
    <x v="129"/>
    <s v="0095"/>
    <n v="-48.277056259938298"/>
    <n v="-6.7110950997590004"/>
    <n v="-47.971762670211"/>
    <n v="-6.8538550102005003"/>
    <s v="153"/>
    <s v="TO"/>
    <s v="Eixo Principal"/>
    <s v="-"/>
    <s v="153BTO0095"/>
    <s v="ENTR TO-420 (P/PIRAQUÊ)"/>
    <s v="ENTR BR-226/TO-010 (WANDERLÂNDIA)"/>
    <n v="48.9"/>
    <n v="92.8"/>
    <n v="43.9"/>
    <x v="2"/>
    <m/>
    <m/>
    <s v="Federal"/>
    <m/>
    <m/>
    <m/>
    <s v="Federal"/>
    <s v="PAV"/>
    <s v="Paraíso de Tocantins"/>
  </r>
  <r>
    <x v="0"/>
    <s v="153BTO0100"/>
    <n v="0"/>
    <x v="129"/>
    <s v="0100"/>
    <n v="-47.971762670211"/>
    <n v="-6.8538550102005003"/>
    <n v="-48.085961170071897"/>
    <n v="-6.9476511097108702"/>
    <s v="153"/>
    <s v="TO"/>
    <s v="Eixo Principal"/>
    <s v="-"/>
    <s v="153BTO0100"/>
    <s v="ENTR BR-226/TO-010 (WANDERLÂNDIA)"/>
    <s v="ENTR TO-420"/>
    <n v="92.8"/>
    <n v="109.4"/>
    <n v="16.600000000000001"/>
    <x v="2"/>
    <m/>
    <m/>
    <s v="Federal"/>
    <m/>
    <m/>
    <m/>
    <s v="Federal"/>
    <s v="PAV"/>
    <s v="Paraíso de Tocantins"/>
  </r>
  <r>
    <x v="0"/>
    <s v="153BTO0105"/>
    <n v="0"/>
    <x v="129"/>
    <s v="0105"/>
    <n v="-48.085961170071897"/>
    <n v="-6.9476511097108702"/>
    <n v="-48.200942740215197"/>
    <n v="-7.1375067800138297"/>
    <s v="153"/>
    <s v="TO"/>
    <s v="Eixo Principal"/>
    <s v="-"/>
    <s v="153BTO0105"/>
    <s v="ENTR TO-420"/>
    <s v="INICIO PISTA DUPLA ARAGUAINA"/>
    <n v="109.4"/>
    <n v="136"/>
    <n v="26.6"/>
    <x v="2"/>
    <m/>
    <m/>
    <s v="Federal"/>
    <m/>
    <m/>
    <m/>
    <s v="Federal"/>
    <s v="PAV"/>
    <s v="Paraíso de Tocantins"/>
  </r>
  <r>
    <x v="0"/>
    <s v="153BTO0110"/>
    <n v="0"/>
    <x v="129"/>
    <s v="0110"/>
    <n v="-48.200942740215197"/>
    <n v="-7.1375067800138297"/>
    <n v="-48.234784239600899"/>
    <n v="-7.1932623303921996"/>
    <s v="153"/>
    <s v="TO"/>
    <s v="Eixo Principal"/>
    <s v="-"/>
    <s v="153BTO0110"/>
    <s v="INICIO PISTA DUPLA ARAGUAINA"/>
    <s v="ENTR TO-222"/>
    <n v="136"/>
    <n v="143.6"/>
    <n v="7.6"/>
    <x v="0"/>
    <m/>
    <m/>
    <s v="Federal"/>
    <m/>
    <m/>
    <m/>
    <s v="Federal"/>
    <s v="PAV"/>
    <s v="Paraíso de Tocantins"/>
  </r>
  <r>
    <x v="0"/>
    <s v="153BTO0115"/>
    <n v="0"/>
    <x v="129"/>
    <s v="0115"/>
    <n v="-48.234784239600899"/>
    <n v="-7.1932623303921996"/>
    <n v="-48.254286899720597"/>
    <n v="-7.2391917603914004"/>
    <s v="153"/>
    <s v="TO"/>
    <s v="Eixo Principal"/>
    <s v="-"/>
    <s v="153BTO0115"/>
    <s v="ENTR TO-222"/>
    <s v="FIM PISTA DUPLA ARAGUAINA"/>
    <n v="143.6"/>
    <n v="149"/>
    <n v="5.4"/>
    <x v="0"/>
    <m/>
    <m/>
    <s v="Federal"/>
    <m/>
    <m/>
    <m/>
    <s v="Federal"/>
    <s v="PAV"/>
    <s v="Paraíso de Tocantins"/>
  </r>
  <r>
    <x v="0"/>
    <s v="153BTO0120"/>
    <n v="0"/>
    <x v="129"/>
    <s v="0120"/>
    <n v="-48.254286899720597"/>
    <n v="-7.2391917603914004"/>
    <n v="-48.3931561100664"/>
    <n v="-7.51402076005001"/>
    <s v="153"/>
    <s v="TO"/>
    <s v="Eixo Principal"/>
    <s v="-"/>
    <s v="153BTO0120"/>
    <s v="FIM PISTA DUPLA ARAGUAINA"/>
    <s v="ENTR TO-226(A)"/>
    <n v="149"/>
    <n v="184.1"/>
    <n v="35.1"/>
    <x v="2"/>
    <m/>
    <m/>
    <s v="Federal"/>
    <m/>
    <m/>
    <m/>
    <s v="Federal"/>
    <s v="PAV"/>
    <s v="Paraíso de Tocantins"/>
  </r>
  <r>
    <x v="0"/>
    <s v="153BTO0125"/>
    <n v="0"/>
    <x v="129"/>
    <s v="0125"/>
    <n v="-48.3931561100664"/>
    <n v="-7.51402076005001"/>
    <n v="-48.4274364498322"/>
    <n v="-7.6365735597219597"/>
    <s v="153"/>
    <s v="TO"/>
    <s v="Eixo Principal"/>
    <s v="-"/>
    <s v="153BTO0125"/>
    <s v="ENTR TO-226(A)"/>
    <s v="ENTR TO-226(B) (NOVA OLINDA)"/>
    <n v="184.1"/>
    <n v="198.7"/>
    <n v="14.6"/>
    <x v="2"/>
    <m/>
    <m/>
    <s v="Federal"/>
    <m/>
    <m/>
    <m/>
    <s v="Federal"/>
    <s v="PAV"/>
    <s v="Paraíso de Tocantins"/>
  </r>
  <r>
    <x v="0"/>
    <s v="153BTO0130"/>
    <n v="0"/>
    <x v="129"/>
    <s v="0130"/>
    <n v="-48.4274364498322"/>
    <n v="-7.6365735597219597"/>
    <n v="-48.456996089897501"/>
    <n v="-7.8005993096103898"/>
    <s v="153"/>
    <s v="TO"/>
    <s v="Eixo Principal"/>
    <s v="-"/>
    <s v="153BTO0130"/>
    <s v="ENTR TO-226(B) (NOVA OLINDA)"/>
    <s v="ENTR TO-230 (SÃO SEBASTIÃO NONATO)"/>
    <n v="198.7"/>
    <n v="217.9"/>
    <n v="19.2"/>
    <x v="2"/>
    <m/>
    <m/>
    <s v="Federal"/>
    <m/>
    <m/>
    <m/>
    <s v="Federal"/>
    <s v="PAV"/>
    <s v="Paraíso de Tocantins"/>
  </r>
  <r>
    <x v="0"/>
    <s v="153BTO0135"/>
    <n v="0"/>
    <x v="129"/>
    <s v="0135"/>
    <n v="-48.456996089897501"/>
    <n v="-7.8005993096103898"/>
    <n v="-48.465877240442197"/>
    <n v="-8.0341158601587495"/>
    <s v="153"/>
    <s v="TO"/>
    <s v="Eixo Principal"/>
    <s v="-"/>
    <s v="153BTO0135"/>
    <s v="ENTR TO-230 (SÃO SEBASTIÃO NONATO)"/>
    <s v="INÍCIO P DUPLA (COLINAS DO TOCANTINS)"/>
    <n v="217.9"/>
    <n v="244.2"/>
    <n v="26.3"/>
    <x v="2"/>
    <m/>
    <m/>
    <s v="Federal"/>
    <m/>
    <m/>
    <m/>
    <s v="Federal"/>
    <s v="PAV"/>
    <s v="Paraíso de Tocantins"/>
  </r>
  <r>
    <x v="0"/>
    <s v="153BTO0140"/>
    <n v="0"/>
    <x v="129"/>
    <s v="0140"/>
    <n v="-48.465877240442197"/>
    <n v="-8.0341158601587495"/>
    <n v="-48.466584550036799"/>
    <n v="-8.0578228598370707"/>
    <s v="153"/>
    <s v="TO"/>
    <s v="Eixo Principal"/>
    <s v="-"/>
    <s v="153BTO0140"/>
    <s v="INÍCIO P DUPLA (COLINAS DO TOCANTINS)"/>
    <s v="ENTR TO-335"/>
    <n v="244.2"/>
    <n v="246.8"/>
    <n v="2.6"/>
    <x v="0"/>
    <m/>
    <m/>
    <s v="Federal"/>
    <m/>
    <m/>
    <m/>
    <s v="Federal"/>
    <s v="PAV"/>
    <s v="Paraíso de Tocantins"/>
  </r>
  <r>
    <x v="0"/>
    <s v="153BTO0145"/>
    <n v="0"/>
    <x v="129"/>
    <s v="0145"/>
    <n v="-48.466584550036799"/>
    <n v="-8.0578228598370707"/>
    <n v="-48.4670870902969"/>
    <n v="-8.0744520700069895"/>
    <s v="153"/>
    <s v="TO"/>
    <s v="Eixo Principal"/>
    <s v="-"/>
    <s v="153BTO0145"/>
    <s v="ENTR TO-335"/>
    <s v="FIM PISTA DUPLA (COLINAS DO TOCANTINS)"/>
    <n v="246.8"/>
    <n v="248.7"/>
    <n v="1.9"/>
    <x v="0"/>
    <m/>
    <m/>
    <s v="Federal"/>
    <m/>
    <m/>
    <m/>
    <s v="Federal"/>
    <s v="PAV"/>
    <s v="Paraíso de Tocantins"/>
  </r>
  <r>
    <x v="0"/>
    <s v="153BTO0150"/>
    <n v="0"/>
    <x v="129"/>
    <s v="0150"/>
    <n v="-48.4670870902969"/>
    <n v="-8.0744520700069895"/>
    <n v="-48.486776140306503"/>
    <n v="-8.3905168596652899"/>
    <s v="153"/>
    <s v="TO"/>
    <s v="Eixo Principal"/>
    <s v="-"/>
    <s v="153BTO0150"/>
    <s v="FIM PISTA DUPLA (COLINAS DO TOCANTINS)"/>
    <s v="ENTR R. ONORINDO (BRASILÂNDIA DO TOCANTINS)"/>
    <n v="248.7"/>
    <n v="284.3"/>
    <n v="35.6"/>
    <x v="2"/>
    <m/>
    <m/>
    <s v="Federal"/>
    <m/>
    <m/>
    <m/>
    <s v="Federal"/>
    <s v="PAV"/>
    <s v="Paraíso de Tocantins"/>
  </r>
  <r>
    <x v="0"/>
    <s v="153BTO0155"/>
    <n v="0"/>
    <x v="129"/>
    <s v="0155"/>
    <n v="-48.486776140306503"/>
    <n v="-8.3905168596652899"/>
    <n v="-48.489519559979598"/>
    <n v="-8.48320263998977"/>
    <s v="153"/>
    <s v="TO"/>
    <s v="Eixo Principal"/>
    <s v="-"/>
    <s v="153BTO0155"/>
    <s v="ENTR R. ONORINDO (BRASILÂNDIA DO TOCANTINS)"/>
    <s v="ENTR TO-239(A) (P/TUPIRANTINS)"/>
    <n v="284.3"/>
    <n v="294.7"/>
    <n v="10.4"/>
    <x v="2"/>
    <m/>
    <m/>
    <s v="Federal"/>
    <m/>
    <m/>
    <m/>
    <s v="Federal"/>
    <s v="PAV"/>
    <s v="Paraíso de Tocantins"/>
  </r>
  <r>
    <x v="0"/>
    <s v="153BTO0160"/>
    <n v="0"/>
    <x v="129"/>
    <s v="0160"/>
    <n v="-48.489519559979598"/>
    <n v="-8.48320263998977"/>
    <n v="-48.483358390077598"/>
    <n v="-8.5285409698897698"/>
    <s v="153"/>
    <s v="TO"/>
    <s v="Eixo Principal"/>
    <s v="-"/>
    <s v="153BTO0160"/>
    <s v="ENTR TO-239(A) (P/TUPIRANTINS)"/>
    <s v="ENTR TO-239(B) (PRESIDENTE KENNEDY)"/>
    <n v="294.7"/>
    <n v="299.7"/>
    <n v="5"/>
    <x v="2"/>
    <m/>
    <m/>
    <s v="Federal"/>
    <m/>
    <m/>
    <m/>
    <s v="Federal"/>
    <s v="PAV"/>
    <s v="Paraíso de Tocantins"/>
  </r>
  <r>
    <x v="0"/>
    <s v="153BTO0165"/>
    <n v="0"/>
    <x v="129"/>
    <s v="0165"/>
    <n v="-48.483358390077598"/>
    <n v="-8.5285409698897698"/>
    <n v="-48.512194639770698"/>
    <n v="-8.8200806196248305"/>
    <s v="153"/>
    <s v="TO"/>
    <s v="Eixo Principal"/>
    <s v="-"/>
    <s v="153BTO0165"/>
    <s v="ENTR TO-239(B) (PRESIDENTE KENNEDY)"/>
    <s v="INICIO PISTA DUPLA-GUARAÍ"/>
    <n v="299.7"/>
    <n v="332.6"/>
    <n v="32.9"/>
    <x v="2"/>
    <m/>
    <m/>
    <s v="Federal"/>
    <m/>
    <m/>
    <m/>
    <s v="Federal"/>
    <s v="PAV"/>
    <s v="Paraíso de Tocantins"/>
  </r>
  <r>
    <x v="0"/>
    <s v="153BTO0170"/>
    <n v="0"/>
    <x v="129"/>
    <s v="0170"/>
    <n v="-48.512194639770698"/>
    <n v="-8.8200806196248305"/>
    <n v="-48.508312170270401"/>
    <n v="-8.8609781997840198"/>
    <s v="153"/>
    <s v="TO"/>
    <s v="Eixo Principal"/>
    <s v="-"/>
    <s v="153BTO0170"/>
    <s v="INICIO PISTA DUPLA-GUARAÍ"/>
    <s v="FIM PISTA DUPLA (GUARAÍ)"/>
    <n v="332.6"/>
    <n v="337.1"/>
    <n v="4.5"/>
    <x v="0"/>
    <m/>
    <m/>
    <s v="Federal"/>
    <m/>
    <m/>
    <m/>
    <s v="Federal"/>
    <s v="PAV"/>
    <s v="Paraíso de Tocantins"/>
  </r>
  <r>
    <x v="0"/>
    <s v="153BTO0175"/>
    <n v="0"/>
    <x v="129"/>
    <s v="0175"/>
    <n v="-48.508312170270401"/>
    <n v="-8.8609781997840198"/>
    <n v="-48.500395190085797"/>
    <n v="-8.9514371597970204"/>
    <s v="153"/>
    <s v="TO"/>
    <s v="Eixo Principal"/>
    <s v="-"/>
    <s v="153BTO0175"/>
    <s v="FIM PISTA DUPLA (GUARAÍ)"/>
    <s v="ENTR BR-235/TO-336 (P/PEDRO AFONSO)"/>
    <n v="337.1"/>
    <n v="347.2"/>
    <n v="10.1"/>
    <x v="2"/>
    <m/>
    <m/>
    <s v="Federal"/>
    <m/>
    <m/>
    <m/>
    <s v="Federal"/>
    <s v="PAV"/>
    <s v="Paraíso de Tocantins"/>
  </r>
  <r>
    <x v="0"/>
    <s v="153BTO0180"/>
    <n v="0"/>
    <x v="129"/>
    <s v="0180"/>
    <n v="-48.500395190085797"/>
    <n v="-8.9514371597970204"/>
    <n v="-48.518929689553403"/>
    <n v="-9.0580592401417395"/>
    <s v="153"/>
    <s v="TO"/>
    <s v="Eixo Principal"/>
    <s v="-"/>
    <s v="153BTO0180"/>
    <s v="ENTR BR-235/TO-336 (P/PEDRO AFONSO)"/>
    <s v="ENTR TO-431 (FORTALEZA DO TABOCÃO)"/>
    <n v="347.2"/>
    <n v="359.6"/>
    <n v="12.4"/>
    <x v="2"/>
    <m/>
    <m/>
    <s v="Federal"/>
    <m/>
    <m/>
    <m/>
    <s v="Federal"/>
    <s v="PAV"/>
    <s v="Paraíso de Tocantins"/>
  </r>
  <r>
    <x v="0"/>
    <s v="153BTO0190"/>
    <n v="0"/>
    <x v="129"/>
    <s v="0190"/>
    <n v="-48.518929689553403"/>
    <n v="-9.0580592401417395"/>
    <n v="-48.536482450404698"/>
    <n v="-9.3446012601399904"/>
    <s v="153"/>
    <s v="TO"/>
    <s v="Eixo Principal"/>
    <s v="-"/>
    <s v="153BTO0190"/>
    <s v="ENTR TO-431 (FORTALEZA DO TABOCÃO)"/>
    <s v="RIO DOS BOIS"/>
    <n v="359.6"/>
    <n v="392.1"/>
    <n v="32.5"/>
    <x v="2"/>
    <m/>
    <m/>
    <s v="Federal"/>
    <m/>
    <m/>
    <m/>
    <s v="Federal"/>
    <s v="PAV"/>
    <s v="Paraíso de Tocantins"/>
  </r>
  <r>
    <x v="0"/>
    <s v="153BTO0195"/>
    <n v="0"/>
    <x v="129"/>
    <s v="0195"/>
    <n v="-48.536482450404698"/>
    <n v="-9.3446012601399904"/>
    <n v="-48.585869299728301"/>
    <n v="-9.4954994001771507"/>
    <s v="153"/>
    <s v="TO"/>
    <s v="Eixo Principal"/>
    <s v="-"/>
    <s v="153BTO0195"/>
    <s v="RIO DOS BOIS"/>
    <s v="ENTR TO-342(A) (INÍCIO PISTA DUPLA - MIRANORTE)"/>
    <n v="392.1"/>
    <n v="409.9"/>
    <n v="17.8"/>
    <x v="2"/>
    <m/>
    <m/>
    <s v="Federal"/>
    <m/>
    <m/>
    <m/>
    <s v="Federal"/>
    <s v="PAV"/>
    <s v="Paraíso de Tocantins"/>
  </r>
  <r>
    <x v="0"/>
    <s v="153BTO0200"/>
    <n v="0"/>
    <x v="129"/>
    <s v="0200"/>
    <n v="-48.585869299728301"/>
    <n v="-9.4954994001771507"/>
    <n v="-48.5932790002256"/>
    <n v="-9.5313938800234705"/>
    <s v="153"/>
    <s v="TO"/>
    <s v="Eixo Principal"/>
    <s v="-"/>
    <s v="153BTO0200"/>
    <s v="ENTR TO-342(A) (INÍCIO PISTA DUPLA - MIRANORTE)"/>
    <s v="ENTR TO-342(B)"/>
    <n v="409.9"/>
    <n v="414.2"/>
    <n v="4.3"/>
    <x v="0"/>
    <m/>
    <m/>
    <s v="Federal"/>
    <m/>
    <m/>
    <m/>
    <s v="Federal"/>
    <s v="PAV"/>
    <s v="Paraíso de Tocantins"/>
  </r>
  <r>
    <x v="0"/>
    <s v="153BTO0205"/>
    <n v="0"/>
    <x v="129"/>
    <s v="0205"/>
    <n v="-48.5932790002256"/>
    <n v="-9.5313938800234705"/>
    <n v="-48.601629979739698"/>
    <n v="-9.5528016999384704"/>
    <s v="153"/>
    <s v="TO"/>
    <s v="Eixo Principal"/>
    <s v="-"/>
    <s v="153BTO0205"/>
    <s v="ENTR TO-342(B)"/>
    <s v="FIM PISTA DUPLA (MIRANORTE)"/>
    <n v="414.2"/>
    <n v="416.8"/>
    <n v="2.6"/>
    <x v="0"/>
    <m/>
    <m/>
    <s v="Federal"/>
    <m/>
    <m/>
    <m/>
    <s v="Federal"/>
    <s v="PAV"/>
    <s v="Paraíso de Tocantins"/>
  </r>
  <r>
    <x v="0"/>
    <s v="153BTO0210"/>
    <n v="0"/>
    <x v="129"/>
    <s v="0210"/>
    <n v="-48.601629979739698"/>
    <n v="-9.5528016999384704"/>
    <n v="-48.722160919990401"/>
    <n v="-9.8418664801538895"/>
    <s v="153"/>
    <s v="TO"/>
    <s v="Eixo Principal"/>
    <s v="-"/>
    <s v="153BTO0210"/>
    <s v="FIM PISTA DUPLA (MIRANORTE)"/>
    <s v="ENTR TO-348 (BARROLÂNDIA)"/>
    <n v="416.8"/>
    <n v="452.1"/>
    <n v="35.299999999999997"/>
    <x v="2"/>
    <m/>
    <m/>
    <s v="Federal"/>
    <m/>
    <m/>
    <m/>
    <s v="Federal"/>
    <s v="PAV"/>
    <s v="Paraíso de Tocantins"/>
  </r>
  <r>
    <x v="0"/>
    <s v="153BTO0220"/>
    <n v="0"/>
    <x v="129"/>
    <s v="0220"/>
    <n v="-48.722160919990401"/>
    <n v="-9.8418664801538895"/>
    <n v="-48.883076450018102"/>
    <n v="-10.155349509572099"/>
    <s v="153"/>
    <s v="TO"/>
    <s v="Eixo Principal"/>
    <s v="-"/>
    <s v="153BTO0220"/>
    <s v="ENTR TO-348 (BARROLÂNDIA)"/>
    <s v="ENTR TO-080(A) (INÍCIO PER URB PARAÍSO DO TOCANTINS - PORTAL)"/>
    <n v="452.1"/>
    <n v="493.9"/>
    <n v="41.8"/>
    <x v="2"/>
    <m/>
    <m/>
    <s v="Federal"/>
    <m/>
    <m/>
    <m/>
    <s v="Federal"/>
    <s v="PAV"/>
    <s v="Paraíso de Tocantins"/>
  </r>
  <r>
    <x v="0"/>
    <s v="153BTO0225"/>
    <n v="0"/>
    <x v="129"/>
    <s v="0225"/>
    <n v="-48.883076450018102"/>
    <n v="-10.155349509572099"/>
    <n v="-48.881032030203897"/>
    <n v="-10.1633553400768"/>
    <s v="153"/>
    <s v="TO"/>
    <s v="Eixo Principal"/>
    <s v="-"/>
    <s v="153BTO0225"/>
    <s v="ENTR TO-080(A) (INÍCIO PER URB PARAÍSO DO TOCANTINS - PORTAL)"/>
    <s v="INÍCIO PISTA DUP (PARAÍSO DO TOCANTINS)"/>
    <n v="493.9"/>
    <n v="496.1"/>
    <n v="2.2000000000000002"/>
    <x v="2"/>
    <m/>
    <m/>
    <s v="Federal"/>
    <m/>
    <m/>
    <m/>
    <s v="Federal"/>
    <s v="PAV"/>
    <s v="Paraíso de Tocantins"/>
  </r>
  <r>
    <x v="0"/>
    <s v="153BTO0230"/>
    <n v="0"/>
    <x v="129"/>
    <s v="0230"/>
    <n v="-48.881032030203897"/>
    <n v="-10.1633553400768"/>
    <n v="-48.8805833602338"/>
    <n v="-10.1739282098189"/>
    <s v="153"/>
    <s v="TO"/>
    <s v="Eixo Principal"/>
    <s v="-"/>
    <s v="153BTO0230"/>
    <s v="INÍCIO PISTA DUP (PARAÍSO DO TOCANTINS)"/>
    <s v="FIM PISTA DUPLA (PARAÍSO DO TOCANTINS)"/>
    <n v="496.1"/>
    <n v="497.2"/>
    <n v="1.1000000000000001"/>
    <x v="0"/>
    <m/>
    <m/>
    <s v="Federal"/>
    <m/>
    <m/>
    <m/>
    <s v="Federal"/>
    <s v="PAV"/>
    <s v="Paraíso de Tocantins"/>
  </r>
  <r>
    <x v="0"/>
    <s v="153BTO0235"/>
    <n v="0"/>
    <x v="129"/>
    <s v="0235"/>
    <n v="-48.8805833602338"/>
    <n v="-10.1739282098189"/>
    <n v="-48.874296699832698"/>
    <n v="-10.211318399824201"/>
    <s v="153"/>
    <s v="TO"/>
    <s v="Eixo Principal"/>
    <s v="-"/>
    <s v="153BTO0235"/>
    <s v="FIM PISTA DUPLA (PARAÍSO DO TOCANTINS)"/>
    <s v="ENTR TO-454"/>
    <n v="497.2"/>
    <n v="501.5"/>
    <n v="4.3"/>
    <x v="2"/>
    <m/>
    <m/>
    <s v="Federal"/>
    <m/>
    <m/>
    <m/>
    <s v="Federal"/>
    <s v="PAV"/>
    <s v="Paraíso de Tocantins"/>
  </r>
  <r>
    <x v="0"/>
    <s v="153BTO0240"/>
    <n v="0"/>
    <x v="129"/>
    <s v="0240"/>
    <n v="-48.874296699832698"/>
    <n v="-10.211318399824201"/>
    <n v="-48.898104130401201"/>
    <n v="-10.4251553603315"/>
    <s v="153"/>
    <s v="TO"/>
    <s v="Eixo Principal"/>
    <s v="-"/>
    <s v="153BTO0240"/>
    <s v="ENTR TO-454"/>
    <s v="ENTR TO-354 (PUGMIL)"/>
    <n v="501.5"/>
    <n v="525.29999999999995"/>
    <n v="23.8"/>
    <x v="2"/>
    <m/>
    <m/>
    <s v="Federal"/>
    <m/>
    <m/>
    <m/>
    <s v="Federal"/>
    <s v="PAV"/>
    <s v="Paraíso de Tocantins"/>
  </r>
  <r>
    <x v="0"/>
    <s v="153BTO0242"/>
    <n v="0"/>
    <x v="129"/>
    <s v="0242"/>
    <n v="-48.898104130401201"/>
    <n v="-10.4251553603315"/>
    <n v="-48.9127958798259"/>
    <n v="-10.5560186502404"/>
    <s v="153"/>
    <s v="TO"/>
    <s v="Eixo Principal"/>
    <s v="-"/>
    <s v="153BTO0242"/>
    <s v="ENTR TO-354 (PUGMIL)"/>
    <s v="INÍCIO PISTA DUPLA (NOVA ROSALÂNDIA)"/>
    <n v="525.29999999999995"/>
    <n v="539.29999999999995"/>
    <n v="14"/>
    <x v="2"/>
    <m/>
    <m/>
    <s v="Federal"/>
    <m/>
    <m/>
    <m/>
    <s v="Federal"/>
    <s v="PAV"/>
    <s v="Paraíso de Tocantins"/>
  </r>
  <r>
    <x v="0"/>
    <s v="153BTO0245"/>
    <n v="0"/>
    <x v="129"/>
    <s v="0245"/>
    <n v="-48.9127958798259"/>
    <n v="-10.5560186502404"/>
    <n v="-48.9141327400338"/>
    <n v="-10.5678316203329"/>
    <s v="153"/>
    <s v="TO"/>
    <s v="Eixo Principal"/>
    <s v="-"/>
    <s v="153BTO0245"/>
    <s v="INÍCIO PISTA DUPLA (NOVA ROSALÂNDIA)"/>
    <s v="ENTR TO-255(A) (NOVA ROSALÂNDIA)"/>
    <n v="539.29999999999995"/>
    <n v="541.1"/>
    <n v="1.8"/>
    <x v="0"/>
    <m/>
    <m/>
    <s v="Federal"/>
    <m/>
    <m/>
    <m/>
    <s v="Federal"/>
    <s v="PAV"/>
    <s v="Paraíso de Tocantins"/>
  </r>
  <r>
    <x v="0"/>
    <s v="153BTO0248"/>
    <n v="0"/>
    <x v="129"/>
    <s v="0248"/>
    <n v="-48.9141327400338"/>
    <n v="-10.5678316203329"/>
    <n v="-48.914429619731102"/>
    <n v="-10.573161980341"/>
    <s v="153"/>
    <s v="TO"/>
    <s v="Eixo Principal"/>
    <s v="-"/>
    <s v="153BTO0248"/>
    <s v="ENTR TO-255(A) (NOVA ROSALÂNDIA)"/>
    <s v="FIM PISTA DUPLA (NOVA ROSALÂNDIA)"/>
    <n v="541.1"/>
    <n v="542.29999999999995"/>
    <n v="1.2"/>
    <x v="0"/>
    <m/>
    <m/>
    <s v="Federal"/>
    <m/>
    <m/>
    <m/>
    <s v="Federal"/>
    <s v="PAV"/>
    <s v="Paraíso de Tocantins"/>
  </r>
  <r>
    <x v="0"/>
    <s v="153BTO0250"/>
    <n v="0"/>
    <x v="129"/>
    <s v="0250"/>
    <n v="-48.914429619731102"/>
    <n v="-10.573161980341"/>
    <n v="-48.904146050199998"/>
    <n v="-10.728286440266899"/>
    <s v="153"/>
    <s v="TO"/>
    <s v="Eixo Principal"/>
    <s v="-"/>
    <s v="153BTO0250"/>
    <s v="FIM PISTA DUPLA (NOVA ROSALÂNDIA)"/>
    <s v="ENTR TO-255(B) (P/PORTO NACIONAL)"/>
    <n v="542.29999999999995"/>
    <n v="558.9"/>
    <n v="16.600000000000001"/>
    <x v="2"/>
    <m/>
    <m/>
    <s v="Federal"/>
    <m/>
    <m/>
    <m/>
    <s v="Federal"/>
    <s v="PAV"/>
    <s v="Paraíso de Tocantins"/>
  </r>
  <r>
    <x v="0"/>
    <s v="153BTO0255"/>
    <n v="0"/>
    <x v="129"/>
    <s v="0255"/>
    <n v="-48.904146050199998"/>
    <n v="-10.728286440266899"/>
    <n v="-48.902666540428399"/>
    <n v="-10.750558610291501"/>
    <s v="153"/>
    <s v="TO"/>
    <s v="Eixo Principal"/>
    <s v="-"/>
    <s v="153BTO0255"/>
    <s v="ENTR TO-255(B) (P/PORTO NACIONAL)"/>
    <s v="INÍCIO PISTA DUPLA (FÁTIMA)"/>
    <n v="558.9"/>
    <n v="561.1"/>
    <n v="2.2000000000000002"/>
    <x v="2"/>
    <m/>
    <m/>
    <s v="Federal"/>
    <m/>
    <m/>
    <m/>
    <s v="Federal"/>
    <s v="PAV"/>
    <s v="Gurupi"/>
  </r>
  <r>
    <x v="0"/>
    <s v="153BTO0258"/>
    <n v="0"/>
    <x v="129"/>
    <s v="0258"/>
    <n v="-48.902666540428399"/>
    <n v="-10.750558610291501"/>
    <n v="-48.901586380007402"/>
    <n v="-10.7668825500895"/>
    <s v="153"/>
    <s v="TO"/>
    <s v="Eixo Principal"/>
    <s v="-"/>
    <s v="153BTO0258"/>
    <s v="INÍCIO PISTA DUPLA (FÁTIMA)"/>
    <s v="FIM PISTA DUPLA (FÁTIMA)"/>
    <n v="561.1"/>
    <n v="563.4"/>
    <n v="2.2999999999999998"/>
    <x v="0"/>
    <m/>
    <m/>
    <s v="Federal"/>
    <m/>
    <m/>
    <m/>
    <s v="Federal"/>
    <s v="PAV"/>
    <s v="Gurupi"/>
  </r>
  <r>
    <x v="0"/>
    <s v="153BTO0260"/>
    <n v="0"/>
    <x v="129"/>
    <s v="0260"/>
    <n v="-48.901586380007402"/>
    <n v="-10.7668825500895"/>
    <n v="-48.939842559586303"/>
    <n v="-11.2979799597073"/>
    <s v="153"/>
    <s v="TO"/>
    <s v="Eixo Principal"/>
    <s v="-"/>
    <s v="153BTO0260"/>
    <s v="FIM PISTA DUPLA (FÁTIMA)"/>
    <s v="ENTR TO-070 (ALIANÇA DO TOCANTINS)"/>
    <n v="563.4"/>
    <n v="623"/>
    <n v="59.6"/>
    <x v="2"/>
    <m/>
    <m/>
    <s v="Federal"/>
    <m/>
    <m/>
    <m/>
    <s v="Federal"/>
    <s v="PAV"/>
    <s v="Gurupi"/>
  </r>
  <r>
    <x v="0"/>
    <s v="153BTO0265"/>
    <n v="0"/>
    <x v="129"/>
    <s v="0265"/>
    <n v="-48.939842559586303"/>
    <n v="-11.2979799597073"/>
    <n v="-49.075717419623103"/>
    <n v="-11.7144572502019"/>
    <s v="153"/>
    <s v="TO"/>
    <s v="Eixo Principal"/>
    <s v="-"/>
    <s v="153BTO0265"/>
    <s v="ENTR TO-070 (ALIANÇA DO TOCANTINS)"/>
    <s v="INÍCIO PISTA DUPLA (GURUPÍ)"/>
    <n v="623"/>
    <n v="670.8"/>
    <n v="47.8"/>
    <x v="2"/>
    <m/>
    <m/>
    <s v="Federal"/>
    <m/>
    <m/>
    <m/>
    <s v="Federal"/>
    <s v="PAV"/>
    <s v="Gurupi"/>
  </r>
  <r>
    <x v="0"/>
    <s v="153BTO0270"/>
    <n v="0"/>
    <x v="129"/>
    <s v="0270"/>
    <n v="-49.075717419623103"/>
    <n v="-11.7144572502019"/>
    <n v="-49.076936379610103"/>
    <n v="-11.719886719996101"/>
    <s v="153"/>
    <s v="TO"/>
    <s v="Eixo Principal"/>
    <s v="-"/>
    <s v="153BTO0270"/>
    <s v="INÍCIO PISTA DUPLA (GURUPÍ)"/>
    <s v="ENTR TO-374 (AV DUERÉ) *TRECHO URBANO*"/>
    <n v="670.8"/>
    <n v="671.2"/>
    <n v="0.4"/>
    <x v="0"/>
    <m/>
    <m/>
    <s v="Federal"/>
    <m/>
    <m/>
    <m/>
    <s v="Federal"/>
    <s v="PAV"/>
    <s v="Gurupi"/>
  </r>
  <r>
    <x v="0"/>
    <s v="153BTO0275"/>
    <n v="0"/>
    <x v="129"/>
    <s v="0275"/>
    <n v="-49.076936379610103"/>
    <n v="-11.719886719996101"/>
    <n v="-49.082201340019701"/>
    <n v="-11.7415784999477"/>
    <s v="153"/>
    <s v="TO"/>
    <s v="Eixo Principal"/>
    <s v="-"/>
    <s v="153BTO0275"/>
    <s v="ENTR TO-374 (AV DUERÉ)"/>
    <s v="ENTR BR-242(A) (AV GOIÁS) *TRECHO URBANO*"/>
    <n v="671.2"/>
    <n v="673.7"/>
    <n v="2.5"/>
    <x v="0"/>
    <m/>
    <m/>
    <s v="Federal"/>
    <m/>
    <m/>
    <m/>
    <s v="Federal"/>
    <s v="PAV"/>
    <s v="Gurupi"/>
  </r>
  <r>
    <x v="0"/>
    <s v="153BTO0280"/>
    <n v="0"/>
    <x v="129"/>
    <s v="0280"/>
    <n v="-49.082201340019701"/>
    <n v="-11.7415784999477"/>
    <n v="-49.083520370268801"/>
    <n v="-11.7438100497939"/>
    <s v="153"/>
    <s v="TO"/>
    <s v="Eixo Principal"/>
    <s v="-"/>
    <s v="153BTO0280"/>
    <s v="ENTR BR-242(A) (AV GOIÁS)"/>
    <s v="FIM PISTA DUPLA - GURUPÍ *TRECHO URBANO*"/>
    <n v="673.7"/>
    <n v="674"/>
    <n v="0.3"/>
    <x v="0"/>
    <m/>
    <s v="242BTO0465"/>
    <s v="Federal"/>
    <m/>
    <m/>
    <m/>
    <s v="Federal"/>
    <s v="PAV"/>
    <s v="Gurupi"/>
  </r>
  <r>
    <x v="0"/>
    <s v="153BTO0290"/>
    <n v="0"/>
    <x v="129"/>
    <s v="0290"/>
    <n v="-49.083520370268801"/>
    <n v="-11.7438100497939"/>
    <n v="-49.199847009631704"/>
    <n v="-11.9617271696731"/>
    <s v="153"/>
    <s v="TO"/>
    <s v="Eixo Principal"/>
    <s v="-"/>
    <s v="153BTO0290"/>
    <s v="FIM PISTA DUPLA - GURUPÍ"/>
    <s v="ENTR BR-242(B)/TO-280"/>
    <n v="674"/>
    <n v="701.4"/>
    <n v="27.4"/>
    <x v="2"/>
    <m/>
    <s v="242BTO0470"/>
    <s v="Federal"/>
    <m/>
    <m/>
    <m/>
    <s v="Federal"/>
    <s v="PAV"/>
    <s v="Gurupi"/>
  </r>
  <r>
    <x v="0"/>
    <s v="153BTO0295"/>
    <n v="0"/>
    <x v="129"/>
    <s v="0295"/>
    <n v="-49.199847009631704"/>
    <n v="-11.9617271696731"/>
    <n v="-49.170880449972699"/>
    <n v="-12.131987449860899"/>
    <s v="153"/>
    <s v="TO"/>
    <s v="Eixo Principal"/>
    <s v="-"/>
    <s v="153BTO0295"/>
    <s v="ENTR BR-242(B)/TO-280"/>
    <s v="ENTR TO-483 (FIGUEIRÓPOLIS)"/>
    <n v="701.4"/>
    <n v="721.7"/>
    <n v="20.3"/>
    <x v="2"/>
    <m/>
    <m/>
    <s v="Federal"/>
    <m/>
    <m/>
    <m/>
    <s v="Federal"/>
    <s v="PAV"/>
    <s v="Gurupi"/>
  </r>
  <r>
    <x v="0"/>
    <s v="153BTO0300"/>
    <n v="0"/>
    <x v="129"/>
    <s v="0300"/>
    <n v="-49.170880449972699"/>
    <n v="-12.131987449860899"/>
    <n v="-49.118538479667002"/>
    <n v="-12.471539749759501"/>
    <s v="153"/>
    <s v="TO"/>
    <s v="Eixo Principal"/>
    <s v="-"/>
    <s v="153BTO0300"/>
    <s v="ENTR TO-483 (FIGUEIRÓPOLIS)"/>
    <s v="INÍCIO PISTA DUPLA ALVORADA"/>
    <n v="721.7"/>
    <n v="760.1"/>
    <n v="38.4"/>
    <x v="2"/>
    <m/>
    <m/>
    <s v="Federal"/>
    <m/>
    <m/>
    <m/>
    <s v="Federal"/>
    <s v="PAV"/>
    <s v="Gurupi"/>
  </r>
  <r>
    <x v="0"/>
    <s v="153BTO0302"/>
    <n v="0"/>
    <x v="129"/>
    <s v="0302"/>
    <n v="-49.118538479667002"/>
    <n v="-12.471539749759501"/>
    <n v="-49.117635300428702"/>
    <n v="-12.4821529397063"/>
    <s v="153"/>
    <s v="TO"/>
    <s v="Eixo Principal"/>
    <s v="-"/>
    <s v="153BTO0302"/>
    <s v="INÍCIO PISTA DUPLA ALVORADA"/>
    <s v="ENTR TO-373 (ALVORADA)"/>
    <n v="760.1"/>
    <n v="761.4"/>
    <n v="1.3"/>
    <x v="0"/>
    <m/>
    <m/>
    <s v="Federal"/>
    <m/>
    <m/>
    <m/>
    <s v="Federal"/>
    <s v="PAV"/>
    <s v="Gurupi"/>
  </r>
  <r>
    <x v="0"/>
    <s v="153BTO0305"/>
    <n v="0"/>
    <x v="129"/>
    <s v="0305"/>
    <n v="-49.117635300428702"/>
    <n v="-12.4821529397063"/>
    <n v="-49.116866190322398"/>
    <n v="-12.4917835501706"/>
    <s v="153"/>
    <s v="TO"/>
    <s v="Eixo Principal"/>
    <s v="-"/>
    <s v="153BTO0305"/>
    <s v="ENTR TO-373 (ALVORADA)"/>
    <s v="FIM PISTA DUPLA ALVORADA"/>
    <n v="761.4"/>
    <n v="762.5"/>
    <n v="1.1000000000000001"/>
    <x v="0"/>
    <m/>
    <m/>
    <s v="Federal"/>
    <m/>
    <m/>
    <m/>
    <s v="Federal"/>
    <s v="PAV"/>
    <s v="Gurupi"/>
  </r>
  <r>
    <x v="0"/>
    <s v="153BTO0307"/>
    <n v="0"/>
    <x v="129"/>
    <s v="0307"/>
    <n v="-49.116866190322398"/>
    <n v="-12.4917835501706"/>
    <n v="-49.092297339750303"/>
    <n v="-12.7896118702915"/>
    <s v="153"/>
    <s v="TO"/>
    <s v="Eixo Principal"/>
    <s v="-"/>
    <s v="153BTO0307"/>
    <s v="FIM PISTA DUPLA ALVORADA"/>
    <s v="ENTR TO-296 (TALISMÃ)"/>
    <n v="762.5"/>
    <n v="797.4"/>
    <n v="34.9"/>
    <x v="2"/>
    <m/>
    <m/>
    <s v="Federal"/>
    <m/>
    <m/>
    <m/>
    <s v="Federal"/>
    <s v="PAV"/>
    <s v="Gurupi"/>
  </r>
  <r>
    <x v="0"/>
    <s v="153BTO0310"/>
    <n v="0"/>
    <x v="129"/>
    <s v="0310"/>
    <n v="-49.092297339750303"/>
    <n v="-12.7896118702915"/>
    <n v="-49.102305939767199"/>
    <n v="-12.835353729590899"/>
    <s v="153"/>
    <s v="TO"/>
    <s v="Eixo Principal"/>
    <s v="-"/>
    <s v="153BTO0310"/>
    <s v="ENTR TO-296 (TALISMÃ)"/>
    <s v="DIV TO/GO"/>
    <n v="797.4"/>
    <n v="801.9"/>
    <n v="4.5"/>
    <x v="2"/>
    <m/>
    <m/>
    <s v="Federal"/>
    <m/>
    <m/>
    <m/>
    <s v="Federal"/>
    <s v="PAV"/>
    <s v="Gurupi"/>
  </r>
  <r>
    <x v="0"/>
    <s v="153CPR1005"/>
    <n v="0"/>
    <x v="130"/>
    <s v="1005"/>
    <n v="-50.619187600127503"/>
    <n v="-25.453936779858399"/>
    <n v="-50.654171590146703"/>
    <n v="-25.5309474299798"/>
    <s v="153"/>
    <s v="PR"/>
    <s v="Contorno"/>
    <s v="-"/>
    <s v="153CPR1005"/>
    <s v="ENTR BR-153/277"/>
    <s v="ENTR BR-153/PR-364(B)"/>
    <n v="0"/>
    <n v="12"/>
    <n v="12"/>
    <x v="1"/>
    <m/>
    <m/>
    <s v="Federal"/>
    <m/>
    <m/>
    <m/>
    <s v="Federal"/>
    <s v="PLA"/>
    <s v="Ponta Grossa"/>
  </r>
  <r>
    <x v="0"/>
    <s v="153UTO1005"/>
    <n v="0"/>
    <x v="131"/>
    <s v="1005"/>
    <n v="-48.533106149928798"/>
    <n v="-6.4201879297291304"/>
    <n v="-48.535314392944798"/>
    <n v="-6.4186669612112697"/>
    <s v="153"/>
    <s v="TO"/>
    <s v="Travessia Urbana"/>
    <s v="-"/>
    <s v="153UTO1005"/>
    <s v="ENTR BR-153/TO-164"/>
    <s v="RUA JUAREZ FORTES (XAMBIOÁ)"/>
    <n v="0"/>
    <n v="0.3"/>
    <n v="0.3"/>
    <x v="2"/>
    <m/>
    <m/>
    <s v="Federal"/>
    <m/>
    <m/>
    <m/>
    <s v="Federal"/>
    <s v="PAV"/>
    <s v="Araguaína"/>
  </r>
  <r>
    <x v="0"/>
    <s v="153UTO1010"/>
    <n v="0"/>
    <x v="131"/>
    <s v="1010"/>
    <n v="-48.535314392944798"/>
    <n v="-6.4186669612112697"/>
    <n v="-48.538044478369898"/>
    <n v="-6.4140437417252603"/>
    <s v="153"/>
    <s v="TO"/>
    <s v="Travessia Urbana"/>
    <s v="-"/>
    <s v="153UTO1010"/>
    <s v="RUA JUAREZ FORTES (XAMBIOÁ)"/>
    <s v="FIM DA PISTA DUPLA (XAMBIOÁ)"/>
    <n v="0.3"/>
    <n v="0.9"/>
    <n v="0.6"/>
    <x v="0"/>
    <m/>
    <m/>
    <s v="Federal"/>
    <m/>
    <m/>
    <m/>
    <s v="Federal"/>
    <s v="PAV"/>
    <s v="Araguaína"/>
  </r>
  <r>
    <x v="0"/>
    <s v="153UTO1015"/>
    <n v="0"/>
    <x v="131"/>
    <s v="1015"/>
    <n v="-48.538044478369898"/>
    <n v="-6.4140437417252603"/>
    <n v="-48.543034810108303"/>
    <n v="-6.4109486295755502"/>
    <s v="153"/>
    <s v="TO"/>
    <s v="Travessia Urbana"/>
    <s v="-"/>
    <s v="153UTO1015"/>
    <s v="FIM DA PISTA DUPLA (XAMBIOÁ)"/>
    <s v="PORTO DE BALSAS (XAMBIOÁ)"/>
    <n v="0.9"/>
    <n v="1.6"/>
    <n v="0.7"/>
    <x v="2"/>
    <m/>
    <m/>
    <s v="Federal"/>
    <m/>
    <m/>
    <m/>
    <s v="Federal"/>
    <s v="PAV"/>
    <s v="Araguaína"/>
  </r>
  <r>
    <x v="0"/>
    <s v="154BGO0020"/>
    <n v="0"/>
    <x v="132"/>
    <s v="0020"/>
    <n v="-49.216545480189701"/>
    <n v="-18.358221179563699"/>
    <n v="-49.294341230363401"/>
    <n v="-18.3947463503637"/>
    <s v="154"/>
    <s v="GO"/>
    <s v="Eixo Principal"/>
    <s v="-"/>
    <s v="154BGO0020"/>
    <s v="ENTR BR-153/452(A)/483(A)/GO-419(A)"/>
    <s v="ENTR GO-206(A)/419(B)"/>
    <n v="0"/>
    <n v="9"/>
    <n v="9"/>
    <x v="2"/>
    <m/>
    <s v="452BGO0070;483BGO0030"/>
    <m/>
    <s v="MP082/2003"/>
    <m/>
    <m/>
    <m/>
    <s v="PAV"/>
    <s v="Rio Verde"/>
  </r>
  <r>
    <x v="0"/>
    <s v="154BGO0025"/>
    <n v="0"/>
    <x v="132"/>
    <s v="0025"/>
    <n v="-49.294341230363401"/>
    <n v="-18.3947463503637"/>
    <n v="-49.345498170304197"/>
    <n v="-18.382338510214002"/>
    <s v="154"/>
    <s v="GO"/>
    <s v="Eixo Principal"/>
    <s v="-"/>
    <s v="154BGO0025"/>
    <s v="ENTR GO-206(A)/419(B)"/>
    <s v="ENTR BR-452(B)"/>
    <n v="9"/>
    <n v="15.5"/>
    <n v="6.5"/>
    <x v="2"/>
    <m/>
    <s v="483BGO0035;452BGO0060"/>
    <m/>
    <s v="MP082/2005"/>
    <m/>
    <m/>
    <m/>
    <s v="PAV"/>
    <s v="Rio Verde"/>
  </r>
  <r>
    <x v="0"/>
    <s v="154BGO0030"/>
    <n v="0"/>
    <x v="132"/>
    <s v="0030"/>
    <n v="-49.345498170304197"/>
    <n v="-18.382338510214002"/>
    <n v="-49.4668014096573"/>
    <n v="-18.4860614199984"/>
    <s v="154"/>
    <s v="GO"/>
    <s v="Eixo Principal"/>
    <s v="-"/>
    <s v="154BGO0030"/>
    <s v="ENTR BR-452(B)"/>
    <s v="CACHOEIRA DOURADA"/>
    <n v="15.5"/>
    <n v="34.1"/>
    <n v="18.600000000000001"/>
    <x v="1"/>
    <m/>
    <s v="483BGO0040"/>
    <s v="Estadual"/>
    <m/>
    <s v="GO-206"/>
    <s v="PAV"/>
    <s v="Estadual"/>
    <s v="PLA"/>
    <s v="Rio Verde"/>
  </r>
  <r>
    <x v="0"/>
    <s v="154BGO0035"/>
    <n v="0"/>
    <x v="132"/>
    <s v="0035"/>
    <n v="-49.4668014096573"/>
    <n v="-18.4860614199984"/>
    <n v="-49.478990530188703"/>
    <n v="-18.491456319853199"/>
    <s v="154"/>
    <s v="GO"/>
    <s v="Eixo Principal"/>
    <s v="-"/>
    <s v="154BGO0035"/>
    <s v="CACHOEIRA DOURADA"/>
    <s v="FIM TRAV URB CACHOEIRA DOURADA"/>
    <n v="34.1"/>
    <n v="35.1"/>
    <n v="1"/>
    <x v="1"/>
    <m/>
    <s v="483BGO0042"/>
    <s v="Estadual"/>
    <m/>
    <s v="GO-206"/>
    <s v="PAV"/>
    <s v="Estadual"/>
    <s v="PLA"/>
    <s v="Rio Verde"/>
  </r>
  <r>
    <x v="0"/>
    <s v="154BGO0040"/>
    <n v="0"/>
    <x v="132"/>
    <s v="0040"/>
    <n v="-49.478990530188703"/>
    <n v="-18.491456319853199"/>
    <n v="-49.512286699571398"/>
    <n v="-18.4781649704369"/>
    <s v="154"/>
    <s v="GO"/>
    <s v="Eixo Principal"/>
    <s v="-"/>
    <s v="154BGO0040"/>
    <s v="FIM TRAV URB CACHOEIRA DOURADA"/>
    <s v="ENTR BR-483(B)/GO-206(B)"/>
    <n v="35.1"/>
    <n v="39.1"/>
    <n v="4"/>
    <x v="1"/>
    <m/>
    <s v="483BGO0045"/>
    <s v="Estadual"/>
    <m/>
    <s v="GO-206"/>
    <s v="PAV"/>
    <s v="Estadual"/>
    <s v="PLA"/>
    <s v="Rio Verde"/>
  </r>
  <r>
    <x v="0"/>
    <s v="154BGO0050"/>
    <n v="0"/>
    <x v="132"/>
    <s v="0050"/>
    <n v="-49.512286699571398"/>
    <n v="-18.4781649704369"/>
    <n v="-49.517220210344298"/>
    <n v="-18.491674730104599"/>
    <s v="154"/>
    <s v="GO"/>
    <s v="Eixo Principal"/>
    <s v="-"/>
    <s v="154BGO0050"/>
    <s v="ENTR BR-483(B)/GO-206(B)"/>
    <s v="DIV GO/MG (INÍCIO TRAVESSIA RIO PARANAÍBA)"/>
    <n v="39.1"/>
    <n v="41"/>
    <n v="1.9"/>
    <x v="1"/>
    <m/>
    <m/>
    <s v="Estadual"/>
    <m/>
    <s v="GOT-154"/>
    <s v="IMP"/>
    <s v="Estadual"/>
    <s v="PLA"/>
    <s v="Rio Verde"/>
  </r>
  <r>
    <x v="0"/>
    <s v="154BMG0055"/>
    <n v="0"/>
    <x v="133"/>
    <s v="0055"/>
    <n v="-49.517220210344298"/>
    <n v="-18.491674730104599"/>
    <n v="-49.513593829991201"/>
    <n v="-18.4938338701369"/>
    <s v="154"/>
    <s v="MG"/>
    <s v="Eixo Principal"/>
    <s v="-"/>
    <s v="154BMG0055"/>
    <s v="DIV GO/MG (INÍCIO TRAVESSIA RIO PARANAÍBA)"/>
    <s v="FIM TRAVESSIA RIO PARANAÍBA"/>
    <n v="0"/>
    <n v="0.4"/>
    <n v="0.4"/>
    <x v="4"/>
    <m/>
    <m/>
    <s v="Federal"/>
    <m/>
    <m/>
    <m/>
    <s v="Federal"/>
    <s v="N_PAV"/>
    <s v="Prata"/>
  </r>
  <r>
    <x v="0"/>
    <s v="154BMG0060"/>
    <n v="0"/>
    <x v="133"/>
    <s v="0060"/>
    <n v="-49.513593829991201"/>
    <n v="-18.4938338701369"/>
    <n v="-49.503606739958997"/>
    <n v="-18.511476510132798"/>
    <s v="154"/>
    <s v="MG"/>
    <s v="Eixo Principal"/>
    <s v="-"/>
    <s v="154BMG0060"/>
    <s v="FIM TRAVESSIA RIO PARANAÍBA"/>
    <s v="CACHOEIRA DOURADA"/>
    <n v="0.4"/>
    <n v="3.6"/>
    <n v="3.2"/>
    <x v="1"/>
    <m/>
    <m/>
    <s v="Estadual"/>
    <m/>
    <s v="MGT-154"/>
    <s v="IMP"/>
    <s v="Estadual"/>
    <s v="PLA"/>
    <s v="Prata"/>
  </r>
  <r>
    <x v="0"/>
    <s v="154BMG0065"/>
    <n v="0"/>
    <x v="133"/>
    <s v="0065"/>
    <n v="-49.503606739958997"/>
    <n v="-18.511476510132798"/>
    <n v="-49.563021520226897"/>
    <n v="-18.6749487102147"/>
    <s v="154"/>
    <s v="MG"/>
    <s v="Eixo Principal"/>
    <s v="-"/>
    <s v="154BMG0065"/>
    <s v="CACHOEIRA DOURADA"/>
    <s v="ENTR MG-226(A)(CAPINÓPOLIS)"/>
    <n v="3.6"/>
    <n v="23.3"/>
    <n v="19.7"/>
    <x v="1"/>
    <m/>
    <m/>
    <s v="Estadual"/>
    <m/>
    <s v="MGT-154"/>
    <s v="PAV"/>
    <s v="Estadual"/>
    <s v="PLA"/>
    <s v="Prata"/>
  </r>
  <r>
    <x v="0"/>
    <s v="154BMG0070"/>
    <n v="0"/>
    <x v="133"/>
    <s v="0070"/>
    <n v="-49.563021520226897"/>
    <n v="-18.6749487102147"/>
    <n v="-49.562580620399203"/>
    <n v="-18.6892743897012"/>
    <s v="154"/>
    <s v="MG"/>
    <s v="Eixo Principal"/>
    <s v="-"/>
    <s v="154BMG0070"/>
    <s v="ENTR MG-226(A)(CAPINÓPOLIS)"/>
    <s v="ENTR BR-226(B)"/>
    <n v="23.3"/>
    <n v="24.9"/>
    <n v="1.6"/>
    <x v="1"/>
    <m/>
    <m/>
    <s v="Estadual"/>
    <m/>
    <s v="MG-226"/>
    <s v="PAV"/>
    <s v="Estadual"/>
    <s v="PLA"/>
    <s v="Prata"/>
  </r>
  <r>
    <x v="0"/>
    <s v="154BMG0075"/>
    <n v="0"/>
    <x v="133"/>
    <s v="0075"/>
    <n v="-49.562580620399203"/>
    <n v="-18.6892743897012"/>
    <n v="-49.446804039674603"/>
    <n v="-18.9405320703986"/>
    <s v="154"/>
    <s v="MG"/>
    <s v="Eixo Principal"/>
    <s v="-"/>
    <s v="154BMG0075"/>
    <s v="ENTR BR-226(B)"/>
    <s v="ENTR BR-365(A)"/>
    <n v="24.9"/>
    <n v="55.9"/>
    <n v="31"/>
    <x v="1"/>
    <m/>
    <m/>
    <s v="Estadual"/>
    <m/>
    <s v="MGT-154"/>
    <s v="PAV"/>
    <s v="Estadual"/>
    <s v="PLA"/>
    <s v="Prata"/>
  </r>
  <r>
    <x v="0"/>
    <s v="154BMG0090"/>
    <n v="0"/>
    <x v="133"/>
    <s v="0090"/>
    <n v="-49.446804039674603"/>
    <n v="-18.9405320703986"/>
    <n v="-49.459182339793102"/>
    <n v="-18.947426689589999"/>
    <s v="154"/>
    <s v="MG"/>
    <s v="Eixo Principal"/>
    <s v="-"/>
    <s v="154BMG0090"/>
    <s v="ENTR BR-365(A)"/>
    <s v="ENTR BR-365(B)/464(A) (ITUIUTABA)"/>
    <n v="55.9"/>
    <n v="61.6"/>
    <n v="5.7"/>
    <x v="2"/>
    <m/>
    <s v="365BMG0390"/>
    <s v="Federal"/>
    <m/>
    <m/>
    <m/>
    <s v="Federal"/>
    <s v="PAV"/>
    <s v="Prata"/>
  </r>
  <r>
    <x v="0"/>
    <s v="154BMG0095"/>
    <n v="0"/>
    <x v="133"/>
    <s v="0095"/>
    <n v="-49.459182339793102"/>
    <n v="-18.947426689589999"/>
    <n v="-49.457339149581998"/>
    <n v="-18.958997500134501"/>
    <s v="154"/>
    <s v="MG"/>
    <s v="Eixo Principal"/>
    <s v="-"/>
    <s v="154BMG0095"/>
    <s v="ENTR BR-365(B)/464(A) (ITUIUTABA)"/>
    <s v="ENTR BR-464(B)"/>
    <n v="61.6"/>
    <n v="63.5"/>
    <n v="1.9"/>
    <x v="1"/>
    <m/>
    <s v="464BMG0010"/>
    <s v="Estadual"/>
    <m/>
    <s v="MG-154"/>
    <s v="PAV"/>
    <s v="Estadual"/>
    <s v="PLA"/>
    <s v="Prata"/>
  </r>
  <r>
    <x v="0"/>
    <s v="154BMG0100"/>
    <n v="0"/>
    <x v="133"/>
    <s v="0100"/>
    <n v="-49.457339149581998"/>
    <n v="-18.958997500134501"/>
    <n v="-49.4692677131344"/>
    <n v="-18.975186335680799"/>
    <s v="154"/>
    <s v="MG"/>
    <s v="Eixo Principal"/>
    <s v="-"/>
    <s v="154BMG0100"/>
    <s v="ENTR BR-464(B)"/>
    <s v="FIM DA PAVIMENTAÇÃO"/>
    <n v="63.5"/>
    <n v="65.7"/>
    <n v="2.2000000000000002"/>
    <x v="1"/>
    <m/>
    <m/>
    <s v="Estadual"/>
    <m/>
    <s v="MG-154"/>
    <s v="IMP"/>
    <s v="Estadual"/>
    <s v="PLA"/>
    <s v="Prata"/>
  </r>
  <r>
    <x v="0"/>
    <s v="154BMG0110"/>
    <n v="0"/>
    <x v="133"/>
    <s v="0110"/>
    <n v="-49.4692677131344"/>
    <n v="-18.975186335680799"/>
    <n v="-49.644292439644303"/>
    <n v="-19.329388890284999"/>
    <s v="154"/>
    <s v="MG"/>
    <s v="Eixo Principal"/>
    <s v="-"/>
    <s v="154BMG0110"/>
    <s v="FIM DA PAVIMENTAÇÃO"/>
    <s v="ENTR BR-364(A) (P/ ITUIUTABA)"/>
    <n v="65.7"/>
    <n v="112.1"/>
    <n v="46.4"/>
    <x v="1"/>
    <m/>
    <m/>
    <s v="Estadual"/>
    <m/>
    <s v="MG-154"/>
    <s v="IMP"/>
    <s v="Estadual"/>
    <s v="PLA"/>
    <s v="Prata"/>
  </r>
  <r>
    <x v="0"/>
    <s v="154BMG0115"/>
    <n v="0"/>
    <x v="133"/>
    <s v="0115"/>
    <n v="-49.644292439644303"/>
    <n v="-19.329388890284999"/>
    <n v="-49.559140170382499"/>
    <n v="-19.51840057023"/>
    <s v="154"/>
    <s v="MG"/>
    <s v="Eixo Principal"/>
    <s v="-"/>
    <s v="154BMG0115"/>
    <s v="ENTR BR-364(A) (P/ ITUIUTABA)"/>
    <s v="ENTR BR-497(A)"/>
    <n v="112.1"/>
    <n v="139.19999999999999"/>
    <n v="27.1"/>
    <x v="2"/>
    <m/>
    <s v="364BMG0332"/>
    <s v="Federal"/>
    <m/>
    <m/>
    <m/>
    <s v="Federal"/>
    <s v="PAV"/>
    <s v="Prata"/>
  </r>
  <r>
    <x v="0"/>
    <s v="154BMG0120"/>
    <n v="0"/>
    <x v="133"/>
    <s v="0120"/>
    <n v="-49.559140170382499"/>
    <n v="-19.51840057023"/>
    <n v="-49.480662119860803"/>
    <n v="-19.545845199995899"/>
    <s v="154"/>
    <s v="MG"/>
    <s v="Eixo Principal"/>
    <s v="-"/>
    <s v="154BMG0120"/>
    <s v="ENTR BR-497(A)"/>
    <s v="ENTR BR-497(B) (CAMPINA VERDE)"/>
    <n v="139.19999999999999"/>
    <n v="148.6"/>
    <n v="9.4"/>
    <x v="2"/>
    <m/>
    <s v="364BMG0330;497BMG0050"/>
    <s v="Federal"/>
    <m/>
    <m/>
    <m/>
    <s v="Federal"/>
    <s v="PAV"/>
    <s v="Prata"/>
  </r>
  <r>
    <x v="0"/>
    <s v="154BMG0130"/>
    <n v="0"/>
    <x v="133"/>
    <s v="0130"/>
    <n v="-49.480662119860803"/>
    <n v="-19.545845199995899"/>
    <n v="-49.435416099972898"/>
    <n v="-19.570169020383901"/>
    <s v="154"/>
    <s v="MG"/>
    <s v="Eixo Principal"/>
    <s v="-"/>
    <s v="154BMG0130"/>
    <s v="ENTR BR-497(B) (CAMPINA VERDE)"/>
    <s v="ENTR BR-364(B)"/>
    <n v="148.6"/>
    <n v="154.30000000000001"/>
    <n v="5.7"/>
    <x v="2"/>
    <m/>
    <s v="364BMG0320"/>
    <s v="Federal"/>
    <m/>
    <m/>
    <m/>
    <s v="Federal"/>
    <s v="PAV"/>
    <s v="Prata"/>
  </r>
  <r>
    <x v="0"/>
    <s v="154BMG0140"/>
    <n v="0"/>
    <x v="133"/>
    <s v="0140"/>
    <n v="-49.435416099972898"/>
    <n v="-19.570169020383901"/>
    <n v="-49.373460400377098"/>
    <n v="-19.889434370399801"/>
    <s v="154"/>
    <s v="MG"/>
    <s v="Eixo Principal"/>
    <s v="-"/>
    <s v="154BMG0140"/>
    <s v="ENTR BR-364(B)"/>
    <s v="ENTR MG-255(A)/154(B) (P/ITAPAGIPE)"/>
    <n v="154.30000000000001"/>
    <n v="207.3"/>
    <n v="53"/>
    <x v="1"/>
    <m/>
    <m/>
    <s v="Estadual"/>
    <m/>
    <s v="MGT-154"/>
    <s v="IMP"/>
    <s v="Estadual"/>
    <s v="PLA"/>
    <s v="Prata"/>
  </r>
  <r>
    <x v="0"/>
    <s v="154BMG0145"/>
    <n v="0"/>
    <x v="133"/>
    <s v="0145"/>
    <n v="-49.373460400377098"/>
    <n v="-19.889434370399801"/>
    <n v="-49.377959810196998"/>
    <n v="-19.887268259722301"/>
    <s v="154"/>
    <s v="MG"/>
    <s v="Eixo Principal"/>
    <s v="-"/>
    <s v="154BMG0145"/>
    <s v="ENTR MG-255(A)/154(B) (P/ITAPAGIPE)"/>
    <s v="ENTR MG-255(B)"/>
    <n v="207.3"/>
    <n v="207.8"/>
    <n v="0.5"/>
    <x v="1"/>
    <m/>
    <m/>
    <s v="Estadual"/>
    <m/>
    <s v="MG-255"/>
    <s v="PAV"/>
    <s v="Estadual"/>
    <s v="PLA"/>
    <s v="Prata"/>
  </r>
  <r>
    <x v="0"/>
    <s v="154BMG0150"/>
    <n v="0"/>
    <x v="133"/>
    <s v="0150"/>
    <n v="-49.377959810196998"/>
    <n v="-19.887268259722301"/>
    <n v="-49.428850389833499"/>
    <n v="-19.977843649564701"/>
    <s v="154"/>
    <s v="MG"/>
    <s v="Eixo Principal"/>
    <s v="-"/>
    <s v="154BMG0150"/>
    <s v="ENTR MG-255(B)"/>
    <s v="DIV MG/SP"/>
    <n v="207.8"/>
    <n v="214.8"/>
    <n v="7"/>
    <x v="1"/>
    <m/>
    <m/>
    <s v="Federal"/>
    <m/>
    <m/>
    <m/>
    <s v="Federal"/>
    <s v="PLA"/>
    <s v="Prata"/>
  </r>
  <r>
    <x v="0"/>
    <s v="154BSP0170"/>
    <n v="0"/>
    <x v="134"/>
    <s v="0170"/>
    <n v="-49.428850389833499"/>
    <n v="-19.977843649564701"/>
    <n v="-49.404151099793303"/>
    <n v="-20.021808009631901"/>
    <s v="154"/>
    <s v="SP"/>
    <s v="Eixo Principal"/>
    <s v="-"/>
    <s v="154BSP0170"/>
    <s v="DIV MG/SP"/>
    <s v="ENTR SP-322(A) (PAULO DE FARIA)"/>
    <n v="0"/>
    <n v="5.5"/>
    <n v="5.5"/>
    <x v="1"/>
    <m/>
    <m/>
    <s v="Federal"/>
    <m/>
    <m/>
    <m/>
    <s v="Federal"/>
    <s v="PLA"/>
    <s v="São José do Rio Preto"/>
  </r>
  <r>
    <x v="0"/>
    <s v="154BSP0180"/>
    <n v="0"/>
    <x v="134"/>
    <s v="0180"/>
    <n v="-49.404151099793303"/>
    <n v="-20.021808009631901"/>
    <n v="-49.924021329820398"/>
    <n v="-20.101246029780299"/>
    <s v="154"/>
    <s v="SP"/>
    <s v="Eixo Principal"/>
    <s v="-"/>
    <s v="154BSP0180"/>
    <s v="ENTR SP-322(A) (PAULO DE FARIA)"/>
    <s v="ENTR SP-322(B)/461(A) (CARDOSO)"/>
    <n v="5.5"/>
    <n v="67.5"/>
    <n v="62"/>
    <x v="1"/>
    <m/>
    <m/>
    <s v="Estadual"/>
    <m/>
    <s v="SP-322"/>
    <s v="PAV"/>
    <s v="Estadual"/>
    <s v="PLA"/>
    <s v="São José do Rio Preto"/>
  </r>
  <r>
    <x v="0"/>
    <s v="154BSP0190"/>
    <n v="0"/>
    <x v="134"/>
    <s v="0190"/>
    <n v="-49.924021329820398"/>
    <n v="-20.101246029780299"/>
    <n v="-49.969295840230799"/>
    <n v="-20.313744419569201"/>
    <s v="154"/>
    <s v="SP"/>
    <s v="Eixo Principal"/>
    <s v="-"/>
    <s v="154BSP0190"/>
    <s v="ENTR SP-322(B)/461(A) (CARDOSO)"/>
    <s v="ACESSO ÁLVARES FLORENCE"/>
    <n v="67.5"/>
    <n v="91.6"/>
    <n v="24.1"/>
    <x v="1"/>
    <m/>
    <m/>
    <s v="Estadual"/>
    <m/>
    <s v="SP-461"/>
    <s v="PAV"/>
    <s v="Estadual"/>
    <s v="PLA"/>
    <s v="São José do Rio Preto"/>
  </r>
  <r>
    <x v="0"/>
    <s v="154BSP0203"/>
    <n v="0"/>
    <x v="134"/>
    <s v="0203"/>
    <n v="-49.969295840230799"/>
    <n v="-20.313744419569201"/>
    <n v="-49.991671300090303"/>
    <n v="-20.400407969851798"/>
    <s v="154"/>
    <s v="SP"/>
    <s v="Eixo Principal"/>
    <s v="-"/>
    <s v="154BSP0203"/>
    <s v="ACESSO ÁLVARES FLORENCE"/>
    <s v="ENTR SP-320 (VOTUPORANGA)"/>
    <n v="91.6"/>
    <n v="101.7"/>
    <n v="10.1"/>
    <x v="1"/>
    <m/>
    <m/>
    <s v="Estadual"/>
    <m/>
    <s v="SP-461"/>
    <s v="PAV"/>
    <s v="Estadual"/>
    <s v="PLA"/>
    <s v="São José do Rio Preto"/>
  </r>
  <r>
    <x v="0"/>
    <s v="154BSP0210"/>
    <n v="0"/>
    <x v="134"/>
    <s v="0210"/>
    <n v="-49.991671300090303"/>
    <n v="-20.400407969851798"/>
    <n v="-50.061453970324401"/>
    <n v="-20.6872011399206"/>
    <s v="154"/>
    <s v="SP"/>
    <s v="Eixo Principal"/>
    <s v="-"/>
    <s v="154BSP0210"/>
    <s v="ENTR SP-320 (VOTUPORANGA)"/>
    <s v="ENTR BR-262/456 (NHANDEARA)"/>
    <n v="101.7"/>
    <n v="134.30000000000001"/>
    <n v="32.6"/>
    <x v="1"/>
    <m/>
    <m/>
    <s v="Estadual"/>
    <m/>
    <s v="SP-461"/>
    <s v="PAV"/>
    <s v="Estadual"/>
    <s v="PLA"/>
    <s v="São José do Rio Preto"/>
  </r>
  <r>
    <x v="0"/>
    <s v="154BSP0230"/>
    <n v="0"/>
    <x v="134"/>
    <s v="0230"/>
    <n v="-50.061453970324401"/>
    <n v="-20.6872011399206"/>
    <n v="-50.103621760136001"/>
    <n v="-20.8484968601419"/>
    <s v="154"/>
    <s v="SP"/>
    <s v="Eixo Principal"/>
    <s v="-"/>
    <s v="154BSP0230"/>
    <s v="ENTR BR-262/456 (NHANDEARA)"/>
    <s v="ENTR SP-461(B) (MONÇÕES)"/>
    <n v="134.30000000000001"/>
    <n v="151.80000000000001"/>
    <n v="17.5"/>
    <x v="1"/>
    <m/>
    <m/>
    <s v="Estadual"/>
    <m/>
    <s v="SP-461"/>
    <s v="PAV"/>
    <s v="Estadual"/>
    <s v="PLA"/>
    <s v="São José do Rio Preto"/>
  </r>
  <r>
    <x v="0"/>
    <s v="154BSP0250"/>
    <n v="0"/>
    <x v="134"/>
    <s v="0250"/>
    <n v="-50.103621760136001"/>
    <n v="-20.8484968601419"/>
    <n v="-50.146486129731002"/>
    <n v="-21.441587700412001"/>
    <s v="154"/>
    <s v="SP"/>
    <s v="Eixo Principal"/>
    <s v="-"/>
    <s v="154BSP0250"/>
    <s v="ENTR SP-461(B) (MONÇÕES)"/>
    <s v="ENTR SP-425 (P/PENÁPOLIS)"/>
    <n v="151.80000000000001"/>
    <n v="225.8"/>
    <n v="74"/>
    <x v="1"/>
    <m/>
    <m/>
    <s v="Federal"/>
    <m/>
    <m/>
    <m/>
    <s v="Federal"/>
    <s v="PLA"/>
    <s v="São José do Rio Preto"/>
  </r>
  <r>
    <x v="0"/>
    <s v="154BSP0270"/>
    <n v="0"/>
    <x v="134"/>
    <s v="0270"/>
    <n v="-50.146486129731002"/>
    <n v="-21.441587700412001"/>
    <n v="-50.097820329844197"/>
    <n v="-21.467887750419301"/>
    <s v="154"/>
    <s v="SP"/>
    <s v="Eixo Principal"/>
    <s v="-"/>
    <s v="154BSP0270"/>
    <s v="ENTR SP-425 (P/PENÁPOLIS)"/>
    <s v="ENTR SP-419 (P/PENÁPOLIS)"/>
    <n v="225.8"/>
    <n v="231.8"/>
    <n v="6"/>
    <x v="1"/>
    <m/>
    <m/>
    <s v="Estadual"/>
    <m/>
    <s v="SP-300"/>
    <s v="DUP"/>
    <s v="Estadual"/>
    <s v="PLA"/>
    <s v="São José do Rio Preto"/>
  </r>
  <r>
    <x v="0"/>
    <s v="154BSP0275"/>
    <n v="0"/>
    <x v="134"/>
    <s v="0275"/>
    <n v="-50.097820329844197"/>
    <n v="-21.467887750419301"/>
    <n v="-50.015546220281799"/>
    <n v="-21.5117919899083"/>
    <s v="154"/>
    <s v="SP"/>
    <s v="Eixo Principal"/>
    <s v="-"/>
    <s v="154BSP0275"/>
    <s v="ENTR SP-419 (P/PENÁPOLIS)"/>
    <s v="ACESSO AVANHANDAVA"/>
    <n v="231.8"/>
    <n v="241.5"/>
    <n v="9.6999999999999993"/>
    <x v="1"/>
    <m/>
    <m/>
    <s v="Estadual"/>
    <m/>
    <s v="SP-300"/>
    <s v="DUP"/>
    <s v="Estadual"/>
    <s v="PLA"/>
    <s v="São José do Rio Preto"/>
  </r>
  <r>
    <x v="0"/>
    <s v="154BSP0280"/>
    <n v="0"/>
    <x v="134"/>
    <s v="0280"/>
    <n v="-50.015546220281799"/>
    <n v="-21.5117919899083"/>
    <n v="-49.888356890258201"/>
    <n v="-21.5976699500081"/>
    <s v="154"/>
    <s v="SP"/>
    <s v="Eixo Principal"/>
    <s v="-"/>
    <s v="154BSP0280"/>
    <s v="ACESSO AVANHANDAVA"/>
    <s v="ACESSO PROMISSÃO"/>
    <n v="241.5"/>
    <n v="257.89999999999998"/>
    <n v="16.399999999999999"/>
    <x v="1"/>
    <m/>
    <m/>
    <s v="Estadual"/>
    <m/>
    <s v="SP-300"/>
    <s v="DUP"/>
    <s v="Estadual"/>
    <s v="PLA"/>
    <s v="São José do Rio Preto"/>
  </r>
  <r>
    <x v="0"/>
    <s v="154BSP0300"/>
    <n v="0"/>
    <x v="134"/>
    <s v="0300"/>
    <n v="-49.888356890258201"/>
    <n v="-21.5976699500081"/>
    <n v="-49.789661769874698"/>
    <n v="-21.666216059623402"/>
    <s v="154"/>
    <s v="SP"/>
    <s v="Eixo Principal"/>
    <s v="-"/>
    <s v="154BSP0300"/>
    <s v="ACESSO PROMISSÃO"/>
    <s v="ENTR BR-153/267 (LINS)"/>
    <n v="257.89999999999998"/>
    <n v="270.3"/>
    <n v="12.4"/>
    <x v="1"/>
    <m/>
    <m/>
    <s v="Estadual"/>
    <m/>
    <s v="SP-300"/>
    <s v="DUP"/>
    <s v="Estadual"/>
    <s v="PLA"/>
    <s v="São José do Rio Preto"/>
  </r>
  <r>
    <x v="5"/>
    <s v="155BPA0010"/>
    <s v="BR-158/155 MT/PA"/>
    <x v="135"/>
    <s v="0010"/>
    <n v="-50.0470131299519"/>
    <n v="-8.0394082597833201"/>
    <n v="-50.042070130432101"/>
    <n v="-7.3092583699777203"/>
    <s v="155"/>
    <s v="PA"/>
    <s v="Eixo Principal"/>
    <s v="-"/>
    <s v="155BPA0010"/>
    <s v="ENTR BR-158 (REDENÇÃO)"/>
    <s v="PONTE S/ RIO MARIA (RIO MARIA)"/>
    <n v="0"/>
    <n v="85"/>
    <n v="85"/>
    <x v="2"/>
    <m/>
    <m/>
    <s v="Federal"/>
    <m/>
    <m/>
    <m/>
    <s v="Federal"/>
    <s v="PAV"/>
    <s v="Redenção"/>
  </r>
  <r>
    <x v="5"/>
    <s v="155BPA0050"/>
    <s v="BR-158/155 MT/PA"/>
    <x v="135"/>
    <s v="0050"/>
    <n v="-50.042070130432101"/>
    <n v="-7.3092583699777203"/>
    <n v="-49.937783750419698"/>
    <n v="-7.1069616601524199"/>
    <s v="155"/>
    <s v="PA"/>
    <s v="Eixo Principal"/>
    <s v="-"/>
    <s v="155BPA0050"/>
    <s v="PONTE S/ RIO MARIA (RIO MARIA)"/>
    <s v="ENTR PA-279 (XINGUARA)"/>
    <n v="85"/>
    <n v="110.3"/>
    <n v="25.3"/>
    <x v="2"/>
    <m/>
    <m/>
    <s v="Federal"/>
    <m/>
    <m/>
    <m/>
    <s v="Federal"/>
    <s v="PAV"/>
    <s v="Redenção"/>
  </r>
  <r>
    <x v="5"/>
    <s v="155BPA0100"/>
    <s v="BR-158/155 MT/PA"/>
    <x v="135"/>
    <s v="0100"/>
    <n v="-49.937783750419698"/>
    <n v="-7.1069616601524199"/>
    <n v="-49.408015959668703"/>
    <n v="-6.5340933099582204"/>
    <s v="155"/>
    <s v="PA"/>
    <s v="Eixo Principal"/>
    <s v="-"/>
    <s v="155BPA0100"/>
    <s v="ENTR PA-279 (XINGUARA)"/>
    <s v="ENTR PA-477"/>
    <n v="110.3"/>
    <n v="199.5"/>
    <n v="89.2"/>
    <x v="2"/>
    <m/>
    <m/>
    <s v="Federal"/>
    <m/>
    <m/>
    <m/>
    <s v="Federal"/>
    <s v="PAV"/>
    <s v="Redenção"/>
  </r>
  <r>
    <x v="5"/>
    <s v="155BPA0150"/>
    <s v="BR-158/155 MT/PA"/>
    <x v="135"/>
    <s v="0150"/>
    <n v="-49.408015959668703"/>
    <n v="-6.5340933099582204"/>
    <n v="-49.354153430036703"/>
    <n v="-6.1045026198000301"/>
    <s v="155"/>
    <s v="PA"/>
    <s v="Eixo Principal"/>
    <s v="-"/>
    <s v="155BPA0150"/>
    <s v="ENTR PA-477"/>
    <s v="ENTR PA-275 (ELDORADO DOS CARAJÁS)"/>
    <n v="199.5"/>
    <n v="250.7"/>
    <n v="51.2"/>
    <x v="2"/>
    <m/>
    <m/>
    <s v="Federal"/>
    <m/>
    <m/>
    <m/>
    <s v="Federal"/>
    <s v="PAV"/>
    <s v="Redenção"/>
  </r>
  <r>
    <x v="5"/>
    <s v="155BPA0200"/>
    <s v="BR-158/155 MT/PA"/>
    <x v="135"/>
    <s v="0200"/>
    <n v="-49.354153430036703"/>
    <n v="-6.1045026198000301"/>
    <n v="-49.078453970274403"/>
    <n v="-5.3615281601963698"/>
    <s v="155"/>
    <s v="PA"/>
    <s v="Eixo Principal"/>
    <s v="-"/>
    <s v="155BPA0200"/>
    <s v="ENTR PA-275 (ELDORADO DOS CARAJÁS)"/>
    <s v="ENTR BR-222 (MARABÁ)"/>
    <n v="250.7"/>
    <n v="344.4"/>
    <n v="93.7"/>
    <x v="2"/>
    <m/>
    <m/>
    <s v="Federal"/>
    <m/>
    <m/>
    <m/>
    <s v="Federal"/>
    <s v="PAV"/>
    <s v="Redenção"/>
  </r>
  <r>
    <x v="0"/>
    <s v="156BAP0010"/>
    <n v="0"/>
    <x v="136"/>
    <s v="0010"/>
    <n v="-52.514862340224703"/>
    <n v="-0.653986210295329"/>
    <n v="-52.516531910019502"/>
    <n v="-0.83645423957142395"/>
    <s v="156"/>
    <s v="AP"/>
    <s v="Eixo Principal"/>
    <s v="-"/>
    <s v="156BAP0010"/>
    <s v="CACHOEIRA SANTO ANTÔNIO"/>
    <s v="BEIRADÃO (LARANJAL DO JARI)"/>
    <n v="0"/>
    <n v="27"/>
    <n v="27"/>
    <x v="1"/>
    <m/>
    <m/>
    <s v="Federal"/>
    <m/>
    <m/>
    <m/>
    <s v="Federal"/>
    <s v="PLA"/>
    <s v="Macapá"/>
  </r>
  <r>
    <x v="0"/>
    <s v="156BAP0030"/>
    <n v="0"/>
    <x v="136"/>
    <s v="0030"/>
    <n v="-52.516531910019502"/>
    <n v="-0.83645423957142395"/>
    <n v="-52.176384499944596"/>
    <n v="-0.54825747959893101"/>
    <s v="156"/>
    <s v="AP"/>
    <s v="Eixo Principal"/>
    <s v="-"/>
    <s v="156BAP0030"/>
    <s v="BEIRADÃO (LARANJAL DO JARI)"/>
    <s v="IGARAPÉ ÁGUA BRANCA"/>
    <n v="27"/>
    <n v="87.1"/>
    <n v="60.1"/>
    <x v="5"/>
    <m/>
    <m/>
    <s v="Federal"/>
    <m/>
    <m/>
    <m/>
    <s v="Federal"/>
    <s v="N_PAV"/>
    <s v="Macapá"/>
  </r>
  <r>
    <x v="0"/>
    <s v="156BAP0040"/>
    <n v="0"/>
    <x v="136"/>
    <s v="0040"/>
    <n v="-52.176384499944596"/>
    <n v="-0.54825747959893101"/>
    <n v="-52.078037769727203"/>
    <n v="-0.45624490028188802"/>
    <s v="156"/>
    <s v="AP"/>
    <s v="Eixo Principal"/>
    <s v="-"/>
    <s v="156BAP0040"/>
    <s v="IGARAPÉ ÁGUA BRANCA"/>
    <s v="RIO CAJARI-SANTA CLARA"/>
    <n v="87.1"/>
    <n v="109.1"/>
    <n v="22"/>
    <x v="5"/>
    <m/>
    <m/>
    <s v="Federal"/>
    <m/>
    <m/>
    <m/>
    <s v="Federal"/>
    <s v="N_PAV"/>
    <s v="Macapá"/>
  </r>
  <r>
    <x v="0"/>
    <s v="156BAP0050"/>
    <n v="0"/>
    <x v="136"/>
    <s v="0050"/>
    <n v="-52.078037769727203"/>
    <n v="-0.45624490028188802"/>
    <n v="-51.635863160256498"/>
    <n v="1.0151970037441E-2"/>
    <s v="156"/>
    <s v="AP"/>
    <s v="Eixo Principal"/>
    <s v="-"/>
    <s v="156BAP0050"/>
    <s v="RIO CAJARI-SANTA CLARA"/>
    <s v="ENTR AP-020(B) (P/MAZAGÃO)"/>
    <n v="109.1"/>
    <n v="192.6"/>
    <n v="83.5"/>
    <x v="5"/>
    <m/>
    <m/>
    <s v="Federal"/>
    <m/>
    <m/>
    <m/>
    <s v="Federal"/>
    <s v="N_PAV"/>
    <s v="Macapá"/>
  </r>
  <r>
    <x v="0"/>
    <s v="156BAP0070"/>
    <n v="0"/>
    <x v="136"/>
    <s v="0070"/>
    <n v="-51.635863160256498"/>
    <n v="1.0151970037441E-2"/>
    <n v="-51.575289109804501"/>
    <n v="0.15079713008356099"/>
    <s v="156"/>
    <s v="AP"/>
    <s v="Eixo Principal"/>
    <s v="-"/>
    <s v="156BAP0070"/>
    <s v="ENTR AP-020(B) (P/MAZAGÃO)"/>
    <s v="ENTR AP-030(A) (CAMAIPI-RIO VILA NOVA)"/>
    <n v="192.6"/>
    <n v="212.1"/>
    <n v="19.5"/>
    <x v="5"/>
    <m/>
    <m/>
    <s v="Federal"/>
    <m/>
    <m/>
    <m/>
    <s v="Federal"/>
    <s v="N_PAV"/>
    <s v="Macapá"/>
  </r>
  <r>
    <x v="0"/>
    <s v="156BAP0090"/>
    <n v="0"/>
    <x v="136"/>
    <s v="0090"/>
    <n v="-51.575289109804501"/>
    <n v="0.15079713008356099"/>
    <n v="-51.392963380255701"/>
    <n v="0.22354476977534399"/>
    <s v="156"/>
    <s v="AP"/>
    <s v="Eixo Principal"/>
    <s v="-"/>
    <s v="156BAP0090"/>
    <s v="ENTR AP-030(A) (CAMAIPI-RIO VILA NOVA)"/>
    <s v="ENTR AP-130"/>
    <n v="212.1"/>
    <n v="235.5"/>
    <n v="23.4"/>
    <x v="5"/>
    <m/>
    <m/>
    <s v="Federal"/>
    <m/>
    <m/>
    <m/>
    <s v="Federal"/>
    <s v="N_PAV"/>
    <s v="Macapá"/>
  </r>
  <r>
    <x v="0"/>
    <s v="156BAP0110"/>
    <n v="0"/>
    <x v="136"/>
    <s v="0110"/>
    <n v="-51.392963380255701"/>
    <n v="0.22354476977534399"/>
    <n v="-51.116303899605199"/>
    <n v="0.20280847003493799"/>
    <s v="156"/>
    <s v="AP"/>
    <s v="Eixo Principal"/>
    <s v="-"/>
    <s v="156BAP0110"/>
    <s v="ENTR AP-130"/>
    <s v="ENTR BR-210(A)/AP-030(B)"/>
    <n v="235.5"/>
    <n v="271.2"/>
    <n v="35.700000000000003"/>
    <x v="5"/>
    <m/>
    <m/>
    <s v="Federal"/>
    <m/>
    <m/>
    <m/>
    <s v="Federal"/>
    <s v="N_PAV"/>
    <s v="Macapá"/>
  </r>
  <r>
    <x v="0"/>
    <s v="156BAP0130"/>
    <n v="0"/>
    <x v="136"/>
    <s v="0130"/>
    <n v="-51.116303899605199"/>
    <n v="0.20280847003493799"/>
    <n v="-51.048266780187703"/>
    <n v="0.42371092991555798"/>
    <s v="156"/>
    <s v="AP"/>
    <s v="Eixo Principal"/>
    <s v="-"/>
    <s v="156BAP0130"/>
    <s v="ENTR BR-210(A)/AP-030(B)"/>
    <s v="ENTR AP-340"/>
    <n v="271.2"/>
    <n v="298.7"/>
    <n v="27.5"/>
    <x v="2"/>
    <m/>
    <s v="210BAP0050"/>
    <s v="Federal"/>
    <m/>
    <m/>
    <m/>
    <s v="Federal"/>
    <s v="PAV"/>
    <s v="Macapá"/>
  </r>
  <r>
    <x v="0"/>
    <s v="156BAP0150"/>
    <n v="0"/>
    <x v="136"/>
    <s v="0150"/>
    <n v="-51.048266780187703"/>
    <n v="0.42371092991555798"/>
    <n v="-51.367137329624001"/>
    <n v="0.68747022037439398"/>
    <s v="156"/>
    <s v="AP"/>
    <s v="Eixo Principal"/>
    <s v="-"/>
    <s v="156BAP0150"/>
    <s v="ENTR AP-340"/>
    <s v="ENTR BR-210(B)/AP-130 (PORTO GRANDE)"/>
    <n v="298.7"/>
    <n v="350.9"/>
    <n v="52.2"/>
    <x v="2"/>
    <m/>
    <s v="210BAP0070"/>
    <s v="Federal"/>
    <m/>
    <m/>
    <m/>
    <s v="Federal"/>
    <s v="PAV"/>
    <s v="Macapá"/>
  </r>
  <r>
    <x v="0"/>
    <s v="156BAP0170"/>
    <n v="0"/>
    <x v="136"/>
    <s v="0170"/>
    <n v="-51.367137329624001"/>
    <n v="0.68747022037439398"/>
    <n v="-51.189140809600602"/>
    <n v="0.84310967976796303"/>
    <s v="156"/>
    <s v="AP"/>
    <s v="Eixo Principal"/>
    <s v="-"/>
    <s v="156BAP0170"/>
    <s v="ENTR BR-210(B)/AP-130 (PORTO GRANDE)"/>
    <s v="ENTR AP-330/425 (FERREIRA GOMES)"/>
    <n v="350.9"/>
    <n v="379.2"/>
    <n v="28.3"/>
    <x v="2"/>
    <m/>
    <m/>
    <s v="Federal"/>
    <m/>
    <m/>
    <m/>
    <s v="Federal"/>
    <s v="PAV"/>
    <s v="Macapá"/>
  </r>
  <r>
    <x v="0"/>
    <s v="156BAP0210"/>
    <n v="0"/>
    <x v="136"/>
    <s v="0210"/>
    <n v="-51.189140809600602"/>
    <n v="0.84310967976796303"/>
    <n v="-51.090449800018199"/>
    <n v="1.0228393003934499"/>
    <s v="156"/>
    <s v="AP"/>
    <s v="Eixo Principal"/>
    <s v="-"/>
    <s v="156BAP0210"/>
    <s v="ENTR AP-330/425 (FERREIRA GOMES)"/>
    <s v="RIO TRACAJATUBA"/>
    <n v="379.2"/>
    <n v="406.1"/>
    <n v="26.9"/>
    <x v="2"/>
    <m/>
    <m/>
    <s v="Federal"/>
    <m/>
    <m/>
    <m/>
    <s v="Federal"/>
    <s v="PAV"/>
    <s v="Macapá"/>
  </r>
  <r>
    <x v="0"/>
    <s v="156BAP0250"/>
    <n v="0"/>
    <x v="136"/>
    <s v="0250"/>
    <n v="-51.090449800018199"/>
    <n v="1.0228393003934499"/>
    <n v="-50.9248494397497"/>
    <n v="1.39797665040214"/>
    <s v="156"/>
    <s v="AP"/>
    <s v="Eixo Principal"/>
    <s v="-"/>
    <s v="156BAP0250"/>
    <s v="RIO TRACAJATUBA"/>
    <s v="RIO TARTARUGAL GRANDE (VILA)"/>
    <n v="406.1"/>
    <n v="455.7"/>
    <n v="49.6"/>
    <x v="2"/>
    <m/>
    <m/>
    <s v="Federal"/>
    <m/>
    <m/>
    <m/>
    <s v="Federal"/>
    <s v="PAV"/>
    <s v="Macapá"/>
  </r>
  <r>
    <x v="0"/>
    <s v="156BAP0260"/>
    <n v="0"/>
    <x v="136"/>
    <s v="0260"/>
    <n v="-50.9248494397497"/>
    <n v="1.39797665040214"/>
    <n v="-50.914248510260499"/>
    <n v="1.5114563599230999"/>
    <s v="156"/>
    <s v="AP"/>
    <s v="Eixo Principal"/>
    <s v="-"/>
    <s v="156BAP0260"/>
    <s v="RIO TARTARUGAL GRANDE (VILA)"/>
    <s v="RIO TARTARUGALZINHO (VILA)"/>
    <n v="455.7"/>
    <n v="472.8"/>
    <n v="17.100000000000001"/>
    <x v="2"/>
    <m/>
    <m/>
    <s v="Federal"/>
    <m/>
    <m/>
    <m/>
    <s v="Federal"/>
    <s v="PAV"/>
    <s v="Macapá"/>
  </r>
  <r>
    <x v="0"/>
    <s v="156BAP0270"/>
    <n v="0"/>
    <x v="136"/>
    <s v="0270"/>
    <n v="-50.914248510260499"/>
    <n v="1.5114563599230999"/>
    <n v="-50.879482259598497"/>
    <n v="1.7330463200316899"/>
    <s v="156"/>
    <s v="AP"/>
    <s v="Eixo Principal"/>
    <s v="-"/>
    <s v="156BAP0270"/>
    <s v="RIO TARTARUGALZINHO (VILA)"/>
    <s v="RIO FLEXAL (VILA)"/>
    <n v="472.8"/>
    <n v="502.1"/>
    <n v="29.3"/>
    <x v="2"/>
    <m/>
    <m/>
    <s v="Federal"/>
    <m/>
    <m/>
    <m/>
    <s v="Federal"/>
    <s v="PAV"/>
    <s v="Macapá"/>
  </r>
  <r>
    <x v="0"/>
    <s v="156BAP0290"/>
    <n v="0"/>
    <x v="136"/>
    <s v="0290"/>
    <n v="-50.879482259598497"/>
    <n v="1.7330463200316899"/>
    <n v="-50.863410760398203"/>
    <n v="1.9545093498267001"/>
    <s v="156"/>
    <s v="AP"/>
    <s v="Eixo Principal"/>
    <s v="-"/>
    <s v="156BAP0290"/>
    <s v="RIO FLEXAL (VILA)"/>
    <s v="1º ENTR. (P/AMAPÁ)"/>
    <n v="502.1"/>
    <n v="528.1"/>
    <n v="26"/>
    <x v="2"/>
    <m/>
    <m/>
    <s v="Federal"/>
    <m/>
    <m/>
    <m/>
    <s v="Federal"/>
    <s v="PAV"/>
    <s v="Macapá"/>
  </r>
  <r>
    <x v="0"/>
    <s v="156BAP0310"/>
    <n v="0"/>
    <x v="136"/>
    <s v="0310"/>
    <n v="-50.863410760398203"/>
    <n v="1.9545093498267001"/>
    <n v="-50.896992210022397"/>
    <n v="2.05511107971261"/>
    <s v="156"/>
    <s v="AP"/>
    <s v="Eixo Principal"/>
    <s v="-"/>
    <s v="156BAP0310"/>
    <s v="1º ENTR. (P/AMAPÁ)"/>
    <s v="2º ENTR. (P/AMAPÁ)"/>
    <n v="528.1"/>
    <n v="548.70000000000005"/>
    <n v="20.6"/>
    <x v="2"/>
    <m/>
    <m/>
    <s v="Federal"/>
    <m/>
    <m/>
    <m/>
    <s v="Federal"/>
    <s v="PAV"/>
    <s v="Macapá"/>
  </r>
  <r>
    <x v="0"/>
    <s v="156BAP0320"/>
    <n v="0"/>
    <x v="136"/>
    <s v="0320"/>
    <n v="-50.896992210022397"/>
    <n v="2.05511107971261"/>
    <n v="-50.972956140113702"/>
    <n v="2.4912476499591198"/>
    <s v="156"/>
    <s v="AP"/>
    <s v="Eixo Principal"/>
    <s v="-"/>
    <s v="156BAP0320"/>
    <s v="2º ENTR. (P/AMAPÁ)"/>
    <s v="ENTR AP-260(A) (P/CALÇOENE)"/>
    <n v="548.70000000000005"/>
    <n v="604.4"/>
    <n v="55.7"/>
    <x v="2"/>
    <m/>
    <m/>
    <s v="Federal"/>
    <m/>
    <m/>
    <m/>
    <s v="Federal"/>
    <s v="PAV"/>
    <s v="Macapá"/>
  </r>
  <r>
    <x v="0"/>
    <s v="156BAP0350"/>
    <n v="0"/>
    <x v="136"/>
    <s v="0350"/>
    <n v="-50.972956140113702"/>
    <n v="2.4912476499591198"/>
    <n v="-51.256804650114397"/>
    <n v="2.4630473603474399"/>
    <s v="156"/>
    <s v="AP"/>
    <s v="Eixo Principal"/>
    <s v="-"/>
    <s v="156BAP0350"/>
    <s v="ENTR AP-260(A) (P/CALÇOENE)"/>
    <s v="ENTR AP-260(B) (P/LOURENÇO)"/>
    <n v="604.4"/>
    <n v="642.4"/>
    <n v="38"/>
    <x v="2"/>
    <m/>
    <m/>
    <s v="Federal"/>
    <m/>
    <m/>
    <m/>
    <s v="Federal"/>
    <s v="PAV"/>
    <s v="Macapá"/>
  </r>
  <r>
    <x v="0"/>
    <s v="156BAP0360"/>
    <n v="0"/>
    <x v="136"/>
    <s v="0360"/>
    <n v="-51.256804650114397"/>
    <n v="2.4630473603474399"/>
    <n v="-51.334180600354301"/>
    <n v="2.61174941979993"/>
    <s v="156"/>
    <s v="AP"/>
    <s v="Eixo Principal"/>
    <s v="-"/>
    <s v="156BAP0360"/>
    <s v="ENTR AP-260(B) (P/LOURENÇO)"/>
    <s v="FIM DA PAVIMENTAÇÃO"/>
    <n v="642.4"/>
    <n v="659"/>
    <n v="16.600000000000001"/>
    <x v="2"/>
    <m/>
    <m/>
    <s v="Federal"/>
    <m/>
    <m/>
    <m/>
    <s v="Federal"/>
    <s v="PAV"/>
    <s v="Macapá"/>
  </r>
  <r>
    <x v="0"/>
    <s v="156BAP0370"/>
    <n v="0"/>
    <x v="136"/>
    <s v="0370"/>
    <n v="-51.334180600354301"/>
    <n v="2.61174941979993"/>
    <n v="-51.360871119806198"/>
    <n v="2.69764146957823"/>
    <s v="156"/>
    <s v="AP"/>
    <s v="Eixo Principal"/>
    <s v="-"/>
    <s v="156BAP0370"/>
    <s v="FIM DA PAVIMENTAÇÃO"/>
    <s v="RIO CUNANI"/>
    <n v="659"/>
    <n v="671.2"/>
    <n v="12.2"/>
    <x v="5"/>
    <m/>
    <m/>
    <s v="Federal"/>
    <m/>
    <m/>
    <m/>
    <s v="Federal"/>
    <s v="N_PAV"/>
    <s v="Macapá"/>
  </r>
  <r>
    <x v="0"/>
    <s v="156BAP0390"/>
    <n v="0"/>
    <x v="136"/>
    <s v="0390"/>
    <n v="-51.360871119806198"/>
    <n v="2.69764146957823"/>
    <n v="-51.420921790008499"/>
    <n v="2.95579930029754"/>
    <s v="156"/>
    <s v="AP"/>
    <s v="Eixo Principal"/>
    <s v="-"/>
    <s v="156BAP0390"/>
    <s v="RIO CUNANI"/>
    <s v="RIO CASSIPORÉ"/>
    <n v="671.2"/>
    <n v="701.6"/>
    <n v="30.4"/>
    <x v="5"/>
    <m/>
    <m/>
    <s v="Federal"/>
    <m/>
    <m/>
    <m/>
    <s v="Federal"/>
    <s v="N_PAV"/>
    <s v="Macapá"/>
  </r>
  <r>
    <x v="0"/>
    <s v="156BAP0410"/>
    <n v="0"/>
    <x v="136"/>
    <s v="0410"/>
    <n v="-51.420921790008499"/>
    <n v="2.95579930029754"/>
    <n v="-51.685923083783202"/>
    <n v="3.3739288540333998"/>
    <s v="156"/>
    <s v="AP"/>
    <s v="Eixo Principal"/>
    <s v="-"/>
    <s v="156BAP0410"/>
    <s v="RIO CASSIPORÉ"/>
    <s v="RIO CURUPÍ"/>
    <n v="701.6"/>
    <n v="758.3"/>
    <n v="56.7"/>
    <x v="5"/>
    <m/>
    <m/>
    <s v="Federal"/>
    <m/>
    <m/>
    <m/>
    <s v="Federal"/>
    <s v="N_PAV"/>
    <s v="Macapá"/>
  </r>
  <r>
    <x v="0"/>
    <s v="156BAP0420"/>
    <n v="0"/>
    <x v="136"/>
    <s v="0420"/>
    <n v="-51.685923083783202"/>
    <n v="3.3739288540333998"/>
    <n v="-51.722720411018003"/>
    <n v="3.4453546782758"/>
    <s v="156"/>
    <s v="AP"/>
    <s v="Eixo Principal"/>
    <s v="-"/>
    <s v="156BAP0420"/>
    <s v="RIO CURUPÍ"/>
    <s v="INÍCIO TRECHO PAVIMENTADO"/>
    <n v="758.3"/>
    <n v="769.8"/>
    <n v="11.5"/>
    <x v="5"/>
    <s v="EOP"/>
    <m/>
    <s v="Federal"/>
    <m/>
    <m/>
    <m/>
    <s v="Federal"/>
    <s v="N_PAV"/>
    <s v="Macapá"/>
  </r>
  <r>
    <x v="0"/>
    <s v="156BAP0430"/>
    <n v="0"/>
    <x v="136"/>
    <s v="0430"/>
    <n v="-51.722720411018003"/>
    <n v="3.4453546782758"/>
    <n v="-51.822709469666201"/>
    <n v="3.8408341902457401"/>
    <s v="156"/>
    <s v="AP"/>
    <s v="Eixo Principal"/>
    <s v="-"/>
    <s v="156BAP0430"/>
    <s v="INÍCIO TRECHO PAVIMENTADO"/>
    <s v="ACESSO AO RIO OIAPOQUE"/>
    <n v="769.8"/>
    <n v="820.6"/>
    <n v="50.8"/>
    <x v="2"/>
    <m/>
    <m/>
    <s v="Federal"/>
    <m/>
    <m/>
    <m/>
    <s v="Federal"/>
    <s v="PAV"/>
    <s v="Macapá"/>
  </r>
  <r>
    <x v="0"/>
    <s v="156BAP0450"/>
    <n v="0"/>
    <x v="136"/>
    <s v="0450"/>
    <n v="-51.822709469666201"/>
    <n v="3.8408341902457401"/>
    <n v="-51.8250278301702"/>
    <n v="3.8554096995979901"/>
    <s v="156"/>
    <s v="AP"/>
    <s v="Eixo Principal"/>
    <s v="-"/>
    <s v="156BAP0450"/>
    <s v="ACESSO AO RIO OIAPOQUE"/>
    <s v="INICIO PONTE INTERNACIONAL"/>
    <n v="820.6"/>
    <n v="822.5"/>
    <n v="1.9"/>
    <x v="2"/>
    <m/>
    <m/>
    <s v="Federal"/>
    <m/>
    <m/>
    <m/>
    <s v="Federal"/>
    <s v="PAV"/>
    <s v="Macapá"/>
  </r>
  <r>
    <x v="0"/>
    <s v="156BAP0470"/>
    <n v="0"/>
    <x v="136"/>
    <s v="0470"/>
    <n v="-51.8250278301702"/>
    <n v="3.8554096995979901"/>
    <n v="-51.826264370104496"/>
    <n v="3.8586685899834898"/>
    <s v="156"/>
    <s v="AP"/>
    <s v="Eixo Principal"/>
    <s v="-"/>
    <s v="156BAP0470"/>
    <s v="INICIO PONTE INTERNACIONAL"/>
    <s v="FRONT BRASIL/GUIANA FRANCESA (FIM PONTE INTERNACIONAL)"/>
    <n v="822.5"/>
    <n v="822.9"/>
    <n v="0.4"/>
    <x v="2"/>
    <m/>
    <m/>
    <s v="Federal"/>
    <m/>
    <m/>
    <m/>
    <s v="Federal"/>
    <s v="PAV"/>
    <s v="Macapá"/>
  </r>
  <r>
    <x v="0"/>
    <s v="158APR1005"/>
    <n v="0"/>
    <x v="137"/>
    <s v="1005"/>
    <n v="-52.357170570365398"/>
    <n v="-23.989014100020601"/>
    <n v="-52.365286500371603"/>
    <n v="-24.027657860421801"/>
    <s v="158"/>
    <s v="PR"/>
    <s v="Acesso"/>
    <s v="-"/>
    <s v="158APR1005"/>
    <s v="ENTR BR-272(A) (ANEL VIÁRIO DE CAMPO MOURÃO)"/>
    <s v="AVENIDA COMENDADOR NORBERTO MARCONDES"/>
    <n v="0"/>
    <n v="4.5"/>
    <n v="4.5"/>
    <x v="2"/>
    <m/>
    <m/>
    <s v="Convênio de Administração"/>
    <m/>
    <m/>
    <m/>
    <s v="Federal"/>
    <s v="PAV"/>
    <s v="Campo Mourão"/>
  </r>
  <r>
    <x v="0"/>
    <s v="158APR2005"/>
    <n v="0"/>
    <x v="137"/>
    <s v="2005"/>
    <n v="-52.381234010041503"/>
    <n v="-24.090037020192199"/>
    <n v="-52.380358479560101"/>
    <n v="-24.0557314499463"/>
    <s v="158"/>
    <s v="PR"/>
    <s v="Acesso"/>
    <s v="-"/>
    <s v="158APR2005"/>
    <s v="ENTR BR-369(B) (ANEL VIÁRIO DE CAMPO MOURÃO)"/>
    <s v="ACESSO OESTE CAMPO MOURÃO"/>
    <n v="0"/>
    <n v="4.8"/>
    <n v="4.8"/>
    <x v="1"/>
    <m/>
    <m/>
    <s v="Estadual"/>
    <m/>
    <s v="PR-999"/>
    <s v="LEN"/>
    <s v="Estadual"/>
    <s v="PLA"/>
    <s v="Campo Mourão"/>
  </r>
  <r>
    <x v="0"/>
    <s v="158ARS1005"/>
    <n v="0"/>
    <x v="138"/>
    <s v="1005"/>
    <n v="-53.7649375300429"/>
    <n v="-29.564530119869101"/>
    <n v="-53.777890020308099"/>
    <n v="-29.563207520210799"/>
    <s v="158"/>
    <s v="RS"/>
    <s v="Acesso"/>
    <s v="-"/>
    <s v="158ARS1005"/>
    <s v="ENTR BR-158 (KM 304)"/>
    <s v="13ª CIA DAM ITAARA - ACESSO"/>
    <n v="0"/>
    <n v="1.4"/>
    <n v="1.4"/>
    <x v="2"/>
    <m/>
    <m/>
    <s v="Federal"/>
    <m/>
    <m/>
    <m/>
    <s v="Federal"/>
    <s v="PAV"/>
    <s v="Santa Maria"/>
  </r>
  <r>
    <x v="0"/>
    <s v="158ARS2005"/>
    <n v="0"/>
    <x v="138"/>
    <s v="2005"/>
    <n v="-53.8522940502301"/>
    <n v="-29.706946750092399"/>
    <n v="-53.845294710382497"/>
    <n v="-29.734347930012898"/>
    <s v="158"/>
    <s v="RS"/>
    <s v="Acesso"/>
    <s v="-"/>
    <s v="158ARS2005"/>
    <s v="ENTR BR-158 (TREVO DOS QUARTÉIS)"/>
    <s v="SEDE CAMPO DE INSTRUÇÃO DE SANTA MARIA"/>
    <n v="0"/>
    <n v="3.3"/>
    <n v="3.3"/>
    <x v="2"/>
    <m/>
    <m/>
    <s v="Federal"/>
    <m/>
    <m/>
    <m/>
    <s v="Federal"/>
    <s v="PAV"/>
    <s v="Santa Maria"/>
  </r>
  <r>
    <x v="0"/>
    <s v="158ARS3005"/>
    <n v="0"/>
    <x v="138"/>
    <s v="3005"/>
    <n v="-55.510951929987499"/>
    <n v="-30.873477820345101"/>
    <n v="-55.517683000270203"/>
    <n v="-30.879303279622601"/>
    <s v="158"/>
    <s v="RS"/>
    <s v="Acesso"/>
    <s v="-"/>
    <s v="158ARS3005"/>
    <s v="ENTR BR-158 (P/TERMINAL ADUANEIRO)"/>
    <s v="INÍCIO DA PISTA DUPLA"/>
    <n v="0"/>
    <n v="0.9"/>
    <n v="0.9"/>
    <x v="2"/>
    <m/>
    <m/>
    <s v="Federal"/>
    <m/>
    <m/>
    <m/>
    <s v="Federal"/>
    <s v="PAV"/>
    <s v="Santana do Livramento"/>
  </r>
  <r>
    <x v="0"/>
    <s v="158ARS3010"/>
    <n v="0"/>
    <x v="138"/>
    <s v="3010"/>
    <n v="-55.517683000270203"/>
    <n v="-30.879303279622601"/>
    <n v="-55.532510370157397"/>
    <n v="-30.902204719672"/>
    <s v="158"/>
    <s v="RS"/>
    <s v="Acesso"/>
    <s v="-"/>
    <s v="158ARS3010"/>
    <s v="INÍCIO DA PISTA DUPLA"/>
    <s v="FRONT BRASIL/URUGUAI (SANTANA DO LIVRAMENTO)"/>
    <n v="0.9"/>
    <n v="3.4"/>
    <n v="2.5"/>
    <x v="0"/>
    <m/>
    <m/>
    <s v="Federal"/>
    <m/>
    <m/>
    <m/>
    <s v="Federal"/>
    <s v="PAV"/>
    <s v="Santana do Livramento"/>
  </r>
  <r>
    <x v="0"/>
    <s v="158BGO0300"/>
    <n v="0"/>
    <x v="139"/>
    <s v="0300"/>
    <n v="-52.2537098597222"/>
    <n v="-15.8956466198955"/>
    <n v="-52.2336660001857"/>
    <n v="-15.8972170799042"/>
    <s v="158"/>
    <s v="GO"/>
    <s v="Eixo Principal"/>
    <s v="Coinc"/>
    <s v="158BGO0300"/>
    <s v="ENTR BR-070(A) (DIV MT/GO) (ARAGARÇAS)"/>
    <s v="FIM DUPLICAÇÃO"/>
    <n v="0"/>
    <n v="2.2000000000000002"/>
    <n v="2.2000000000000002"/>
    <x v="0"/>
    <m/>
    <s v="070BGO0275"/>
    <s v="Federal"/>
    <m/>
    <m/>
    <m/>
    <s v="Federal"/>
    <s v="PAV"/>
    <s v="Aragarças"/>
  </r>
  <r>
    <x v="0"/>
    <s v="158BGO0305"/>
    <n v="0"/>
    <x v="139"/>
    <s v="0305"/>
    <n v="-52.2336660001857"/>
    <n v="-15.8972170799042"/>
    <n v="-52.221897259650703"/>
    <n v="-15.898176660124699"/>
    <s v="158"/>
    <s v="GO"/>
    <s v="Eixo Principal"/>
    <s v="Coinc"/>
    <s v="158BGO0305"/>
    <s v="FIM DUPLICAÇÃO"/>
    <s v="ENTR BR-070(B)"/>
    <n v="2.2000000000000002"/>
    <n v="3.5"/>
    <n v="1.3"/>
    <x v="2"/>
    <m/>
    <s v="070BGO0270"/>
    <s v="Federal"/>
    <m/>
    <m/>
    <m/>
    <s v="Federal"/>
    <s v="PAV"/>
    <s v="Aragarças"/>
  </r>
  <r>
    <x v="0"/>
    <s v="158BGO0310"/>
    <n v="0"/>
    <x v="139"/>
    <s v="0310"/>
    <n v="-52.221897259650703"/>
    <n v="-15.898176660124699"/>
    <n v="-52.217364649558803"/>
    <n v="-15.9155879504235"/>
    <s v="158"/>
    <s v="GO"/>
    <s v="Eixo Principal"/>
    <s v="-"/>
    <s v="158BGO0310"/>
    <s v="ENTR BR-070(B)"/>
    <s v="ENTR BR-070 (CONTORNO ARAGARÇAS) (A)"/>
    <n v="3.5"/>
    <n v="5.5"/>
    <n v="2"/>
    <x v="2"/>
    <m/>
    <m/>
    <s v="Federal"/>
    <m/>
    <m/>
    <m/>
    <s v="Federal"/>
    <s v="PAV"/>
    <s v="Aragarças"/>
  </r>
  <r>
    <x v="0"/>
    <s v="158BGO0312"/>
    <n v="0"/>
    <x v="139"/>
    <s v="0312"/>
    <n v="-52.217364649558803"/>
    <n v="-15.9155879504235"/>
    <n v="-52.211026449910698"/>
    <n v="-15.9518021797267"/>
    <s v="158"/>
    <s v="GO"/>
    <s v="Eixo Principal"/>
    <s v="Coinc"/>
    <s v="158BGO0312"/>
    <s v="ENTR BR-070 (CONTORNO ARAGARÇAS) (A)"/>
    <s v="ENTR BR-070 (CONTORNO ARAGARÇAS) (B)"/>
    <n v="5.5"/>
    <n v="9.8000000000000007"/>
    <n v="4.3"/>
    <x v="2"/>
    <m/>
    <s v="070CGO1010"/>
    <s v="Federal"/>
    <m/>
    <m/>
    <m/>
    <s v="Federal"/>
    <s v="PAV"/>
    <s v="Aragarças"/>
  </r>
  <r>
    <x v="0"/>
    <s v="158BGO0315"/>
    <n v="0"/>
    <x v="139"/>
    <s v="0315"/>
    <n v="-52.211026449910698"/>
    <n v="-15.9518021797267"/>
    <n v="-52.1583152998111"/>
    <n v="-16.2009090103425"/>
    <s v="158"/>
    <s v="GO"/>
    <s v="Eixo Principal"/>
    <s v="-"/>
    <s v="158BGO0315"/>
    <s v="ENTR BR-070 (CONTORNO ARAGARÇAS) (B)"/>
    <s v="ENTR GO-421 (BOM JARDIM DE GOIÁS)"/>
    <n v="9.8000000000000007"/>
    <n v="39.700000000000003"/>
    <n v="29.9"/>
    <x v="2"/>
    <m/>
    <m/>
    <s v="Federal"/>
    <m/>
    <m/>
    <m/>
    <s v="Federal"/>
    <s v="PAV"/>
    <s v="Aragarças"/>
  </r>
  <r>
    <x v="0"/>
    <s v="158BGO0320"/>
    <n v="0"/>
    <x v="139"/>
    <s v="0320"/>
    <n v="-52.1583152998111"/>
    <n v="-16.2009090103425"/>
    <n v="-51.7941456902713"/>
    <n v="-16.438599819925599"/>
    <s v="158"/>
    <s v="GO"/>
    <s v="Eixo Principal"/>
    <s v="-"/>
    <s v="158BGO0320"/>
    <s v="ENTR GO-421 (BOM JARDIM DE GOIÁS)"/>
    <s v="ENTR GO-060(A)/188(A) (PIRANHAS)"/>
    <n v="39.700000000000003"/>
    <n v="90"/>
    <n v="50.3"/>
    <x v="2"/>
    <m/>
    <m/>
    <s v="Federal"/>
    <m/>
    <m/>
    <m/>
    <s v="Federal"/>
    <s v="PAV"/>
    <s v="Aragarças"/>
  </r>
  <r>
    <x v="0"/>
    <s v="158BGO0325"/>
    <n v="0"/>
    <x v="139"/>
    <s v="0325"/>
    <n v="-51.7941456902713"/>
    <n v="-16.438599819925599"/>
    <n v="-51.791956490399599"/>
    <n v="-16.460609289886701"/>
    <s v="158"/>
    <s v="GO"/>
    <s v="Eixo Principal"/>
    <s v="-"/>
    <s v="158BGO0325"/>
    <s v="ENTR GO-060(A)/188(A) (PIRANHAS)"/>
    <s v="ENTR GO-188(B)"/>
    <n v="90"/>
    <n v="94"/>
    <n v="4"/>
    <x v="2"/>
    <m/>
    <m/>
    <s v="Federal"/>
    <m/>
    <m/>
    <m/>
    <s v="Federal"/>
    <s v="PAV"/>
    <s v="Aragarças"/>
  </r>
  <r>
    <x v="0"/>
    <s v="158BGO0330"/>
    <n v="0"/>
    <x v="139"/>
    <s v="0330"/>
    <n v="-51.791956490399599"/>
    <n v="-16.460609289886701"/>
    <n v="-51.723824429553702"/>
    <n v="-16.613460269975398"/>
    <s v="158"/>
    <s v="GO"/>
    <s v="Eixo Principal"/>
    <s v="-"/>
    <s v="158BGO0330"/>
    <s v="ENTR GO-188(B)"/>
    <s v="ENTR GO-472"/>
    <n v="94"/>
    <n v="119.9"/>
    <n v="25.9"/>
    <x v="2"/>
    <m/>
    <m/>
    <s v="Federal"/>
    <m/>
    <m/>
    <m/>
    <s v="Federal"/>
    <s v="PAV"/>
    <s v="Aragarças"/>
  </r>
  <r>
    <x v="0"/>
    <s v="158BGO0335"/>
    <n v="0"/>
    <x v="139"/>
    <s v="0335"/>
    <n v="-51.723824429553702"/>
    <n v="-16.613460269975398"/>
    <n v="-51.8039787498194"/>
    <n v="-16.931078040419202"/>
    <s v="158"/>
    <s v="GO"/>
    <s v="Eixo Principal"/>
    <s v="-"/>
    <s v="158BGO0335"/>
    <s v="ENTR GO-472"/>
    <s v="ENTR GO-221(A)"/>
    <n v="119.9"/>
    <n v="151.9"/>
    <n v="32"/>
    <x v="2"/>
    <m/>
    <m/>
    <s v="Federal"/>
    <m/>
    <m/>
    <m/>
    <s v="Federal"/>
    <s v="PAV"/>
    <s v="Aragarças"/>
  </r>
  <r>
    <x v="0"/>
    <s v="158BGO0340"/>
    <n v="0"/>
    <x v="139"/>
    <s v="0340"/>
    <n v="-51.8039787498194"/>
    <n v="-16.931078040419202"/>
    <n v="-51.823921039924002"/>
    <n v="-16.932553719978099"/>
    <s v="158"/>
    <s v="GO"/>
    <s v="Eixo Principal"/>
    <s v="-"/>
    <s v="158BGO0340"/>
    <s v="ENTR GO-221(A)"/>
    <s v="ENTR GO-221(B) (P/DOVERLÂNDIA)"/>
    <n v="151.9"/>
    <n v="154"/>
    <n v="2.1"/>
    <x v="2"/>
    <m/>
    <m/>
    <s v="Federal"/>
    <m/>
    <m/>
    <m/>
    <s v="Federal"/>
    <s v="PAV"/>
    <s v="Aragarças"/>
  </r>
  <r>
    <x v="0"/>
    <s v="158BGO0345"/>
    <n v="0"/>
    <x v="139"/>
    <s v="0345"/>
    <n v="-51.823921039924002"/>
    <n v="-16.932553719978099"/>
    <n v="-51.829089399655999"/>
    <n v="-16.956467589807399"/>
    <s v="158"/>
    <s v="GO"/>
    <s v="Eixo Principal"/>
    <s v="-"/>
    <s v="158BGO0345"/>
    <s v="ENTR GO-221(B) (P/DOVERLÂNDIA)"/>
    <s v="ACESSO CAIAPÔNIA"/>
    <n v="154"/>
    <n v="157"/>
    <n v="3"/>
    <x v="2"/>
    <m/>
    <m/>
    <s v="Federal"/>
    <m/>
    <m/>
    <m/>
    <s v="Federal"/>
    <s v="PAV"/>
    <s v="Aragarças"/>
  </r>
  <r>
    <x v="0"/>
    <s v="158BGO0348"/>
    <n v="0"/>
    <x v="139"/>
    <s v="0348"/>
    <n v="-51.829089399655999"/>
    <n v="-16.956467589807399"/>
    <n v="-51.848275029868702"/>
    <n v="-17.013766560278398"/>
    <s v="158"/>
    <s v="GO"/>
    <s v="Eixo Principal"/>
    <s v="-"/>
    <s v="158BGO0348"/>
    <s v="ACESSO CAIAPÔNIA"/>
    <s v="ENTR GO-184"/>
    <n v="157"/>
    <n v="163.9"/>
    <n v="6.9"/>
    <x v="2"/>
    <m/>
    <m/>
    <s v="Federal"/>
    <m/>
    <m/>
    <m/>
    <s v="Federal"/>
    <s v="PAV"/>
    <s v="Jataí"/>
  </r>
  <r>
    <x v="0"/>
    <s v="158BGO0350"/>
    <n v="0"/>
    <x v="139"/>
    <s v="0350"/>
    <n v="-51.848275029868702"/>
    <n v="-17.013766560278398"/>
    <n v="-51.893679250397"/>
    <n v="-17.2009212301306"/>
    <s v="158"/>
    <s v="GO"/>
    <s v="Eixo Principal"/>
    <s v="-"/>
    <s v="158BGO0350"/>
    <s v="ENTR GO-184"/>
    <s v="ENTR GO-341"/>
    <n v="163.9"/>
    <n v="186.9"/>
    <n v="23"/>
    <x v="2"/>
    <m/>
    <m/>
    <s v="Federal"/>
    <m/>
    <m/>
    <m/>
    <s v="Federal"/>
    <s v="PAV"/>
    <s v="Jataí"/>
  </r>
  <r>
    <x v="0"/>
    <s v="158BGO0355"/>
    <n v="0"/>
    <x v="139"/>
    <s v="0355"/>
    <n v="-51.893679250397"/>
    <n v="-17.2009212301306"/>
    <n v="-51.876443600391703"/>
    <n v="-17.342782670184"/>
    <s v="158"/>
    <s v="GO"/>
    <s v="Eixo Principal"/>
    <s v="-"/>
    <s v="158BGO0355"/>
    <s v="ENTR GO-341"/>
    <s v="ENTR GO-220(A)"/>
    <n v="186.9"/>
    <n v="203.1"/>
    <n v="16.2"/>
    <x v="2"/>
    <m/>
    <m/>
    <s v="Federal"/>
    <m/>
    <m/>
    <m/>
    <s v="Federal"/>
    <s v="PAV"/>
    <s v="Jataí"/>
  </r>
  <r>
    <x v="0"/>
    <s v="158BGO0360"/>
    <n v="0"/>
    <x v="139"/>
    <s v="0360"/>
    <n v="-51.876443600391703"/>
    <n v="-17.342782670184"/>
    <n v="-51.873249570011502"/>
    <n v="-17.5807900995833"/>
    <s v="158"/>
    <s v="GO"/>
    <s v="Eixo Principal"/>
    <s v="-"/>
    <s v="158BGO0360"/>
    <s v="ENTR GO-220(A)"/>
    <s v="ENTR GO-220(B)"/>
    <n v="203.1"/>
    <n v="232"/>
    <n v="28.9"/>
    <x v="2"/>
    <m/>
    <m/>
    <s v="Federal"/>
    <m/>
    <m/>
    <m/>
    <s v="Federal"/>
    <s v="PAV"/>
    <s v="Jataí"/>
  </r>
  <r>
    <x v="0"/>
    <s v="158BGO0370"/>
    <n v="0"/>
    <x v="139"/>
    <s v="0370"/>
    <n v="-51.873249570011502"/>
    <n v="-17.5807900995833"/>
    <n v="-51.777314030118298"/>
    <n v="-17.8299664199142"/>
    <s v="158"/>
    <s v="GO"/>
    <s v="Eixo Principal"/>
    <s v="-"/>
    <s v="158BGO0370"/>
    <s v="ENTR GO-220(B)"/>
    <s v="INÍCIO PISTA DUPLA"/>
    <n v="232"/>
    <n v="263.3"/>
    <n v="31.3"/>
    <x v="2"/>
    <m/>
    <m/>
    <s v="Federal"/>
    <m/>
    <m/>
    <m/>
    <s v="Federal"/>
    <s v="PAV"/>
    <s v="Jataí"/>
  </r>
  <r>
    <x v="0"/>
    <s v="158BGO0375"/>
    <n v="0"/>
    <x v="139"/>
    <s v="0375"/>
    <n v="-51.777314030118298"/>
    <n v="-17.8299664199142"/>
    <n v="-51.730260020383497"/>
    <n v="-17.858302040406699"/>
    <s v="158"/>
    <s v="GO"/>
    <s v="Eixo Principal"/>
    <s v="-"/>
    <s v="158BGO0375"/>
    <s v="INÍCIO PISTA DUPLA"/>
    <s v="ENTR GO-050(A)/184(A) (JATAÍ)"/>
    <n v="263.3"/>
    <n v="269.39999999999998"/>
    <n v="6.1"/>
    <x v="0"/>
    <m/>
    <m/>
    <s v="Federal"/>
    <m/>
    <m/>
    <m/>
    <s v="Federal"/>
    <s v="PAV"/>
    <s v="Jataí"/>
  </r>
  <r>
    <x v="0"/>
    <s v="158BGO0380"/>
    <n v="0"/>
    <x v="139"/>
    <s v="0380"/>
    <n v="-51.730260020383497"/>
    <n v="-17.858302040406699"/>
    <n v="-51.728818270446702"/>
    <n v="-17.870350419735999"/>
    <s v="158"/>
    <s v="GO"/>
    <s v="Eixo Principal"/>
    <s v="-"/>
    <s v="158BGO0380"/>
    <s v="ENTR GO-050(A)/184(A) (JATAÍ)"/>
    <s v="FINAL  PISTA DUPLA"/>
    <n v="269.39999999999998"/>
    <n v="270.7"/>
    <n v="1.3"/>
    <x v="0"/>
    <m/>
    <m/>
    <s v="Federal"/>
    <m/>
    <m/>
    <m/>
    <s v="Federal"/>
    <s v="PAV"/>
    <s v="Jataí"/>
  </r>
  <r>
    <x v="0"/>
    <s v="158BGO0385"/>
    <n v="0"/>
    <x v="139"/>
    <s v="0385"/>
    <n v="-51.728818270446702"/>
    <n v="-17.870350419735999"/>
    <n v="-51.739522239759502"/>
    <n v="-17.8948385903286"/>
    <s v="158"/>
    <s v="GO"/>
    <s v="Eixo Principal"/>
    <s v="-"/>
    <s v="158BGO0385"/>
    <s v="FINAL  PISTA DUPLA"/>
    <s v="INÍCIO PISTA DUPLA"/>
    <n v="270.7"/>
    <n v="273.60000000000002"/>
    <n v="2.9"/>
    <x v="2"/>
    <m/>
    <m/>
    <s v="Federal"/>
    <m/>
    <m/>
    <m/>
    <s v="Federal"/>
    <s v="PAV"/>
    <s v="Jataí"/>
  </r>
  <r>
    <x v="0"/>
    <s v="158BGO0388"/>
    <n v="0"/>
    <x v="139"/>
    <s v="0388"/>
    <n v="-51.739522239759502"/>
    <n v="-17.8948385903286"/>
    <n v="-51.718763220446199"/>
    <n v="-17.917219920063101"/>
    <s v="158"/>
    <s v="GO"/>
    <s v="Eixo Principal"/>
    <s v="-"/>
    <s v="158BGO0388"/>
    <s v="INÍCIO PISTA DUPLA"/>
    <s v="ENTR BR-060(A)/364(A)"/>
    <n v="273.60000000000002"/>
    <n v="277"/>
    <n v="3.4"/>
    <x v="0"/>
    <m/>
    <m/>
    <s v="Federal"/>
    <m/>
    <m/>
    <m/>
    <s v="Federal"/>
    <s v="PAV"/>
    <s v="Jataí"/>
  </r>
  <r>
    <x v="0"/>
    <s v="158BGO0390"/>
    <n v="0"/>
    <x v="139"/>
    <s v="0390"/>
    <n v="-51.718763220446199"/>
    <n v="-17.917219920063101"/>
    <n v="-51.7656037500129"/>
    <n v="-17.914806989550801"/>
    <s v="158"/>
    <s v="GO"/>
    <s v="Eixo Principal"/>
    <s v="Coinc"/>
    <s v="158BGO0390"/>
    <s v="ENTR BR-060(A)/364(A)"/>
    <s v="ENTR BR-060(B)/364(B)"/>
    <n v="277"/>
    <n v="282.2"/>
    <n v="5.2"/>
    <x v="0"/>
    <m/>
    <s v="364BGO0490;060BGO0292"/>
    <s v="Federal"/>
    <m/>
    <m/>
    <m/>
    <s v="Federal"/>
    <s v="PAV"/>
    <s v="Jataí"/>
  </r>
  <r>
    <x v="0"/>
    <s v="158BGO0392"/>
    <n v="0"/>
    <x v="139"/>
    <s v="0392"/>
    <n v="-51.7656037500129"/>
    <n v="-17.914806989550801"/>
    <n v="-51.796951610128602"/>
    <n v="-17.9930276801832"/>
    <s v="158"/>
    <s v="GO"/>
    <s v="Eixo Principal"/>
    <s v="-"/>
    <s v="158BGO0392"/>
    <s v="ENTR BR-060(B)/364(B)"/>
    <s v="ENTR GO-467"/>
    <n v="282.2"/>
    <n v="292.60000000000002"/>
    <n v="10.4"/>
    <x v="1"/>
    <m/>
    <m/>
    <s v="Estadual"/>
    <m/>
    <s v="GO-184"/>
    <s v="PAV"/>
    <s v="Estadual"/>
    <s v="PLA"/>
    <s v="Jataí"/>
  </r>
  <r>
    <x v="0"/>
    <s v="158BGO0395"/>
    <n v="0"/>
    <x v="139"/>
    <s v="0395"/>
    <n v="-51.796951610128602"/>
    <n v="-17.9930276801832"/>
    <n v="-51.944344049837902"/>
    <n v="-18.296018230257001"/>
    <s v="158"/>
    <s v="GO"/>
    <s v="Eixo Principal"/>
    <s v="-"/>
    <s v="158BGO0395"/>
    <s v="ENTR GO-467"/>
    <s v="ENTR GO-306 (SERRANÓPOLIS)"/>
    <n v="292.60000000000002"/>
    <n v="330.9"/>
    <n v="38.299999999999997"/>
    <x v="1"/>
    <m/>
    <m/>
    <s v="Estadual"/>
    <m/>
    <s v="GO-184"/>
    <s v="PAV"/>
    <s v="Estadual"/>
    <s v="PLA"/>
    <s v="Jataí"/>
  </r>
  <r>
    <x v="0"/>
    <s v="158BGO0400"/>
    <n v="0"/>
    <x v="139"/>
    <s v="0400"/>
    <n v="-51.944344049837902"/>
    <n v="-18.296018230257001"/>
    <n v="-52.067700130256704"/>
    <n v="-18.434088349797399"/>
    <s v="158"/>
    <s v="GO"/>
    <s v="Eixo Principal"/>
    <s v="-"/>
    <s v="158BGO0400"/>
    <s v="ENTR GO-306 (SERRANÓPOLIS)"/>
    <s v="ENTR GO-206(A)"/>
    <n v="330.9"/>
    <n v="352.2"/>
    <n v="21.3"/>
    <x v="1"/>
    <m/>
    <m/>
    <s v="Estadual"/>
    <m/>
    <s v="GO-184"/>
    <s v="PAV"/>
    <s v="Estadual"/>
    <s v="PLA"/>
    <s v="Jataí"/>
  </r>
  <r>
    <x v="0"/>
    <s v="158BGO0405"/>
    <n v="0"/>
    <x v="139"/>
    <s v="0405"/>
    <n v="-52.067700130256704"/>
    <n v="-18.434088349797399"/>
    <n v="-52.092808750323499"/>
    <n v="-18.5209032802621"/>
    <s v="158"/>
    <s v="GO"/>
    <s v="Eixo Principal"/>
    <s v="-"/>
    <s v="158BGO0405"/>
    <s v="ENTR GO-206(A)"/>
    <s v="ENTR GO-206(B)"/>
    <n v="352.2"/>
    <n v="362.9"/>
    <n v="10.7"/>
    <x v="1"/>
    <m/>
    <m/>
    <s v="Estadual"/>
    <m/>
    <s v="GO-184"/>
    <s v="PAV"/>
    <s v="Estadual"/>
    <s v="PLA"/>
    <s v="Jataí"/>
  </r>
  <r>
    <x v="0"/>
    <s v="158BGO0410"/>
    <n v="0"/>
    <x v="139"/>
    <s v="0410"/>
    <n v="-52.092808750323499"/>
    <n v="-18.5209032802621"/>
    <n v="-51.927771870175597"/>
    <n v="-18.962507599945699"/>
    <s v="158"/>
    <s v="GO"/>
    <s v="Eixo Principal"/>
    <s v="-"/>
    <s v="158BGO0410"/>
    <s v="ENTR GO-206(B)"/>
    <s v="APORÉ"/>
    <n v="362.9"/>
    <n v="426.9"/>
    <n v="64"/>
    <x v="1"/>
    <m/>
    <m/>
    <s v="Estadual"/>
    <m/>
    <s v="GO-184"/>
    <s v="PAV"/>
    <s v="Estadual"/>
    <s v="PLA"/>
    <s v="Jataí"/>
  </r>
  <r>
    <x v="0"/>
    <s v="158BGO0415"/>
    <n v="0"/>
    <x v="139"/>
    <s v="0415"/>
    <n v="-51.927771870175597"/>
    <n v="-18.962507599945699"/>
    <n v="-51.724618699992902"/>
    <n v="-19.098556739601801"/>
    <s v="158"/>
    <s v="GO"/>
    <s v="Eixo Principal"/>
    <s v="-"/>
    <s v="158BGO0415"/>
    <s v="APORÉ"/>
    <s v="ENTR GO-302"/>
    <n v="426.9"/>
    <n v="454.3"/>
    <n v="27.4"/>
    <x v="1"/>
    <m/>
    <m/>
    <s v="Estadual"/>
    <m/>
    <s v="GO-302"/>
    <s v="PAV"/>
    <s v="Estadual"/>
    <s v="PLA"/>
    <s v="Jataí"/>
  </r>
  <r>
    <x v="0"/>
    <s v="158BGO0420"/>
    <n v="0"/>
    <x v="139"/>
    <s v="0420"/>
    <n v="-51.724618699992902"/>
    <n v="-19.098556739601801"/>
    <n v="-51.729420940323998"/>
    <n v="-19.1067783696259"/>
    <s v="158"/>
    <s v="GO"/>
    <s v="Eixo Principal"/>
    <s v="-"/>
    <s v="158BGO0420"/>
    <s v="ENTR GO-302"/>
    <s v="DIV GO/MS (P/CASSILÂNDIA)"/>
    <n v="454.3"/>
    <n v="455.3"/>
    <n v="1"/>
    <x v="1"/>
    <m/>
    <m/>
    <s v="Estadual"/>
    <m/>
    <s v="GO-180"/>
    <s v="PAV"/>
    <s v="Estadual"/>
    <s v="PLA"/>
    <s v="Jataí"/>
  </r>
  <r>
    <x v="0"/>
    <s v="158BMS0430"/>
    <n v="0"/>
    <x v="140"/>
    <s v="0430"/>
    <n v="-51.729420940323998"/>
    <n v="-19.1067783696259"/>
    <n v="-51.743792239720001"/>
    <n v="-19.110772720184801"/>
    <s v="158"/>
    <s v="MS"/>
    <s v="Eixo Principal"/>
    <s v="-"/>
    <s v="158BMS0430"/>
    <s v="DIV GO/MS"/>
    <s v="ENTR MS-306"/>
    <n v="0"/>
    <n v="1.1000000000000001"/>
    <n v="1.1000000000000001"/>
    <x v="1"/>
    <m/>
    <m/>
    <s v="Federal"/>
    <m/>
    <m/>
    <m/>
    <s v="Federal"/>
    <s v="PLA"/>
    <s v="Três Lagoas"/>
  </r>
  <r>
    <x v="0"/>
    <s v="158BMS0431"/>
    <n v="0"/>
    <x v="140"/>
    <s v="0431"/>
    <n v="-51.743792239720001"/>
    <n v="-19.110772720184801"/>
    <n v="-51.734971279900599"/>
    <n v="-19.119888660333299"/>
    <s v="158"/>
    <s v="MS"/>
    <s v="Eixo Principal"/>
    <s v="-"/>
    <s v="158BMS0431"/>
    <s v="ENTR MS-306"/>
    <s v="ENTR MS-112 (CASSILÂNDIA) *TRECHO URBANO*"/>
    <n v="1.1000000000000001"/>
    <n v="2.7"/>
    <n v="1.6"/>
    <x v="2"/>
    <m/>
    <m/>
    <s v="Federal"/>
    <m/>
    <m/>
    <m/>
    <s v="Federal"/>
    <s v="PAV"/>
    <s v="Três Lagoas"/>
  </r>
  <r>
    <x v="0"/>
    <s v="158BMS0432"/>
    <n v="0"/>
    <x v="140"/>
    <s v="0432"/>
    <n v="-51.734971279900599"/>
    <n v="-19.119888660333299"/>
    <n v="-51.533945129564003"/>
    <n v="-19.2104610401448"/>
    <s v="158"/>
    <s v="MS"/>
    <s v="Eixo Principal"/>
    <s v="-"/>
    <s v="158BMS0432"/>
    <s v="ENTR MS-112 (CASSILÂNDIA)"/>
    <s v="ACESSO ITAJÁ (GO)"/>
    <n v="2.7"/>
    <n v="26.2"/>
    <n v="23.5"/>
    <x v="2"/>
    <m/>
    <m/>
    <s v="Federal"/>
    <m/>
    <m/>
    <m/>
    <s v="Federal"/>
    <s v="PAV"/>
    <s v="Três Lagoas"/>
  </r>
  <r>
    <x v="0"/>
    <s v="158BMS0434"/>
    <n v="0"/>
    <x v="140"/>
    <s v="0434"/>
    <n v="-51.533945129564003"/>
    <n v="-19.2104610401448"/>
    <n v="-51.4911916104044"/>
    <n v="-19.272540390226698"/>
    <s v="158"/>
    <s v="MS"/>
    <s v="Eixo Principal"/>
    <s v="-"/>
    <s v="158BMS0434"/>
    <s v="ACESSO ITAJÁ (GO)"/>
    <s v="ENTR MS-431 (P/SÃO JOÃO DO APORÉ)"/>
    <n v="26.2"/>
    <n v="34.6"/>
    <n v="8.4"/>
    <x v="2"/>
    <m/>
    <m/>
    <s v="Federal"/>
    <m/>
    <m/>
    <m/>
    <s v="Federal"/>
    <s v="PAV"/>
    <s v="Três Lagoas"/>
  </r>
  <r>
    <x v="0"/>
    <s v="158BMS0436"/>
    <n v="0"/>
    <x v="140"/>
    <s v="0436"/>
    <n v="-51.4911916104044"/>
    <n v="-19.272540390226698"/>
    <n v="-51.3709965201732"/>
    <n v="-19.429790930207201"/>
    <s v="158"/>
    <s v="MS"/>
    <s v="Eixo Principal"/>
    <s v="-"/>
    <s v="158BMS0436"/>
    <s v="ENTR MS-431 (P/SÃO JOÃO DO APORÉ)"/>
    <s v="ENTR MS-434 (RAIMUNDO)"/>
    <n v="34.6"/>
    <n v="59.5"/>
    <n v="24.9"/>
    <x v="2"/>
    <m/>
    <m/>
    <s v="Federal"/>
    <m/>
    <m/>
    <m/>
    <s v="Federal"/>
    <s v="PAV"/>
    <s v="Três Lagoas"/>
  </r>
  <r>
    <x v="0"/>
    <s v="158BMS0440"/>
    <n v="0"/>
    <x v="140"/>
    <s v="0440"/>
    <n v="-51.3709965201732"/>
    <n v="-19.429790930207201"/>
    <n v="-51.203968450183702"/>
    <n v="-19.656205219795002"/>
    <s v="158"/>
    <s v="MS"/>
    <s v="Eixo Principal"/>
    <s v="-"/>
    <s v="158BMS0440"/>
    <s v="ENTR MS-434 (RAIMUNDO)"/>
    <s v="ENTR BR-483/497 (INÍCIO DA PISTA DUPLA)"/>
    <n v="59.5"/>
    <n v="91"/>
    <n v="31.5"/>
    <x v="2"/>
    <m/>
    <m/>
    <s v="Federal"/>
    <m/>
    <m/>
    <m/>
    <s v="Federal"/>
    <s v="PAV"/>
    <s v="Três Lagoas"/>
  </r>
  <r>
    <x v="0"/>
    <s v="158BMS0445"/>
    <n v="0"/>
    <x v="140"/>
    <s v="0445"/>
    <n v="-51.203968450183702"/>
    <n v="-19.656205219795002"/>
    <n v="-51.2022476298242"/>
    <n v="-19.678361329611601"/>
    <s v="158"/>
    <s v="MS"/>
    <s v="Eixo Principal"/>
    <s v="-"/>
    <s v="158BMS0445"/>
    <s v="ENTR BR-483/497 (INÍCIO DA PISTA DUPLA)"/>
    <s v="ACESSO PARANAÍBA"/>
    <n v="91"/>
    <n v="93.4"/>
    <n v="2.4"/>
    <x v="0"/>
    <m/>
    <m/>
    <s v="Federal"/>
    <m/>
    <m/>
    <m/>
    <s v="Federal"/>
    <s v="PAV"/>
    <s v="Três Lagoas"/>
  </r>
  <r>
    <x v="0"/>
    <s v="158BMS0450"/>
    <n v="0"/>
    <x v="140"/>
    <s v="0450"/>
    <n v="-51.2022476298242"/>
    <n v="-19.678361329611601"/>
    <n v="-51.199273370369703"/>
    <n v="-19.685988950229799"/>
    <s v="158"/>
    <s v="MS"/>
    <s v="Eixo Principal"/>
    <s v="-"/>
    <s v="158BMS0450"/>
    <s v="ACESSO PARANAÍBA"/>
    <s v="ENTR MS-240 (P/INOCÊNCIA)"/>
    <n v="93.4"/>
    <n v="94.4"/>
    <n v="1"/>
    <x v="0"/>
    <m/>
    <m/>
    <s v="Federal"/>
    <m/>
    <m/>
    <m/>
    <s v="Federal"/>
    <s v="PAV"/>
    <s v="Três Lagoas"/>
  </r>
  <r>
    <x v="0"/>
    <s v="158BMS0455"/>
    <n v="0"/>
    <x v="140"/>
    <s v="0455"/>
    <n v="-51.199273370369703"/>
    <n v="-19.685988950229799"/>
    <n v="-51.166010269957901"/>
    <n v="-19.6998289796236"/>
    <s v="158"/>
    <s v="MS"/>
    <s v="Eixo Principal"/>
    <s v="-"/>
    <s v="158BMS0455"/>
    <s v="ENTR MS-240 (P/INOCÊNCIA)"/>
    <s v="FIM DE PISTA DUPLA"/>
    <n v="94.4"/>
    <n v="98.2"/>
    <n v="3.8"/>
    <x v="0"/>
    <m/>
    <m/>
    <s v="Federal"/>
    <m/>
    <m/>
    <m/>
    <s v="Federal"/>
    <s v="PAV"/>
    <s v="Três Lagoas"/>
  </r>
  <r>
    <x v="0"/>
    <s v="158BMS0460"/>
    <n v="0"/>
    <x v="140"/>
    <s v="0460"/>
    <n v="-51.166010269957901"/>
    <n v="-19.6998289796236"/>
    <n v="-51.111961819881998"/>
    <n v="-20.051512189635702"/>
    <s v="158"/>
    <s v="MS"/>
    <s v="Eixo Principal"/>
    <s v="-"/>
    <s v="158BMS0460"/>
    <s v="FIM DE PISTA DUPLA"/>
    <s v="ENTR MS-316 (P/APARECIDA DO TABOADO)"/>
    <n v="98.2"/>
    <n v="141.9"/>
    <n v="43.7"/>
    <x v="2"/>
    <m/>
    <m/>
    <s v="Federal"/>
    <m/>
    <m/>
    <m/>
    <s v="Federal"/>
    <s v="PAV"/>
    <s v="Três Lagoas"/>
  </r>
  <r>
    <x v="0"/>
    <s v="158BMS0470"/>
    <n v="0"/>
    <x v="140"/>
    <s v="0470"/>
    <n v="-51.111961819881998"/>
    <n v="-20.051512189635702"/>
    <n v="-51.137584520309296"/>
    <n v="-20.0823521099618"/>
    <s v="158"/>
    <s v="MS"/>
    <s v="Eixo Principal"/>
    <s v="-"/>
    <s v="158BMS0470"/>
    <s v="ENTR MS-316 (P/APARECIDA DO TABOADO)"/>
    <s v="ENTR BR-436 (P/APARECIDA DO TABOADO)"/>
    <n v="141.9"/>
    <n v="146.30000000000001"/>
    <n v="4.4000000000000004"/>
    <x v="2"/>
    <m/>
    <m/>
    <s v="Federal"/>
    <m/>
    <m/>
    <m/>
    <s v="Federal"/>
    <s v="PAV"/>
    <s v="Três Lagoas"/>
  </r>
  <r>
    <x v="0"/>
    <s v="158BMS0480"/>
    <n v="0"/>
    <x v="140"/>
    <s v="0480"/>
    <n v="-51.137584520309296"/>
    <n v="-20.0823521099618"/>
    <n v="-51.414742069790599"/>
    <n v="-20.358282949998099"/>
    <s v="158"/>
    <s v="MS"/>
    <s v="Eixo Principal"/>
    <s v="-"/>
    <s v="158BMS0480"/>
    <s v="ENTR BR-436 (P/APARECIDA DO TABOADO)"/>
    <s v="ENTR MS-444 (SELVÍRIA)"/>
    <n v="146.30000000000001"/>
    <n v="194.9"/>
    <n v="48.6"/>
    <x v="2"/>
    <m/>
    <m/>
    <s v="Federal"/>
    <m/>
    <m/>
    <m/>
    <s v="Federal"/>
    <s v="PAV"/>
    <s v="Três Lagoas"/>
  </r>
  <r>
    <x v="0"/>
    <s v="158BMS0490"/>
    <n v="0"/>
    <x v="140"/>
    <s v="0490"/>
    <n v="-51.414742069790599"/>
    <n v="-20.358282949998099"/>
    <n v="-51.441670360099003"/>
    <n v="-20.3735740400098"/>
    <s v="158"/>
    <s v="MS"/>
    <s v="Eixo Principal"/>
    <s v="-"/>
    <s v="158BMS0490"/>
    <s v="ENTR MS-444 (SELVÍRIA)"/>
    <s v="INÍCIO PISTA DUPLA (VÉSTIA)"/>
    <n v="194.9"/>
    <n v="198.9"/>
    <n v="4"/>
    <x v="2"/>
    <m/>
    <m/>
    <s v="Federal"/>
    <m/>
    <m/>
    <m/>
    <s v="Federal"/>
    <s v="PAV"/>
    <s v="Três Lagoas"/>
  </r>
  <r>
    <x v="0"/>
    <s v="158BMS0491"/>
    <n v="0"/>
    <x v="140"/>
    <s v="0491"/>
    <n v="-51.441670360099003"/>
    <n v="-20.3735740400098"/>
    <n v="-51.449372080357101"/>
    <n v="-20.3802117696574"/>
    <s v="158"/>
    <s v="MS"/>
    <s v="Eixo Principal"/>
    <s v="-"/>
    <s v="158BMS0491"/>
    <s v="INÍCIO PISTA DUPLA (VÉSTIA)"/>
    <s v="FIM PISTA DUPLA (VÉSTIA)"/>
    <n v="198.9"/>
    <n v="200.1"/>
    <n v="1.2"/>
    <x v="0"/>
    <m/>
    <m/>
    <s v="Federal"/>
    <m/>
    <m/>
    <m/>
    <s v="Federal"/>
    <s v="PAV"/>
    <s v="Três Lagoas"/>
  </r>
  <r>
    <x v="0"/>
    <s v="158BMS0495"/>
    <n v="0"/>
    <x v="140"/>
    <s v="0495"/>
    <n v="-51.449372080357101"/>
    <n v="-20.3802117696574"/>
    <n v="-51.768617899796098"/>
    <n v="-20.6414415999498"/>
    <s v="158"/>
    <s v="MS"/>
    <s v="Eixo Principal"/>
    <s v="-"/>
    <s v="158BMS0495"/>
    <s v="FIM PISTA DUPLA (VÉSTIA)"/>
    <s v="ENTR MS-112"/>
    <n v="200.1"/>
    <n v="247.2"/>
    <n v="47.1"/>
    <x v="2"/>
    <m/>
    <m/>
    <s v="Federal"/>
    <m/>
    <m/>
    <m/>
    <s v="Federal"/>
    <s v="PAV"/>
    <s v="Três Lagoas"/>
  </r>
  <r>
    <x v="0"/>
    <s v="158BMS0500"/>
    <n v="0"/>
    <x v="140"/>
    <s v="0500"/>
    <n v="-51.768617899796098"/>
    <n v="-20.6414415999498"/>
    <n v="-51.7949304998426"/>
    <n v="-20.6556982600666"/>
    <s v="158"/>
    <s v="MS"/>
    <s v="Eixo Principal"/>
    <s v="-"/>
    <s v="158BMS0500"/>
    <s v="ENTR MS-112"/>
    <s v="FIM DA PONTE S/ RIO SUCURIÚ"/>
    <n v="247.2"/>
    <n v="250.9"/>
    <n v="3.7"/>
    <x v="2"/>
    <m/>
    <m/>
    <s v="Federal"/>
    <m/>
    <m/>
    <m/>
    <s v="Federal"/>
    <s v="PAV"/>
    <s v="Três Lagoas"/>
  </r>
  <r>
    <x v="0"/>
    <s v="158BMS0510"/>
    <n v="0"/>
    <x v="140"/>
    <s v="0510"/>
    <n v="-51.7949304998426"/>
    <n v="-20.6556982600666"/>
    <n v="-51.6946536203682"/>
    <n v="-20.7594565302945"/>
    <s v="158"/>
    <s v="MS"/>
    <s v="Eixo Principal"/>
    <s v="-"/>
    <s v="158BMS0510"/>
    <s v="FIM DA PONTE S/ RIO SUCURIÚ "/>
    <s v="ENTR AV. FILINTO MULLER (TRÊS LAGOAS)"/>
    <n v="250.9"/>
    <n v="267.60000000000002"/>
    <n v="16.7"/>
    <x v="2"/>
    <m/>
    <m/>
    <s v="Federal"/>
    <m/>
    <m/>
    <m/>
    <s v="Federal"/>
    <s v="PAV"/>
    <s v="Três Lagoas"/>
  </r>
  <r>
    <x v="0"/>
    <s v="158BMS0520"/>
    <n v="0"/>
    <x v="140"/>
    <s v="0520"/>
    <n v="-51.6946536203682"/>
    <n v="-20.7594565302945"/>
    <n v="-51.670185789742298"/>
    <n v="-20.782022880251699"/>
    <s v="158"/>
    <s v="MS"/>
    <s v="Eixo Principal"/>
    <s v="-"/>
    <s v="158BMS0520"/>
    <s v="ENTR AV. FILINTO MULLER (TRÊS LAGOAS)"/>
    <s v="ENTR BR-262(A) (TRÊS LAGOAS)"/>
    <n v="267.60000000000002"/>
    <n v="271.2"/>
    <n v="3.6"/>
    <x v="2"/>
    <m/>
    <m/>
    <s v="Federal"/>
    <m/>
    <m/>
    <m/>
    <s v="Federal"/>
    <s v="PAV"/>
    <s v="Três Lagoas"/>
  </r>
  <r>
    <x v="0"/>
    <s v="158BMS0525"/>
    <n v="0"/>
    <x v="140"/>
    <s v="0525"/>
    <n v="-51.670185789742298"/>
    <n v="-20.782022880251699"/>
    <n v="-51.687735869714501"/>
    <n v="-20.8060216298942"/>
    <s v="158"/>
    <s v="MS"/>
    <s v="Eixo Principal"/>
    <s v="-"/>
    <s v="158BMS0525"/>
    <s v="ENTR BR-262(A) (TRÊS LAGOAS)"/>
    <s v="FIM PISTA DUPLA"/>
    <n v="271.2"/>
    <n v="274.60000000000002"/>
    <n v="3.4"/>
    <x v="0"/>
    <m/>
    <s v="262BMS1285"/>
    <s v="Federal"/>
    <m/>
    <m/>
    <m/>
    <s v="Federal"/>
    <s v="PAV"/>
    <s v="Três Lagoas"/>
  </r>
  <r>
    <x v="0"/>
    <s v="158BMS0528"/>
    <n v="0"/>
    <x v="140"/>
    <s v="0528"/>
    <n v="-51.687735869714501"/>
    <n v="-20.8060216298942"/>
    <n v="-51.724657639738197"/>
    <n v="-20.816301389897198"/>
    <s v="158"/>
    <s v="MS"/>
    <s v="Eixo Principal"/>
    <s v="-"/>
    <s v="158BMS0528"/>
    <s v="FIM PISTA DUPLA"/>
    <s v="ENTR BR-262(B)"/>
    <n v="274.60000000000002"/>
    <n v="278.89999999999998"/>
    <n v="4.3"/>
    <x v="2"/>
    <m/>
    <s v="262BMS1288"/>
    <s v="Federal"/>
    <m/>
    <m/>
    <m/>
    <s v="Federal"/>
    <s v="PAV"/>
    <s v="Três Lagoas"/>
  </r>
  <r>
    <x v="0"/>
    <s v="158BMS0530"/>
    <n v="0"/>
    <x v="140"/>
    <s v="0530"/>
    <n v="-51.724657639738197"/>
    <n v="-20.816301389897198"/>
    <n v="-52.033320460370902"/>
    <n v="-21.247138790422799"/>
    <s v="158"/>
    <s v="MS"/>
    <s v="Eixo Principal"/>
    <s v="-"/>
    <s v="158BMS0530"/>
    <s v="ENTR BR-262(B)"/>
    <s v="AV. ALBANO THOMÉ (BRASILÂNDIA)"/>
    <n v="278.89999999999998"/>
    <n v="338.4"/>
    <n v="59.5"/>
    <x v="2"/>
    <m/>
    <m/>
    <s v="Federal"/>
    <m/>
    <m/>
    <m/>
    <s v="Federal"/>
    <s v="PAV"/>
    <s v="Três Lagoas"/>
  </r>
  <r>
    <x v="0"/>
    <s v="158BMS0532"/>
    <n v="0"/>
    <x v="140"/>
    <s v="0532"/>
    <n v="-52.033320460370902"/>
    <n v="-21.247138790422799"/>
    <n v="-52.026075379874797"/>
    <n v="-21.2558079203991"/>
    <s v="158"/>
    <s v="MS"/>
    <s v="Eixo Principal"/>
    <s v="-"/>
    <s v="158BMS0532"/>
    <s v="AV. ALBANO THOMÉ (BRASILÂNDIA)"/>
    <s v="BRASILÂNDIA (FIM TRECHO URBANO) *TRECHO URBANO*"/>
    <n v="338.4"/>
    <n v="340.8"/>
    <n v="2.4"/>
    <x v="2"/>
    <m/>
    <m/>
    <s v="Federal"/>
    <m/>
    <m/>
    <m/>
    <s v="Federal"/>
    <s v="PAV"/>
    <s v="Três Lagoas"/>
  </r>
  <r>
    <x v="0"/>
    <s v="158BMS0535"/>
    <n v="0"/>
    <x v="140"/>
    <s v="0535"/>
    <n v="-52.026075379874797"/>
    <n v="-21.2558079203991"/>
    <n v="-51.862243729764202"/>
    <n v="-21.268974430425601"/>
    <s v="158"/>
    <s v="MS"/>
    <s v="Eixo Principal"/>
    <s v="-"/>
    <s v="158BMS0535"/>
    <s v="BRASILÂNDIA (FIM TRECHO URBANO)"/>
    <s v="DIV MS/SP (INÍCIO PONTE S/ RIO PARANÁ)"/>
    <n v="340.8"/>
    <n v="358.9"/>
    <n v="18.100000000000001"/>
    <x v="2"/>
    <m/>
    <m/>
    <s v="Federal"/>
    <m/>
    <m/>
    <m/>
    <s v="Federal"/>
    <s v="PAV"/>
    <s v="Três Lagoas"/>
  </r>
  <r>
    <x v="5"/>
    <s v="158BMT0170"/>
    <s v="BR-158/155 MT/PA"/>
    <x v="141"/>
    <s v="0170"/>
    <n v="-51.019703980154503"/>
    <n v="-9.7497801600263099"/>
    <n v="-51.122484850095702"/>
    <n v="-10.015725000008601"/>
    <s v="158"/>
    <s v="MT"/>
    <s v="Eixo Principal"/>
    <s v="-"/>
    <s v="158BMT0170"/>
    <s v="DIV PA/MT (INÍCIO DAS OBRAS DE PAVIMENTAÇÃO)"/>
    <s v="ENTR MT-431 (VILA RICA)"/>
    <n v="0"/>
    <n v="40"/>
    <n v="40"/>
    <x v="2"/>
    <m/>
    <m/>
    <s v="Federal"/>
    <m/>
    <m/>
    <m/>
    <s v="Federal"/>
    <s v="PAV"/>
    <s v="Água Boa"/>
  </r>
  <r>
    <x v="5"/>
    <s v="158BMT0180"/>
    <s v="BR-158/155 MT/PA"/>
    <x v="141"/>
    <s v="0180"/>
    <n v="-51.122484850095702"/>
    <n v="-10.015725000008601"/>
    <n v="-51.243753030278"/>
    <n v="-10.2900860095616"/>
    <s v="158"/>
    <s v="MT"/>
    <s v="Eixo Principal"/>
    <s v="-"/>
    <s v="158BMT0180"/>
    <s v="ENTR MT-431 (VILA RICA)"/>
    <s v="ENTR MT-413"/>
    <n v="40"/>
    <n v="85"/>
    <n v="45"/>
    <x v="5"/>
    <s v="EOP"/>
    <m/>
    <s v="Federal"/>
    <m/>
    <m/>
    <m/>
    <s v="Federal"/>
    <s v="N_PAV"/>
    <s v="Água Boa"/>
  </r>
  <r>
    <x v="5"/>
    <s v="158BMT0182"/>
    <s v="BR-158/155 MT/PA"/>
    <x v="141"/>
    <s v="0182"/>
    <n v="-51.243753030278"/>
    <n v="-10.2900860095616"/>
    <n v="-51.526358890350402"/>
    <n v="-10.605852039939601"/>
    <s v="158"/>
    <s v="MT"/>
    <s v="Eixo Principal"/>
    <s v="-"/>
    <s v="158BMT0182"/>
    <s v="ENTR MT-413"/>
    <s v="ENTR MT-432"/>
    <n v="85"/>
    <n v="138"/>
    <n v="53"/>
    <x v="2"/>
    <m/>
    <m/>
    <s v="Federal"/>
    <m/>
    <m/>
    <m/>
    <s v="Federal"/>
    <s v="PAV"/>
    <s v="Água Boa"/>
  </r>
  <r>
    <x v="5"/>
    <s v="158BMT0184"/>
    <s v="BR-158/155 MT/PA"/>
    <x v="141"/>
    <s v="0184"/>
    <n v="-51.526358890350402"/>
    <n v="-10.605852039939601"/>
    <n v="-51.570445560014498"/>
    <n v="-10.656998869702001"/>
    <s v="158"/>
    <s v="MT"/>
    <s v="Eixo Principal"/>
    <s v="-"/>
    <s v="158BMT0184"/>
    <s v="ENTR MT-432"/>
    <s v="ENTR MT-430 (CONFRESA)"/>
    <n v="138"/>
    <n v="143"/>
    <n v="5"/>
    <x v="2"/>
    <m/>
    <m/>
    <s v="Federal"/>
    <m/>
    <m/>
    <m/>
    <s v="Federal"/>
    <s v="PAV"/>
    <s v="Água Boa"/>
  </r>
  <r>
    <x v="5"/>
    <s v="158BMT0190"/>
    <s v="BR-158/155 MT/PA"/>
    <x v="141"/>
    <s v="0190"/>
    <n v="-51.570445560014498"/>
    <n v="-10.656998869702001"/>
    <n v="-51.632609479643698"/>
    <n v="-10.8731587196991"/>
    <s v="158"/>
    <s v="MT"/>
    <s v="Eixo Principal"/>
    <s v="-"/>
    <s v="158BMT0190"/>
    <s v="ENTR MT-430 (CONFRESA)"/>
    <s v="FIM PONTE S/RIO TAPIRAPÉ (PORTO ALEGRE DO NORTE)"/>
    <n v="143"/>
    <n v="169.4"/>
    <n v="26.4"/>
    <x v="2"/>
    <m/>
    <m/>
    <s v="Federal"/>
    <m/>
    <m/>
    <m/>
    <s v="Federal"/>
    <s v="PAV"/>
    <s v="Água Boa"/>
  </r>
  <r>
    <x v="5"/>
    <s v="158BMT0195"/>
    <s v="BR-158/155 MT/PA"/>
    <x v="141"/>
    <s v="0195"/>
    <n v="-51.632609479643698"/>
    <n v="-10.8731587196991"/>
    <n v="-51.645679479823997"/>
    <n v="-11.0239450803011"/>
    <s v="158"/>
    <s v="MT"/>
    <s v="Eixo Principal"/>
    <s v="-"/>
    <s v="158BMT0195"/>
    <s v="FIM PONTE S/RIO TAPIRAPÉ (PORTO ALEGRE DO NORTE)"/>
    <s v="ENTR MT-412 (P/CANABRAVA DO NORTE)"/>
    <n v="169.4"/>
    <n v="189"/>
    <n v="19.600000000000001"/>
    <x v="2"/>
    <m/>
    <m/>
    <s v="Federal"/>
    <m/>
    <m/>
    <m/>
    <s v="Federal"/>
    <s v="PAV"/>
    <s v="Água Boa"/>
  </r>
  <r>
    <x v="5"/>
    <s v="158BMT0200"/>
    <s v="BR-158/155 MT/PA"/>
    <x v="141"/>
    <s v="0200"/>
    <n v="-51.645679479823997"/>
    <n v="-11.0239450803011"/>
    <n v="-51.702742050005497"/>
    <n v="-11.1310302800233"/>
    <s v="158"/>
    <s v="MT"/>
    <s v="Eixo Principal"/>
    <s v="-"/>
    <s v="158BMT0200"/>
    <s v="ENTR MT-412 (P/CANABRAVA DO NORTE)"/>
    <s v="FIM DAS OBRAS DE PAVIMENTAÇÃO"/>
    <n v="189"/>
    <n v="201.2"/>
    <n v="12.2"/>
    <x v="2"/>
    <m/>
    <m/>
    <s v="Federal"/>
    <m/>
    <m/>
    <m/>
    <s v="Federal"/>
    <s v="PAV"/>
    <s v="Água Boa"/>
  </r>
  <r>
    <x v="5"/>
    <s v="158BMT0205"/>
    <s v="BR-158/155 MT/PA"/>
    <x v="141"/>
    <s v="0205"/>
    <n v="-51.702742050005497"/>
    <n v="-11.1310302800233"/>
    <n v="-51.624828469758"/>
    <n v="-11.703523169558499"/>
    <s v="158"/>
    <s v="MT"/>
    <s v="Eixo Principal"/>
    <s v="-"/>
    <s v="158BMT0205"/>
    <s v="FIM DAS OBRAS DE PAVIMENTAÇÃO"/>
    <s v="ENTR BR-242(A)/MT-424 (P/SÃO FÉLIX DO ARAGUAIA)"/>
    <n v="201.2"/>
    <n v="270"/>
    <n v="68.8"/>
    <x v="5"/>
    <m/>
    <m/>
    <s v="Federal"/>
    <m/>
    <m/>
    <m/>
    <s v="Federal"/>
    <s v="N_PAV"/>
    <s v="Água Boa"/>
  </r>
  <r>
    <x v="5"/>
    <s v="158BMT0210"/>
    <s v="BR-158/155 MT/PA"/>
    <x v="141"/>
    <s v="0210"/>
    <n v="-51.624828469758"/>
    <n v="-11.703523169558499"/>
    <n v="-51.730258180370598"/>
    <n v="-12.1161591201472"/>
    <s v="158"/>
    <s v="MT"/>
    <s v="Eixo Principal"/>
    <s v="-"/>
    <s v="158BMT0210"/>
    <s v="ENTR BR-242(A)/MT-424 (P/SÃO FÉLIX DO ARAGUAIA)"/>
    <s v="ENTR MT-322(A)"/>
    <n v="270"/>
    <n v="324.10000000000002"/>
    <n v="54.1"/>
    <x v="5"/>
    <m/>
    <s v="242BMT0555"/>
    <s v="Federal"/>
    <m/>
    <m/>
    <m/>
    <s v="Federal"/>
    <s v="N_PAV"/>
    <s v="Água Boa"/>
  </r>
  <r>
    <x v="5"/>
    <s v="158BMT0215"/>
    <s v="BR-158/155 MT/PA"/>
    <x v="141"/>
    <s v="0215"/>
    <n v="-51.730258180370598"/>
    <n v="-12.1161591201472"/>
    <n v="-51.699453249967398"/>
    <n v="-12.1628315601283"/>
    <s v="158"/>
    <s v="MT"/>
    <s v="Eixo Principal"/>
    <s v="-"/>
    <s v="158BMT0215"/>
    <s v="ENTR MT-322(A)"/>
    <s v="ENTR MT-322(B)/433 (ALÔ BRASIL)"/>
    <n v="324.10000000000002"/>
    <n v="330.6"/>
    <n v="6.5"/>
    <x v="2"/>
    <m/>
    <s v="242BMT0560"/>
    <s v="Federal"/>
    <m/>
    <m/>
    <m/>
    <s v="Federal"/>
    <s v="PAV"/>
    <s v="Água Boa"/>
  </r>
  <r>
    <x v="5"/>
    <s v="158BMT0220"/>
    <s v="BR-158/155 MT/PA"/>
    <x v="141"/>
    <s v="0220"/>
    <n v="-51.699453249967398"/>
    <n v="-12.1628315601283"/>
    <n v="-51.784956580381802"/>
    <n v="-12.7363057404175"/>
    <s v="158"/>
    <s v="MT"/>
    <s v="Eixo Principal"/>
    <s v="-"/>
    <s v="158BMT0220"/>
    <s v="ENTR MT-322(B)/433 (ALÔ BRASIL)"/>
    <s v="ENTR BR-242(B)/MT-243 (P/QUERÊNCIA)"/>
    <n v="330.6"/>
    <n v="395.6"/>
    <n v="65"/>
    <x v="2"/>
    <m/>
    <s v="242BMT0565"/>
    <s v="Federal"/>
    <m/>
    <m/>
    <m/>
    <s v="Federal"/>
    <s v="PAV"/>
    <s v="Água Boa"/>
  </r>
  <r>
    <x v="5"/>
    <s v="158BMT0225"/>
    <s v="BR-158/155 MT/PA"/>
    <x v="141"/>
    <s v="0225"/>
    <n v="-51.784956580381802"/>
    <n v="-12.7363057404175"/>
    <n v="-51.822242379781898"/>
    <n v="-12.9294986302575"/>
    <s v="158"/>
    <s v="MT"/>
    <s v="Eixo Principal"/>
    <s v="-"/>
    <s v="158BMT0225"/>
    <s v="ENTR BR-242(B)/MT-243 (P/QUERÊNCIA)"/>
    <s v="INÍCIO PISTA DUPLA (RIBEIRÃO CASCALHEIRA)"/>
    <n v="395.6"/>
    <n v="420.9"/>
    <n v="25.3"/>
    <x v="2"/>
    <m/>
    <m/>
    <s v="Federal"/>
    <m/>
    <m/>
    <m/>
    <s v="Federal"/>
    <s v="PAV"/>
    <s v="Água Boa"/>
  </r>
  <r>
    <x v="5"/>
    <s v="158BMT0230"/>
    <s v="BR-158/155 MT/PA"/>
    <x v="141"/>
    <s v="0230"/>
    <n v="-51.822242379781898"/>
    <n v="-12.9294986302575"/>
    <n v="-51.853766230027396"/>
    <n v="-12.954271849965799"/>
    <s v="158"/>
    <s v="MT"/>
    <s v="Eixo Principal"/>
    <s v="-"/>
    <s v="158BMT0230"/>
    <s v="INÍCIO PISTA DUPLA (RIBEIRÃO CASCALHEIRA)"/>
    <s v="ENTR BR-080 (VILA RIBERÃO BONITO)"/>
    <n v="420.9"/>
    <n v="424.4"/>
    <n v="3.5"/>
    <x v="2"/>
    <m/>
    <m/>
    <s v="Federal"/>
    <m/>
    <m/>
    <m/>
    <s v="Federal"/>
    <s v="PAV"/>
    <s v="Água Boa"/>
  </r>
  <r>
    <x v="0"/>
    <s v="158BMT0235"/>
    <n v="0"/>
    <x v="141"/>
    <s v="0235"/>
    <n v="-51.853766230027396"/>
    <n v="-12.954271849965799"/>
    <n v="-51.979319349708099"/>
    <n v="-13.2846223100714"/>
    <s v="158"/>
    <s v="MT"/>
    <s v="Eixo Principal"/>
    <s v="-"/>
    <s v="158BMT0235"/>
    <s v="ENTR BR-080 (VILA RIBERÃO BONITO)"/>
    <s v="ENTR MT-020 (DONA ROSA)"/>
    <n v="424.4"/>
    <n v="478.8"/>
    <n v="54.4"/>
    <x v="2"/>
    <m/>
    <m/>
    <s v="Federal"/>
    <m/>
    <m/>
    <m/>
    <s v="Federal"/>
    <s v="PAV"/>
    <s v="Água Boa"/>
  </r>
  <r>
    <x v="0"/>
    <s v="158BMT0240"/>
    <n v="0"/>
    <x v="141"/>
    <s v="0240"/>
    <n v="-51.979319349708099"/>
    <n v="-13.2846223100714"/>
    <n v="-51.915635940046499"/>
    <n v="-13.517259130304501"/>
    <s v="158"/>
    <s v="MT"/>
    <s v="Eixo Principal"/>
    <s v="-"/>
    <s v="158BMT0240"/>
    <s v="ENTR MT-020 (DONA ROSA)"/>
    <s v="MATINHA"/>
    <n v="478.8"/>
    <n v="499.3"/>
    <n v="20.5"/>
    <x v="2"/>
    <m/>
    <m/>
    <s v="Federal"/>
    <m/>
    <m/>
    <m/>
    <s v="Federal"/>
    <s v="PAV"/>
    <s v="Água Boa"/>
  </r>
  <r>
    <x v="0"/>
    <s v="158BMT0242"/>
    <n v="0"/>
    <x v="141"/>
    <s v="0242"/>
    <n v="-51.915635940046499"/>
    <n v="-13.517259130304501"/>
    <n v="-51.963476680304403"/>
    <n v="-13.6456699600005"/>
    <s v="158"/>
    <s v="MT"/>
    <s v="Eixo Principal"/>
    <s v="-"/>
    <s v="158BMT0242"/>
    <s v="MATINHA"/>
    <s v="ENTR MT-326(A) (P/CANARANA)"/>
    <n v="499.3"/>
    <n v="514.79999999999995"/>
    <n v="15.5"/>
    <x v="2"/>
    <m/>
    <m/>
    <s v="Federal"/>
    <m/>
    <m/>
    <m/>
    <s v="Federal"/>
    <s v="PAV"/>
    <s v="Água Boa"/>
  </r>
  <r>
    <x v="0"/>
    <s v="158BMT0245"/>
    <n v="0"/>
    <x v="141"/>
    <s v="0245"/>
    <n v="-51.963476680304403"/>
    <n v="-13.6456699600005"/>
    <n v="-52.025607530063397"/>
    <n v="-13.7076943902838"/>
    <s v="158"/>
    <s v="MT"/>
    <s v="Eixo Principal"/>
    <s v="-"/>
    <s v="158BMT0245"/>
    <s v="ENTR MT-326(A) (P/CANARANA)"/>
    <s v="SERRA DOURADA"/>
    <n v="514.79999999999995"/>
    <n v="524.6"/>
    <n v="9.8000000000000007"/>
    <x v="2"/>
    <m/>
    <m/>
    <s v="Federal"/>
    <m/>
    <m/>
    <m/>
    <s v="Federal"/>
    <s v="PAV"/>
    <s v="Água Boa"/>
  </r>
  <r>
    <x v="0"/>
    <s v="158BMT0250"/>
    <n v="0"/>
    <x v="141"/>
    <s v="0250"/>
    <n v="-52.025607530063397"/>
    <n v="-13.7076943902838"/>
    <n v="-52.040781159622703"/>
    <n v="-13.780089029884699"/>
    <s v="158"/>
    <s v="MT"/>
    <s v="Eixo Principal"/>
    <s v="-"/>
    <s v="158BMT0250"/>
    <s v="SERRA DOURADA"/>
    <s v="ENTR MT-326(B)"/>
    <n v="524.6"/>
    <n v="533"/>
    <n v="8.4"/>
    <x v="2"/>
    <m/>
    <m/>
    <s v="Federal"/>
    <m/>
    <m/>
    <m/>
    <s v="Federal"/>
    <s v="PAV"/>
    <s v="Água Boa"/>
  </r>
  <r>
    <x v="0"/>
    <s v="158BMT0255"/>
    <n v="0"/>
    <x v="141"/>
    <s v="0255"/>
    <n v="-52.040781159622703"/>
    <n v="-13.780089029884699"/>
    <n v="-52.1567252004076"/>
    <n v="-14.027864559901399"/>
    <s v="158"/>
    <s v="MT"/>
    <s v="Eixo Principal"/>
    <s v="-"/>
    <s v="158BMT0255"/>
    <s v="ENTR MT-326(B)"/>
    <s v="ENTR MT-240"/>
    <n v="533"/>
    <n v="564.9"/>
    <n v="31.9"/>
    <x v="2"/>
    <m/>
    <m/>
    <s v="Federal"/>
    <m/>
    <m/>
    <m/>
    <s v="Federal"/>
    <s v="PAV"/>
    <s v="Água Boa"/>
  </r>
  <r>
    <x v="0"/>
    <s v="158BMT0260"/>
    <n v="0"/>
    <x v="141"/>
    <s v="0260"/>
    <n v="-52.1567252004076"/>
    <n v="-14.027864559901399"/>
    <n v="-52.154488199770498"/>
    <n v="-14.0579793298821"/>
    <s v="158"/>
    <s v="MT"/>
    <s v="Eixo Principal"/>
    <s v="-"/>
    <s v="158BMT0260"/>
    <s v="ENTR MT-240"/>
    <s v="ENTR AV. JÚLIO CAMPOS (ÁGUA BOA)"/>
    <n v="564.9"/>
    <n v="568.29999999999995"/>
    <n v="3.4"/>
    <x v="2"/>
    <m/>
    <m/>
    <s v="Federal"/>
    <m/>
    <m/>
    <m/>
    <s v="Federal"/>
    <s v="PAV"/>
    <s v="Água Boa"/>
  </r>
  <r>
    <x v="0"/>
    <s v="158BMT0262"/>
    <n v="0"/>
    <x v="141"/>
    <s v="0262"/>
    <n v="-52.154488199770498"/>
    <n v="-14.0579793298821"/>
    <n v="-52.365951870082696"/>
    <n v="-14.535761819652199"/>
    <s v="158"/>
    <s v="MT"/>
    <s v="Eixo Principal"/>
    <s v="-"/>
    <s v="158BMT0262"/>
    <s v="ENTR AV. JÚLIO CAMPOS (ÁGUA BOA)"/>
    <s v="ENTR MT-414 (BAR CACHOEIRA)"/>
    <n v="568.29999999999995"/>
    <n v="637.29999999999995"/>
    <n v="69"/>
    <x v="2"/>
    <m/>
    <m/>
    <s v="Federal"/>
    <m/>
    <m/>
    <m/>
    <s v="Federal"/>
    <s v="PAV"/>
    <s v="Água Boa"/>
  </r>
  <r>
    <x v="0"/>
    <s v="158BMT0264"/>
    <n v="0"/>
    <x v="141"/>
    <s v="0264"/>
    <n v="-52.365951870082696"/>
    <n v="-14.535761819652199"/>
    <n v="-52.35888445965"/>
    <n v="-14.6062345495847"/>
    <s v="158"/>
    <s v="MT"/>
    <s v="Eixo Principal"/>
    <s v="-"/>
    <s v="158BMT0264"/>
    <s v="ENTR MT-414 (BAR CACHOEIRA)"/>
    <s v="ENTR BR-251(A)"/>
    <n v="637.29999999999995"/>
    <n v="645"/>
    <n v="7.7"/>
    <x v="2"/>
    <m/>
    <m/>
    <s v="Federal"/>
    <m/>
    <m/>
    <m/>
    <s v="Federal"/>
    <s v="PAV"/>
    <s v="Água Boa"/>
  </r>
  <r>
    <x v="0"/>
    <s v="158BMT0265"/>
    <n v="0"/>
    <x v="141"/>
    <s v="0265"/>
    <n v="-52.35888445965"/>
    <n v="-14.6062345495847"/>
    <n v="-52.356802240431001"/>
    <n v="-14.6450777796158"/>
    <s v="158"/>
    <s v="MT"/>
    <s v="Eixo Principal"/>
    <s v="-"/>
    <s v="158BMT0265"/>
    <s v="ENTR BR-251(A)"/>
    <s v="INÍCIO TRECHO URBANO (NOVA XAVANTINA)"/>
    <n v="645"/>
    <n v="649.29999999999995"/>
    <n v="4.3"/>
    <x v="2"/>
    <m/>
    <s v="251BMT0975"/>
    <s v="Federal"/>
    <m/>
    <m/>
    <m/>
    <s v="Federal"/>
    <s v="PAV"/>
    <s v="Água Boa"/>
  </r>
  <r>
    <x v="0"/>
    <s v="158BMT0266"/>
    <n v="0"/>
    <x v="141"/>
    <s v="0266"/>
    <n v="-52.356802240431001"/>
    <n v="-14.6450777796158"/>
    <n v="-52.358968909587396"/>
    <n v="-14.6775010202558"/>
    <s v="158"/>
    <s v="MT"/>
    <s v="Eixo Principal"/>
    <s v="-"/>
    <s v="158BMT0266"/>
    <s v="INÍCIO TRECHO URBANO (NOVA XAVANTINA)"/>
    <s v="ENTR BR-251(B)/MT-107 (NOVA XAVANTINA)"/>
    <n v="649.29999999999995"/>
    <n v="653"/>
    <n v="3.7"/>
    <x v="2"/>
    <m/>
    <s v="251BMT0970"/>
    <s v="Federal"/>
    <m/>
    <m/>
    <m/>
    <s v="Federal"/>
    <s v="PAV"/>
    <s v="Água Boa"/>
  </r>
  <r>
    <x v="0"/>
    <s v="158BMT0270"/>
    <n v="0"/>
    <x v="141"/>
    <s v="0270"/>
    <n v="-52.358968909587396"/>
    <n v="-14.6775010202558"/>
    <n v="-52.239070879817199"/>
    <n v="-15.031419220020901"/>
    <s v="158"/>
    <s v="MT"/>
    <s v="Eixo Principal"/>
    <s v="-"/>
    <s v="158BMT0270"/>
    <s v="ENTR BR-251(B)/MT-107 (NOVA XAVANTINA)"/>
    <s v="FIM DA PONTE S/RIO PINDAÍBA"/>
    <n v="653"/>
    <n v="697"/>
    <n v="44"/>
    <x v="2"/>
    <m/>
    <m/>
    <s v="Federal"/>
    <m/>
    <m/>
    <m/>
    <s v="Federal"/>
    <s v="PAV"/>
    <s v="Água Boa"/>
  </r>
  <r>
    <x v="0"/>
    <s v="158BMT0272"/>
    <n v="0"/>
    <x v="141"/>
    <s v="0272"/>
    <n v="-52.239070879817199"/>
    <n v="-15.031419220020901"/>
    <n v="-52.2004425796612"/>
    <n v="-15.3830127001759"/>
    <s v="158"/>
    <s v="MT"/>
    <s v="Eixo Principal"/>
    <s v="-"/>
    <s v="158BMT0272"/>
    <s v="FIM DA PONTE S/RIO PINDAÍBA"/>
    <s v="FIM DA PONTE S/CÓRREGO MATRINXÃ (VALE DO SONHO)"/>
    <n v="697"/>
    <n v="738.5"/>
    <n v="41.5"/>
    <x v="2"/>
    <m/>
    <m/>
    <s v="Federal"/>
    <m/>
    <m/>
    <m/>
    <s v="Federal"/>
    <s v="PAV"/>
    <s v="Água Boa"/>
  </r>
  <r>
    <x v="0"/>
    <s v="158BMT0280"/>
    <n v="0"/>
    <x v="141"/>
    <s v="0280"/>
    <n v="-52.2004425796612"/>
    <n v="-15.3830127001759"/>
    <n v="-52.253497720443399"/>
    <n v="-15.7217809504304"/>
    <s v="158"/>
    <s v="MT"/>
    <s v="Eixo Principal"/>
    <s v="-"/>
    <s v="158BMT0280"/>
    <s v="FIM DA PONTE S/CÓRREGO MATRINXÃ (VALE DO SONHO)"/>
    <s v="ENTR MT-336"/>
    <n v="738.5"/>
    <n v="777.1"/>
    <n v="38.6"/>
    <x v="2"/>
    <m/>
    <m/>
    <s v="Federal"/>
    <m/>
    <m/>
    <m/>
    <s v="Federal"/>
    <s v="PAV"/>
    <s v="Água Boa"/>
  </r>
  <r>
    <x v="0"/>
    <s v="158BMT0282"/>
    <n v="0"/>
    <x v="141"/>
    <s v="0282"/>
    <n v="-52.253497720443399"/>
    <n v="-15.7217809504304"/>
    <n v="-52.314053279934797"/>
    <n v="-15.878559279786799"/>
    <s v="158"/>
    <s v="MT"/>
    <s v="Eixo Principal"/>
    <s v="-"/>
    <s v="158BMT0282"/>
    <s v="ENTR MT-336"/>
    <s v="ENTR BR-070(A) (INÍCIO DA DUPLICAÇÃO)"/>
    <n v="777.1"/>
    <n v="796.5"/>
    <n v="19.399999999999999"/>
    <x v="2"/>
    <m/>
    <m/>
    <s v="Federal"/>
    <m/>
    <m/>
    <m/>
    <s v="Federal"/>
    <s v="PAV"/>
    <s v="Água Boa"/>
  </r>
  <r>
    <x v="0"/>
    <s v="158BMT0288"/>
    <n v="0"/>
    <x v="141"/>
    <s v="0288"/>
    <n v="-52.314053279934797"/>
    <n v="-15.878559279786799"/>
    <n v="-52.273076439825701"/>
    <n v="-15.8842195596848"/>
    <s v="158"/>
    <s v="MT"/>
    <s v="Eixo Principal"/>
    <s v="Coinc"/>
    <s v="158BMT0288"/>
    <s v="ENTR BR-070(A) (INÍCIO DA DUPLICAÇÃO)"/>
    <s v="FIM DA DUPLICAÇÃO *TRECHO URBANO*"/>
    <n v="796.5"/>
    <n v="800.5"/>
    <n v="4"/>
    <x v="0"/>
    <m/>
    <s v="070BMT0295"/>
    <s v="Federal"/>
    <m/>
    <m/>
    <m/>
    <s v="Federal"/>
    <s v="PAV"/>
    <s v="Campo Verde"/>
  </r>
  <r>
    <x v="0"/>
    <s v="158BMT0292"/>
    <n v="0"/>
    <x v="141"/>
    <s v="0292"/>
    <n v="-52.273076439825701"/>
    <n v="-15.8842195596848"/>
    <n v="-52.2537098597222"/>
    <n v="-15.8956466198955"/>
    <s v="158"/>
    <s v="MT"/>
    <s v="Eixo Principal"/>
    <s v="Coinc"/>
    <s v="158BMT0292"/>
    <s v="FIM DA DUPLICAÇÃO"/>
    <s v="ENTR BR-070(B) (DIV MT/GO) (ARAGARÇAS)"/>
    <n v="800.5"/>
    <n v="803.2"/>
    <n v="2.7"/>
    <x v="2"/>
    <m/>
    <s v="070BMT0290"/>
    <s v="Federal"/>
    <m/>
    <m/>
    <m/>
    <s v="Federal"/>
    <s v="PAV"/>
    <s v="Campo Verde"/>
  </r>
  <r>
    <x v="0"/>
    <s v="158BPA0010"/>
    <n v="0"/>
    <x v="142"/>
    <s v="0010"/>
    <n v="-52.179405589795998"/>
    <n v="-3.1737346699190399"/>
    <n v="-52.1698506303022"/>
    <n v="-3.2086004998131399"/>
    <s v="158"/>
    <s v="PA"/>
    <s v="Eixo Principal"/>
    <s v="-"/>
    <s v="158BPA0010"/>
    <s v="ENTR BR-230(A)/PA-415 (ALTAMIRA)"/>
    <s v="INICIO TRAV. RIO XINGU"/>
    <n v="0"/>
    <n v="15"/>
    <n v="15"/>
    <x v="1"/>
    <m/>
    <m/>
    <s v="Federal"/>
    <m/>
    <m/>
    <m/>
    <s v="Federal"/>
    <s v="PLA"/>
    <s v="Altamira"/>
  </r>
  <r>
    <x v="0"/>
    <s v="158BPA0030"/>
    <n v="0"/>
    <x v="142"/>
    <s v="0030"/>
    <n v="-52.1698506303022"/>
    <n v="-3.2086004998131399"/>
    <n v="-52.164242629793399"/>
    <n v="-3.2290639704258401"/>
    <s v="158"/>
    <s v="PA"/>
    <s v="Eixo Principal"/>
    <s v="-"/>
    <s v="158BPA0030"/>
    <s v="INICIO TRAV. RIO XINGU"/>
    <s v="FIM TRAVESSIA RIO XINGU"/>
    <n v="15"/>
    <n v="17.5"/>
    <n v="2.5"/>
    <x v="4"/>
    <m/>
    <m/>
    <s v="Federal"/>
    <m/>
    <m/>
    <m/>
    <s v="Federal"/>
    <s v="N_PAV"/>
    <s v="Altamira"/>
  </r>
  <r>
    <x v="0"/>
    <s v="158BPA0040"/>
    <n v="0"/>
    <x v="142"/>
    <s v="0040"/>
    <n v="-52.164242629793399"/>
    <n v="-3.2290639704258401"/>
    <n v="-51.862188141769302"/>
    <n v="-3.9592577768248698"/>
    <s v="158"/>
    <s v="PA"/>
    <s v="Eixo Principal"/>
    <s v="-"/>
    <s v="158BPA0040"/>
    <s v="FIM TRAVESSIA RIO XINGU"/>
    <s v="RIO ITATA"/>
    <n v="17.5"/>
    <n v="107.5"/>
    <n v="90"/>
    <x v="1"/>
    <m/>
    <m/>
    <s v="Federal"/>
    <m/>
    <m/>
    <m/>
    <s v="Federal"/>
    <s v="PLA"/>
    <s v="Altamira"/>
  </r>
  <r>
    <x v="0"/>
    <s v="158BPA0050"/>
    <n v="0"/>
    <x v="142"/>
    <s v="0050"/>
    <n v="-51.862188141769302"/>
    <n v="-3.9592577768248698"/>
    <n v="-51.365884379760303"/>
    <n v="-4.5286806803690602"/>
    <s v="158"/>
    <s v="PA"/>
    <s v="Eixo Principal"/>
    <s v="-"/>
    <s v="158BPA0050"/>
    <s v="RIO ITATA"/>
    <s v="RIO BACAJÁ"/>
    <n v="107.5"/>
    <n v="192.5"/>
    <n v="85"/>
    <x v="1"/>
    <m/>
    <m/>
    <s v="Federal"/>
    <m/>
    <m/>
    <m/>
    <s v="Federal"/>
    <s v="PLA"/>
    <s v="Altamira"/>
  </r>
  <r>
    <x v="0"/>
    <s v="158BPA0060"/>
    <n v="0"/>
    <x v="142"/>
    <s v="0060"/>
    <n v="-51.365884379760303"/>
    <n v="-4.5286806803690602"/>
    <n v="-51.149222270091599"/>
    <n v="-5.3928542000612598"/>
    <s v="158"/>
    <s v="PA"/>
    <s v="Eixo Principal"/>
    <s v="-"/>
    <s v="158BPA0060"/>
    <s v="RIO BACAJÁ"/>
    <s v="ENTR BR-222"/>
    <n v="192.5"/>
    <n v="282.5"/>
    <n v="90"/>
    <x v="1"/>
    <m/>
    <m/>
    <s v="Federal"/>
    <m/>
    <m/>
    <m/>
    <s v="Federal"/>
    <s v="PLA"/>
    <s v="Altamira"/>
  </r>
  <r>
    <x v="0"/>
    <s v="158BPA0070"/>
    <n v="0"/>
    <x v="142"/>
    <s v="0070"/>
    <n v="-51.149222270091599"/>
    <n v="-5.3928542000612598"/>
    <n v="-51.086375493434197"/>
    <n v="-6.1713293326824896"/>
    <s v="158"/>
    <s v="PA"/>
    <s v="Eixo Principal"/>
    <s v="-"/>
    <s v="158BPA0070"/>
    <s v="ENTR BR-222"/>
    <s v="IGARAPÉ SÃO JOSÉ"/>
    <n v="282.5"/>
    <n v="367.5"/>
    <n v="85"/>
    <x v="1"/>
    <m/>
    <m/>
    <s v="Federal"/>
    <m/>
    <m/>
    <m/>
    <s v="Federal"/>
    <s v="PLA"/>
    <s v="Redenção"/>
  </r>
  <r>
    <x v="0"/>
    <s v="158BPA0080"/>
    <n v="0"/>
    <x v="142"/>
    <s v="0080"/>
    <n v="-51.086375493434197"/>
    <n v="-6.1713293326824896"/>
    <n v="-51.021136619959002"/>
    <n v="-6.9035320500640296"/>
    <s v="158"/>
    <s v="PA"/>
    <s v="Eixo Principal"/>
    <s v="-"/>
    <s v="158BPA0080"/>
    <s v="IGARAPÉ SÃO JOSÉ"/>
    <s v="ENTR PA-279 (OURILÂNDIA)"/>
    <n v="367.5"/>
    <n v="447.5"/>
    <n v="80"/>
    <x v="1"/>
    <m/>
    <m/>
    <s v="Federal"/>
    <m/>
    <m/>
    <m/>
    <s v="Federal"/>
    <s v="PLA"/>
    <s v="Redenção"/>
  </r>
  <r>
    <x v="0"/>
    <s v="158BPA0090"/>
    <n v="0"/>
    <x v="142"/>
    <s v="0090"/>
    <n v="-51.021136619959002"/>
    <n v="-6.9035320500640296"/>
    <n v="-50.6030897238116"/>
    <n v="-7.5801002568213596"/>
    <s v="158"/>
    <s v="PA"/>
    <s v="Eixo Principal"/>
    <s v="-"/>
    <s v="158BPA0090"/>
    <s v="ENTR PA-279 (OURILÂNDIA)"/>
    <s v="IGARAPÉ JUAN"/>
    <n v="447.5"/>
    <n v="522.5"/>
    <n v="75"/>
    <x v="1"/>
    <m/>
    <m/>
    <s v="Federal"/>
    <m/>
    <m/>
    <m/>
    <s v="Federal"/>
    <s v="PLA"/>
    <s v="Redenção"/>
  </r>
  <r>
    <x v="0"/>
    <s v="158BPA0100"/>
    <n v="0"/>
    <x v="142"/>
    <s v="0100"/>
    <n v="-50.6030897238116"/>
    <n v="-7.5801002568213596"/>
    <n v="-50.0470131299519"/>
    <n v="-8.0394082597833201"/>
    <s v="158"/>
    <s v="PA"/>
    <s v="Eixo Principal"/>
    <s v="-"/>
    <s v="158BPA0100"/>
    <s v="IGARAPÉ JUAN"/>
    <s v="ENTR BR-155 (P/REDENÇÃO)"/>
    <n v="522.5"/>
    <n v="590.5"/>
    <n v="68"/>
    <x v="1"/>
    <m/>
    <m/>
    <s v="Federal"/>
    <m/>
    <m/>
    <m/>
    <s v="Federal"/>
    <s v="PLA"/>
    <s v="Redenção"/>
  </r>
  <r>
    <x v="5"/>
    <s v="158BPA0110"/>
    <s v="BR-158/155 MT/PA"/>
    <x v="142"/>
    <s v="0110"/>
    <n v="-50.0470131299519"/>
    <n v="-8.0394082597833201"/>
    <n v="-50.189166050173"/>
    <n v="-8.0344657297096003"/>
    <s v="158"/>
    <s v="PA"/>
    <s v="Eixo Principal"/>
    <s v="-"/>
    <s v="158BPA0110"/>
    <s v="ENTR BR-155 (P/REDENÇÃO)"/>
    <s v="ENTR PA-287 (P/CUMARU DO NORTE)"/>
    <n v="590.5"/>
    <n v="606.9"/>
    <n v="16.399999999999999"/>
    <x v="2"/>
    <m/>
    <m/>
    <s v="Federal"/>
    <m/>
    <m/>
    <m/>
    <s v="Federal"/>
    <s v="PAV"/>
    <s v="Redenção"/>
  </r>
  <r>
    <x v="5"/>
    <s v="158BPA0113"/>
    <s v="BR-158/155 MT/PA"/>
    <x v="142"/>
    <s v="0113"/>
    <n v="-50.189166050173"/>
    <n v="-8.0344657297096003"/>
    <n v="-50.295286379862397"/>
    <n v="-8.2336485603327603"/>
    <s v="158"/>
    <s v="PA"/>
    <s v="Eixo Principal"/>
    <s v="-"/>
    <s v="158BPA0113"/>
    <s v="ENTR PA-287 (P/CUMARU DO NORTE)"/>
    <s v="DIV REDENÇÃO/STA MARIA DAS BARREIRAS"/>
    <n v="606.9"/>
    <n v="632.6"/>
    <n v="25.7"/>
    <x v="2"/>
    <m/>
    <m/>
    <s v="Federal"/>
    <m/>
    <m/>
    <m/>
    <s v="Federal"/>
    <s v="PAV"/>
    <s v="Redenção"/>
  </r>
  <r>
    <x v="5"/>
    <s v="158BPA0115"/>
    <s v="BR-158/155 MT/PA"/>
    <x v="142"/>
    <s v="0115"/>
    <n v="-50.295286379862397"/>
    <n v="-8.2336485603327603"/>
    <n v="-50.469606580179502"/>
    <n v="-8.7787866596765394"/>
    <s v="158"/>
    <s v="PA"/>
    <s v="Eixo Principal"/>
    <s v="-"/>
    <s v="158BPA0115"/>
    <s v="DIV REDENÇÃO/STA MARIA DAS BARREIRAS"/>
    <s v="ENTR BR-235"/>
    <n v="632.6"/>
    <n v="699"/>
    <n v="66.400000000000006"/>
    <x v="2"/>
    <m/>
    <m/>
    <s v="Federal"/>
    <m/>
    <m/>
    <m/>
    <s v="Federal"/>
    <s v="PAV"/>
    <s v="Redenção"/>
  </r>
  <r>
    <x v="5"/>
    <s v="158BPA0120"/>
    <s v="BR-158/155 MT/PA"/>
    <x v="142"/>
    <s v="0120"/>
    <n v="-50.469606580179502"/>
    <n v="-8.7787866596765394"/>
    <n v="-50.310402770271502"/>
    <n v="-9.2478371595572"/>
    <s v="158"/>
    <s v="PA"/>
    <s v="Eixo Principal"/>
    <s v="-"/>
    <s v="158BPA0120"/>
    <s v="ENTR BR-235"/>
    <s v="ENTR PA-411"/>
    <n v="699"/>
    <n v="764"/>
    <n v="65"/>
    <x v="2"/>
    <m/>
    <m/>
    <s v="Federal"/>
    <m/>
    <m/>
    <m/>
    <s v="Federal"/>
    <s v="PAV"/>
    <s v="Redenção"/>
  </r>
  <r>
    <x v="5"/>
    <s v="158BPA0130"/>
    <s v="BR-158/155 MT/PA"/>
    <x v="142"/>
    <s v="0130"/>
    <n v="-50.310402770271502"/>
    <n v="-9.2478371595572"/>
    <n v="-50.321705519893698"/>
    <n v="-9.3435774098695106"/>
    <s v="158"/>
    <s v="PA"/>
    <s v="Eixo Principal"/>
    <s v="-"/>
    <s v="158BPA0130"/>
    <s v="ENTR PA-411"/>
    <s v="SANTANA DO ARAGUAIA"/>
    <n v="764"/>
    <n v="777.6"/>
    <n v="13.6"/>
    <x v="2"/>
    <m/>
    <m/>
    <s v="Federal"/>
    <m/>
    <m/>
    <m/>
    <s v="Federal"/>
    <s v="PAV"/>
    <s v="Redenção"/>
  </r>
  <r>
    <x v="5"/>
    <s v="158BPA0140"/>
    <s v="BR-158/155 MT/PA"/>
    <x v="142"/>
    <s v="0140"/>
    <n v="-50.321705519893698"/>
    <n v="-9.3435774098695106"/>
    <n v="-50.866091160078902"/>
    <n v="-9.5428090700824502"/>
    <s v="158"/>
    <s v="PA"/>
    <s v="Eixo Principal"/>
    <s v="-"/>
    <s v="158BPA0140"/>
    <s v="SANTANA DO ARAGUAIA"/>
    <s v="VILA MANDII"/>
    <n v="777.6"/>
    <n v="856.7"/>
    <n v="79.099999999999994"/>
    <x v="2"/>
    <m/>
    <m/>
    <s v="Federal"/>
    <m/>
    <m/>
    <m/>
    <s v="Federal"/>
    <s v="PAV"/>
    <s v="Redenção"/>
  </r>
  <r>
    <x v="5"/>
    <s v="158BPA0150"/>
    <s v="BR-158/155 MT/PA"/>
    <x v="142"/>
    <s v="0150"/>
    <n v="-50.866091160078902"/>
    <n v="-9.5428090700824502"/>
    <n v="-51.019703980154503"/>
    <n v="-9.7497801600263099"/>
    <s v="158"/>
    <s v="PA"/>
    <s v="Eixo Principal"/>
    <s v="-"/>
    <s v="158BPA0150"/>
    <s v="VILA MANDII"/>
    <s v="DIV PA/MT"/>
    <n v="856.7"/>
    <n v="889.6"/>
    <n v="32.9"/>
    <x v="2"/>
    <m/>
    <m/>
    <s v="Federal"/>
    <m/>
    <m/>
    <m/>
    <s v="Federal"/>
    <s v="PAV"/>
    <s v="Redenção"/>
  </r>
  <r>
    <x v="0"/>
    <s v="158BPR0710"/>
    <n v="0"/>
    <x v="143"/>
    <s v="0710"/>
    <n v="-52.149956540262103"/>
    <n v="-22.556654550367099"/>
    <n v="-52.1986776700384"/>
    <n v="-22.752281990421402"/>
    <s v="158"/>
    <s v="PR"/>
    <s v="Eixo Principal"/>
    <s v="-"/>
    <s v="158BPR0710"/>
    <s v="DIV SP/PR"/>
    <s v="ENTR PR-470 (INAJÁ)"/>
    <n v="0"/>
    <n v="34"/>
    <n v="34"/>
    <x v="1"/>
    <m/>
    <m/>
    <s v="Federal"/>
    <m/>
    <m/>
    <m/>
    <s v="Federal"/>
    <s v="PLA"/>
    <s v="Campo Mourão"/>
  </r>
  <r>
    <x v="0"/>
    <s v="158BPR0730"/>
    <n v="0"/>
    <x v="143"/>
    <s v="0730"/>
    <n v="-52.1986776700384"/>
    <n v="-22.752281990421402"/>
    <n v="-52.335879270212097"/>
    <n v="-22.859380150273601"/>
    <s v="158"/>
    <s v="PR"/>
    <s v="Eixo Principal"/>
    <s v="-"/>
    <s v="158BPR0730"/>
    <s v="ENTR PR-470 (INAJÁ)"/>
    <s v="ENTR PR-476/556 (SÃO JOÃO DO CAIUÁ)"/>
    <n v="34"/>
    <n v="56"/>
    <n v="22"/>
    <x v="1"/>
    <m/>
    <m/>
    <s v="Federal"/>
    <m/>
    <m/>
    <m/>
    <s v="Federal"/>
    <s v="PLA"/>
    <s v="Campo Mourão"/>
  </r>
  <r>
    <x v="0"/>
    <s v="158BPR0770"/>
    <n v="0"/>
    <x v="143"/>
    <s v="0770"/>
    <n v="-52.335879270212097"/>
    <n v="-22.859380150273601"/>
    <n v="-52.395643900245702"/>
    <n v="-23.088621740201098"/>
    <s v="158"/>
    <s v="PR"/>
    <s v="Eixo Principal"/>
    <s v="-"/>
    <s v="158BPR0770"/>
    <s v="ENTR PR-476/556 (SÃO JOÃO DO CAIUÁ)"/>
    <s v="ENTR BR-376(A) (P/SUMARÉ)"/>
    <n v="56"/>
    <n v="85"/>
    <n v="29"/>
    <x v="1"/>
    <m/>
    <m/>
    <s v="Estadual"/>
    <m/>
    <s v="PRT-158"/>
    <s v="PAV"/>
    <s v="Estadual"/>
    <s v="PLA"/>
    <s v="Campo Mourão"/>
  </r>
  <r>
    <x v="0"/>
    <s v="158BPR0780"/>
    <n v="0"/>
    <x v="143"/>
    <s v="0780"/>
    <n v="-52.395643900245702"/>
    <n v="-23.088621740201098"/>
    <n v="-52.3913450302488"/>
    <n v="-23.0905582503629"/>
    <s v="158"/>
    <s v="PR"/>
    <s v="Eixo Principal"/>
    <s v="-"/>
    <s v="158BPR0780"/>
    <s v="ENTR BR-376(A) (P/SUMARÉ)"/>
    <s v="ENTR BR-376(B)"/>
    <n v="85"/>
    <n v="85.5"/>
    <n v="0.5"/>
    <x v="1"/>
    <m/>
    <s v="376BPR0175"/>
    <s v="Estadual"/>
    <m/>
    <s v="PRT-158"/>
    <s v="PAV"/>
    <s v="Estadual"/>
    <s v="PLA"/>
    <s v="Campo Mourão"/>
  </r>
  <r>
    <x v="0"/>
    <s v="158BPR0800"/>
    <n v="0"/>
    <x v="143"/>
    <s v="0800"/>
    <n v="-52.3913450302488"/>
    <n v="-23.0905582503629"/>
    <n v="-52.474577260432099"/>
    <n v="-23.1815428101525"/>
    <s v="158"/>
    <s v="PR"/>
    <s v="Eixo Principal"/>
    <s v="-"/>
    <s v="158BPR0800"/>
    <s v="ENTR BR-376(B)"/>
    <s v="ENTR PR-492(A)"/>
    <n v="85.5"/>
    <n v="99.1"/>
    <n v="13.6"/>
    <x v="1"/>
    <m/>
    <m/>
    <s v="Estadual"/>
    <m/>
    <s v="PRT-158"/>
    <s v="PAV"/>
    <s v="Estadual"/>
    <s v="PLA"/>
    <s v="Campo Mourão"/>
  </r>
  <r>
    <x v="0"/>
    <s v="158BPR0810"/>
    <n v="0"/>
    <x v="143"/>
    <s v="0810"/>
    <n v="-52.474577260432099"/>
    <n v="-23.1815428101525"/>
    <n v="-52.520471650146398"/>
    <n v="-23.2236260897721"/>
    <s v="158"/>
    <s v="PR"/>
    <s v="Eixo Principal"/>
    <s v="-"/>
    <s v="158BPR0810"/>
    <s v="ENTR PR-492(A)"/>
    <s v="ENTR PR-492(B) (TAMBOARA)"/>
    <n v="99.1"/>
    <n v="105.8"/>
    <n v="6.7"/>
    <x v="1"/>
    <m/>
    <m/>
    <s v="Estadual"/>
    <m/>
    <s v="PR-492"/>
    <s v="PAV"/>
    <s v="Estadual"/>
    <s v="PLA"/>
    <s v="Campo Mourão"/>
  </r>
  <r>
    <x v="0"/>
    <s v="158BPR0815"/>
    <n v="0"/>
    <x v="143"/>
    <s v="0815"/>
    <n v="-52.520471650146398"/>
    <n v="-23.2236260897721"/>
    <n v="-52.505675760128199"/>
    <n v="-23.266993510441999"/>
    <s v="158"/>
    <s v="PR"/>
    <s v="Eixo Principal"/>
    <s v="-"/>
    <s v="158BPR0815"/>
    <s v="ENTR PR-492(B) (TAMBOARA)"/>
    <s v="ENTR PR-559(A)"/>
    <n v="105.8"/>
    <n v="110.8"/>
    <n v="5"/>
    <x v="1"/>
    <m/>
    <m/>
    <s v="Estadual"/>
    <m/>
    <s v="PRT-158"/>
    <s v="LEN"/>
    <s v="Estadual"/>
    <s v="PLA"/>
    <s v="Campo Mourão"/>
  </r>
  <r>
    <x v="0"/>
    <s v="158BPR0820"/>
    <n v="0"/>
    <x v="143"/>
    <s v="0820"/>
    <n v="-52.505675760128199"/>
    <n v="-23.266993510441999"/>
    <n v="-52.4695428601148"/>
    <n v="-23.3135323903075"/>
    <s v="158"/>
    <s v="PR"/>
    <s v="Eixo Principal"/>
    <s v="-"/>
    <s v="158BPR0820"/>
    <s v="ENTR PR-559(A)"/>
    <s v="ENTR PR-498/559(B) (SÃO CARLOS DO IVAÍ)"/>
    <n v="110.8"/>
    <n v="117.6"/>
    <n v="6.8"/>
    <x v="1"/>
    <m/>
    <m/>
    <s v="Estadual"/>
    <m/>
    <s v="PR-559"/>
    <s v="PAV"/>
    <s v="Estadual"/>
    <s v="PLA"/>
    <s v="Campo Mourão"/>
  </r>
  <r>
    <x v="0"/>
    <s v="158BPR0825"/>
    <n v="0"/>
    <x v="143"/>
    <s v="0825"/>
    <n v="-52.4695428601148"/>
    <n v="-23.3135323903075"/>
    <n v="-52.464339639962297"/>
    <n v="-23.632155020038098"/>
    <s v="158"/>
    <s v="PR"/>
    <s v="Eixo Principal"/>
    <s v="-"/>
    <s v="158BPR0825"/>
    <s v="ENTR PR-498/559(B) (SÃO CARLOS DO IVAÍ)"/>
    <s v="ENTR PR-323 (JUSSARA)"/>
    <n v="117.6"/>
    <n v="154.19999999999999"/>
    <n v="36.6"/>
    <x v="1"/>
    <m/>
    <m/>
    <s v="Federal"/>
    <m/>
    <m/>
    <m/>
    <s v="Federal"/>
    <s v="PLA"/>
    <s v="Campo Mourão"/>
  </r>
  <r>
    <x v="0"/>
    <s v="158BPR0830"/>
    <n v="0"/>
    <x v="143"/>
    <s v="0830"/>
    <n v="-52.464339639962297"/>
    <n v="-23.632155020038098"/>
    <n v="-52.437770049648002"/>
    <n v="-23.762467590306901"/>
    <s v="158"/>
    <s v="PR"/>
    <s v="Eixo Principal"/>
    <s v="-"/>
    <s v="158BPR0830"/>
    <s v="ENTR PR-323 (JUSSARA)"/>
    <s v="ENTR PR-082 (TERRA BOA)"/>
    <n v="154.19999999999999"/>
    <n v="172.2"/>
    <n v="18"/>
    <x v="1"/>
    <m/>
    <m/>
    <s v="Federal"/>
    <m/>
    <m/>
    <m/>
    <s v="Federal"/>
    <s v="PLA"/>
    <s v="Campo Mourão"/>
  </r>
  <r>
    <x v="0"/>
    <s v="158BPR0850"/>
    <n v="0"/>
    <x v="143"/>
    <s v="0850"/>
    <n v="-52.437770049648002"/>
    <n v="-23.762467590306901"/>
    <n v="-52.361105390301397"/>
    <n v="-23.9127114996359"/>
    <s v="158"/>
    <s v="PR"/>
    <s v="Eixo Principal"/>
    <s v="-"/>
    <s v="158BPR0850"/>
    <s v="ENTR PR-082 (TERRA BOA)"/>
    <s v="ENTR PR-465(A)"/>
    <n v="172.2"/>
    <n v="198.5"/>
    <n v="26.3"/>
    <x v="1"/>
    <m/>
    <m/>
    <s v="Estadual"/>
    <m/>
    <s v="PRT-158"/>
    <s v="LEN"/>
    <s v="Estadual"/>
    <s v="PLA"/>
    <s v="Campo Mourão"/>
  </r>
  <r>
    <x v="0"/>
    <s v="158BPR0860"/>
    <n v="0"/>
    <x v="143"/>
    <s v="0860"/>
    <n v="-52.361105390301397"/>
    <n v="-23.9127114996359"/>
    <n v="-52.339032359855402"/>
    <n v="-23.918051289935001"/>
    <s v="158"/>
    <s v="PR"/>
    <s v="Eixo Principal"/>
    <s v="-"/>
    <s v="158BPR0860"/>
    <s v="ENTR PR-465(A)"/>
    <s v="ENTR PR-317/465(B) (PEABIRÚ)"/>
    <n v="198.5"/>
    <n v="200.8"/>
    <n v="2.2999999999999998"/>
    <x v="1"/>
    <m/>
    <m/>
    <s v="Estadual"/>
    <m/>
    <s v="PR-465"/>
    <s v="PAV"/>
    <s v="Estadual"/>
    <s v="PLA"/>
    <s v="Campo Mourão"/>
  </r>
  <r>
    <x v="0"/>
    <s v="158BPR0870"/>
    <n v="0"/>
    <x v="143"/>
    <s v="0870"/>
    <n v="-52.339032359855402"/>
    <n v="-23.918051289935001"/>
    <n v="-52.357170570365398"/>
    <n v="-23.989014100020601"/>
    <s v="158"/>
    <s v="PR"/>
    <s v="Eixo Principal"/>
    <s v="-"/>
    <s v="158BPR0870"/>
    <s v="ENTR PR-317/465(B) (PEABIRÚ)"/>
    <s v="ENTR BR-272(A) (ANEL VIÁRIO CAMPO MOURÃO)"/>
    <n v="200.8"/>
    <n v="212"/>
    <n v="11.2"/>
    <x v="2"/>
    <m/>
    <m/>
    <s v="Convênio de Administração"/>
    <m/>
    <m/>
    <m/>
    <s v="Federal"/>
    <s v="PAV"/>
    <s v="Campo Mourão"/>
  </r>
  <r>
    <x v="0"/>
    <s v="158BPR0875"/>
    <n v="0"/>
    <x v="143"/>
    <s v="0875"/>
    <n v="-52.357170570365398"/>
    <n v="-23.989014100020601"/>
    <n v="-52.3217850996026"/>
    <n v="-24.010022100239599"/>
    <s v="158"/>
    <s v="PR"/>
    <s v="Eixo Principal"/>
    <s v="-"/>
    <s v="158BPR0875"/>
    <s v="ENTR BR-272(A) (ANEL VIÁRIO CAMPO MOURÃO)"/>
    <s v="ENTR BR-272(B)/369(A)"/>
    <n v="212"/>
    <n v="221.8"/>
    <n v="9.8000000000000007"/>
    <x v="2"/>
    <m/>
    <s v="272BPR0445"/>
    <s v="Convênio de Administração"/>
    <m/>
    <m/>
    <m/>
    <s v="Federal"/>
    <s v="PAV"/>
    <s v="Campo Mourão"/>
  </r>
  <r>
    <x v="0"/>
    <s v="158BPR0880"/>
    <n v="0"/>
    <x v="143"/>
    <s v="0880"/>
    <n v="-52.3217850996026"/>
    <n v="-24.010022100239599"/>
    <n v="-52.363089220091403"/>
    <n v="-24.077578889953699"/>
    <s v="158"/>
    <s v="PR"/>
    <s v="Eixo Principal"/>
    <s v="-"/>
    <s v="158BPR0880"/>
    <s v="ENTR BR-272(B)/369(A)"/>
    <s v="ENTR BR-487"/>
    <n v="221.8"/>
    <n v="227.1"/>
    <n v="5.3"/>
    <x v="2"/>
    <m/>
    <s v="369BPR0775"/>
    <s v="Convênio de Administração"/>
    <m/>
    <m/>
    <m/>
    <s v="Federal"/>
    <s v="PAV"/>
    <s v="Campo Mourão"/>
  </r>
  <r>
    <x v="0"/>
    <s v="158BPR0890"/>
    <n v="0"/>
    <x v="143"/>
    <s v="0890"/>
    <n v="-52.363089220091403"/>
    <n v="-24.077578889953699"/>
    <n v="-52.381234010041503"/>
    <n v="-24.090037020192199"/>
    <s v="158"/>
    <s v="PR"/>
    <s v="Eixo Principal"/>
    <s v="-"/>
    <s v="158BPR0890"/>
    <s v="ENTR BR-487"/>
    <s v="ENTR BR-369(B) (ACESSO SUDOESTE CAMPO MOURÃO)"/>
    <n v="227.1"/>
    <n v="229.5"/>
    <n v="2.4"/>
    <x v="2"/>
    <m/>
    <s v="369BPR0780"/>
    <s v="Convênio de Administração"/>
    <m/>
    <m/>
    <m/>
    <s v="Federal"/>
    <s v="PAV"/>
    <s v="Campo Mourão"/>
  </r>
  <r>
    <x v="0"/>
    <s v="158BPR0900"/>
    <n v="0"/>
    <x v="143"/>
    <s v="0900"/>
    <n v="-52.381234010041503"/>
    <n v="-24.090037020192199"/>
    <n v="-52.412699470004398"/>
    <n v="-24.3857057802974"/>
    <s v="158"/>
    <s v="PR"/>
    <s v="Eixo Principal"/>
    <s v="-"/>
    <s v="158BPR0900"/>
    <s v="ENTR BR-369(B) (ACESSO SUDOESTE CAMPO MOURÃO)"/>
    <s v="ENTR PR-553"/>
    <n v="229.5"/>
    <n v="265.5"/>
    <n v="36"/>
    <x v="5"/>
    <s v="EOP"/>
    <m/>
    <s v="Federal"/>
    <m/>
    <m/>
    <m/>
    <s v="Federal"/>
    <s v="N_PAV"/>
    <s v="Campo Mourão"/>
  </r>
  <r>
    <x v="0"/>
    <s v="158BPR0905"/>
    <n v="0"/>
    <x v="143"/>
    <s v="0905"/>
    <n v="-52.412699470004398"/>
    <n v="-24.3857057802974"/>
    <n v="-52.274424310433503"/>
    <n v="-24.5960753300124"/>
    <s v="158"/>
    <s v="PR"/>
    <s v="Eixo Principal"/>
    <s v="-"/>
    <s v="158BPR0905"/>
    <s v="ENTR PR-553"/>
    <s v="ENTR PR-239/462 (RONCADOR)"/>
    <n v="265.5"/>
    <n v="294.39999999999998"/>
    <n v="28.9"/>
    <x v="5"/>
    <s v="EOP"/>
    <m/>
    <s v="Federal"/>
    <m/>
    <m/>
    <m/>
    <s v="Federal"/>
    <s v="N_PAV"/>
    <s v="Campo Mourão"/>
  </r>
  <r>
    <x v="0"/>
    <s v="158BPR0910"/>
    <n v="0"/>
    <x v="143"/>
    <s v="0910"/>
    <n v="-52.274424310433503"/>
    <n v="-24.5960753300124"/>
    <n v="-52.2563957704484"/>
    <n v="-24.890081650147899"/>
    <s v="158"/>
    <s v="PR"/>
    <s v="Eixo Principal"/>
    <s v="-"/>
    <s v="158BPR0910"/>
    <s v="ENTR PR-239/462 (RONCADOR)"/>
    <s v="ENTR PR-364(A)/456 (PALMITAL)"/>
    <n v="294.39999999999998"/>
    <n v="335.6"/>
    <n v="41.2"/>
    <x v="1"/>
    <m/>
    <m/>
    <s v="Federal"/>
    <m/>
    <m/>
    <m/>
    <s v="Federal"/>
    <s v="PLA"/>
    <s v="Campo Mourão"/>
  </r>
  <r>
    <x v="0"/>
    <s v="158BPR0920"/>
    <n v="0"/>
    <x v="143"/>
    <s v="0920"/>
    <n v="-52.2563957704484"/>
    <n v="-24.890081650147899"/>
    <n v="-52.263849790435401"/>
    <n v="-25.1150447999775"/>
    <s v="158"/>
    <s v="PR"/>
    <s v="Eixo Principal"/>
    <s v="-"/>
    <s v="158BPR0920"/>
    <s v="ENTR PR-364(A)/456 (PALMITAL)"/>
    <s v="ENTR PR-364(B) (MARQUINHO)"/>
    <n v="335.6"/>
    <n v="367.2"/>
    <n v="31.6"/>
    <x v="2"/>
    <m/>
    <m/>
    <s v="Federal"/>
    <m/>
    <m/>
    <m/>
    <s v="Federal"/>
    <s v="PAV"/>
    <s v="Campo Mourão"/>
  </r>
  <r>
    <x v="0"/>
    <s v="158BPR0925"/>
    <n v="0"/>
    <x v="143"/>
    <s v="0925"/>
    <n v="-52.263849790435401"/>
    <n v="-25.1150447999775"/>
    <n v="-52.388672120122102"/>
    <n v="-25.374439700331799"/>
    <s v="158"/>
    <s v="PR"/>
    <s v="Eixo Principal"/>
    <s v="-"/>
    <s v="158BPR0925"/>
    <s v="ENTR PR-364(B) (MARQUINHO)"/>
    <s v="ENTR BR-277(A) (LARANJEIRAS DO SUL)"/>
    <n v="367.2"/>
    <n v="405.3"/>
    <n v="38.1"/>
    <x v="2"/>
    <m/>
    <m/>
    <s v="Federal"/>
    <m/>
    <m/>
    <m/>
    <s v="Federal"/>
    <s v="PAV"/>
    <s v="Campo Mourão"/>
  </r>
  <r>
    <x v="0"/>
    <s v="158BPR0927"/>
    <n v="0"/>
    <x v="143"/>
    <s v="0927"/>
    <n v="-52.388672120122102"/>
    <n v="-25.374439700331799"/>
    <n v="-52.413839259973798"/>
    <n v="-25.3859049403606"/>
    <s v="158"/>
    <s v="PR"/>
    <s v="Eixo Principal"/>
    <s v="-"/>
    <s v="158BPR0927"/>
    <s v="ENTR BR-277(A) (LARANJEIRAS DO SUL)"/>
    <s v="ENTR BR-277(B)"/>
    <n v="405.3"/>
    <n v="408.1"/>
    <n v="2.8"/>
    <x v="2"/>
    <m/>
    <s v="277BPR0245"/>
    <s v="Convênio de Administração"/>
    <m/>
    <m/>
    <m/>
    <s v="Federal"/>
    <s v="PAV"/>
    <s v="Pato Branco"/>
  </r>
  <r>
    <x v="0"/>
    <s v="158BPR0930"/>
    <n v="0"/>
    <x v="143"/>
    <s v="0930"/>
    <n v="-52.413839259973798"/>
    <n v="-25.3859049403606"/>
    <n v="-52.617806379560697"/>
    <n v="-25.6293107104208"/>
    <s v="158"/>
    <s v="PR"/>
    <s v="Eixo Principal"/>
    <s v="-"/>
    <s v="158BPR0930"/>
    <s v="ENTR BR-277(B)"/>
    <s v="SALTO SANTIAGO"/>
    <n v="408.1"/>
    <n v="448.8"/>
    <n v="40.700000000000003"/>
    <x v="1"/>
    <m/>
    <m/>
    <s v="Estadual"/>
    <m/>
    <s v="PRT-158"/>
    <s v="PAV"/>
    <s v="Estadual"/>
    <s v="PLA"/>
    <s v="Pato Branco"/>
  </r>
  <r>
    <x v="0"/>
    <s v="158BPR0940"/>
    <n v="0"/>
    <x v="143"/>
    <s v="0940"/>
    <n v="-52.617806379560697"/>
    <n v="-25.6293107104208"/>
    <n v="-52.609424330268602"/>
    <n v="-25.812094429614199"/>
    <s v="158"/>
    <s v="PR"/>
    <s v="Eixo Principal"/>
    <s v="-"/>
    <s v="158BPR0940"/>
    <s v="SALTO SANTIAGO"/>
    <s v="ENTR PR-281(A)"/>
    <n v="448.8"/>
    <n v="474.6"/>
    <n v="25.8"/>
    <x v="1"/>
    <m/>
    <m/>
    <s v="Estadual"/>
    <m/>
    <s v="PRT-158"/>
    <s v="PAV"/>
    <s v="Estadual"/>
    <s v="PLA"/>
    <s v="Pato Branco"/>
  </r>
  <r>
    <x v="0"/>
    <s v="158BPR0950"/>
    <n v="0"/>
    <x v="143"/>
    <s v="0950"/>
    <n v="-52.609424330268602"/>
    <n v="-25.812094429614199"/>
    <n v="-52.5148016701609"/>
    <n v="-25.860480800248599"/>
    <s v="158"/>
    <s v="PR"/>
    <s v="Eixo Principal"/>
    <s v="-"/>
    <s v="158BPR0950"/>
    <s v="ENTR PR-281(A)"/>
    <s v="ENTR PR-281(B) (CHOPINZINHO)"/>
    <n v="474.6"/>
    <n v="483.8"/>
    <n v="9.1999999999999993"/>
    <x v="1"/>
    <m/>
    <m/>
    <s v="Estadual"/>
    <m/>
    <s v="PRT-158"/>
    <s v="PAV"/>
    <s v="Estadual"/>
    <s v="PLA"/>
    <s v="Pato Branco"/>
  </r>
  <r>
    <x v="0"/>
    <s v="158BPR0960"/>
    <n v="0"/>
    <x v="143"/>
    <s v="0960"/>
    <n v="-52.5148016701609"/>
    <n v="-25.860480800248599"/>
    <n v="-52.565963440360399"/>
    <n v="-25.981664990047101"/>
    <s v="158"/>
    <s v="PR"/>
    <s v="Eixo Principal"/>
    <s v="-"/>
    <s v="158BPR0960"/>
    <s v="ENTR PR-281(B) (CHOPINZINHO)"/>
    <s v="ENTR PR-562 (CORONEL VÍVIDA)"/>
    <n v="483.8"/>
    <n v="500.2"/>
    <n v="16.399999999999999"/>
    <x v="1"/>
    <m/>
    <m/>
    <s v="Estadual"/>
    <m/>
    <s v="PRT-158"/>
    <s v="PAV"/>
    <s v="Estadual"/>
    <s v="PLA"/>
    <s v="Pato Branco"/>
  </r>
  <r>
    <x v="0"/>
    <s v="158BPR0965"/>
    <n v="0"/>
    <x v="143"/>
    <s v="0965"/>
    <n v="-52.565963440360399"/>
    <n v="-25.981664990047101"/>
    <n v="-52.5650188797174"/>
    <n v="-26.004627530036402"/>
    <s v="158"/>
    <s v="PR"/>
    <s v="Eixo Principal"/>
    <s v="-"/>
    <s v="158BPR0965"/>
    <s v="ENTR PR-562 (CORONEL VÍVIDA)"/>
    <s v="ENTR BR-373"/>
    <n v="500.2"/>
    <n v="502.8"/>
    <n v="2.6"/>
    <x v="1"/>
    <m/>
    <m/>
    <s v="Estadual"/>
    <m/>
    <s v="PRT-158"/>
    <s v="DUP"/>
    <s v="Estadual"/>
    <s v="PLA"/>
    <s v="Pato Branco"/>
  </r>
  <r>
    <x v="0"/>
    <s v="158BPR0970"/>
    <n v="0"/>
    <x v="143"/>
    <s v="0970"/>
    <n v="-52.5650188797174"/>
    <n v="-26.004627530036402"/>
    <n v="-52.680305529576501"/>
    <n v="-26.205557419639099"/>
    <s v="158"/>
    <s v="PR"/>
    <s v="Eixo Principal"/>
    <s v="-"/>
    <s v="158BPR0970"/>
    <s v="ENTR BR-373"/>
    <s v="ENTR BR-480(A)/PR-493 (PATO BRANCO)"/>
    <n v="502.8"/>
    <n v="531.4"/>
    <n v="28.6"/>
    <x v="2"/>
    <m/>
    <m/>
    <s v="Federal"/>
    <m/>
    <m/>
    <m/>
    <s v="Federal"/>
    <s v="PAV"/>
    <s v="Pato Branco"/>
  </r>
  <r>
    <x v="0"/>
    <s v="158BPR0990"/>
    <n v="0"/>
    <x v="143"/>
    <s v="0990"/>
    <n v="-52.680305529576501"/>
    <n v="-26.205557419639099"/>
    <n v="-52.711695719881497"/>
    <n v="-26.270467910165902"/>
    <s v="158"/>
    <s v="PR"/>
    <s v="Eixo Principal"/>
    <s v="-"/>
    <s v="158BPR0990"/>
    <s v="ENTR BR-480(A)/PR-493 (PATO BRANCO)"/>
    <s v="ENTR BR-280(A)"/>
    <n v="531.4"/>
    <n v="539.79999999999995"/>
    <n v="8.4"/>
    <x v="2"/>
    <m/>
    <s v="480BPR0010"/>
    <s v="Federal"/>
    <m/>
    <m/>
    <m/>
    <s v="Federal"/>
    <s v="PAV"/>
    <s v="Pato Branco"/>
  </r>
  <r>
    <x v="0"/>
    <s v="158BPR1010"/>
    <n v="0"/>
    <x v="143"/>
    <s v="1010"/>
    <n v="-52.711695719881497"/>
    <n v="-26.270467910165902"/>
    <n v="-52.7873754902865"/>
    <n v="-26.258168420336201"/>
    <s v="158"/>
    <s v="PR"/>
    <s v="Eixo Principal"/>
    <s v="-"/>
    <s v="158BPR1010"/>
    <s v="ENTR BR-280(A)"/>
    <s v="ENTR BR-280(B) (VITORINO)"/>
    <n v="539.79999999999995"/>
    <n v="548.20000000000005"/>
    <n v="8.4"/>
    <x v="1"/>
    <m/>
    <s v="480BPR0030;280BPR0290"/>
    <s v="Estadual"/>
    <m/>
    <s v="PRT-158"/>
    <s v="PAV"/>
    <s v="Estadual"/>
    <s v="PLA"/>
    <s v="Pato Branco"/>
  </r>
  <r>
    <x v="0"/>
    <s v="158BPR1030"/>
    <n v="0"/>
    <x v="143"/>
    <s v="1030"/>
    <n v="-52.7873754902865"/>
    <n v="-26.258168420336201"/>
    <n v="-52.852709350156303"/>
    <n v="-26.347135639797798"/>
    <s v="158"/>
    <s v="PR"/>
    <s v="Eixo Principal"/>
    <s v="-"/>
    <s v="158BPR1030"/>
    <s v="ENTR BR-280(B) (VITORINO)"/>
    <s v="ENTR BR-480(B) (DIV PR/SC)"/>
    <n v="548.20000000000005"/>
    <n v="561.20000000000005"/>
    <n v="13"/>
    <x v="1"/>
    <m/>
    <s v="480BPR0050"/>
    <s v="Estadual"/>
    <m/>
    <s v="PRT-158"/>
    <s v="PAV"/>
    <s v="Estadual"/>
    <s v="PLA"/>
    <s v="Pato Branco"/>
  </r>
  <r>
    <x v="0"/>
    <s v="158BRS1110"/>
    <n v="0"/>
    <x v="144"/>
    <s v="1110"/>
    <n v="-53.225135040049999"/>
    <n v="-27.1690188496401"/>
    <n v="-53.231978989638598"/>
    <n v="-27.175625760420399"/>
    <s v="158"/>
    <s v="RS"/>
    <s v="Eixo Principal"/>
    <s v="-"/>
    <s v="158BRS1110"/>
    <s v="ENTR BR-386(A) (DIV SC/RS)(INÍCIO PONTE S/RIO URUGUAI)"/>
    <s v="FIM PONTE S/RIO URUGUAI"/>
    <n v="0"/>
    <n v="1"/>
    <n v="1"/>
    <x v="2"/>
    <m/>
    <s v="386BRS0070"/>
    <s v="Federal"/>
    <m/>
    <m/>
    <m/>
    <s v="Federal"/>
    <s v="PAV"/>
    <s v="Cruz Alta"/>
  </r>
  <r>
    <x v="0"/>
    <s v="158BRS1115"/>
    <n v="0"/>
    <x v="144"/>
    <s v="1115"/>
    <n v="-53.231978989638598"/>
    <n v="-27.175625760420399"/>
    <n v="-53.244024060362001"/>
    <n v="-27.181557980016599"/>
    <s v="158"/>
    <s v="RS"/>
    <s v="Eixo Principal"/>
    <s v="-"/>
    <s v="158BRS1115"/>
    <s v="FIM PONTE S/RIO URUGUAI"/>
    <s v="ENTR RS-324 (P/PLANALTO)"/>
    <n v="1"/>
    <n v="2.6"/>
    <n v="1.6"/>
    <x v="2"/>
    <m/>
    <s v="386BRS0080"/>
    <s v="Federal"/>
    <m/>
    <m/>
    <m/>
    <s v="Federal"/>
    <s v="PAV"/>
    <s v="Cruz Alta"/>
  </r>
  <r>
    <x v="0"/>
    <s v="158BRS1120"/>
    <n v="0"/>
    <x v="144"/>
    <s v="1120"/>
    <n v="-53.244024060362001"/>
    <n v="-27.181557980016599"/>
    <n v="-53.264671540359203"/>
    <n v="-27.189712279597899"/>
    <s v="158"/>
    <s v="RS"/>
    <s v="Eixo Principal"/>
    <s v="-"/>
    <s v="158BRS1120"/>
    <s v="ENTR RS-324 (P/PLANALTO)"/>
    <s v="ACESSO A IRAÍ"/>
    <n v="2.6"/>
    <n v="4.9000000000000004"/>
    <n v="2.2999999999999998"/>
    <x v="2"/>
    <m/>
    <s v="386BRS0090"/>
    <s v="Federal"/>
    <m/>
    <m/>
    <m/>
    <s v="Federal"/>
    <s v="PAV"/>
    <s v="Cruz Alta"/>
  </r>
  <r>
    <x v="0"/>
    <s v="158BRS1130"/>
    <n v="0"/>
    <x v="144"/>
    <s v="1130"/>
    <n v="-53.264671540359203"/>
    <n v="-27.189712279597899"/>
    <n v="-53.388738419742197"/>
    <n v="-27.343524820214199"/>
    <s v="158"/>
    <s v="RS"/>
    <s v="Eixo Principal"/>
    <s v="-"/>
    <s v="158BRS1130"/>
    <s v="ACESSO A IRAÍ"/>
    <s v="ENTR RS-150 (P/CAIÇARA)"/>
    <n v="4.9000000000000004"/>
    <n v="32.1"/>
    <n v="27.2"/>
    <x v="2"/>
    <m/>
    <s v="386BRS0095"/>
    <s v="Federal"/>
    <m/>
    <m/>
    <m/>
    <s v="Federal"/>
    <s v="PAV"/>
    <s v="Cruz Alta"/>
  </r>
  <r>
    <x v="0"/>
    <s v="158BRS1140"/>
    <n v="0"/>
    <x v="144"/>
    <s v="1140"/>
    <n v="-53.388738419742197"/>
    <n v="-27.343524820214199"/>
    <n v="-53.393733060132597"/>
    <n v="-27.3643840896539"/>
    <s v="158"/>
    <s v="RS"/>
    <s v="Eixo Principal"/>
    <s v="-"/>
    <s v="158BRS1140"/>
    <s v="ENTR RS-150 (P/CAIÇARA)"/>
    <s v="ENTR RS-591 (FREDERICO WESTPHALEN)"/>
    <n v="32.1"/>
    <n v="34.700000000000003"/>
    <n v="2.6"/>
    <x v="2"/>
    <m/>
    <s v="386BRS0100"/>
    <s v="Federal"/>
    <m/>
    <m/>
    <m/>
    <s v="Federal"/>
    <s v="PAV"/>
    <s v="Cruz Alta"/>
  </r>
  <r>
    <x v="0"/>
    <s v="158BRS1145"/>
    <n v="0"/>
    <x v="144"/>
    <s v="1145"/>
    <n v="-53.393733060132597"/>
    <n v="-27.3643840896539"/>
    <n v="-53.421561319998801"/>
    <n v="-27.4224668399726"/>
    <s v="158"/>
    <s v="RS"/>
    <s v="Eixo Principal"/>
    <s v="-"/>
    <s v="158BRS1145"/>
    <s v="ENTR RS-591 (FREDERICO WESTPHALEN)"/>
    <s v="ENTR BR-472 (P/PALMITINHO)"/>
    <n v="34.700000000000003"/>
    <n v="42.2"/>
    <n v="7.5"/>
    <x v="2"/>
    <m/>
    <s v="386BRS0105"/>
    <s v="Federal"/>
    <m/>
    <m/>
    <m/>
    <s v="Federal"/>
    <s v="PAV"/>
    <s v="Cruz Alta"/>
  </r>
  <r>
    <x v="0"/>
    <s v="158BRS1150"/>
    <n v="0"/>
    <x v="144"/>
    <s v="1150"/>
    <n v="-53.421561319998801"/>
    <n v="-27.4224668399726"/>
    <n v="-53.389655429654297"/>
    <n v="-27.498176889651599"/>
    <s v="158"/>
    <s v="RS"/>
    <s v="Eixo Principal"/>
    <s v="-"/>
    <s v="158BRS1150"/>
    <s v="ENTR BR-472 (P/PALMITINHO)"/>
    <s v="ENTR RS-585/587 (SEBERI)"/>
    <n v="42.2"/>
    <n v="51.5"/>
    <n v="9.3000000000000007"/>
    <x v="2"/>
    <m/>
    <s v="386BRS0110"/>
    <s v="Federal"/>
    <m/>
    <m/>
    <m/>
    <s v="Federal"/>
    <s v="PAV"/>
    <s v="Cruz Alta"/>
  </r>
  <r>
    <x v="0"/>
    <s v="158BRS1160"/>
    <n v="0"/>
    <x v="144"/>
    <s v="1160"/>
    <n v="-53.389655429654297"/>
    <n v="-27.498176889651599"/>
    <n v="-53.314297210048103"/>
    <n v="-27.6622255101991"/>
    <s v="158"/>
    <s v="RS"/>
    <s v="Eixo Principal"/>
    <s v="-"/>
    <s v="158BRS1160"/>
    <s v="ENTR RS-585/587 (SEBERI)"/>
    <s v="ENTR RS-323 (P/JABOTICABA)"/>
    <n v="51.5"/>
    <n v="71.900000000000006"/>
    <n v="20.399999999999999"/>
    <x v="2"/>
    <m/>
    <s v="386BRS0120"/>
    <s v="Federal"/>
    <m/>
    <m/>
    <m/>
    <s v="Federal"/>
    <s v="PAV"/>
    <s v="Cruz Alta"/>
  </r>
  <r>
    <x v="0"/>
    <s v="158BRS1165"/>
    <n v="0"/>
    <x v="144"/>
    <s v="1165"/>
    <n v="-53.314297210048103"/>
    <n v="-27.6622255101991"/>
    <n v="-53.307977540031402"/>
    <n v="-27.685851030400599"/>
    <s v="158"/>
    <s v="RS"/>
    <s v="Eixo Principal"/>
    <s v="-"/>
    <s v="158BRS1165"/>
    <s v="ENTR RS-323 (P/JABOTICABA)"/>
    <s v="ENTR BR-386(B)"/>
    <n v="71.900000000000006"/>
    <n v="74.900000000000006"/>
    <n v="3"/>
    <x v="2"/>
    <m/>
    <s v="386BRS0125"/>
    <s v="Federal"/>
    <m/>
    <m/>
    <m/>
    <s v="Federal"/>
    <s v="PAV"/>
    <s v="Cruz Alta"/>
  </r>
  <r>
    <x v="0"/>
    <s v="158BRS1170"/>
    <n v="0"/>
    <x v="144"/>
    <s v="1170"/>
    <n v="-53.307977540031402"/>
    <n v="-27.685851030400599"/>
    <n v="-53.333057579643501"/>
    <n v="-27.866511200231599"/>
    <s v="158"/>
    <s v="RS"/>
    <s v="Eixo Principal"/>
    <s v="-"/>
    <s v="158BRS1170"/>
    <s v="ENTR BR-386(B)"/>
    <s v="ENTR BR-468/RS-330(A) (PALMEIRA DAS MISSÕES)"/>
    <n v="74.900000000000006"/>
    <n v="96.3"/>
    <n v="21.4"/>
    <x v="2"/>
    <m/>
    <m/>
    <s v="Federal"/>
    <m/>
    <m/>
    <m/>
    <s v="Federal"/>
    <s v="PAV"/>
    <s v="Cruz Alta"/>
  </r>
  <r>
    <x v="0"/>
    <s v="158BRS1190"/>
    <n v="0"/>
    <x v="144"/>
    <s v="1190"/>
    <n v="-53.333057579643501"/>
    <n v="-27.866511200231599"/>
    <n v="-53.3380046000322"/>
    <n v="-27.9118789199761"/>
    <s v="158"/>
    <s v="RS"/>
    <s v="Eixo Principal"/>
    <s v="-"/>
    <s v="158BRS1190"/>
    <s v="ENTR BR-468/RS-330(A) (PALMEIRA DAS MISSÕES)"/>
    <s v="ENTR RS-514 (P/AJURICABA)"/>
    <n v="96.3"/>
    <n v="101.6"/>
    <n v="5.3"/>
    <x v="2"/>
    <m/>
    <m/>
    <s v="Federal"/>
    <m/>
    <m/>
    <m/>
    <s v="Federal"/>
    <s v="PAV"/>
    <s v="Cruz Alta"/>
  </r>
  <r>
    <x v="0"/>
    <s v="158BRS1192"/>
    <n v="0"/>
    <x v="144"/>
    <s v="1192"/>
    <n v="-53.3380046000322"/>
    <n v="-27.9118789199761"/>
    <n v="-53.324650670392003"/>
    <n v="-27.933850579740401"/>
    <s v="158"/>
    <s v="RS"/>
    <s v="Eixo Principal"/>
    <s v="-"/>
    <s v="158BRS1192"/>
    <s v="ENTR RS-514 (P/AJURICABA)"/>
    <s v="ENTR RS-330(B) (P/CHAPADA)"/>
    <n v="101.6"/>
    <n v="104.5"/>
    <n v="2.9"/>
    <x v="2"/>
    <m/>
    <m/>
    <s v="Federal"/>
    <m/>
    <m/>
    <m/>
    <s v="Federal"/>
    <s v="PAV"/>
    <s v="Cruz Alta"/>
  </r>
  <r>
    <x v="0"/>
    <s v="158BRS1195"/>
    <n v="0"/>
    <x v="144"/>
    <s v="1195"/>
    <n v="-53.324650670392003"/>
    <n v="-27.933850579740401"/>
    <n v="-53.323258369678001"/>
    <n v="-27.974569259563602"/>
    <s v="158"/>
    <s v="RS"/>
    <s v="Eixo Principal"/>
    <s v="-"/>
    <s v="158BRS1195"/>
    <s v="ENTR RS-330(B) (P/CHAPADA)"/>
    <s v="ENTR RS-508 (P/SANTA BÁRBARA DO SUL)"/>
    <n v="104.5"/>
    <n v="109.2"/>
    <n v="4.7"/>
    <x v="2"/>
    <m/>
    <m/>
    <s v="Federal"/>
    <m/>
    <m/>
    <m/>
    <s v="Federal"/>
    <s v="PAV"/>
    <s v="Cruz Alta"/>
  </r>
  <r>
    <x v="0"/>
    <s v="158BRS1210"/>
    <n v="0"/>
    <x v="144"/>
    <s v="1210"/>
    <n v="-53.323258369678001"/>
    <n v="-27.974569259563602"/>
    <n v="-53.503223359970001"/>
    <n v="-28.350031520238399"/>
    <s v="158"/>
    <s v="RS"/>
    <s v="Eixo Principal"/>
    <s v="-"/>
    <s v="158BRS1210"/>
    <s v="ENTR RS-508 (P/SANTA BÁRBARA DO SUL)"/>
    <s v="ENTR BR-285 (P/PANAMBI)"/>
    <n v="109.2"/>
    <n v="158.80000000000001"/>
    <n v="49.6"/>
    <x v="2"/>
    <m/>
    <m/>
    <s v="Federal"/>
    <m/>
    <m/>
    <m/>
    <s v="Federal"/>
    <s v="PAV"/>
    <s v="Cruz Alta"/>
  </r>
  <r>
    <x v="0"/>
    <s v="158BRS1230"/>
    <n v="0"/>
    <x v="144"/>
    <s v="1230"/>
    <n v="-53.503223359970001"/>
    <n v="-28.350031520238399"/>
    <n v="-53.547786170295403"/>
    <n v="-28.468622589560798"/>
    <s v="158"/>
    <s v="RS"/>
    <s v="Eixo Principal"/>
    <s v="-"/>
    <s v="158BRS1230"/>
    <s v="ENTR BR-285 (P/PANAMBI)"/>
    <s v="ENTR RS-553 (P/PEJUÇARA)"/>
    <n v="158.80000000000001"/>
    <n v="174"/>
    <n v="15.2"/>
    <x v="2"/>
    <m/>
    <m/>
    <s v="Federal"/>
    <m/>
    <m/>
    <m/>
    <s v="Federal"/>
    <s v="PAV"/>
    <s v="Cruz Alta"/>
  </r>
  <r>
    <x v="0"/>
    <s v="158BRS1235"/>
    <n v="0"/>
    <x v="144"/>
    <s v="1235"/>
    <n v="-53.547786170295403"/>
    <n v="-28.468622589560798"/>
    <n v="-53.5739423899293"/>
    <n v="-28.645298410193401"/>
    <s v="158"/>
    <s v="RS"/>
    <s v="Eixo Principal"/>
    <s v="-"/>
    <s v="158BRS1235"/>
    <s v="ENTR RS-553 (P/PEJUÇARA)"/>
    <s v="ENTR BR-377(A) (CRUZ ALTA)"/>
    <n v="174"/>
    <n v="194.8"/>
    <n v="20.8"/>
    <x v="2"/>
    <m/>
    <m/>
    <s v="Federal"/>
    <m/>
    <m/>
    <m/>
    <s v="Federal"/>
    <s v="PAV"/>
    <s v="Cruz Alta"/>
  </r>
  <r>
    <x v="0"/>
    <s v="158BRS1240"/>
    <n v="0"/>
    <x v="144"/>
    <s v="1240"/>
    <n v="-53.5739423899293"/>
    <n v="-28.645298410193401"/>
    <n v="-53.5940793895521"/>
    <n v="-28.6757938002436"/>
    <s v="158"/>
    <s v="RS"/>
    <s v="Eixo Principal"/>
    <s v="-"/>
    <s v="158BRS1240"/>
    <s v="ENTR BR-377(A) (CRUZ ALTA)"/>
    <s v="ENTR BR-377(B)/RS-342 (CONTORNO DE CRUZ ALTA)"/>
    <n v="194.8"/>
    <n v="198.8"/>
    <n v="4"/>
    <x v="2"/>
    <m/>
    <s v="377BRS0105"/>
    <s v="Federal"/>
    <m/>
    <m/>
    <m/>
    <s v="Federal"/>
    <s v="PAV"/>
    <s v="Cruz Alta"/>
  </r>
  <r>
    <x v="0"/>
    <s v="158BRS1250"/>
    <n v="0"/>
    <x v="144"/>
    <s v="1250"/>
    <n v="-53.5940793895521"/>
    <n v="-28.6757938002436"/>
    <n v="-53.596888600028798"/>
    <n v="-28.7385899702508"/>
    <s v="158"/>
    <s v="RS"/>
    <s v="Eixo Principal"/>
    <s v="-"/>
    <s v="158BRS1250"/>
    <s v="ENTR BR-377(B)/RS-342 (CONTORNO DE CRUZ ALTA)"/>
    <s v="ENTR BR-481(A) (P/SALTO DO JACUI)"/>
    <n v="198.8"/>
    <n v="206"/>
    <n v="7.2"/>
    <x v="2"/>
    <m/>
    <m/>
    <s v="Federal"/>
    <m/>
    <m/>
    <m/>
    <s v="Federal"/>
    <s v="PAV"/>
    <s v="Cruz Alta"/>
  </r>
  <r>
    <x v="0"/>
    <s v="158BRS1260"/>
    <n v="0"/>
    <x v="144"/>
    <s v="1260"/>
    <n v="-53.596888600028798"/>
    <n v="-28.7385899702508"/>
    <n v="-53.645472389838801"/>
    <n v="-29.0366628699953"/>
    <s v="158"/>
    <s v="RS"/>
    <s v="Eixo Principal"/>
    <s v="-"/>
    <s v="158BRS1260"/>
    <s v="ENTR BR-481(A) (P/SALTO DO JACUI)"/>
    <s v="ENTR BR-392(A) (TUPANCIRETÃ)"/>
    <n v="206"/>
    <n v="240.9"/>
    <n v="34.9"/>
    <x v="2"/>
    <m/>
    <m/>
    <s v="Federal"/>
    <m/>
    <m/>
    <m/>
    <s v="Federal"/>
    <s v="PAV"/>
    <s v="Cruz Alta"/>
  </r>
  <r>
    <x v="0"/>
    <s v="158BRS1270"/>
    <n v="0"/>
    <x v="144"/>
    <s v="1270"/>
    <n v="-53.645472389838801"/>
    <n v="-29.0366628699953"/>
    <n v="-53.666101150447602"/>
    <n v="-29.233875730280602"/>
    <s v="158"/>
    <s v="RS"/>
    <s v="Eixo Principal"/>
    <s v="-"/>
    <s v="158BRS1270"/>
    <s v="ENTR BR-392(A) (TUPANCIRETÃ)"/>
    <s v="ENTR RS-527 (P/JÚLIO DE CASTILHOS)"/>
    <n v="240.9"/>
    <n v="264.10000000000002"/>
    <n v="23.2"/>
    <x v="2"/>
    <m/>
    <s v="392BRS0310"/>
    <s v="Federal"/>
    <m/>
    <m/>
    <m/>
    <s v="Federal"/>
    <s v="PAV"/>
    <s v="Cruz Alta"/>
  </r>
  <r>
    <x v="0"/>
    <s v="158BRS1290"/>
    <n v="0"/>
    <x v="144"/>
    <s v="1290"/>
    <n v="-53.666101150447602"/>
    <n v="-29.233875730280602"/>
    <n v="-53.6837243201212"/>
    <n v="-29.489730450299898"/>
    <s v="158"/>
    <s v="RS"/>
    <s v="Eixo Principal"/>
    <s v="-"/>
    <s v="158BRS1290"/>
    <s v="ENTR RS-527 (P/JÚLIO DE CASTILHOS)"/>
    <s v="ENTR RS-348 (VAL DE SERRA)"/>
    <n v="264.10000000000002"/>
    <n v="293.39999999999998"/>
    <n v="29.3"/>
    <x v="2"/>
    <m/>
    <s v="392BRS0290"/>
    <s v="Federal"/>
    <m/>
    <m/>
    <m/>
    <s v="Federal"/>
    <s v="PAV"/>
    <s v="Santa Maria"/>
  </r>
  <r>
    <x v="0"/>
    <s v="158BRS1310"/>
    <n v="0"/>
    <x v="144"/>
    <s v="1310"/>
    <n v="-53.6837243201212"/>
    <n v="-29.489730450299898"/>
    <n v="-53.775751089840803"/>
    <n v="-29.695249340184802"/>
    <s v="158"/>
    <s v="RS"/>
    <s v="Eixo Principal"/>
    <s v="-"/>
    <s v="158BRS1310"/>
    <s v="ENTR RS-348 (VAL DE SERRA)"/>
    <s v="ENTR RS-509 (P/SANTA MARIA)"/>
    <n v="293.39999999999998"/>
    <n v="322.60000000000002"/>
    <n v="29.2"/>
    <x v="2"/>
    <m/>
    <s v="392BRS0270"/>
    <s v="Federal"/>
    <m/>
    <m/>
    <m/>
    <s v="Federal"/>
    <s v="PAV"/>
    <s v="Santa Maria"/>
  </r>
  <r>
    <x v="0"/>
    <s v="158BRS1315"/>
    <n v="0"/>
    <x v="144"/>
    <s v="1315"/>
    <n v="-53.775751089840803"/>
    <n v="-29.695249340184802"/>
    <n v="-53.793105780407402"/>
    <n v="-29.7018171997039"/>
    <s v="158"/>
    <s v="RS"/>
    <s v="Eixo Principal"/>
    <s v="-"/>
    <s v="158BRS1315"/>
    <s v="ENTR RS-509 (P/SANTA MARIA)"/>
    <s v="ENTR BR-287(A) (P/CAMOBÍ)"/>
    <n v="322.60000000000002"/>
    <n v="324.7"/>
    <n v="2.1"/>
    <x v="2"/>
    <m/>
    <s v="392BRS0253"/>
    <s v="Federal"/>
    <m/>
    <m/>
    <m/>
    <s v="Federal"/>
    <s v="PAV"/>
    <s v="Santa Maria"/>
  </r>
  <r>
    <x v="0"/>
    <s v="158BRS1317"/>
    <n v="0"/>
    <x v="144"/>
    <s v="1317"/>
    <n v="-53.793105780407402"/>
    <n v="-29.7018171997039"/>
    <n v="-53.810830620236899"/>
    <n v="-29.714943959695901"/>
    <s v="158"/>
    <s v="RS"/>
    <s v="Eixo Principal"/>
    <s v="-"/>
    <s v="158BRS1317"/>
    <s v="ENTR BR-287(A) (P/CAMOBÍ)"/>
    <s v="ENTR BR-392(B) (SANTA MARIA)"/>
    <n v="324.7"/>
    <n v="327"/>
    <n v="2.2999999999999998"/>
    <x v="2"/>
    <m/>
    <s v="392BRS0251;287BRS0230"/>
    <s v="Federal"/>
    <m/>
    <m/>
    <m/>
    <s v="Federal"/>
    <s v="PAV"/>
    <s v="Santa Maria"/>
  </r>
  <r>
    <x v="0"/>
    <s v="158BRS1319"/>
    <n v="0"/>
    <x v="144"/>
    <s v="1319"/>
    <n v="-53.810830620236899"/>
    <n v="-29.714943959695901"/>
    <n v="-53.8408147996632"/>
    <n v="-29.700270030337599"/>
    <s v="158"/>
    <s v="RS"/>
    <s v="Eixo Principal"/>
    <s v="-"/>
    <s v="158BRS1319"/>
    <s v="ENTR BR-392(B) (SANTA MARIA)"/>
    <s v="ENTR BR-287(B)"/>
    <n v="327"/>
    <n v="330.4"/>
    <n v="3.4"/>
    <x v="2"/>
    <m/>
    <s v="287BRS0240"/>
    <s v="Federal"/>
    <m/>
    <m/>
    <m/>
    <s v="Federal"/>
    <s v="PAV"/>
    <s v="Santa Maria"/>
  </r>
  <r>
    <x v="0"/>
    <s v="158BRS1340"/>
    <n v="0"/>
    <x v="144"/>
    <s v="1340"/>
    <n v="-53.8408147996632"/>
    <n v="-29.700270030337599"/>
    <n v="-54.7301229900838"/>
    <n v="-30.2303030698307"/>
    <s v="158"/>
    <s v="RS"/>
    <s v="Eixo Principal"/>
    <s v="-"/>
    <s v="158BRS1340"/>
    <s v="ENTR BR-287(B)"/>
    <s v="ENTR BR-290(A) (P/ROSÁRIO DO SUL)"/>
    <n v="330.4"/>
    <n v="444.7"/>
    <n v="114.3"/>
    <x v="2"/>
    <m/>
    <m/>
    <s v="Federal"/>
    <m/>
    <m/>
    <m/>
    <s v="Federal"/>
    <s v="PAV"/>
    <s v="Santa Maria"/>
  </r>
  <r>
    <x v="0"/>
    <s v="158BRS1350"/>
    <n v="0"/>
    <x v="144"/>
    <s v="1350"/>
    <n v="-54.7301229900838"/>
    <n v="-30.2303030698307"/>
    <n v="-54.871332040341301"/>
    <n v="-30.239953639848501"/>
    <s v="158"/>
    <s v="RS"/>
    <s v="Eixo Principal"/>
    <s v="-"/>
    <s v="158BRS1350"/>
    <s v="ENTR BR-290(A) (P/ROSÁRIO DO SUL)"/>
    <s v="ENTR RS-640 (P/CACEQUI)"/>
    <n v="444.7"/>
    <n v="458.6"/>
    <n v="13.9"/>
    <x v="2"/>
    <m/>
    <s v="290BRS0310"/>
    <s v="Federal"/>
    <m/>
    <m/>
    <m/>
    <s v="Federal"/>
    <s v="PAV"/>
    <s v="Uruguaiana"/>
  </r>
  <r>
    <x v="0"/>
    <s v="158BRS1360"/>
    <n v="0"/>
    <x v="144"/>
    <s v="1360"/>
    <n v="-54.871332040341301"/>
    <n v="-30.239953639848501"/>
    <n v="-54.950855290139401"/>
    <n v="-30.241375139750801"/>
    <s v="158"/>
    <s v="RS"/>
    <s v="Eixo Principal"/>
    <s v="-"/>
    <s v="158BRS1360"/>
    <s v="ENTR RS-640 (P/CACEQUI)"/>
    <s v="ENTR BR-290(B)"/>
    <n v="458.6"/>
    <n v="466.3"/>
    <n v="7.7"/>
    <x v="2"/>
    <m/>
    <s v="290BRS0320"/>
    <s v="Federal"/>
    <m/>
    <m/>
    <m/>
    <s v="Federal"/>
    <s v="PAV"/>
    <s v="Uruguaiana"/>
  </r>
  <r>
    <x v="0"/>
    <s v="158BRS1370"/>
    <n v="0"/>
    <x v="144"/>
    <s v="1370"/>
    <n v="-54.950855290139401"/>
    <n v="-30.241375139750801"/>
    <n v="-55.188041669987001"/>
    <n v="-30.787037210198999"/>
    <s v="158"/>
    <s v="RS"/>
    <s v="Eixo Principal"/>
    <s v="-"/>
    <s v="158BRS1370"/>
    <s v="ENTR BR-290(B)"/>
    <s v="ENTR BR-293(A) (P/DOM PEDRITO)"/>
    <n v="466.3"/>
    <n v="532.20000000000005"/>
    <n v="65.900000000000006"/>
    <x v="2"/>
    <m/>
    <m/>
    <s v="Federal"/>
    <m/>
    <m/>
    <m/>
    <s v="Federal"/>
    <s v="PAV"/>
    <s v="Santana do Livramento"/>
  </r>
  <r>
    <x v="0"/>
    <s v="158BRS1390"/>
    <n v="0"/>
    <x v="144"/>
    <s v="1390"/>
    <n v="-55.188041669987001"/>
    <n v="-30.787037210198999"/>
    <n v="-55.488607059667999"/>
    <n v="-30.8514969704087"/>
    <s v="158"/>
    <s v="RS"/>
    <s v="Eixo Principal"/>
    <s v="-"/>
    <s v="158BRS1390"/>
    <s v="ENTR BR-293(A) (P/DOM PEDRITO)"/>
    <s v="ENTR RS-654 (P/PASSOS DOS GUEDES)"/>
    <n v="532.20000000000005"/>
    <n v="562"/>
    <n v="29.8"/>
    <x v="2"/>
    <m/>
    <s v="293BRS0160"/>
    <s v="Federal"/>
    <m/>
    <m/>
    <m/>
    <s v="Federal"/>
    <s v="PAV"/>
    <s v="Santana do Livramento"/>
  </r>
  <r>
    <x v="0"/>
    <s v="158BRS1400"/>
    <n v="0"/>
    <x v="144"/>
    <s v="1400"/>
    <n v="-55.488607059667999"/>
    <n v="-30.8514969704087"/>
    <n v="-55.501530550394499"/>
    <n v="-30.8581855297383"/>
    <s v="158"/>
    <s v="RS"/>
    <s v="Eixo Principal"/>
    <s v="-"/>
    <s v="158BRS1400"/>
    <s v="ENTR RS-654 (P/PASSOS DOS GUEDES)"/>
    <s v="ENTR BR-293(B) (P/QUARAÍ)"/>
    <n v="562"/>
    <n v="563.6"/>
    <n v="1.6"/>
    <x v="2"/>
    <m/>
    <s v="293BRS0170"/>
    <s v="Federal"/>
    <m/>
    <m/>
    <m/>
    <s v="Federal"/>
    <s v="PAV"/>
    <s v="Santana do Livramento"/>
  </r>
  <r>
    <x v="0"/>
    <s v="158BRS1405"/>
    <n v="0"/>
    <x v="144"/>
    <s v="1405"/>
    <n v="-55.501530550394499"/>
    <n v="-30.8581855297383"/>
    <n v="-55.510951929987499"/>
    <n v="-30.873477820345101"/>
    <s v="158"/>
    <s v="RS"/>
    <s v="Eixo Principal"/>
    <s v="-"/>
    <s v="158BRS1405"/>
    <s v="ENTR BR-293(B) (P/QUARAÍ)"/>
    <s v="ENTR ACESSO SANTANA DO LIVRAMENTO"/>
    <n v="563.6"/>
    <n v="565.6"/>
    <n v="2"/>
    <x v="2"/>
    <m/>
    <m/>
    <s v="Federal"/>
    <m/>
    <m/>
    <m/>
    <s v="Federal"/>
    <s v="PAV"/>
    <s v="Santana do Livramento"/>
  </r>
  <r>
    <x v="0"/>
    <s v="158BRS1410"/>
    <n v="0"/>
    <x v="144"/>
    <s v="1410"/>
    <n v="-55.510951929987499"/>
    <n v="-30.873477820345101"/>
    <n v="-55.508990969957203"/>
    <n v="-30.913170589551001"/>
    <s v="158"/>
    <s v="RS"/>
    <s v="Eixo Principal"/>
    <s v="-"/>
    <s v="158BRS1410"/>
    <s v="ENTR ACESSO SANTANA DO LIVRAMENTO"/>
    <s v="FRONT BRASIL/URUGUAI (TERMINAL ADUANEIRO)"/>
    <n v="565.6"/>
    <n v="570.1"/>
    <n v="4.5"/>
    <x v="2"/>
    <m/>
    <m/>
    <s v="Federal"/>
    <m/>
    <m/>
    <m/>
    <s v="Federal"/>
    <s v="PAV"/>
    <s v="Santana do Livramento"/>
  </r>
  <r>
    <x v="0"/>
    <s v="158BSC1035"/>
    <n v="0"/>
    <x v="145"/>
    <s v="1035"/>
    <n v="-52.852709350156303"/>
    <n v="-26.347135639797798"/>
    <n v="-53.092490530413599"/>
    <n v="-26.3949680496357"/>
    <s v="158"/>
    <s v="SC"/>
    <s v="Eixo Principal"/>
    <s v="-"/>
    <s v="158BSC1035"/>
    <s v="ENTR BR-480(B) (DIV PR/SC) (SÃO LOURENÇO DO OESTE)"/>
    <s v="ENTR SC-160 (CAMPO ERÊ)"/>
    <n v="0"/>
    <n v="35.799999999999997"/>
    <n v="35.799999999999997"/>
    <x v="1"/>
    <m/>
    <m/>
    <s v="Estadual"/>
    <m/>
    <s v="SC-157/305"/>
    <s v="PAV"/>
    <s v="Estadual"/>
    <s v="PLA"/>
    <s v="Chapecó"/>
  </r>
  <r>
    <x v="0"/>
    <s v="158BSC1045"/>
    <n v="0"/>
    <x v="145"/>
    <s v="1045"/>
    <n v="-53.092490530413599"/>
    <n v="-26.3949680496357"/>
    <n v="-53.0566125702139"/>
    <n v="-26.610727859602999"/>
    <s v="158"/>
    <s v="SC"/>
    <s v="Eixo Principal"/>
    <s v="-"/>
    <s v="158BSC1045"/>
    <s v="ENTR SC-160 (CAMPO ERÊ)"/>
    <s v="SALTINHO "/>
    <n v="35.799999999999997"/>
    <n v="62.6"/>
    <n v="26.8"/>
    <x v="1"/>
    <m/>
    <m/>
    <s v="Estadual"/>
    <m/>
    <s v="SC-160"/>
    <s v="PAV"/>
    <s v="Estadual"/>
    <s v="PLA"/>
    <s v="Chapecó"/>
  </r>
  <r>
    <x v="0"/>
    <s v="158BSC1055"/>
    <n v="0"/>
    <x v="145"/>
    <s v="1055"/>
    <n v="-53.0566125702139"/>
    <n v="-26.610727859602999"/>
    <n v="-53.079734690403498"/>
    <n v="-26.661670129572698"/>
    <s v="158"/>
    <s v="SC"/>
    <s v="Eixo Principal"/>
    <s v="-"/>
    <s v="158BSC1055"/>
    <s v="SALTINHO"/>
    <s v="ENTR SC-160 (P/ SERRA ALTA)"/>
    <n v="62.6"/>
    <n v="73.8"/>
    <n v="11.2"/>
    <x v="1"/>
    <m/>
    <m/>
    <s v="Estadual"/>
    <m/>
    <s v="SC-160"/>
    <s v="PAV"/>
    <s v="Estadual"/>
    <s v="PLA"/>
    <s v="Chapecó"/>
  </r>
  <r>
    <x v="0"/>
    <s v="158BSC1060"/>
    <n v="0"/>
    <x v="145"/>
    <s v="1060"/>
    <n v="-53.095814949899903"/>
    <n v="-26.691381860284501"/>
    <n v="-53.079734690403498"/>
    <n v="-26.661670129572698"/>
    <s v="158"/>
    <s v="SC"/>
    <s v="Eixo Principal"/>
    <s v="-"/>
    <s v="158BSC1060"/>
    <s v="ENTR SC-160 (P/ SERRA ALTA)"/>
    <s v="BOM JESUS DO OESTE"/>
    <n v="73.8"/>
    <n v="77.8"/>
    <n v="4"/>
    <x v="1"/>
    <m/>
    <m/>
    <s v="Estadual"/>
    <m/>
    <s v="SCT-160"/>
    <s v="PAV"/>
    <s v="Estadual"/>
    <s v="PLA"/>
    <s v="Chapecó"/>
  </r>
  <r>
    <x v="0"/>
    <s v="158BSC1062"/>
    <n v="0"/>
    <x v="145"/>
    <s v="1062"/>
    <n v="-53.142044720187599"/>
    <n v="-26.682158509607401"/>
    <n v="-53.095814949899903"/>
    <n v="-26.691381860284501"/>
    <s v="158"/>
    <s v="SC"/>
    <s v="Eixo Principal"/>
    <s v="-"/>
    <s v="158BSC1062"/>
    <s v="BOM JESUS DO OESTE"/>
    <s v="ENTR SC-492 (P/SANTA TEREZINHA DO PROGRESSO)"/>
    <n v="77.8"/>
    <n v="84.3"/>
    <n v="6.5"/>
    <x v="1"/>
    <m/>
    <m/>
    <s v="Estadual"/>
    <m/>
    <s v="SCT-492"/>
    <s v="LEN"/>
    <s v="Estadual"/>
    <s v="PLA"/>
    <s v="Chapecó"/>
  </r>
  <r>
    <x v="0"/>
    <s v="158BSC1065"/>
    <n v="0"/>
    <x v="145"/>
    <s v="1065"/>
    <n v="-53.142044720187599"/>
    <n v="-26.682158509607401"/>
    <n v="-53.157080849701401"/>
    <n v="-26.6868445899058"/>
    <s v="158"/>
    <s v="SC"/>
    <s v="Eixo Principal"/>
    <s v="-"/>
    <s v="158BSC1065"/>
    <s v="ENTR SC-492 (P/SANTA TEREZINHA DO PROGRESSO)"/>
    <s v="TIGRINHOS"/>
    <n v="84.3"/>
    <n v="86.6"/>
    <n v="2.2999999999999998"/>
    <x v="1"/>
    <m/>
    <m/>
    <s v="Estadual"/>
    <m/>
    <s v="SC-492"/>
    <s v="PAV"/>
    <s v="Estadual"/>
    <s v="PLA"/>
    <s v="Chapecó"/>
  </r>
  <r>
    <x v="0"/>
    <s v="158BSC1070"/>
    <n v="0"/>
    <x v="145"/>
    <s v="1070"/>
    <n v="-53.157080849701401"/>
    <n v="-26.6868445899058"/>
    <n v="-53.174903220107403"/>
    <n v="-26.760531739647998"/>
    <s v="158"/>
    <s v="SC"/>
    <s v="Eixo Principal"/>
    <s v="-"/>
    <s v="158BSC1070"/>
    <s v="TIGRINHOS"/>
    <s v="ENTR SC-492(P/SÃO MIGUEL DA BOA VISTA) (MARAVILHA)"/>
    <n v="86.6"/>
    <n v="96.8"/>
    <n v="10.199999999999999"/>
    <x v="1"/>
    <m/>
    <m/>
    <s v="Estadual"/>
    <m/>
    <s v="SC-492"/>
    <s v="PAV"/>
    <s v="Estadual"/>
    <s v="PLA"/>
    <s v="Chapecó"/>
  </r>
  <r>
    <x v="0"/>
    <s v="158BSC1080"/>
    <n v="0"/>
    <x v="145"/>
    <s v="1080"/>
    <n v="-53.174903220107403"/>
    <n v="-26.760531739647998"/>
    <n v="-53.196987209691898"/>
    <n v="-26.7827908002551"/>
    <s v="158"/>
    <s v="SC"/>
    <s v="Eixo Principal"/>
    <s v="-"/>
    <s v="158BSC1080"/>
    <s v="ENTR SC-492(P/SÃO MIGUEL DA BOA VISTA) (MARAVILHA)"/>
    <s v="ENTR BR-282(A) (MARAVILHA) *TRECHO MUNICIPAL*"/>
    <n v="96.8"/>
    <n v="100.7"/>
    <n v="3.9"/>
    <x v="1"/>
    <m/>
    <m/>
    <s v="Estadual"/>
    <m/>
    <s v="SC-492"/>
    <s v="PAV"/>
    <s v="Estadual"/>
    <s v="PLA"/>
    <s v="Chapecó"/>
  </r>
  <r>
    <x v="0"/>
    <s v="158BSC1085"/>
    <n v="0"/>
    <x v="145"/>
    <s v="1085"/>
    <n v="-53.196987209691898"/>
    <n v="-26.7827908002551"/>
    <n v="-53.181703829568001"/>
    <n v="-26.805466169628001"/>
    <s v="158"/>
    <s v="SC"/>
    <s v="Eixo Principal"/>
    <s v="-"/>
    <s v="158BSC1085"/>
    <s v="ENTR BR-282(A) (MARAVILHA)"/>
    <s v="ENTR BR-282(B)"/>
    <n v="100.7"/>
    <n v="103.9"/>
    <n v="3.2"/>
    <x v="2"/>
    <m/>
    <s v="282BSC0379"/>
    <s v="Federal"/>
    <m/>
    <m/>
    <m/>
    <s v="Federal"/>
    <s v="PAV"/>
    <s v="Chapecó"/>
  </r>
  <r>
    <x v="0"/>
    <s v="158BSC1090"/>
    <n v="0"/>
    <x v="145"/>
    <s v="1090"/>
    <n v="-53.181703829568001"/>
    <n v="-26.805466169628001"/>
    <n v="-53.177373950047603"/>
    <n v="-26.888110039946302"/>
    <s v="158"/>
    <s v="SC"/>
    <s v="Eixo Principal"/>
    <s v="-"/>
    <s v="158BSC1090"/>
    <s v="ENTR BR-282(B)"/>
    <s v="CUNHA PORÃ"/>
    <n v="103.9"/>
    <n v="114.4"/>
    <n v="10.5"/>
    <x v="2"/>
    <m/>
    <m/>
    <s v="Federal"/>
    <m/>
    <m/>
    <m/>
    <s v="Federal"/>
    <s v="PAV"/>
    <s v="Chapecó"/>
  </r>
  <r>
    <x v="0"/>
    <s v="158BSC1095"/>
    <n v="0"/>
    <x v="145"/>
    <s v="1095"/>
    <n v="-53.177373950047603"/>
    <n v="-26.888110039946302"/>
    <n v="-53.230086920375001"/>
    <n v="-27.0704636098076"/>
    <s v="158"/>
    <s v="SC"/>
    <s v="Eixo Principal"/>
    <s v="-"/>
    <s v="158BSC1095"/>
    <s v="CUNHA PORÃ"/>
    <s v="ENTR BR-283(A) (P/CAIBI)"/>
    <n v="114.4"/>
    <n v="139.30000000000001"/>
    <n v="24.9"/>
    <x v="2"/>
    <m/>
    <m/>
    <s v="Federal"/>
    <m/>
    <m/>
    <m/>
    <s v="Federal"/>
    <s v="PAV"/>
    <s v="Chapecó"/>
  </r>
  <r>
    <x v="0"/>
    <s v="158BSC1100"/>
    <n v="0"/>
    <x v="145"/>
    <s v="1100"/>
    <n v="-53.230086920375001"/>
    <n v="-27.0704636098076"/>
    <n v="-53.224701500273902"/>
    <n v="-27.079946899629601"/>
    <s v="158"/>
    <s v="SC"/>
    <s v="Eixo Principal"/>
    <s v="-"/>
    <s v="158BSC1100"/>
    <s v="ENTR BR-283(A) (P/CAIBI)"/>
    <s v="ENTR BR-283(B) (P/PALMITOS)"/>
    <n v="139.30000000000001"/>
    <n v="140.80000000000001"/>
    <n v="1.5"/>
    <x v="2"/>
    <m/>
    <s v="283BSC0160"/>
    <s v="Federal"/>
    <m/>
    <m/>
    <m/>
    <s v="Federal"/>
    <s v="PAV"/>
    <s v="Chapecó"/>
  </r>
  <r>
    <x v="0"/>
    <s v="158BSC1105"/>
    <n v="0"/>
    <x v="145"/>
    <s v="1105"/>
    <n v="-53.224701500273902"/>
    <n v="-27.079946899629601"/>
    <n v="-53.225135040049999"/>
    <n v="-27.1690188496401"/>
    <s v="158"/>
    <s v="SC"/>
    <s v="Eixo Principal"/>
    <s v="-"/>
    <s v="158BSC1105"/>
    <s v="ENTR BR-283(B) (P/PALMITOS)"/>
    <s v="ENTR BR-386(A) (DIV SC/RS)"/>
    <n v="140.80000000000001"/>
    <n v="152.19999999999999"/>
    <n v="11.4"/>
    <x v="2"/>
    <m/>
    <m/>
    <s v="Federal"/>
    <m/>
    <m/>
    <m/>
    <s v="Federal"/>
    <s v="PAV"/>
    <s v="Chapecó"/>
  </r>
  <r>
    <x v="0"/>
    <s v="158BSP0545"/>
    <n v="0"/>
    <x v="146"/>
    <s v="0545"/>
    <n v="-51.862243729764202"/>
    <n v="-21.268974430425601"/>
    <n v="-51.8458157303116"/>
    <n v="-21.2690630298349"/>
    <s v="158"/>
    <s v="SP"/>
    <s v="Eixo Principal"/>
    <s v="-"/>
    <s v="158BSP0545"/>
    <s v="DIV MS/SP (INÍCIO PONTE S/ RIO PARANÁ)"/>
    <s v="FIM PONTE SOBRE O RIO PARANÁ"/>
    <n v="0"/>
    <n v="1.7"/>
    <n v="1.7"/>
    <x v="2"/>
    <m/>
    <m/>
    <s v="Federal"/>
    <m/>
    <m/>
    <m/>
    <s v="Federal"/>
    <s v="PAV"/>
    <s v="São José do Rio Preto"/>
  </r>
  <r>
    <x v="0"/>
    <s v="158BSP0550"/>
    <n v="0"/>
    <x v="146"/>
    <s v="0550"/>
    <n v="-51.8458157303116"/>
    <n v="-21.2690630298349"/>
    <n v="-51.839329370054301"/>
    <n v="-21.2721313997442"/>
    <s v="158"/>
    <s v="SP"/>
    <s v="Eixo Principal"/>
    <s v="-"/>
    <s v="158BSP0550"/>
    <s v="FIM PONTE SOBRE O RIO PARANÁ"/>
    <s v="ENTR AV. INTERNACIONAL (P/PAULICÉIA)"/>
    <n v="1.7"/>
    <n v="2.8"/>
    <n v="1.1000000000000001"/>
    <x v="2"/>
    <m/>
    <m/>
    <s v="Federal"/>
    <m/>
    <m/>
    <m/>
    <s v="Federal"/>
    <s v="PAV"/>
    <s v="São José do Rio Preto"/>
  </r>
  <r>
    <x v="0"/>
    <s v="158BSP0555"/>
    <n v="0"/>
    <x v="146"/>
    <s v="0555"/>
    <n v="-51.839329370054301"/>
    <n v="-21.2721313997442"/>
    <n v="-51.8282595097685"/>
    <n v="-21.306223360319699"/>
    <s v="158"/>
    <s v="SP"/>
    <s v="Eixo Principal"/>
    <s v="-"/>
    <s v="158BSP0555"/>
    <s v="ENTR AV. INTERNACIONAL (P/PAULICÉIA)"/>
    <s v="ENTR AV. BRASIL (PAULICÉIA)"/>
    <n v="2.8"/>
    <n v="7.3"/>
    <n v="4.5"/>
    <x v="2"/>
    <m/>
    <m/>
    <s v="Federal"/>
    <m/>
    <m/>
    <m/>
    <s v="Federal"/>
    <s v="PAV"/>
    <s v="São José do Rio Preto"/>
  </r>
  <r>
    <x v="0"/>
    <s v="158BSP0560"/>
    <n v="0"/>
    <x v="146"/>
    <s v="0560"/>
    <n v="-51.8282595097685"/>
    <n v="-21.306223360319699"/>
    <n v="-51.807309739752597"/>
    <n v="-21.322144980306501"/>
    <s v="158"/>
    <s v="SP"/>
    <s v="Eixo Principal"/>
    <s v="-"/>
    <s v="158BSP0560"/>
    <s v="ENTR AV. BRASIL (PAULICÉIA)"/>
    <s v="ENTR AV. PAULISTA (P/PAULICÉIA)"/>
    <n v="7.3"/>
    <n v="10.7"/>
    <n v="3.4"/>
    <x v="2"/>
    <m/>
    <m/>
    <s v="Federal"/>
    <m/>
    <m/>
    <m/>
    <s v="Federal"/>
    <s v="PAV"/>
    <s v="São José do Rio Preto"/>
  </r>
  <r>
    <x v="0"/>
    <s v="158BSP0565"/>
    <n v="0"/>
    <x v="146"/>
    <s v="0565"/>
    <n v="-51.807309739752597"/>
    <n v="-21.322144980306501"/>
    <n v="-51.811187909594302"/>
    <n v="-21.337463999663701"/>
    <s v="158"/>
    <s v="SP"/>
    <s v="Eixo Principal"/>
    <s v="-"/>
    <s v="158BSP0565"/>
    <s v="ENTR AV. PAULISTA (P/PAULICÉIA)"/>
    <s v="ENTR SP-294(A) (P/PANORAMA)"/>
    <n v="10.7"/>
    <n v="11.6"/>
    <n v="0.9"/>
    <x v="2"/>
    <m/>
    <m/>
    <s v="Federal"/>
    <m/>
    <m/>
    <m/>
    <s v="Federal"/>
    <s v="PAV"/>
    <s v="São José do Rio Preto"/>
  </r>
  <r>
    <x v="0"/>
    <s v="158BSP0570"/>
    <n v="0"/>
    <x v="146"/>
    <s v="0570"/>
    <n v="-51.811187909594302"/>
    <n v="-21.337463999663701"/>
    <n v="-51.610488849880397"/>
    <n v="-21.424350519760601"/>
    <s v="158"/>
    <s v="SP"/>
    <s v="Eixo Principal"/>
    <s v="-"/>
    <s v="158BSP0570"/>
    <s v="ENTR SP-294(A) (P/PANORAMA)"/>
    <s v="ENTR SP-563/294(B)"/>
    <n v="11.6"/>
    <n v="35.4"/>
    <n v="23.8"/>
    <x v="1"/>
    <m/>
    <m/>
    <s v="Estadual"/>
    <m/>
    <s v="SP-294"/>
    <s v="PAV"/>
    <s v="Estadual"/>
    <s v="PLA"/>
    <s v="São José do Rio Preto"/>
  </r>
  <r>
    <x v="0"/>
    <s v="158BSP0580"/>
    <n v="0"/>
    <x v="146"/>
    <s v="0580"/>
    <n v="-51.610488849880397"/>
    <n v="-21.424350519760601"/>
    <n v="-51.635614129888097"/>
    <n v="-21.496801799563301"/>
    <s v="158"/>
    <s v="SP"/>
    <s v="Eixo Principal"/>
    <s v="-"/>
    <s v="158BSP0580"/>
    <s v="ENTR SP-563/294(A)"/>
    <s v="ENTR ROD.ENG.BYRON AZEVEDO NOGUEIRA (P/DRACENA)"/>
    <n v="35.4"/>
    <n v="43.4"/>
    <n v="8"/>
    <x v="1"/>
    <m/>
    <m/>
    <s v="Estadual"/>
    <m/>
    <s v="SP-563"/>
    <s v="PAV"/>
    <s v="Estadual"/>
    <s v="PLA"/>
    <s v="São José do Rio Preto"/>
  </r>
  <r>
    <x v="0"/>
    <s v="158BSP0610"/>
    <n v="0"/>
    <x v="146"/>
    <s v="0610"/>
    <n v="-51.635614129888097"/>
    <n v="-21.496801799563301"/>
    <n v="-51.702049699733799"/>
    <n v="-21.6056401196957"/>
    <s v="158"/>
    <s v="SP"/>
    <s v="Eixo Principal"/>
    <s v="-"/>
    <s v="158BSP0610"/>
    <s v="ENTR ROD.ENG.BYRON AZEVEDO NOGUEIRA (P/DRACENA)"/>
    <s v="INÍCIO PONTE S/RIO DO PEIXE"/>
    <n v="43.4"/>
    <n v="58.7"/>
    <n v="15.3"/>
    <x v="1"/>
    <m/>
    <m/>
    <s v="Estadual"/>
    <m/>
    <s v="SP-563"/>
    <s v="PAV"/>
    <s v="Estadual"/>
    <s v="PLA"/>
    <s v="São José do Rio Preto"/>
  </r>
  <r>
    <x v="0"/>
    <s v="158BSP0630"/>
    <n v="0"/>
    <x v="146"/>
    <s v="0630"/>
    <n v="-51.702049699733799"/>
    <n v="-21.6056401196957"/>
    <n v="-51.834987359578903"/>
    <n v="-21.896203930367001"/>
    <s v="158"/>
    <s v="SP"/>
    <s v="Eixo Principal"/>
    <s v="-"/>
    <s v="158BSP0630"/>
    <s v="INÍCIO PONTE S/RIO DO PEIXE"/>
    <s v="ENTR BR-267/374 (PRESIDENTE WENCESLAU)"/>
    <n v="58.7"/>
    <n v="93.4"/>
    <n v="34.700000000000003"/>
    <x v="1"/>
    <m/>
    <m/>
    <s v="Estadual"/>
    <m/>
    <s v="SP-563"/>
    <s v="PAV"/>
    <s v="Estadual"/>
    <s v="PLA"/>
    <s v="São José do Rio Preto"/>
  </r>
  <r>
    <x v="0"/>
    <s v="158BSP0650"/>
    <n v="0"/>
    <x v="146"/>
    <s v="0650"/>
    <n v="-51.834987359578903"/>
    <n v="-21.896203930367001"/>
    <n v="-51.927570039825397"/>
    <n v="-22.118521819726102"/>
    <s v="158"/>
    <s v="SP"/>
    <s v="Eixo Principal"/>
    <s v="-"/>
    <s v="158BSP0650"/>
    <s v="ENTR BR-267/374 (PRESIDENTE WENCESLAU)"/>
    <s v="ACESSO MARABÁ PAULISTA"/>
    <n v="93.4"/>
    <n v="120.8"/>
    <n v="27.4"/>
    <x v="1"/>
    <m/>
    <m/>
    <s v="Estadual"/>
    <m/>
    <s v="SP-563"/>
    <s v="PAV"/>
    <s v="Estadual"/>
    <s v="PLA"/>
    <s v="São José do Rio Preto"/>
  </r>
  <r>
    <x v="0"/>
    <s v="158BSP0660"/>
    <n v="0"/>
    <x v="146"/>
    <s v="0660"/>
    <n v="-51.927570039825397"/>
    <n v="-22.118521819726102"/>
    <n v="-52.044255620200602"/>
    <n v="-22.283351380062001"/>
    <s v="158"/>
    <s v="SP"/>
    <s v="Eixo Principal"/>
    <s v="-"/>
    <s v="158BSP0660"/>
    <s v="ACESSO MARABÁ PAULISTA"/>
    <s v="ENTR SP-272 (P/MIRANTE DO PARAPANEMA)"/>
    <n v="120.8"/>
    <n v="143.30000000000001"/>
    <n v="22.5"/>
    <x v="1"/>
    <m/>
    <m/>
    <s v="Estadual"/>
    <m/>
    <s v="SP-563"/>
    <s v="PAV"/>
    <s v="Estadual"/>
    <s v="PLA"/>
    <s v="São José do Rio Preto"/>
  </r>
  <r>
    <x v="0"/>
    <s v="158BSP0670"/>
    <n v="0"/>
    <x v="146"/>
    <s v="0670"/>
    <n v="-52.044255620200602"/>
    <n v="-22.283351380062001"/>
    <n v="-52.150810979842703"/>
    <n v="-22.521359910231599"/>
    <s v="158"/>
    <s v="SP"/>
    <s v="Eixo Principal"/>
    <s v="-"/>
    <s v="158BSP0670"/>
    <s v="ENTR SP-272 (P/MIRANTE DO PARAPANEMA)"/>
    <s v="ENTR SP-613 (TEODORO SAMPAIO)"/>
    <n v="143.30000000000001"/>
    <n v="174.2"/>
    <n v="30.9"/>
    <x v="1"/>
    <m/>
    <m/>
    <s v="Estadual"/>
    <m/>
    <s v="SP-563"/>
    <s v="PAV"/>
    <s v="Estadual"/>
    <s v="PLA"/>
    <s v="São José do Rio Preto"/>
  </r>
  <r>
    <x v="0"/>
    <s v="158BSP0690"/>
    <n v="0"/>
    <x v="146"/>
    <s v="0690"/>
    <n v="-52.150810979842703"/>
    <n v="-22.521359910231599"/>
    <n v="-52.149956540262103"/>
    <n v="-22.556654550367099"/>
    <s v="158"/>
    <s v="SP"/>
    <s v="Eixo Principal"/>
    <s v="-"/>
    <s v="158BSP0690"/>
    <s v="ENTR SP-613 (TEODORO SAMPAIO)"/>
    <s v="DIV SP/PR *TRECHO MUNICIPAL*"/>
    <n v="174.2"/>
    <n v="179.6"/>
    <n v="5.4"/>
    <x v="1"/>
    <m/>
    <m/>
    <s v="Federal"/>
    <m/>
    <m/>
    <m/>
    <s v="Federal"/>
    <s v="PLA"/>
    <s v="São José do Rio Preto"/>
  </r>
  <r>
    <x v="0"/>
    <s v="158CMT1005"/>
    <n v="0"/>
    <x v="147"/>
    <s v="1005"/>
    <n v="-51.686826889849002"/>
    <n v="-11.237669659726899"/>
    <n v="-51.360396269672002"/>
    <n v="-11.429631499993601"/>
    <s v="158"/>
    <s v="MT"/>
    <s v="Contorno"/>
    <s v="-"/>
    <s v="158CMT1005"/>
    <s v="ENTR BR-158 (POSTO LUISINHO)"/>
    <s v="PONTE S/CÓRREGO  MUTUM"/>
    <n v="0"/>
    <n v="45.2"/>
    <n v="45.2"/>
    <x v="5"/>
    <m/>
    <m/>
    <s v="Federal"/>
    <m/>
    <m/>
    <m/>
    <s v="Federal"/>
    <s v="N_PAV"/>
    <s v="Água Boa"/>
  </r>
  <r>
    <x v="0"/>
    <s v="158CMT1010"/>
    <n v="0"/>
    <x v="147"/>
    <s v="1010"/>
    <n v="-51.360396269672002"/>
    <n v="-11.429631499993601"/>
    <n v="-51.377109859632199"/>
    <n v="-11.671919070108901"/>
    <s v="158"/>
    <s v="MT"/>
    <s v="Contorno"/>
    <s v="-"/>
    <s v="158CMT1010"/>
    <s v="PONTE S/CÓRREGO  MUTUM"/>
    <s v="ENTR BR-242/MT-424 (ALTO BOA VISTA)"/>
    <n v="45.2"/>
    <n v="93.1"/>
    <n v="47.9"/>
    <x v="5"/>
    <m/>
    <m/>
    <s v="Federal"/>
    <m/>
    <m/>
    <m/>
    <s v="Federal"/>
    <s v="N_PAV"/>
    <s v="Água Boa"/>
  </r>
  <r>
    <x v="0"/>
    <s v="158CMT1015"/>
    <n v="0"/>
    <x v="147"/>
    <s v="1015"/>
    <n v="-51.377109859632199"/>
    <n v="-11.671919070108901"/>
    <n v="-51.386826730369201"/>
    <n v="-12.083914400329199"/>
    <s v="158"/>
    <s v="MT"/>
    <s v="Contorno"/>
    <s v="-"/>
    <s v="158CMT1015"/>
    <s v="ENTR BR-242/MT-424 (ALTO BOA VISTA)"/>
    <s v="ENTR MT-322 (ACESSO NOVO SANTO ANTONIO)"/>
    <n v="93.1"/>
    <n v="146.9"/>
    <n v="53.8"/>
    <x v="5"/>
    <m/>
    <m/>
    <s v="Federal"/>
    <m/>
    <m/>
    <m/>
    <s v="Federal"/>
    <s v="N_PAV"/>
    <s v="Água Boa"/>
  </r>
  <r>
    <x v="0"/>
    <s v="158CMT1020"/>
    <n v="0"/>
    <x v="147"/>
    <s v="1020"/>
    <n v="-51.386826730369201"/>
    <n v="-12.083914400329199"/>
    <n v="-51.699453249967398"/>
    <n v="-12.1628315601283"/>
    <s v="158"/>
    <s v="MT"/>
    <s v="Contorno"/>
    <s v="-"/>
    <s v="158CMT1020"/>
    <s v="ENTR MT-322 (ACESSO NOVO SANTO ANTONIO)"/>
    <s v="ENTR BR-158 (ALÔ BRASIL)"/>
    <n v="146.9"/>
    <n v="190.1"/>
    <n v="43.2"/>
    <x v="5"/>
    <m/>
    <m/>
    <s v="Federal"/>
    <m/>
    <m/>
    <m/>
    <s v="Federal"/>
    <s v="N_PAV"/>
    <s v="Água Boa"/>
  </r>
  <r>
    <x v="0"/>
    <s v="163AMS1005"/>
    <n v="0"/>
    <x v="148"/>
    <s v="1005"/>
    <n v="-54.317673170380402"/>
    <n v="-24.002578040244298"/>
    <n v="-54.322465930058499"/>
    <n v="-24.004413050221999"/>
    <s v="163"/>
    <s v="MS"/>
    <s v="Acesso"/>
    <s v="-"/>
    <s v="163AMS1005"/>
    <s v="ENTR BR-163 (KM 6,7)"/>
    <s v="FRONT BRASIL/PARAGUAI"/>
    <n v="0"/>
    <n v="0.6"/>
    <n v="0.6"/>
    <x v="2"/>
    <m/>
    <m/>
    <s v="Federal"/>
    <m/>
    <m/>
    <m/>
    <s v="Federal"/>
    <s v="PAV"/>
    <s v="Dourados"/>
  </r>
  <r>
    <x v="0"/>
    <s v="163AMS2005"/>
    <n v="0"/>
    <x v="148"/>
    <s v="2005"/>
    <n v="-54.526976759969401"/>
    <n v="-21.783598799844601"/>
    <n v="-54.5353368999778"/>
    <n v="-21.794118150032499"/>
    <s v="163"/>
    <s v="MS"/>
    <s v="Acesso"/>
    <s v="-"/>
    <s v="163AMS2005"/>
    <s v="ENTR BR-163"/>
    <s v="RIO BRILHANTE (ACESSO NORTE)"/>
    <n v="0"/>
    <n v="1.4"/>
    <n v="1.4"/>
    <x v="2"/>
    <m/>
    <m/>
    <s v="Federal"/>
    <m/>
    <m/>
    <m/>
    <s v="Federal"/>
    <s v="PAV"/>
    <s v="Dourados"/>
  </r>
  <r>
    <x v="0"/>
    <s v="163AMS3005"/>
    <n v="0"/>
    <x v="148"/>
    <s v="3005"/>
    <n v="-54.539888740273099"/>
    <n v="-21.837465700181799"/>
    <n v="-54.548129800150001"/>
    <n v="-21.811011810346699"/>
    <s v="163"/>
    <s v="MS"/>
    <s v="Acesso"/>
    <s v="-"/>
    <s v="163AMS3005"/>
    <s v="ENTR BR-163"/>
    <s v="RIO BRILHANTE (ACESSO SUL)"/>
    <n v="0"/>
    <n v="3.3"/>
    <n v="3.3"/>
    <x v="2"/>
    <m/>
    <m/>
    <s v="Federal"/>
    <m/>
    <m/>
    <m/>
    <s v="Federal"/>
    <s v="PAV"/>
    <s v="Dourados"/>
  </r>
  <r>
    <x v="0"/>
    <s v="163APR1005"/>
    <n v="0"/>
    <x v="149"/>
    <s v="1005"/>
    <n v="-53.543239350015902"/>
    <n v="-24.958996220099401"/>
    <n v="-53.510859359571697"/>
    <n v="-24.950122829804599"/>
    <s v="163"/>
    <s v="PR"/>
    <s v="Acesso"/>
    <s v="-"/>
    <s v="163APR1005"/>
    <s v="ENTR BR-163 (KM 201,0)"/>
    <s v="PERÍMETRO URB DE CASCAVEL (ACESSO OESTE)"/>
    <n v="0"/>
    <n v="4.2"/>
    <n v="4.2"/>
    <x v="1"/>
    <m/>
    <m/>
    <s v="Federal"/>
    <m/>
    <m/>
    <m/>
    <s v="Federal"/>
    <s v="PLA"/>
    <s v="Foz do Iguaçú"/>
  </r>
  <r>
    <x v="0"/>
    <s v="163ASC1005"/>
    <n v="0"/>
    <x v="150"/>
    <s v="1005"/>
    <n v="-53.618574070336997"/>
    <n v="-26.257607399861499"/>
    <n v="-53.6413002199291"/>
    <n v="-26.2594942899294"/>
    <s v="163"/>
    <s v="SC"/>
    <s v="Acesso"/>
    <s v="-"/>
    <s v="163ASC1005"/>
    <s v="ENTR BR-163"/>
    <s v="DIONÍSIO CERQUEIRA (ACS P INTER CARGAS)"/>
    <n v="0"/>
    <n v="3.6"/>
    <n v="3.6"/>
    <x v="2"/>
    <m/>
    <m/>
    <s v="Federal"/>
    <m/>
    <m/>
    <m/>
    <s v="Federal"/>
    <s v="PAV"/>
    <s v="Chapecó"/>
  </r>
  <r>
    <x v="6"/>
    <s v="163BMS0150"/>
    <s v="BR-163/MS (MSVia)"/>
    <x v="151"/>
    <s v="0150"/>
    <n v="-54.272314190247599"/>
    <n v="-24.0444865995768"/>
    <n v="-54.317673170380402"/>
    <n v="-24.002578040244298"/>
    <s v="163"/>
    <s v="MS"/>
    <s v="Eixo Principal"/>
    <s v="-"/>
    <s v="163BMS0150"/>
    <s v="ENTR MS-386(A) (DIV PR/MS) (FIM DA PONTE S/ RIO PARANÁ - PORTO CEL RENATO)"/>
    <s v="ACESSO SALTO GUAÍRA (PARAGUAI)"/>
    <n v="0"/>
    <n v="6.7"/>
    <n v="6.7"/>
    <x v="2"/>
    <m/>
    <m/>
    <s v="Concessão Federal"/>
    <m/>
    <m/>
    <m/>
    <s v="Federal"/>
    <s v="PAV"/>
    <s v="Dourados"/>
  </r>
  <r>
    <x v="6"/>
    <s v="163BMS0160"/>
    <s v="BR-163/MS (MSVia)"/>
    <x v="151"/>
    <s v="0160"/>
    <n v="-54.317673170380402"/>
    <n v="-24.002578040244298"/>
    <n v="-54.3103706304002"/>
    <n v="-23.9493580798114"/>
    <s v="163"/>
    <s v="MS"/>
    <s v="Eixo Principal"/>
    <s v="-"/>
    <s v="163BMS0160"/>
    <s v="ACESSO SALTO GUAÍRA (PARAGUAI)"/>
    <s v="ENTR MS-386 (P/JAPORÃ)"/>
    <n v="6.7"/>
    <n v="13.8"/>
    <n v="7.1"/>
    <x v="2"/>
    <m/>
    <m/>
    <s v="Concessão Federal"/>
    <m/>
    <m/>
    <m/>
    <s v="Federal"/>
    <s v="PAV"/>
    <s v="Dourados"/>
  </r>
  <r>
    <x v="6"/>
    <s v="163BMS0170"/>
    <s v="BR-163/MS (MSVia)"/>
    <x v="151"/>
    <s v="0170"/>
    <n v="-54.3103706304002"/>
    <n v="-23.9493580798114"/>
    <n v="-54.284826959696296"/>
    <n v="-23.924157229772199"/>
    <s v="163"/>
    <s v="MS"/>
    <s v="Eixo Principal"/>
    <s v="-"/>
    <s v="163BMS0170"/>
    <s v="ENTR MS-386 (P/JAPORÃ)"/>
    <s v="ENTR AV. BRASIL (MUNDO NOVO)"/>
    <n v="13.8"/>
    <n v="20.2"/>
    <n v="6.4"/>
    <x v="2"/>
    <m/>
    <m/>
    <s v="Concessão Federal"/>
    <m/>
    <m/>
    <m/>
    <s v="Federal"/>
    <s v="PAV"/>
    <s v="Dourados"/>
  </r>
  <r>
    <x v="6"/>
    <s v="163BMS0190"/>
    <s v="BR-163/MS (MSVia)"/>
    <x v="151"/>
    <s v="0190"/>
    <n v="-54.284826959696296"/>
    <n v="-23.924157229772199"/>
    <n v="-54.277913229911498"/>
    <n v="-23.785676379960901"/>
    <s v="163"/>
    <s v="MS"/>
    <s v="Eixo Principal"/>
    <s v="-"/>
    <s v="163BMS0190"/>
    <s v="ENTR AV. BRASIL (MUNDO NOVO)"/>
    <s v="ENTR MS-295(B) (ELDORADO)"/>
    <n v="20.2"/>
    <n v="40.4"/>
    <n v="20.2"/>
    <x v="2"/>
    <m/>
    <m/>
    <s v="Concessão Federal"/>
    <m/>
    <m/>
    <m/>
    <s v="Federal"/>
    <s v="PAV"/>
    <s v="Dourados"/>
  </r>
  <r>
    <x v="6"/>
    <s v="163BMS0195"/>
    <s v="BR-163/MS (MSVia)"/>
    <x v="151"/>
    <s v="0195"/>
    <n v="-54.277913229911498"/>
    <n v="-23.785676379960901"/>
    <n v="-54.1881251299707"/>
    <n v="-23.4753028896166"/>
    <s v="163"/>
    <s v="MS"/>
    <s v="Eixo Principal"/>
    <s v="-"/>
    <s v="163BMS0195"/>
    <s v="ENTR MS-295(B) (ELDORADO)"/>
    <s v="ENTR MS-488 (ITAQUIRAÍ)"/>
    <n v="40.4"/>
    <n v="77.900000000000006"/>
    <n v="37.5"/>
    <x v="2"/>
    <m/>
    <m/>
    <s v="Concessão Federal"/>
    <m/>
    <m/>
    <m/>
    <s v="Federal"/>
    <s v="PAV"/>
    <s v="Dourados"/>
  </r>
  <r>
    <x v="6"/>
    <s v="163BMS0210"/>
    <s v="BR-163/MS (MSVia)"/>
    <x v="151"/>
    <s v="0210"/>
    <n v="-54.1881251299707"/>
    <n v="-23.4753028896166"/>
    <n v="-54.225908269750697"/>
    <n v="-23.247098670367201"/>
    <s v="163"/>
    <s v="MS"/>
    <s v="Eixo Principal"/>
    <s v="-"/>
    <s v="163BMS0210"/>
    <s v="ENTR MS-488 (ITAQUIRAÍ)"/>
    <s v="ENTR BR-487(A)"/>
    <n v="77.900000000000006"/>
    <n v="103.8"/>
    <n v="25.9"/>
    <x v="2"/>
    <m/>
    <m/>
    <s v="Concessão Federal"/>
    <m/>
    <m/>
    <m/>
    <s v="Federal"/>
    <s v="PAV"/>
    <s v="Dourados"/>
  </r>
  <r>
    <x v="6"/>
    <s v="163BMS0212"/>
    <s v="BR-163/MS (MSVia)"/>
    <x v="151"/>
    <s v="0212"/>
    <n v="-54.225908269750697"/>
    <n v="-23.247098670367201"/>
    <n v="-54.200818260254401"/>
    <n v="-23.129635810444199"/>
    <s v="163"/>
    <s v="MS"/>
    <s v="Eixo Principal"/>
    <s v="-"/>
    <s v="163BMS0212"/>
    <s v="ENTR BR-487(A)"/>
    <s v="ENTR MS-141(A) (P/ NAVIRAÍ)"/>
    <n v="103.8"/>
    <n v="117.7"/>
    <n v="13.9"/>
    <x v="2"/>
    <m/>
    <s v="487BMS0045"/>
    <s v="Concessão Federal"/>
    <m/>
    <m/>
    <m/>
    <s v="Federal"/>
    <s v="PAV"/>
    <s v="Dourados"/>
  </r>
  <r>
    <x v="6"/>
    <s v="163BMS0213"/>
    <s v="BR-163/MS (MSVia)"/>
    <x v="151"/>
    <s v="0213"/>
    <n v="-54.200818260254401"/>
    <n v="-23.129635810444199"/>
    <n v="-54.228265040299299"/>
    <n v="-23.0780314200139"/>
    <s v="163"/>
    <s v="MS"/>
    <s v="Eixo Principal"/>
    <s v="-"/>
    <s v="163BMS0213"/>
    <s v="ENTR MS-141(A) (P/ NAVIRAÍ)"/>
    <s v="ENTR MS-290 (P/ NAVIRAÍ)"/>
    <n v="117.7"/>
    <n v="124.3"/>
    <n v="6.6"/>
    <x v="2"/>
    <m/>
    <s v="487BMS0042"/>
    <s v="Concessão Federal"/>
    <m/>
    <m/>
    <m/>
    <s v="Federal"/>
    <s v="PAV"/>
    <s v="Dourados"/>
  </r>
  <r>
    <x v="6"/>
    <s v="163BMS0214"/>
    <s v="BR-163/MS (MSVia)"/>
    <x v="151"/>
    <s v="0214"/>
    <n v="-54.228265040299299"/>
    <n v="-23.0780314200139"/>
    <n v="-54.2339578001123"/>
    <n v="-23.056721639691801"/>
    <s v="163"/>
    <s v="MS"/>
    <s v="Eixo Principal"/>
    <s v="-"/>
    <s v="163BMS0214"/>
    <s v="ENTR MS-290 (P/ NAVIRAÍ)"/>
    <s v="ACESSO NAVIRAÍ (CONTORNO)"/>
    <n v="124.3"/>
    <n v="126.8"/>
    <n v="2.5"/>
    <x v="2"/>
    <m/>
    <s v="487BMS0040"/>
    <s v="Concessão Federal"/>
    <m/>
    <m/>
    <m/>
    <s v="Federal"/>
    <s v="PAV"/>
    <s v="Dourados"/>
  </r>
  <r>
    <x v="6"/>
    <s v="163BMS0222"/>
    <s v="BR-163/MS (MSVia)"/>
    <x v="151"/>
    <s v="0222"/>
    <n v="-54.2339578001123"/>
    <n v="-23.056721639691801"/>
    <n v="-54.330482469690097"/>
    <n v="-23.010335790264399"/>
    <s v="163"/>
    <s v="MS"/>
    <s v="Eixo Principal"/>
    <s v="-"/>
    <s v="163BMS0222"/>
    <s v="ACESSO NAVIRAÍ (CONTORNO)"/>
    <s v="ACESSO MS-145"/>
    <n v="126.8"/>
    <n v="138.19999999999999"/>
    <n v="11.4"/>
    <x v="2"/>
    <m/>
    <s v="487BMS0030"/>
    <s v="Concessão Federal"/>
    <m/>
    <m/>
    <m/>
    <s v="Federal"/>
    <s v="PAV"/>
    <s v="Dourados"/>
  </r>
  <r>
    <x v="6"/>
    <s v="163BMS0230"/>
    <s v="BR-163/MS (MSVia)"/>
    <x v="151"/>
    <s v="0230"/>
    <n v="-54.330482469690097"/>
    <n v="-23.010335790264399"/>
    <n v="-54.606326699617398"/>
    <n v="-22.867445839653701"/>
    <s v="163"/>
    <s v="MS"/>
    <s v="Eixo Principal"/>
    <s v="-"/>
    <s v="163BMS0230"/>
    <s v="ACESSO MS-145"/>
    <s v="ENTR BR-487(B)/MS-283/289 (JUTÍ)"/>
    <n v="138.19999999999999"/>
    <n v="171.6"/>
    <n v="33.4"/>
    <x v="2"/>
    <m/>
    <s v="487BMS0012"/>
    <s v="Concessão Federal"/>
    <m/>
    <m/>
    <m/>
    <s v="Federal"/>
    <s v="PAV"/>
    <s v="Dourados"/>
  </r>
  <r>
    <x v="6"/>
    <s v="163BMS0250"/>
    <s v="BR-163/MS (MSVia)"/>
    <x v="151"/>
    <s v="0250"/>
    <n v="-54.606326699617398"/>
    <n v="-22.867445839653701"/>
    <n v="-54.693014830170199"/>
    <n v="-22.823277640150899"/>
    <s v="163"/>
    <s v="MS"/>
    <s v="Eixo Principal"/>
    <s v="-"/>
    <s v="163BMS0250"/>
    <s v="ENTR BR-487(B)/MS-283/289 (JUTÍ)"/>
    <s v="ENTR MS-378(B)"/>
    <n v="171.6"/>
    <n v="181.8"/>
    <n v="10.199999999999999"/>
    <x v="2"/>
    <m/>
    <m/>
    <s v="Concessão Federal"/>
    <m/>
    <m/>
    <m/>
    <s v="Federal"/>
    <s v="PAV"/>
    <s v="Dourados"/>
  </r>
  <r>
    <x v="6"/>
    <s v="163BMS0252"/>
    <s v="BR-163/MS (MSVia)"/>
    <x v="151"/>
    <s v="0252"/>
    <n v="-54.693014830170199"/>
    <n v="-22.823277640150899"/>
    <n v="-54.815476200266403"/>
    <n v="-22.637661480093101"/>
    <s v="163"/>
    <s v="MS"/>
    <s v="Eixo Principal"/>
    <s v="-"/>
    <s v="163BMS0252"/>
    <s v="ENTR MS-378(B)"/>
    <s v="ENTR MS-156/378 (CAARAPÓ)"/>
    <n v="181.8"/>
    <n v="208.1"/>
    <n v="26.3"/>
    <x v="2"/>
    <m/>
    <m/>
    <s v="Concessão Federal"/>
    <m/>
    <m/>
    <m/>
    <s v="Federal"/>
    <s v="PAV"/>
    <s v="Dourados"/>
  </r>
  <r>
    <x v="6"/>
    <s v="163BMS0270"/>
    <s v="BR-163/MS (MSVia)"/>
    <x v="151"/>
    <s v="0270"/>
    <n v="-54.815476200266403"/>
    <n v="-22.637661480093101"/>
    <n v="-54.864763880448599"/>
    <n v="-22.497531529956099"/>
    <s v="163"/>
    <s v="MS"/>
    <s v="Eixo Principal"/>
    <s v="-"/>
    <s v="163BMS0270"/>
    <s v="ENTR MS-156/378 (CAARAPÓ)"/>
    <s v="ENTR MS-278 (NOVA AMÉRICA)"/>
    <n v="208.1"/>
    <n v="225.3"/>
    <n v="17.2"/>
    <x v="2"/>
    <m/>
    <m/>
    <s v="Concessão Federal"/>
    <m/>
    <m/>
    <m/>
    <s v="Federal"/>
    <s v="PAV"/>
    <s v="Dourados"/>
  </r>
  <r>
    <x v="6"/>
    <s v="163BMS0290"/>
    <s v="BR-163/MS (MSVia)"/>
    <x v="151"/>
    <s v="0290"/>
    <n v="-54.864763880448599"/>
    <n v="-22.497531529956099"/>
    <n v="-54.822151699641203"/>
    <n v="-22.283379349876999"/>
    <s v="163"/>
    <s v="MS"/>
    <s v="Eixo Principal"/>
    <s v="-"/>
    <s v="163BMS0290"/>
    <s v="ENTR MS-278 (NOVA AMÉRICA)"/>
    <s v="INÍCIO DE PISTA DUPLA (EMBRAPA)"/>
    <n v="225.3"/>
    <n v="252.5"/>
    <n v="27.2"/>
    <x v="2"/>
    <m/>
    <m/>
    <s v="Concessão Federal"/>
    <m/>
    <m/>
    <m/>
    <s v="Federal"/>
    <s v="PAV"/>
    <s v="Dourados"/>
  </r>
  <r>
    <x v="6"/>
    <s v="163BMS0300"/>
    <s v="BR-163/MS (MSVia)"/>
    <x v="151"/>
    <s v="0300"/>
    <n v="-54.822151699641203"/>
    <n v="-22.283379349876999"/>
    <n v="-54.804027960122099"/>
    <n v="-22.258688640268399"/>
    <s v="163"/>
    <s v="MS"/>
    <s v="Eixo Principal"/>
    <s v="-"/>
    <s v="163BMS0300"/>
    <s v="INÍCIO DE PISTA DUPLA (EMBRAPA)"/>
    <s v="ENTR BR-463 (DOURADOS)"/>
    <n v="252.5"/>
    <n v="256"/>
    <n v="3.5"/>
    <x v="0"/>
    <m/>
    <m/>
    <s v="Concessão Federal"/>
    <m/>
    <m/>
    <m/>
    <s v="Federal"/>
    <s v="PAV"/>
    <s v="Dourados"/>
  </r>
  <r>
    <x v="6"/>
    <s v="163BMS0310"/>
    <s v="BR-163/MS (MSVia)"/>
    <x v="151"/>
    <s v="0310"/>
    <n v="-54.804027960122099"/>
    <n v="-22.258688640268399"/>
    <n v="-54.781948780112003"/>
    <n v="-22.2577151799116"/>
    <s v="163"/>
    <s v="MS"/>
    <s v="Eixo Principal"/>
    <s v="-"/>
    <s v="163BMS0310"/>
    <s v="ENTR BR-463 (DOURADOS)"/>
    <s v="ENTR MS-156"/>
    <n v="256"/>
    <n v="258.2"/>
    <n v="2.2000000000000002"/>
    <x v="0"/>
    <m/>
    <m/>
    <s v="Concessão Federal"/>
    <m/>
    <m/>
    <m/>
    <s v="Federal"/>
    <s v="PAV"/>
    <s v="Dourados"/>
  </r>
  <r>
    <x v="6"/>
    <s v="163BMS0320"/>
    <s v="BR-163/MS (MSVia)"/>
    <x v="151"/>
    <s v="0320"/>
    <n v="-54.781948780112003"/>
    <n v="-22.2577151799116"/>
    <n v="-54.731280109989001"/>
    <n v="-22.222698370033601"/>
    <s v="163"/>
    <s v="MS"/>
    <s v="Eixo Principal"/>
    <s v="-"/>
    <s v="163BMS0320"/>
    <s v="ENTR MS-156"/>
    <s v="ENTR AV. MARCELINO PIRES (DOURADOS)"/>
    <n v="258.2"/>
    <n v="265"/>
    <n v="6.8"/>
    <x v="0"/>
    <m/>
    <m/>
    <s v="Concessão Federal"/>
    <m/>
    <m/>
    <m/>
    <s v="Federal"/>
    <s v="PAV"/>
    <s v="Dourados"/>
  </r>
  <r>
    <x v="6"/>
    <s v="163BMS0321"/>
    <s v="BR-163/MS (MSVia)"/>
    <x v="151"/>
    <s v="0321"/>
    <n v="-54.731280109989001"/>
    <n v="-22.222698370033601"/>
    <n v="-54.692950659944898"/>
    <n v="-22.1948468896721"/>
    <s v="163"/>
    <s v="MS"/>
    <s v="Eixo Principal"/>
    <s v="-"/>
    <s v="163BMS0321"/>
    <s v="ENTR AV. MARCELINO PIRES (DOURADOS)"/>
    <s v="ENTR BR-376"/>
    <n v="265"/>
    <n v="270"/>
    <n v="5"/>
    <x v="0"/>
    <m/>
    <m/>
    <s v="Concessão Federal"/>
    <m/>
    <m/>
    <m/>
    <s v="Federal"/>
    <s v="PAV"/>
    <s v="Dourados"/>
  </r>
  <r>
    <x v="6"/>
    <s v="163BMS0322"/>
    <s v="BR-163/MS (MSVia)"/>
    <x v="151"/>
    <s v="0322"/>
    <n v="-54.692950659944898"/>
    <n v="-22.1948468896721"/>
    <n v="-54.677430959570998"/>
    <n v="-22.1832328496162"/>
    <s v="163"/>
    <s v="MS"/>
    <s v="Eixo Principal"/>
    <s v="-"/>
    <s v="163BMS0322"/>
    <s v="ENTR BR-376"/>
    <s v="ENTR MS-276 (VILA SÃO PEDRO)"/>
    <n v="270"/>
    <n v="272.10000000000002"/>
    <n v="2.1"/>
    <x v="0"/>
    <m/>
    <m/>
    <s v="Concessão Federal"/>
    <m/>
    <m/>
    <m/>
    <s v="Federal"/>
    <s v="PAV"/>
    <s v="Dourados"/>
  </r>
  <r>
    <x v="6"/>
    <s v="163BMS0325"/>
    <s v="BR-163/MS (MSVia)"/>
    <x v="151"/>
    <s v="0325"/>
    <n v="-54.677430959570998"/>
    <n v="-22.1832328496162"/>
    <n v="-54.610032269773299"/>
    <n v="-22.130508949828101"/>
    <s v="163"/>
    <s v="MS"/>
    <s v="Eixo Principal"/>
    <s v="-"/>
    <s v="163BMS0325"/>
    <s v="ENTR MS-276 (VILA SÃO PEDRO)"/>
    <s v="FINAL PISTA DUPLA (VILA VARGAS)"/>
    <n v="272.10000000000002"/>
    <n v="281.3"/>
    <n v="9.1999999999999993"/>
    <x v="0"/>
    <m/>
    <m/>
    <s v="Concessão Federal"/>
    <m/>
    <m/>
    <m/>
    <s v="Federal"/>
    <s v="PAV"/>
    <s v="Dourados"/>
  </r>
  <r>
    <x v="6"/>
    <s v="163BMS0326"/>
    <s v="BR-163/MS (MSVia)"/>
    <x v="151"/>
    <s v="0326"/>
    <n v="-54.610032269773299"/>
    <n v="-22.130508949828101"/>
    <n v="-54.568620399711598"/>
    <n v="-22.080848259639399"/>
    <s v="163"/>
    <s v="MS"/>
    <s v="Eixo Principal"/>
    <s v="-"/>
    <s v="163BMS0326"/>
    <s v="FINAL PISTA DUPLA (VILA VARGAS)"/>
    <s v="ENTR MS-470(A) (VILA CRUZALTINA)"/>
    <n v="281.3"/>
    <n v="288.3"/>
    <n v="7"/>
    <x v="2"/>
    <m/>
    <m/>
    <s v="Concessão Federal"/>
    <m/>
    <m/>
    <m/>
    <s v="Federal"/>
    <s v="PAV"/>
    <s v="Dourados"/>
  </r>
  <r>
    <x v="6"/>
    <s v="163BMS0327"/>
    <s v="BR-163/MS (MSVia)"/>
    <x v="151"/>
    <s v="0327"/>
    <n v="-54.568620399711598"/>
    <n v="-22.080848259639399"/>
    <n v="-54.558656749609199"/>
    <n v="-22.062656700446301"/>
    <s v="163"/>
    <s v="MS"/>
    <s v="Eixo Principal"/>
    <s v="-"/>
    <s v="163BMS0327"/>
    <s v="ENTR MS-470(A) (VILA CRUZALTINA)"/>
    <s v="ENTR MS-470(B) (P/DOURADINA)"/>
    <n v="288.3"/>
    <n v="290.5"/>
    <n v="2.2000000000000002"/>
    <x v="2"/>
    <m/>
    <m/>
    <s v="Concessão Federal"/>
    <m/>
    <m/>
    <m/>
    <s v="Federal"/>
    <s v="PAV"/>
    <s v="Dourados"/>
  </r>
  <r>
    <x v="6"/>
    <s v="163BMS0328"/>
    <s v="BR-163/MS (MSVia)"/>
    <x v="151"/>
    <s v="0328"/>
    <n v="-54.558656749609199"/>
    <n v="-22.062656700446301"/>
    <n v="-54.547028330293102"/>
    <n v="-22.028016600385701"/>
    <s v="163"/>
    <s v="MS"/>
    <s v="Eixo Principal"/>
    <s v="-"/>
    <s v="163BMS0328"/>
    <s v="ENTR MS-470(B) (P/DOURADINA)"/>
    <s v="RIO LARANJA DOCE"/>
    <n v="290.5"/>
    <n v="294.7"/>
    <n v="4.2"/>
    <x v="2"/>
    <m/>
    <m/>
    <s v="Concessão Federal"/>
    <m/>
    <m/>
    <m/>
    <s v="Federal"/>
    <s v="PAV"/>
    <s v="Dourados"/>
  </r>
  <r>
    <x v="6"/>
    <s v="163BMS0329"/>
    <s v="BR-163/MS (MSVia)"/>
    <x v="151"/>
    <s v="0329"/>
    <n v="-54.547028330293102"/>
    <n v="-22.028016600385701"/>
    <n v="-54.533460030156199"/>
    <n v="-21.947687540047799"/>
    <s v="163"/>
    <s v="MS"/>
    <s v="Eixo Principal"/>
    <s v="-"/>
    <s v="163BMS0329"/>
    <s v="RIO LARANJA DOCE"/>
    <s v="ENTR MS-379 (P/BOCAJÁ)"/>
    <n v="294.7"/>
    <n v="303.89999999999998"/>
    <n v="9.1999999999999993"/>
    <x v="2"/>
    <m/>
    <m/>
    <s v="Concessão Federal"/>
    <m/>
    <m/>
    <m/>
    <s v="Federal"/>
    <s v="PAV"/>
    <s v="Dourados"/>
  </r>
  <r>
    <x v="6"/>
    <s v="163BMS0330"/>
    <s v="BR-163/MS (MSVia)"/>
    <x v="151"/>
    <s v="0330"/>
    <n v="-54.533460030156199"/>
    <n v="-21.947687540047799"/>
    <n v="-54.526976759969401"/>
    <n v="-21.783598799844601"/>
    <s v="163"/>
    <s v="MS"/>
    <s v="Eixo Principal"/>
    <s v="-"/>
    <s v="163BMS0330"/>
    <s v="ENTR MS-379 (P/BOCAJÁ)"/>
    <s v="ENTR BR-267(A) (RIO BRILHANTE)"/>
    <n v="303.89999999999998"/>
    <n v="323.2"/>
    <n v="19.3"/>
    <x v="2"/>
    <m/>
    <m/>
    <s v="Concessão Federal"/>
    <m/>
    <m/>
    <m/>
    <s v="Federal"/>
    <s v="PAV"/>
    <s v="Dourados"/>
  </r>
  <r>
    <x v="6"/>
    <s v="163BMS0334"/>
    <s v="BR-163/MS (MSVia)"/>
    <x v="151"/>
    <s v="0334"/>
    <n v="-54.526976759969401"/>
    <n v="-21.783598799844601"/>
    <n v="-54.423344369646799"/>
    <n v="-21.642744940426599"/>
    <s v="163"/>
    <s v="MS"/>
    <s v="Eixo Principal"/>
    <s v="-"/>
    <s v="163BMS0334"/>
    <s v="ENTR BR-267(A) (RIO BRILHANTE)"/>
    <s v="PONTE S/RIO VACARIA (AROEIRA)"/>
    <n v="323.2"/>
    <n v="344"/>
    <n v="20.8"/>
    <x v="2"/>
    <m/>
    <s v="267BMS0960"/>
    <s v="Concessão Federal"/>
    <m/>
    <m/>
    <m/>
    <s v="Federal"/>
    <s v="PAV"/>
    <s v="Dourados"/>
  </r>
  <r>
    <x v="6"/>
    <s v="163BMS0360"/>
    <s v="BR-163/MS (MSVia)"/>
    <x v="151"/>
    <s v="0360"/>
    <n v="-54.423344369646799"/>
    <n v="-21.642744940426599"/>
    <n v="-54.385983559593498"/>
    <n v="-21.471763809552101"/>
    <s v="163"/>
    <s v="MS"/>
    <s v="Eixo Principal"/>
    <s v="-"/>
    <s v="163BMS0360"/>
    <s v="PONTE S/RIO VACARIA (AROEIRA)"/>
    <s v="ENTR BR-267(B) (NOVA ALVORADA DO SUL)"/>
    <n v="344"/>
    <n v="364.1"/>
    <n v="20.100000000000001"/>
    <x v="2"/>
    <m/>
    <s v="267BMS0954"/>
    <s v="Concessão Federal"/>
    <m/>
    <m/>
    <m/>
    <s v="Federal"/>
    <s v="PAV"/>
    <s v="Dourados"/>
  </r>
  <r>
    <x v="6"/>
    <s v="163BMS0370"/>
    <s v="BR-163/MS (MSVia)"/>
    <x v="151"/>
    <s v="0370"/>
    <n v="-54.385983559593498"/>
    <n v="-21.471763809552101"/>
    <n v="-54.508440540098803"/>
    <n v="-21.006238150270299"/>
    <s v="163"/>
    <s v="MS"/>
    <s v="Eixo Principal"/>
    <s v="-"/>
    <s v="163BMS0370"/>
    <s v="ENTR BR-267(B) (NOVA ALVORADA DO SUL)"/>
    <s v="ENTR MS-258"/>
    <n v="364.1"/>
    <n v="418.3"/>
    <n v="54.2"/>
    <x v="2"/>
    <m/>
    <m/>
    <s v="Concessão Federal"/>
    <m/>
    <m/>
    <m/>
    <s v="Federal"/>
    <s v="PAV"/>
    <s v="Campo Grande"/>
  </r>
  <r>
    <x v="6"/>
    <s v="163BMS0380"/>
    <s v="BR-163/MS (MSVia)"/>
    <x v="151"/>
    <s v="0380"/>
    <n v="-54.508440540098803"/>
    <n v="-21.006238150270299"/>
    <n v="-54.5070052895624"/>
    <n v="-20.994633599860698"/>
    <s v="163"/>
    <s v="MS"/>
    <s v="Eixo Principal"/>
    <s v="-"/>
    <s v="163BMS0380"/>
    <s v="ENTR MS-258"/>
    <s v="PONTE S/ RIO ANHANDUÍ"/>
    <n v="418.3"/>
    <n v="419.6"/>
    <n v="1.3"/>
    <x v="2"/>
    <m/>
    <m/>
    <s v="Concessão Federal"/>
    <m/>
    <m/>
    <m/>
    <s v="Federal"/>
    <s v="PAV"/>
    <s v="Campo Grande"/>
  </r>
  <r>
    <x v="6"/>
    <s v="163BMS0390"/>
    <s v="BR-163/MS (MSVia)"/>
    <x v="151"/>
    <s v="0390"/>
    <n v="-54.5070052895624"/>
    <n v="-20.994633599860698"/>
    <n v="-54.582547280232703"/>
    <n v="-20.5829547896317"/>
    <s v="163"/>
    <s v="MS"/>
    <s v="Eixo Principal"/>
    <s v="-"/>
    <s v="163BMS0390"/>
    <s v="PONTE S/ RIO ANHANDUÍ"/>
    <s v="ENTR BR-262(A) (CAMPO GRANDE)"/>
    <n v="419.6"/>
    <n v="466.3"/>
    <n v="46.7"/>
    <x v="2"/>
    <m/>
    <m/>
    <s v="Concessão Federal"/>
    <m/>
    <m/>
    <m/>
    <s v="Federal"/>
    <s v="PAV"/>
    <s v="Campo Grande"/>
  </r>
  <r>
    <x v="6"/>
    <s v="163BMS0392"/>
    <s v="BR-163/MS (MSVia)"/>
    <x v="151"/>
    <s v="0392"/>
    <n v="-54.582547280232703"/>
    <n v="-20.5829547896317"/>
    <n v="-54.555956660171702"/>
    <n v="-20.554703610083401"/>
    <s v="163"/>
    <s v="MS"/>
    <s v="Eixo Principal"/>
    <s v="-"/>
    <s v="163BMS0392"/>
    <s v="ENTR BR-262(A) (CAMPO GRANDE)"/>
    <s v="ENTR MS-040 (CAMPO GRANDE) (P/TRÊS BARRAS)"/>
    <n v="466.3"/>
    <n v="470.6"/>
    <n v="4.3"/>
    <x v="2"/>
    <m/>
    <s v="262BMS1332"/>
    <s v="Concessão Federal"/>
    <m/>
    <m/>
    <m/>
    <s v="Federal"/>
    <s v="PAV"/>
    <s v="Coxim"/>
  </r>
  <r>
    <x v="6"/>
    <s v="163BMS0396"/>
    <s v="BR-163/MS (MSVia)"/>
    <x v="151"/>
    <s v="0396"/>
    <n v="-54.555956660171702"/>
    <n v="-20.554703610083401"/>
    <n v="-54.555620900084399"/>
    <n v="-20.463766590255801"/>
    <s v="163"/>
    <s v="MS"/>
    <s v="Eixo Principal"/>
    <s v="-"/>
    <s v="163BMS0396"/>
    <s v="ENTR MS-040 (CAMPO GRANDE) (P/TRÊS BARRAS)"/>
    <s v="ENTR BR-262(B) (CAMPO GRANDE) (P/TRÊS LAGOAS)"/>
    <n v="470.6"/>
    <n v="481.8"/>
    <n v="11.2"/>
    <x v="2"/>
    <m/>
    <s v="262BMS1330"/>
    <s v="Concessão Federal"/>
    <m/>
    <m/>
    <m/>
    <s v="Federal"/>
    <s v="PAV"/>
    <s v="Coxim"/>
  </r>
  <r>
    <x v="6"/>
    <s v="163BMS0398"/>
    <s v="BR-163/MS (MSVia)"/>
    <x v="151"/>
    <s v="0398"/>
    <n v="-54.555620900084399"/>
    <n v="-20.463766590255801"/>
    <n v="-54.556942950256797"/>
    <n v="-20.393402850061399"/>
    <s v="163"/>
    <s v="MS"/>
    <s v="Eixo Principal"/>
    <s v="-"/>
    <s v="163BMS0398"/>
    <s v="ENTR BR-262(B) (CAMPO GRANDE) (P/TRÊS LAGOAS)"/>
    <s v="ENTR AV. CONSUL ASSAF TRAD"/>
    <n v="481.8"/>
    <n v="490.8"/>
    <n v="9"/>
    <x v="2"/>
    <m/>
    <m/>
    <s v="Concessão Federal"/>
    <m/>
    <m/>
    <m/>
    <s v="Federal"/>
    <s v="PAV"/>
    <s v="Coxim"/>
  </r>
  <r>
    <x v="6"/>
    <s v="163BMS0404"/>
    <s v="BR-163/MS (MSVia)"/>
    <x v="151"/>
    <s v="0404"/>
    <n v="-54.5275414595706"/>
    <n v="-20.362866870009999"/>
    <n v="-54.556942950256797"/>
    <n v="-20.393402850061399"/>
    <s v="163"/>
    <s v="MS"/>
    <s v="Eixo Principal"/>
    <s v="-"/>
    <s v="163BMS0404"/>
    <s v="ENTR AV. CONSUL ASSAF TRAD"/>
    <s v="ENTR BR-060(A)"/>
    <n v="490.8"/>
    <n v="495.6"/>
    <n v="4.8"/>
    <x v="2"/>
    <m/>
    <m/>
    <s v="Concessão Federal"/>
    <m/>
    <m/>
    <m/>
    <s v="Federal"/>
    <s v="PAV"/>
    <s v="Coxim"/>
  </r>
  <r>
    <x v="6"/>
    <s v="163BMS0410"/>
    <s v="BR-163/MS (MSVia)"/>
    <x v="151"/>
    <s v="0410"/>
    <n v="-54.5275414595706"/>
    <n v="-20.362866870009999"/>
    <n v="-54.477925329889999"/>
    <n v="-20.231412409854698"/>
    <s v="163"/>
    <s v="MS"/>
    <s v="Eixo Principal"/>
    <s v="Coinc"/>
    <s v="163BMS0410"/>
    <s v="ENTR BR-060(A)"/>
    <s v="ENTR MS-445"/>
    <n v="495.6"/>
    <n v="511.6"/>
    <n v="16"/>
    <x v="2"/>
    <m/>
    <s v="060BMS0470"/>
    <s v="Concessão Federal"/>
    <m/>
    <m/>
    <m/>
    <s v="Federal"/>
    <s v="PAV"/>
    <s v="Coxim"/>
  </r>
  <r>
    <x v="6"/>
    <s v="163BMS0420"/>
    <s v="BR-163/MS (MSVia)"/>
    <x v="151"/>
    <s v="0420"/>
    <n v="-54.477925329889999"/>
    <n v="-20.231412409854698"/>
    <n v="-54.439202160251398"/>
    <n v="-20.1005012697177"/>
    <s v="163"/>
    <s v="MS"/>
    <s v="Eixo Principal"/>
    <s v="Coinc"/>
    <s v="163BMS0420"/>
    <s v="ENTR MS-445"/>
    <s v="ENTR MS-244(A) (JATOBÁ)"/>
    <n v="511.6"/>
    <n v="527"/>
    <n v="15.4"/>
    <x v="2"/>
    <m/>
    <s v="060BMS0454"/>
    <s v="Concessão Federal"/>
    <m/>
    <m/>
    <m/>
    <s v="Federal"/>
    <s v="PAV"/>
    <s v="Coxim"/>
  </r>
  <r>
    <x v="6"/>
    <s v="163BMS0425"/>
    <s v="BR-163/MS (MSVia)"/>
    <x v="151"/>
    <s v="0425"/>
    <n v="-54.439202160251398"/>
    <n v="-20.1005012697177"/>
    <n v="-54.430391489575499"/>
    <n v="-20.080572480235698"/>
    <s v="163"/>
    <s v="MS"/>
    <s v="Eixo Principal"/>
    <s v="Coinc"/>
    <s v="163BMS0425"/>
    <s v="ENTR MS-244(A) (JATOBÁ)"/>
    <s v="ENTR MS-244(B) (BONFIM)"/>
    <n v="527"/>
    <n v="529.6"/>
    <n v="2.6"/>
    <x v="2"/>
    <m/>
    <s v="060BMS0452"/>
    <s v="Concessão Federal"/>
    <m/>
    <m/>
    <m/>
    <s v="Federal"/>
    <s v="PAV"/>
    <s v="Coxim"/>
  </r>
  <r>
    <x v="6"/>
    <s v="163BMS0430"/>
    <s v="BR-163/MS (MSVia)"/>
    <x v="151"/>
    <s v="0430"/>
    <n v="-54.430391489575499"/>
    <n v="-20.080572480235698"/>
    <n v="-54.371326690374403"/>
    <n v="-19.909567639634801"/>
    <s v="163"/>
    <s v="MS"/>
    <s v="Eixo Principal"/>
    <s v="Coinc"/>
    <s v="163BMS0430"/>
    <s v="ENTR MS-244(B) (BONFIM)"/>
    <s v="ENTR MS-441 (BANDEIRANTES)"/>
    <n v="529.6"/>
    <n v="549"/>
    <n v="19.399999999999999"/>
    <x v="2"/>
    <m/>
    <s v="060BMS0450"/>
    <s v="Concessão Federal"/>
    <m/>
    <m/>
    <m/>
    <s v="Federal"/>
    <s v="PAV"/>
    <s v="Coxim"/>
  </r>
  <r>
    <x v="6"/>
    <s v="163BMS0440"/>
    <s v="BR-163/MS (MSVia)"/>
    <x v="151"/>
    <s v="0440"/>
    <n v="-54.371326690374403"/>
    <n v="-19.909567639634801"/>
    <n v="-54.372813089852102"/>
    <n v="-19.9044486796627"/>
    <s v="163"/>
    <s v="MS"/>
    <s v="Eixo Principal"/>
    <s v="Coinc"/>
    <s v="163BMS0440"/>
    <s v="ENTR MS-441 (BANDEIRANTES)"/>
    <s v="ENTR MS-340 (P/RIO NEGRO)"/>
    <n v="549"/>
    <n v="550.5"/>
    <n v="1.5"/>
    <x v="2"/>
    <m/>
    <s v="060BMS0440"/>
    <s v="Concessão Federal"/>
    <m/>
    <m/>
    <m/>
    <s v="Federal"/>
    <s v="PAV"/>
    <s v="Coxim"/>
  </r>
  <r>
    <x v="6"/>
    <s v="163BMS0450"/>
    <s v="BR-163/MS (MSVia)"/>
    <x v="151"/>
    <s v="0450"/>
    <n v="-54.372813089852102"/>
    <n v="-19.9044486796627"/>
    <n v="-54.3502812199023"/>
    <n v="-19.679591339568599"/>
    <s v="163"/>
    <s v="MS"/>
    <s v="Eixo Principal"/>
    <s v="Coinc"/>
    <s v="163BMS0450"/>
    <s v="ENTR MS-340 (P/RIO NEGRO)"/>
    <s v="ENTR BR-060(B) (CONGONHA)"/>
    <n v="550.5"/>
    <n v="575.79999999999995"/>
    <n v="25.3"/>
    <x v="2"/>
    <m/>
    <s v="060BMS0430"/>
    <s v="Concessão Federal"/>
    <m/>
    <m/>
    <m/>
    <s v="Federal"/>
    <s v="PAV"/>
    <s v="Coxim"/>
  </r>
  <r>
    <x v="6"/>
    <s v="163BMS0452"/>
    <s v="BR-163/MS (MSVia)"/>
    <x v="151"/>
    <s v="0452"/>
    <n v="-54.3502812199023"/>
    <n v="-19.679591339568599"/>
    <n v="-54.432830739646803"/>
    <n v="-19.5500350496777"/>
    <s v="163"/>
    <s v="MS"/>
    <s v="Eixo Principal"/>
    <s v="-"/>
    <s v="163BMS0452"/>
    <s v="ENTR BR-060(B) (CONGONHA)"/>
    <s v="ENTR MS-435 (CAPIM BRANCO)"/>
    <n v="575.79999999999995"/>
    <n v="592.9"/>
    <n v="17.100000000000001"/>
    <x v="2"/>
    <m/>
    <m/>
    <s v="Concessão Federal"/>
    <m/>
    <m/>
    <m/>
    <s v="Federal"/>
    <s v="PAV"/>
    <s v="Coxim"/>
  </r>
  <r>
    <x v="6"/>
    <s v="163BMS0470"/>
    <s v="BR-163/MS (MSVia)"/>
    <x v="151"/>
    <s v="0470"/>
    <n v="-54.432830739646803"/>
    <n v="-19.5500350496777"/>
    <n v="-54.570129659955697"/>
    <n v="-19.391509940131499"/>
    <s v="163"/>
    <s v="MS"/>
    <s v="Eixo Principal"/>
    <s v="-"/>
    <s v="163BMS0470"/>
    <s v="ENTR MS-435 (CAPIM BRANCO)"/>
    <s v="ENTR AV. JUSCELINO KUBITSCHEK (SÃO GABRIEL DO OESTE)"/>
    <n v="592.9"/>
    <n v="615.9"/>
    <n v="23"/>
    <x v="2"/>
    <m/>
    <m/>
    <s v="Concessão Federal"/>
    <m/>
    <m/>
    <m/>
    <s v="Federal"/>
    <s v="PAV"/>
    <s v="Coxim"/>
  </r>
  <r>
    <x v="6"/>
    <s v="163BMS0472"/>
    <s v="BR-163/MS (MSVia)"/>
    <x v="151"/>
    <s v="0472"/>
    <n v="-54.570129659955697"/>
    <n v="-19.391509940131499"/>
    <n v="-54.827524459985703"/>
    <n v="-19.0099406298561"/>
    <s v="163"/>
    <s v="MS"/>
    <s v="Eixo Principal"/>
    <s v="-"/>
    <s v="163BMS0472"/>
    <s v="ENTR AV. JUSCELINO KUBITSCHEK (SÃO GABRIEL DO OESTE)"/>
    <s v="ENTR BR-419(A)/MS-080 (P/RIO NEGRO)"/>
    <n v="615.9"/>
    <n v="669.6"/>
    <n v="53.7"/>
    <x v="2"/>
    <m/>
    <m/>
    <s v="Concessão Federal"/>
    <m/>
    <m/>
    <m/>
    <s v="Federal"/>
    <s v="PAV"/>
    <s v="Coxim"/>
  </r>
  <r>
    <x v="6"/>
    <s v="163BMS0490"/>
    <s v="BR-163/MS (MSVia)"/>
    <x v="151"/>
    <s v="0490"/>
    <n v="-54.827524459985703"/>
    <n v="-19.0099406298561"/>
    <n v="-54.8384118496271"/>
    <n v="-18.916655980189201"/>
    <s v="163"/>
    <s v="MS"/>
    <s v="Eixo Principal"/>
    <s v="-"/>
    <s v="163BMS0490"/>
    <s v="ENTR BR-419(A)/MS-080 (P/RIO NEGRO)"/>
    <s v="ENTR BR-419(B)/MS-427 (RIO VERDE DE MATO GROSSO)"/>
    <n v="669.6"/>
    <n v="680.9"/>
    <n v="11.3"/>
    <x v="2"/>
    <m/>
    <s v="419BMS0010"/>
    <s v="Concessão Federal"/>
    <m/>
    <m/>
    <m/>
    <s v="Federal"/>
    <s v="PAV"/>
    <s v="Coxim"/>
  </r>
  <r>
    <x v="6"/>
    <s v="163BMS0492"/>
    <s v="BR-163/MS (MSVia)"/>
    <x v="151"/>
    <s v="0492"/>
    <n v="-54.8384118496271"/>
    <n v="-18.916655980189201"/>
    <n v="-54.822909640167701"/>
    <n v="-18.7526541999313"/>
    <s v="163"/>
    <s v="MS"/>
    <s v="Eixo Principal"/>
    <s v="-"/>
    <s v="163BMS0492"/>
    <s v="ENTR BR-419(B)/MS-427 (RIO VERDE DE MATO GROSSO)"/>
    <s v="ENTR MS-423 (FAZ. ALEGRIA)"/>
    <n v="680.9"/>
    <n v="700.5"/>
    <n v="19.600000000000001"/>
    <x v="2"/>
    <m/>
    <m/>
    <s v="Concessão Federal"/>
    <m/>
    <m/>
    <m/>
    <s v="Federal"/>
    <s v="PAV"/>
    <s v="Coxim"/>
  </r>
  <r>
    <x v="6"/>
    <s v="163BMS0510"/>
    <s v="BR-163/MS (MSVia)"/>
    <x v="151"/>
    <s v="0510"/>
    <n v="-54.822909640167701"/>
    <n v="-18.7526541999313"/>
    <n v="-54.733491860360999"/>
    <n v="-18.503014090228"/>
    <s v="163"/>
    <s v="MS"/>
    <s v="Eixo Principal"/>
    <s v="-"/>
    <s v="163BMS0510"/>
    <s v="ENTR MS-423 (FAZ. ALEGRIA)"/>
    <s v="ENTR BR-359/MS-217/223 (COXIM)"/>
    <n v="700.5"/>
    <n v="730.8"/>
    <n v="30.3"/>
    <x v="2"/>
    <m/>
    <m/>
    <s v="Concessão Federal"/>
    <m/>
    <m/>
    <m/>
    <s v="Federal"/>
    <s v="PAV"/>
    <s v="Coxim"/>
  </r>
  <r>
    <x v="6"/>
    <s v="163BMS0512"/>
    <s v="BR-163/MS (MSVia)"/>
    <x v="151"/>
    <s v="0512"/>
    <n v="-54.733491860360999"/>
    <n v="-18.503014090228"/>
    <n v="-54.665897430422"/>
    <n v="-18.321167409748099"/>
    <s v="163"/>
    <s v="MS"/>
    <s v="Eixo Principal"/>
    <s v="-"/>
    <s v="163BMS0512"/>
    <s v="ENTR BR-359/MS-217/223 (COXIM)"/>
    <s v="ENTR MS-418 (P/PEDRO GOMES)"/>
    <n v="730.8"/>
    <n v="752.9"/>
    <n v="22.1"/>
    <x v="2"/>
    <m/>
    <m/>
    <s v="Concessão Federal"/>
    <m/>
    <m/>
    <m/>
    <s v="Federal"/>
    <s v="PAV"/>
    <s v="Coxim"/>
  </r>
  <r>
    <x v="6"/>
    <s v="163BMS0530"/>
    <s v="BR-163/MS (MSVia)"/>
    <x v="151"/>
    <s v="0530"/>
    <n v="-54.665897430422"/>
    <n v="-18.321167409748099"/>
    <n v="-54.654579900442002"/>
    <n v="-18.1858053602291"/>
    <s v="163"/>
    <s v="MS"/>
    <s v="Eixo Principal"/>
    <s v="-"/>
    <s v="163BMS0530"/>
    <s v="ENTR MS-418 (P/PEDRO GOMES)"/>
    <s v="ENTR MS-215 (P/PEDRO GOMES)"/>
    <n v="752.9"/>
    <n v="768.2"/>
    <n v="15.3"/>
    <x v="2"/>
    <m/>
    <m/>
    <s v="Concessão Federal"/>
    <m/>
    <m/>
    <m/>
    <s v="Federal"/>
    <s v="PAV"/>
    <s v="Coxim"/>
  </r>
  <r>
    <x v="6"/>
    <s v="163BMS0532"/>
    <s v="BR-163/MS (MSVia)"/>
    <x v="151"/>
    <s v="0532"/>
    <n v="-54.654579900442002"/>
    <n v="-18.1858053602291"/>
    <n v="-54.686457390196303"/>
    <n v="-17.927978360412901"/>
    <s v="163"/>
    <s v="MS"/>
    <s v="Eixo Principal"/>
    <s v="-"/>
    <s v="163BMS0532"/>
    <s v="ENTR MS-215 (P/PEDRO GOMES)"/>
    <s v="ENTR MS-214 (P/PANTANAL)"/>
    <n v="768.2"/>
    <n v="798.8"/>
    <n v="30.6"/>
    <x v="2"/>
    <m/>
    <m/>
    <s v="Concessão Federal"/>
    <m/>
    <m/>
    <m/>
    <s v="Federal"/>
    <s v="PAV"/>
    <s v="Coxim"/>
  </r>
  <r>
    <x v="6"/>
    <s v="163BMS0550"/>
    <s v="BR-163/MS (MSVia)"/>
    <x v="151"/>
    <s v="0550"/>
    <n v="-54.686457390196303"/>
    <n v="-17.927978360412901"/>
    <n v="-54.747491350345499"/>
    <n v="-17.643661749689901"/>
    <s v="163"/>
    <s v="MS"/>
    <s v="Eixo Principal"/>
    <s v="-"/>
    <s v="163BMS0550"/>
    <s v="ENTR MS-214 (P/PANTANAL)"/>
    <s v="ENTR MS-213 (P/ITIQUIRA)"/>
    <n v="798.8"/>
    <n v="832.2"/>
    <n v="33.4"/>
    <x v="2"/>
    <m/>
    <m/>
    <s v="Concessão Federal"/>
    <m/>
    <m/>
    <m/>
    <s v="Federal"/>
    <s v="PAV"/>
    <s v="Coxim"/>
  </r>
  <r>
    <x v="6"/>
    <s v="163BMS0555"/>
    <s v="BR-163/MS (MSVia)"/>
    <x v="151"/>
    <s v="0555"/>
    <n v="-54.747491350345499"/>
    <n v="-17.643661749689901"/>
    <n v="-54.739808350375"/>
    <n v="-17.5197161097106"/>
    <s v="163"/>
    <s v="MS"/>
    <s v="Eixo Principal"/>
    <s v="-"/>
    <s v="163BMS0555"/>
    <s v="ENTR MS-213 (P/ITIQUIRA)"/>
    <s v="DIV MS/MT (FIM DA PONTE S/RIO CORRENTES)"/>
    <n v="832.2"/>
    <n v="845.9"/>
    <n v="13.7"/>
    <x v="2"/>
    <m/>
    <m/>
    <s v="Concessão Federal"/>
    <m/>
    <m/>
    <m/>
    <s v="Federal"/>
    <s v="PAV"/>
    <s v="Coxim"/>
  </r>
  <r>
    <x v="0"/>
    <s v="163BMT0560"/>
    <n v="0"/>
    <x v="152"/>
    <s v="0560"/>
    <n v="-54.739808350375"/>
    <n v="-17.5197161097106"/>
    <n v="-54.758442650307998"/>
    <n v="-17.396681849887401"/>
    <s v="163"/>
    <s v="MT"/>
    <s v="Eixo Principal"/>
    <s v="-"/>
    <s v="163BMT0560"/>
    <s v="DIV MS/MT"/>
    <s v="ENTR MT-299"/>
    <n v="0"/>
    <n v="14"/>
    <n v="14"/>
    <x v="0"/>
    <m/>
    <m/>
    <s v="Concessão Federal"/>
    <m/>
    <m/>
    <m/>
    <s v="Federal"/>
    <s v="PAV"/>
    <s v="Rondonópolis"/>
  </r>
  <r>
    <x v="0"/>
    <s v="163BMT0565"/>
    <n v="0"/>
    <x v="152"/>
    <s v="0565"/>
    <n v="-54.758442650307998"/>
    <n v="-17.396681849887401"/>
    <n v="-54.760234880435299"/>
    <n v="-17.092519809641399"/>
    <s v="163"/>
    <s v="MT"/>
    <s v="Eixo Principal"/>
    <s v="-"/>
    <s v="163BMT0565"/>
    <s v="ENTR MT-299"/>
    <s v="ENTR MT-370"/>
    <n v="14"/>
    <n v="48"/>
    <n v="34"/>
    <x v="0"/>
    <m/>
    <m/>
    <s v="Concessão Federal"/>
    <m/>
    <m/>
    <m/>
    <s v="Federal"/>
    <s v="PAV"/>
    <s v="Rondonópolis"/>
  </r>
  <r>
    <x v="0"/>
    <s v="163BMT0570"/>
    <n v="0"/>
    <x v="152"/>
    <s v="0570"/>
    <n v="-54.760234880435299"/>
    <n v="-17.092519809641399"/>
    <n v="-54.701034139713698"/>
    <n v="-16.840081269634801"/>
    <s v="163"/>
    <s v="MT"/>
    <s v="Eixo Principal"/>
    <s v="-"/>
    <s v="163BMT0570"/>
    <s v="ENTR MT-370"/>
    <s v="ENTR MT-040"/>
    <n v="48"/>
    <n v="77.3"/>
    <n v="29.3"/>
    <x v="0"/>
    <m/>
    <m/>
    <s v="Concessão Federal"/>
    <m/>
    <m/>
    <m/>
    <s v="Federal"/>
    <s v="PAV"/>
    <s v="Rondonópolis"/>
  </r>
  <r>
    <x v="0"/>
    <s v="163BMT0575"/>
    <n v="0"/>
    <x v="152"/>
    <s v="0575"/>
    <n v="-54.701034139713698"/>
    <n v="-16.840081269634801"/>
    <n v="-54.693747030301097"/>
    <n v="-16.637930380382699"/>
    <s v="163"/>
    <s v="MT"/>
    <s v="Eixo Principal"/>
    <s v="-"/>
    <s v="163BMT0575"/>
    <s v="ENTR MT-040"/>
    <s v="ENTR MT-471"/>
    <n v="77.3"/>
    <n v="102.9"/>
    <n v="25.6"/>
    <x v="0"/>
    <m/>
    <m/>
    <s v="Concessão Federal"/>
    <m/>
    <m/>
    <m/>
    <s v="Federal"/>
    <s v="PAV"/>
    <s v="Rondonópolis"/>
  </r>
  <r>
    <x v="0"/>
    <s v="163BMT0580"/>
    <n v="0"/>
    <x v="152"/>
    <s v="0580"/>
    <n v="-54.693747030301097"/>
    <n v="-16.637930380382699"/>
    <n v="-54.6535208498073"/>
    <n v="-16.509880380275199"/>
    <s v="163"/>
    <s v="MT"/>
    <s v="Eixo Principal"/>
    <s v="-"/>
    <s v="163BMT0580"/>
    <s v="ENTR MT-471"/>
    <s v="FIM DA DUPLICAÇÃO"/>
    <n v="102.9"/>
    <n v="118.5"/>
    <n v="15.6"/>
    <x v="0"/>
    <m/>
    <m/>
    <s v="Concessão Federal"/>
    <m/>
    <m/>
    <m/>
    <s v="Federal"/>
    <s v="PAV"/>
    <s v="Rondonópolis"/>
  </r>
  <r>
    <x v="0"/>
    <s v="163BMT0581"/>
    <n v="0"/>
    <x v="152"/>
    <s v="0581"/>
    <n v="-54.6535208498073"/>
    <n v="-16.509880380275199"/>
    <n v="-54.646378050106797"/>
    <n v="-16.491405239660001"/>
    <s v="163"/>
    <s v="MT"/>
    <s v="Eixo Principal"/>
    <s v="-"/>
    <s v="163BMT0581"/>
    <s v="FIM DA DUPLICAÇÃO"/>
    <s v="ENTR BR-364(A)"/>
    <n v="118.5"/>
    <n v="120.7"/>
    <n v="2.2000000000000002"/>
    <x v="2"/>
    <m/>
    <m/>
    <s v="Concessão Federal"/>
    <m/>
    <m/>
    <m/>
    <s v="Federal"/>
    <s v="PAV"/>
    <s v="Rondonópolis"/>
  </r>
  <r>
    <x v="0"/>
    <s v="163BMT0582"/>
    <n v="0"/>
    <x v="152"/>
    <s v="0582"/>
    <n v="-54.646378050106797"/>
    <n v="-16.491405239660001"/>
    <n v="-54.654982290400298"/>
    <n v="-16.472335479898401"/>
    <s v="163"/>
    <s v="MT"/>
    <s v="Eixo Principal"/>
    <s v="-"/>
    <s v="163BMT0582"/>
    <s v="ENTR BR-364(A)"/>
    <s v="ENTR MT-130/MT-471 (ACESSO RONDONÓPOLIS (I)"/>
    <n v="120.7"/>
    <n v="123.1"/>
    <n v="2.4"/>
    <x v="0"/>
    <m/>
    <s v="364BMT0650"/>
    <s v="Concessão Federal"/>
    <m/>
    <m/>
    <m/>
    <s v="Federal"/>
    <s v="PAV"/>
    <s v="Rondonópolis"/>
  </r>
  <r>
    <x v="0"/>
    <s v="163BMT0585"/>
    <n v="0"/>
    <x v="152"/>
    <s v="0585"/>
    <n v="-54.654982290400298"/>
    <n v="-16.472335479898401"/>
    <n v="-54.6656278703298"/>
    <n v="-16.448788330217202"/>
    <s v="163"/>
    <s v="MT"/>
    <s v="Eixo Principal"/>
    <s v="-"/>
    <s v="163BMT0585"/>
    <s v="ENTR MT-130/MT-471 (ACESSO RONDONÓPOLIS (I)"/>
    <s v="ACESSO RONDONÓPOLIS (II)"/>
    <n v="123.1"/>
    <n v="126"/>
    <n v="2.9"/>
    <x v="0"/>
    <m/>
    <s v="364BMT0655"/>
    <s v="Concessão Federal"/>
    <m/>
    <m/>
    <m/>
    <s v="Federal"/>
    <s v="PAV"/>
    <s v="Rondonópolis"/>
  </r>
  <r>
    <x v="0"/>
    <s v="163BMT0590"/>
    <n v="0"/>
    <x v="152"/>
    <s v="0590"/>
    <n v="-54.6656278703298"/>
    <n v="-16.448788330217202"/>
    <n v="-54.695466060110498"/>
    <n v="-16.427475020056001"/>
    <s v="163"/>
    <s v="MT"/>
    <s v="Eixo Principal"/>
    <s v="-"/>
    <s v="163BMT0590"/>
    <s v="ACESSO RONDONÓPOLIS (II)"/>
    <s v="ENTR MT-483 (ANEL RODOVIÁRIO RONDONÓPOLIS)"/>
    <n v="126"/>
    <n v="128.9"/>
    <n v="2.9"/>
    <x v="2"/>
    <m/>
    <s v="364BMT0660"/>
    <s v="Concessão Federal"/>
    <m/>
    <m/>
    <m/>
    <s v="Federal"/>
    <s v="PAV"/>
    <s v="Rondonópolis"/>
  </r>
  <r>
    <x v="0"/>
    <s v="163BMT0591"/>
    <n v="0"/>
    <x v="152"/>
    <s v="0591"/>
    <n v="-54.695466060110498"/>
    <n v="-16.427475020056001"/>
    <n v="-54.713356369800501"/>
    <n v="-16.381113929863901"/>
    <s v="163"/>
    <s v="MT"/>
    <s v="Eixo Principal"/>
    <s v="-"/>
    <s v="163BMT0591"/>
    <s v="ENTR MT-483 (ANEL RODOVIÁRIO RONDONÓPOLIS)"/>
    <s v="ENTR MT-270(B)"/>
    <n v="128.9"/>
    <n v="135"/>
    <n v="6.1"/>
    <x v="2"/>
    <m/>
    <s v="364BMT0665"/>
    <s v="Concessão Federal"/>
    <m/>
    <m/>
    <m/>
    <s v="Federal"/>
    <s v="PAV"/>
    <s v="Rondonópolis"/>
  </r>
  <r>
    <x v="0"/>
    <s v="163BMT0592"/>
    <n v="0"/>
    <x v="152"/>
    <s v="0592"/>
    <n v="-54.713356369800501"/>
    <n v="-16.381113929863901"/>
    <n v="-54.783370059680401"/>
    <n v="-16.195471149873601"/>
    <s v="163"/>
    <s v="MT"/>
    <s v="Eixo Principal"/>
    <s v="-"/>
    <s v="163BMT0592"/>
    <s v="ENTR MT-270(B)"/>
    <s v="ENTR MT-469(A)"/>
    <n v="135"/>
    <n v="157.80000000000001"/>
    <n v="22.8"/>
    <x v="2"/>
    <s v="EOD"/>
    <s v="364BMT0670"/>
    <s v="Concessão Federal"/>
    <m/>
    <m/>
    <m/>
    <s v="Federal"/>
    <s v="PAV"/>
    <s v="Rondonópolis"/>
  </r>
  <r>
    <x v="0"/>
    <s v="163BMT0595"/>
    <n v="0"/>
    <x v="152"/>
    <s v="0595"/>
    <n v="-54.783370059680401"/>
    <n v="-16.195471149873601"/>
    <n v="-54.7893735703339"/>
    <n v="-16.178289239756499"/>
    <s v="163"/>
    <s v="MT"/>
    <s v="Eixo Principal"/>
    <s v="-"/>
    <s v="163BMT0595"/>
    <s v="ENTR MT-469(A)"/>
    <s v="ENTR MT-469(B)"/>
    <n v="157.80000000000001"/>
    <n v="159.80000000000001"/>
    <n v="2"/>
    <x v="2"/>
    <s v="EOD"/>
    <s v="364BMT0675"/>
    <s v="Concessão Federal"/>
    <m/>
    <m/>
    <m/>
    <s v="Federal"/>
    <s v="PAV"/>
    <s v="Rondonópolis"/>
  </r>
  <r>
    <x v="0"/>
    <s v="163BMT0600"/>
    <n v="0"/>
    <x v="152"/>
    <s v="0600"/>
    <n v="-54.7893735703339"/>
    <n v="-16.178289239756499"/>
    <n v="-54.795785380390903"/>
    <n v="-16.1617778299828"/>
    <s v="163"/>
    <s v="MT"/>
    <s v="Eixo Principal"/>
    <s v="-"/>
    <s v="163BMT0600"/>
    <s v="ENTR MT-469(B)"/>
    <s v="ENTR MT-454 (SANTA ELVIRA)"/>
    <n v="159.80000000000001"/>
    <n v="161.80000000000001"/>
    <n v="2"/>
    <x v="2"/>
    <s v="EOD"/>
    <s v="364BMT0680"/>
    <s v="Concessão Federal"/>
    <m/>
    <m/>
    <m/>
    <s v="Federal"/>
    <s v="PAV"/>
    <s v="Rondonópolis"/>
  </r>
  <r>
    <x v="0"/>
    <s v="163BMT0605"/>
    <n v="0"/>
    <x v="152"/>
    <s v="0605"/>
    <n v="-54.795785380390903"/>
    <n v="-16.1617778299828"/>
    <n v="-54.883511379846198"/>
    <n v="-16.056504759686799"/>
    <s v="163"/>
    <s v="MT"/>
    <s v="Eixo Principal"/>
    <s v="-"/>
    <s v="163BMT0605"/>
    <s v="ENTR MT-454 (SANTA ELVIRA)"/>
    <s v="ENTR MT-373(A) (JUSCIMEIRA)"/>
    <n v="161.80000000000001"/>
    <n v="177.7"/>
    <n v="15.9"/>
    <x v="2"/>
    <s v="EOD"/>
    <s v="364BMT0685"/>
    <s v="Concessão Federal"/>
    <m/>
    <m/>
    <m/>
    <s v="Federal"/>
    <s v="PAV"/>
    <s v="Rondonópolis"/>
  </r>
  <r>
    <x v="0"/>
    <s v="163BMT0610"/>
    <n v="0"/>
    <x v="152"/>
    <s v="0610"/>
    <n v="-54.883511379846198"/>
    <n v="-16.056504759686799"/>
    <n v="-54.892194229879699"/>
    <n v="-16.036821039958902"/>
    <s v="163"/>
    <s v="MT"/>
    <s v="Eixo Principal"/>
    <s v="-"/>
    <s v="163BMT0610"/>
    <s v="ENTR MT-373(A) (JUSCIMEIRA)"/>
    <s v="ENTR MT-373(B)"/>
    <n v="177.7"/>
    <n v="180.1"/>
    <n v="2.4"/>
    <x v="2"/>
    <s v="EOD"/>
    <s v="364BMT0690"/>
    <s v="Concessão Federal"/>
    <m/>
    <m/>
    <m/>
    <s v="Federal"/>
    <s v="PAV"/>
    <s v="Rondonópolis"/>
  </r>
  <r>
    <x v="0"/>
    <s v="163BMT0615"/>
    <n v="0"/>
    <x v="152"/>
    <s v="0615"/>
    <n v="-54.892194229879699"/>
    <n v="-16.036821039958902"/>
    <n v="-54.9055434003076"/>
    <n v="-16.017954210418399"/>
    <s v="163"/>
    <s v="MT"/>
    <s v="Eixo Principal"/>
    <s v="-"/>
    <s v="163BMT0615"/>
    <s v="ENTR MT-373(B)"/>
    <s v="ENTR MT-472 (SÃO PEDRO DA CIPA)"/>
    <n v="180.1"/>
    <n v="182.5"/>
    <n v="2.4"/>
    <x v="2"/>
    <s v="EOD"/>
    <s v="364BMT0700"/>
    <s v="Concessão Federal"/>
    <m/>
    <m/>
    <m/>
    <s v="Federal"/>
    <s v="PAV"/>
    <s v="Rondonópolis"/>
  </r>
  <r>
    <x v="0"/>
    <s v="163BMT0620"/>
    <n v="0"/>
    <x v="152"/>
    <s v="0620"/>
    <n v="-54.9055434003076"/>
    <n v="-16.017954210418399"/>
    <n v="-54.943729869837497"/>
    <n v="-15.968974059704999"/>
    <s v="163"/>
    <s v="MT"/>
    <s v="Eixo Principal"/>
    <s v="-"/>
    <s v="163BMT0620"/>
    <s v="ENTR MT-472 (SÃO PEDRO DA CIPA)"/>
    <s v="ENTR MT-344"/>
    <n v="182.5"/>
    <n v="189.6"/>
    <n v="7.1"/>
    <x v="2"/>
    <s v="EOD"/>
    <s v="364BMT0705"/>
    <s v="Concessão Federal"/>
    <m/>
    <m/>
    <m/>
    <s v="Federal"/>
    <s v="PAV"/>
    <s v="Rondonópolis"/>
  </r>
  <r>
    <x v="0"/>
    <s v="163BMT0625"/>
    <n v="0"/>
    <x v="152"/>
    <s v="0625"/>
    <n v="-54.943729869837497"/>
    <n v="-15.968974059704999"/>
    <n v="-54.958117570169598"/>
    <n v="-15.969912270235"/>
    <s v="163"/>
    <s v="MT"/>
    <s v="Eixo Principal"/>
    <s v="-"/>
    <s v="163BMT0625"/>
    <s v="ENTR MT-344"/>
    <s v="ENTR MT-457(A) (P/JACIÁRA)"/>
    <n v="189.6"/>
    <n v="191.2"/>
    <n v="1.6"/>
    <x v="0"/>
    <m/>
    <s v="364BMT0710"/>
    <s v="Concessão Federal"/>
    <m/>
    <m/>
    <m/>
    <s v="Federal"/>
    <s v="PAV"/>
    <s v="Rondonópolis"/>
  </r>
  <r>
    <x v="0"/>
    <s v="163BMT0630"/>
    <n v="0"/>
    <x v="152"/>
    <s v="0630"/>
    <n v="-54.958117570169598"/>
    <n v="-15.969912270235"/>
    <n v="-54.978465020144498"/>
    <n v="-15.9526672897635"/>
    <s v="163"/>
    <s v="MT"/>
    <s v="Eixo Principal"/>
    <s v="-"/>
    <s v="163BMT0630"/>
    <s v="ENTR MT-457(A) (P/JACIÁRA)"/>
    <s v="ENTR MT-457(B)"/>
    <n v="191.2"/>
    <n v="194.2"/>
    <n v="3"/>
    <x v="0"/>
    <m/>
    <s v="364BMT0715"/>
    <s v="Concessão Federal"/>
    <m/>
    <m/>
    <m/>
    <s v="Federal"/>
    <s v="PAV"/>
    <s v="Rondonópolis"/>
  </r>
  <r>
    <x v="0"/>
    <s v="163BMT0635"/>
    <n v="0"/>
    <x v="152"/>
    <s v="0635"/>
    <n v="-54.978465020144498"/>
    <n v="-15.9526672897635"/>
    <n v="-55.137696989624303"/>
    <n v="-15.852244970129201"/>
    <s v="163"/>
    <s v="MT"/>
    <s v="Eixo Principal"/>
    <s v="-"/>
    <s v="163BMT0635"/>
    <s v="ENTR MT-457(B)"/>
    <s v="ENTR MT-260"/>
    <n v="194.2"/>
    <n v="217.6"/>
    <n v="23.4"/>
    <x v="2"/>
    <s v="EOD"/>
    <s v="364BMT0720"/>
    <s v="Concessão Federal"/>
    <m/>
    <m/>
    <m/>
    <s v="Federal"/>
    <s v="PAV"/>
    <s v="Rondonópolis"/>
  </r>
  <r>
    <x v="0"/>
    <s v="163BMT0640"/>
    <n v="0"/>
    <x v="152"/>
    <s v="0640"/>
    <n v="-55.137696989624303"/>
    <n v="-15.852244970129201"/>
    <n v="-55.210487119584798"/>
    <n v="-15.8213351598896"/>
    <s v="163"/>
    <s v="MT"/>
    <s v="Eixo Principal"/>
    <s v="-"/>
    <s v="163BMT0640"/>
    <s v="ENTR MT-260"/>
    <s v="ENTR MT-453"/>
    <n v="217.6"/>
    <n v="226.5"/>
    <n v="8.9"/>
    <x v="2"/>
    <s v="EOD"/>
    <s v="364BMT0725"/>
    <s v="Concessão Federal"/>
    <m/>
    <m/>
    <m/>
    <s v="Federal"/>
    <s v="PAV"/>
    <s v="Rondonópolis"/>
  </r>
  <r>
    <x v="0"/>
    <s v="163BMT0645"/>
    <n v="0"/>
    <x v="152"/>
    <s v="0645"/>
    <n v="-55.210487119584798"/>
    <n v="-15.8213351598896"/>
    <n v="-55.265530080448698"/>
    <n v="-15.811110639844101"/>
    <s v="163"/>
    <s v="MT"/>
    <s v="Eixo Principal"/>
    <s v="-"/>
    <s v="163BMT0645"/>
    <s v="ENTR MT-453"/>
    <s v="ENTR MT-140(A)"/>
    <n v="226.5"/>
    <n v="232.7"/>
    <n v="6.2"/>
    <x v="2"/>
    <s v="EOD"/>
    <s v="364BMT0730"/>
    <s v="Concessão Federal"/>
    <m/>
    <m/>
    <m/>
    <s v="Federal"/>
    <s v="PAV"/>
    <s v="Rondonópolis"/>
  </r>
  <r>
    <x v="0"/>
    <s v="163BMT0650"/>
    <n v="0"/>
    <x v="152"/>
    <s v="0650"/>
    <n v="-55.265530080448698"/>
    <n v="-15.811110639844101"/>
    <n v="-55.410493859603797"/>
    <n v="-15.819893050224"/>
    <s v="163"/>
    <s v="MT"/>
    <s v="Eixo Principal"/>
    <s v="-"/>
    <s v="163BMT0650"/>
    <s v="ENTR MT-140(A)"/>
    <s v="ENTR BR-070(A) (SÃO VICENTE)"/>
    <n v="232.7"/>
    <n v="249.6"/>
    <n v="16.899999999999999"/>
    <x v="2"/>
    <s v="EOD"/>
    <s v="364BMT0735"/>
    <s v="Concessão Federal"/>
    <m/>
    <m/>
    <m/>
    <s v="Federal"/>
    <s v="PAV"/>
    <s v="Rondonópolis"/>
  </r>
  <r>
    <x v="0"/>
    <s v="163BMT0655"/>
    <n v="0"/>
    <x v="152"/>
    <s v="0655"/>
    <n v="-55.410493859603797"/>
    <n v="-15.819893050224"/>
    <n v="-55.513269869608699"/>
    <n v="-15.8235573396994"/>
    <s v="163"/>
    <s v="MT"/>
    <s v="Eixo Principal"/>
    <s v="Coinc"/>
    <s v="163BMT0655"/>
    <s v="ENTR BR-070(A) (SÃO VICENTE)"/>
    <s v="ENTR MT-455"/>
    <n v="249.6"/>
    <n v="262.3"/>
    <n v="12.7"/>
    <x v="2"/>
    <s v="EOD"/>
    <s v="070BMT0410;364BMT0740"/>
    <s v="Concessão Federal"/>
    <m/>
    <m/>
    <m/>
    <s v="Federal"/>
    <s v="PAV"/>
    <s v="Cuiabá"/>
  </r>
  <r>
    <x v="0"/>
    <s v="163BMT0660"/>
    <n v="0"/>
    <x v="152"/>
    <s v="0660"/>
    <n v="-55.513269869608699"/>
    <n v="-15.8235573396994"/>
    <n v="-55.541225530134"/>
    <n v="-15.809694380291299"/>
    <s v="163"/>
    <s v="MT"/>
    <s v="Eixo Principal"/>
    <s v="Coinc"/>
    <s v="163BMT0660"/>
    <s v="ENTR MT-455"/>
    <s v="INÍCIO VARIANTE I SERRA DE SÃO VICENTE"/>
    <n v="262.3"/>
    <n v="266"/>
    <n v="3.7"/>
    <x v="2"/>
    <s v="EOD"/>
    <s v="070BMT0415;364BMT0745"/>
    <s v="Concessão Federal"/>
    <m/>
    <m/>
    <m/>
    <s v="Federal"/>
    <s v="PAV"/>
    <s v="Cuiabá"/>
  </r>
  <r>
    <x v="0"/>
    <s v="163BMT0665"/>
    <n v="0"/>
    <x v="152"/>
    <s v="0665"/>
    <n v="-55.541225530134"/>
    <n v="-15.809694380291299"/>
    <n v="-55.594080950375499"/>
    <n v="-15.7968226599377"/>
    <s v="163"/>
    <s v="MT"/>
    <s v="Eixo Principal"/>
    <s v="Coinc"/>
    <s v="163BMT0665"/>
    <s v="INÍCIO VARIANTE I SERRA DE SÃO VICENTE"/>
    <s v="FIM VARIANTE I SERRA DE SÃO VICENTE"/>
    <n v="266"/>
    <n v="274"/>
    <n v="8"/>
    <x v="0"/>
    <m/>
    <s v="364BMT0750;070BMT0420"/>
    <s v="Concessão Federal"/>
    <m/>
    <m/>
    <m/>
    <s v="Federal"/>
    <s v="PAV"/>
    <s v="Cuiabá"/>
  </r>
  <r>
    <x v="0"/>
    <s v="163BMT0670"/>
    <n v="0"/>
    <x v="152"/>
    <s v="0670"/>
    <n v="-55.594080950375499"/>
    <n v="-15.7968226599377"/>
    <n v="-55.603444599788403"/>
    <n v="-15.7969890596972"/>
    <s v="163"/>
    <s v="MT"/>
    <s v="Eixo Principal"/>
    <s v="Coinc"/>
    <s v="163BMT0670"/>
    <s v="FIM VARIANTE I SERRA DE SÃO VICENTE"/>
    <s v="INÍC VARIANTE II SERRA DE SÃO VICENTE"/>
    <n v="274"/>
    <n v="275"/>
    <n v="1"/>
    <x v="0"/>
    <m/>
    <s v="364BMT0755;070BMT0425"/>
    <s v="Concessão Federal"/>
    <m/>
    <m/>
    <m/>
    <s v="Federal"/>
    <s v="PAV"/>
    <s v="Cuiabá"/>
  </r>
  <r>
    <x v="0"/>
    <s v="163BMT0675"/>
    <n v="0"/>
    <x v="152"/>
    <s v="0675"/>
    <n v="-55.603444599788403"/>
    <n v="-15.7969890596972"/>
    <n v="-55.6539620597012"/>
    <n v="-15.7710792498074"/>
    <s v="163"/>
    <s v="MT"/>
    <s v="Eixo Principal"/>
    <s v="Coinc"/>
    <s v="163BMT0675"/>
    <s v="INÍC VARIANTE II SERRA DE SÃO VICENTE"/>
    <s v="FIM VARIANTE II SERRA DE SÃO VICENTE"/>
    <n v="275"/>
    <n v="283.2"/>
    <n v="8.1999999999999993"/>
    <x v="0"/>
    <m/>
    <s v="364BMT0760;070BMT0430"/>
    <s v="Concessão Federal"/>
    <m/>
    <m/>
    <m/>
    <s v="Federal"/>
    <s v="PAV"/>
    <s v="Cuiabá"/>
  </r>
  <r>
    <x v="0"/>
    <s v="163BMT0680"/>
    <n v="0"/>
    <x v="152"/>
    <s v="0680"/>
    <n v="-55.6539620597012"/>
    <n v="-15.7710792498074"/>
    <n v="-55.961380560364503"/>
    <n v="-15.6657154702926"/>
    <s v="163"/>
    <s v="MT"/>
    <s v="Eixo Principal"/>
    <s v="Coinc"/>
    <s v="163BMT0680"/>
    <s v="FIM VARIANTE II SERRA DE SÃO VICENTE"/>
    <s v="ACESSO DISTRITO INDUSTRIAL"/>
    <n v="283.2"/>
    <n v="322.5"/>
    <n v="39.299999999999997"/>
    <x v="2"/>
    <s v="EOD"/>
    <s v="364BMT0765;070BMT0435"/>
    <s v="Concessão Federal"/>
    <m/>
    <m/>
    <m/>
    <s v="Federal"/>
    <s v="PAV"/>
    <s v="Cuiabá"/>
  </r>
  <r>
    <x v="0"/>
    <s v="163BMT0685"/>
    <n v="0"/>
    <x v="152"/>
    <s v="0685"/>
    <n v="-55.961380560364503"/>
    <n v="-15.6657154702926"/>
    <n v="-56.000741219831397"/>
    <n v="-15.6494602395983"/>
    <s v="163"/>
    <s v="MT"/>
    <s v="Eixo Principal"/>
    <s v="Coinc"/>
    <s v="163BMT0685"/>
    <s v="ACESSO DISTRITO INDUSTRIAL"/>
    <s v="ENTR BR-070(B)/MT-407"/>
    <n v="322.5"/>
    <n v="327.2"/>
    <n v="4.7"/>
    <x v="0"/>
    <m/>
    <s v="070BMT0440;364BMT0770"/>
    <s v="Concessão Federal"/>
    <m/>
    <m/>
    <m/>
    <s v="Federal"/>
    <s v="PAV"/>
    <s v="Cuiabá"/>
  </r>
  <r>
    <x v="0"/>
    <s v="163BMT0695"/>
    <n v="0"/>
    <x v="152"/>
    <s v="0695"/>
    <n v="-56.000741219831397"/>
    <n v="-15.6494602395983"/>
    <n v="-56.025908830028399"/>
    <n v="-15.6385284504276"/>
    <s v="163"/>
    <s v="MT"/>
    <s v="Eixo Principal"/>
    <s v="-"/>
    <s v="163BMT0695"/>
    <s v="ENTR BR-070(B)/MT-407"/>
    <s v="ACESSO TIJUCAL (CONTORNO DE CUIABÁ)"/>
    <n v="327.2"/>
    <n v="330.3"/>
    <n v="3.1"/>
    <x v="0"/>
    <m/>
    <s v="364BMT0780"/>
    <s v="Federal"/>
    <m/>
    <m/>
    <m/>
    <s v="Federal"/>
    <s v="PAV"/>
    <s v="Cuiabá"/>
  </r>
  <r>
    <x v="0"/>
    <s v="163BMT0700"/>
    <n v="0"/>
    <x v="152"/>
    <s v="0700"/>
    <n v="-56.025908830028399"/>
    <n v="-15.6385284504276"/>
    <n v="-56.046719689861703"/>
    <n v="-15.634477449774399"/>
    <s v="163"/>
    <s v="MT"/>
    <s v="Eixo Principal"/>
    <s v="-"/>
    <s v="163BMT0700"/>
    <s v="ACESSO TIJUCAL (CONTORNO DE CUIABÁ)"/>
    <s v="ENTR MT-040 (P/SANTO ANTÔNIO DO LEVERGER) *TRECHO URBANO*"/>
    <n v="330.3"/>
    <n v="332.9"/>
    <n v="2.6"/>
    <x v="0"/>
    <m/>
    <s v="364BMT0785"/>
    <s v="Federal"/>
    <m/>
    <m/>
    <m/>
    <s v="Federal"/>
    <s v="PAV"/>
    <s v="Cuiabá"/>
  </r>
  <r>
    <x v="0"/>
    <s v="163BMT0705"/>
    <n v="0"/>
    <x v="152"/>
    <s v="0705"/>
    <n v="-56.046719689861703"/>
    <n v="-15.634477449774399"/>
    <n v="-56.080665319948501"/>
    <n v="-15.6078104898621"/>
    <s v="163"/>
    <s v="MT"/>
    <s v="Eixo Principal"/>
    <s v="-"/>
    <s v="163BMT0705"/>
    <s v="ENTR MT-040 (P/SANTO ANTÔNIO DO LEVERGER)"/>
    <s v="ENTR AVENIDA MIGUEL SUTIL (AREÃO) *TRECHO URBANO*"/>
    <n v="332.9"/>
    <n v="337.7"/>
    <n v="4.8"/>
    <x v="0"/>
    <m/>
    <s v="364BMT0790"/>
    <s v="Federal"/>
    <m/>
    <m/>
    <m/>
    <s v="Federal"/>
    <s v="PAV"/>
    <s v="Cuiabá"/>
  </r>
  <r>
    <x v="0"/>
    <s v="163BMT0710"/>
    <n v="0"/>
    <x v="152"/>
    <s v="0710"/>
    <n v="-56.080665319948501"/>
    <n v="-15.6078104898621"/>
    <n v="-56.0908383699947"/>
    <n v="-15.582323569976699"/>
    <s v="163"/>
    <s v="MT"/>
    <s v="Eixo Principal"/>
    <s v="-"/>
    <s v="163BMT0710"/>
    <s v="ENTR AVENIDA MIGUEL SUTIL (AREÃO)"/>
    <s v="ENTR BR-251/MT-351(A) *TRECHO URBANO*"/>
    <n v="337.7"/>
    <n v="341.4"/>
    <n v="3.7"/>
    <x v="0"/>
    <m/>
    <s v="364BMT0795"/>
    <s v="Federal"/>
    <m/>
    <m/>
    <m/>
    <s v="Federal"/>
    <s v="PAV"/>
    <s v="Cuiabá"/>
  </r>
  <r>
    <x v="0"/>
    <s v="163BMT0715"/>
    <n v="0"/>
    <x v="152"/>
    <s v="0715"/>
    <n v="-56.0908383699947"/>
    <n v="-15.582323569976699"/>
    <n v="-56.117324950186202"/>
    <n v="-15.6233815199411"/>
    <s v="163"/>
    <s v="MT"/>
    <s v="Eixo Principal"/>
    <s v="-"/>
    <s v="163BMT0715"/>
    <s v="ENTR BR-251/MT-351(A)"/>
    <s v="ENTR MT-050(A)/060(A)/351(B) (PONTE NOVA) *TRECHO URBANO*"/>
    <n v="341.4"/>
    <n v="350.3"/>
    <n v="8.9"/>
    <x v="0"/>
    <m/>
    <s v="364BMT0800"/>
    <s v="Federal"/>
    <m/>
    <m/>
    <m/>
    <s v="Federal"/>
    <s v="PAV"/>
    <s v="Cuiabá"/>
  </r>
  <r>
    <x v="0"/>
    <s v="163BMT0720"/>
    <n v="0"/>
    <x v="152"/>
    <s v="0720"/>
    <n v="-56.117324950186202"/>
    <n v="-15.6233815199411"/>
    <n v="-56.113754069694401"/>
    <n v="-15.6276209996094"/>
    <s v="163"/>
    <s v="MT"/>
    <s v="Eixo Principal"/>
    <s v="-"/>
    <s v="163BMT0720"/>
    <s v="ENTR MT-050(A)/060(A)/351(B) (PONTE NOVA)"/>
    <s v="ENTR AVENIDA DA FEB *TRECHO URBANO*"/>
    <n v="350.3"/>
    <n v="350.9"/>
    <n v="0.6"/>
    <x v="0"/>
    <m/>
    <s v="364BMT0805"/>
    <s v="Federal"/>
    <m/>
    <m/>
    <m/>
    <s v="Federal"/>
    <s v="PAV"/>
    <s v="Cuiabá"/>
  </r>
  <r>
    <x v="0"/>
    <s v="163BMT0725"/>
    <n v="0"/>
    <x v="152"/>
    <s v="0725"/>
    <n v="-56.113754069694401"/>
    <n v="-15.6276209996094"/>
    <n v="-56.120820509758602"/>
    <n v="-15.6381466999102"/>
    <s v="163"/>
    <s v="MT"/>
    <s v="Eixo Principal"/>
    <s v="-"/>
    <s v="163BMT0725"/>
    <s v="ENTR AVENIDA DA FEB"/>
    <s v="ENTR AV. ULISSES POMPEU DE CAMPOS/MT-050"/>
    <n v="350.9"/>
    <n v="352.3"/>
    <n v="1.4"/>
    <x v="0"/>
    <m/>
    <s v="364BMT0810"/>
    <s v="Federal"/>
    <m/>
    <m/>
    <m/>
    <s v="Federal"/>
    <s v="PAV"/>
    <s v="Cuiabá"/>
  </r>
  <r>
    <x v="0"/>
    <s v="163BMT0730"/>
    <n v="0"/>
    <x v="152"/>
    <s v="0730"/>
    <n v="-56.120820509758602"/>
    <n v="-15.6381466999102"/>
    <n v="-56.147064610243497"/>
    <n v="-15.648803229985001"/>
    <s v="163"/>
    <s v="MT"/>
    <s v="Eixo Principal"/>
    <s v="-"/>
    <s v="163BMT0730"/>
    <s v="ENTR AV. ULISSES POMPEU DE CAMPOS/MT-050"/>
    <s v="ENTR AV COUTO MAGALHÃES/POSTO TREVINHO *TRECHO URBANO*"/>
    <n v="352.3"/>
    <n v="355.7"/>
    <n v="3.4"/>
    <x v="0"/>
    <m/>
    <s v="364BMT0815"/>
    <s v="Federal"/>
    <m/>
    <m/>
    <m/>
    <s v="Federal"/>
    <s v="PAV"/>
    <s v="Cuiabá"/>
  </r>
  <r>
    <x v="0"/>
    <s v="163BMT0735"/>
    <n v="0"/>
    <x v="152"/>
    <s v="0735"/>
    <n v="-56.147064610243497"/>
    <n v="-15.648803229985001"/>
    <n v="-56.194845659799299"/>
    <n v="-15.649205750345001"/>
    <s v="163"/>
    <s v="MT"/>
    <s v="Eixo Principal"/>
    <s v="-"/>
    <s v="163BMT0735"/>
    <s v="ENTR AV COUTO MAGALHÃES/POSTO TREVINHO"/>
    <s v="ENTR BR-070/MT-060(B) (TREVO LAGARTO) *TRECHO URBANO*"/>
    <n v="355.7"/>
    <n v="361.4"/>
    <n v="5.7"/>
    <x v="0"/>
    <m/>
    <s v="364BMT0820"/>
    <s v="Federal"/>
    <m/>
    <m/>
    <m/>
    <s v="Federal"/>
    <s v="PAV"/>
    <s v="Cuiabá"/>
  </r>
  <r>
    <x v="0"/>
    <s v="163BMT0740"/>
    <n v="0"/>
    <x v="152"/>
    <s v="0740"/>
    <n v="-56.194845659799299"/>
    <n v="-15.649205750345001"/>
    <n v="-56.431628987787498"/>
    <n v="-15.3182271308773"/>
    <s v="163"/>
    <s v="MT"/>
    <s v="Eixo Principal"/>
    <s v="-"/>
    <s v="163BMT0740"/>
    <s v="ENTR BR-070/MT-060(B) (TREVO LAGARTO)"/>
    <s v="MATA GRANDE"/>
    <n v="361.4"/>
    <n v="410.7"/>
    <n v="49.3"/>
    <x v="2"/>
    <m/>
    <s v="364BMT0825"/>
    <s v="Concessão Federal"/>
    <m/>
    <m/>
    <m/>
    <s v="Federal"/>
    <s v="PAV"/>
    <s v="Cuiabá"/>
  </r>
  <r>
    <x v="0"/>
    <s v="163BMT0745"/>
    <n v="0"/>
    <x v="152"/>
    <s v="0745"/>
    <n v="-56.431628987787498"/>
    <n v="-15.3182271308773"/>
    <n v="-56.464422759902298"/>
    <n v="-15.254853310132001"/>
    <s v="163"/>
    <s v="MT"/>
    <s v="Eixo Principal"/>
    <s v="-"/>
    <s v="163BMT0745"/>
    <s v="MATA GRANDE"/>
    <s v="ENTR MT-246(A) (P/ACORIZAL)"/>
    <n v="410.7"/>
    <n v="419.1"/>
    <n v="8.4"/>
    <x v="2"/>
    <m/>
    <s v="364BMT0830"/>
    <s v="Concessão Federal"/>
    <m/>
    <m/>
    <m/>
    <s v="Federal"/>
    <s v="PAV"/>
    <s v="Cuiabá"/>
  </r>
  <r>
    <x v="0"/>
    <s v="163BMT0750"/>
    <n v="0"/>
    <x v="152"/>
    <s v="0750"/>
    <n v="-56.464422759902298"/>
    <n v="-15.254853310132001"/>
    <n v="-56.483436199620797"/>
    <n v="-15.2415845202094"/>
    <s v="163"/>
    <s v="MT"/>
    <s v="Eixo Principal"/>
    <s v="-"/>
    <s v="163BMT0750"/>
    <s v="ENTR MT-246(A) (P/ACORIZAL)"/>
    <s v="FIM DA PONTE S/RIO JANGADA"/>
    <n v="419.1"/>
    <n v="421.7"/>
    <n v="2.6"/>
    <x v="2"/>
    <m/>
    <s v="364BMT0835"/>
    <s v="Concessão Federal"/>
    <m/>
    <m/>
    <m/>
    <s v="Federal"/>
    <s v="PAV"/>
    <s v="Cuiabá"/>
  </r>
  <r>
    <x v="0"/>
    <s v="163BMT0755"/>
    <n v="0"/>
    <x v="152"/>
    <s v="0755"/>
    <n v="-56.483436199620797"/>
    <n v="-15.2415845202094"/>
    <n v="-56.524269019599501"/>
    <n v="-15.176174139724701"/>
    <s v="163"/>
    <s v="MT"/>
    <s v="Eixo Principal"/>
    <s v="-"/>
    <s v="163BMT0755"/>
    <s v="FIM DA PONTE S/RIO JANGADA"/>
    <s v="ENTR MT-246(B)"/>
    <n v="421.7"/>
    <n v="430.5"/>
    <n v="8.8000000000000007"/>
    <x v="2"/>
    <m/>
    <s v="364BMT0840"/>
    <s v="Concessão Federal"/>
    <m/>
    <m/>
    <m/>
    <s v="Federal"/>
    <s v="PAV"/>
    <s v="Cuiabá"/>
  </r>
  <r>
    <x v="0"/>
    <s v="163BMT0760"/>
    <n v="0"/>
    <x v="152"/>
    <s v="0760"/>
    <n v="-56.524269019599501"/>
    <n v="-15.176174139724701"/>
    <n v="-56.434270179724898"/>
    <n v="-14.8349269496189"/>
    <s v="163"/>
    <s v="MT"/>
    <s v="Eixo Principal"/>
    <s v="-"/>
    <s v="163BMT0760"/>
    <s v="ENTR MT-246(B)"/>
    <s v="INÍCIO DA TRAVESSIA URB DE ROSÁRIO OESTE"/>
    <n v="430.5"/>
    <n v="471.6"/>
    <n v="41.1"/>
    <x v="2"/>
    <s v="EOD"/>
    <s v="364BMT0845"/>
    <s v="Concessão Federal"/>
    <m/>
    <m/>
    <m/>
    <s v="Federal"/>
    <s v="PAV"/>
    <s v="Cuiabá"/>
  </r>
  <r>
    <x v="0"/>
    <s v="163BMT0765"/>
    <n v="0"/>
    <x v="152"/>
    <s v="0765"/>
    <n v="-56.434270179724898"/>
    <n v="-14.8349269496189"/>
    <n v="-56.425349129858397"/>
    <n v="-14.8171368702703"/>
    <s v="163"/>
    <s v="MT"/>
    <s v="Eixo Principal"/>
    <s v="-"/>
    <s v="163BMT0765"/>
    <s v="INÍCIO DA TRAVESSIA URB DE ROSÁRIO OESTE"/>
    <s v="FIM DA TRAVESSIA URBANA DE ROSÁRIO OESTE *TRECHO URBANO*"/>
    <n v="471.6"/>
    <n v="474"/>
    <n v="2.4"/>
    <x v="0"/>
    <m/>
    <s v="364BMT0850"/>
    <s v="Concessão Federal"/>
    <m/>
    <m/>
    <m/>
    <s v="Federal"/>
    <s v="PAV"/>
    <s v="Cuiabá"/>
  </r>
  <r>
    <x v="0"/>
    <s v="163BMT0770"/>
    <n v="0"/>
    <x v="152"/>
    <s v="0770"/>
    <n v="-56.425349129858397"/>
    <n v="-14.8171368702703"/>
    <n v="-56.320279559953597"/>
    <n v="-14.719397179735999"/>
    <s v="163"/>
    <s v="MT"/>
    <s v="Eixo Principal"/>
    <s v="-"/>
    <s v="163BMT0770"/>
    <s v="FIM DA TRAVESSIA URBANA DE ROSÁRIO OESTE"/>
    <s v="ENTR MT-241 (NOBRES)"/>
    <n v="474"/>
    <n v="491.2"/>
    <n v="17.2"/>
    <x v="0"/>
    <m/>
    <s v="364BMT0855"/>
    <s v="Concessão Federal"/>
    <m/>
    <m/>
    <m/>
    <s v="Federal"/>
    <s v="PAV"/>
    <s v="Cuiabá"/>
  </r>
  <r>
    <x v="0"/>
    <s v="163BMT0775"/>
    <n v="0"/>
    <x v="152"/>
    <s v="0775"/>
    <n v="-56.320279559953597"/>
    <n v="-14.719397179735999"/>
    <n v="-56.221767310412901"/>
    <n v="-14.558651769963101"/>
    <s v="163"/>
    <s v="MT"/>
    <s v="Eixo Principal"/>
    <s v="-"/>
    <s v="163BMT0775"/>
    <s v="ENTR MT-241 (NOBRES)"/>
    <s v="ENTR MT-240(A)"/>
    <n v="491.2"/>
    <n v="513.9"/>
    <n v="22.7"/>
    <x v="0"/>
    <m/>
    <s v="364BMT0870"/>
    <s v="Concessão Federal"/>
    <m/>
    <m/>
    <m/>
    <s v="Federal"/>
    <s v="PAV"/>
    <s v="Cuiabá"/>
  </r>
  <r>
    <x v="0"/>
    <s v="163BMT0780"/>
    <n v="0"/>
    <x v="152"/>
    <s v="0780"/>
    <n v="-56.221767310412901"/>
    <n v="-14.558651769963101"/>
    <n v="-56.229454719759403"/>
    <n v="-14.5306381598231"/>
    <s v="163"/>
    <s v="MT"/>
    <s v="Eixo Principal"/>
    <s v="-"/>
    <s v="163BMT0780"/>
    <s v="ENTR MT-240(A)"/>
    <s v="ENTR BR-364(B)/MT-010(B)/240(B) (POSTO GIL)"/>
    <n v="513.9"/>
    <n v="517.4"/>
    <n v="3.5"/>
    <x v="0"/>
    <m/>
    <s v="364BMT0890"/>
    <s v="Concessão Federal"/>
    <m/>
    <m/>
    <m/>
    <s v="Federal"/>
    <s v="PAV"/>
    <s v="Cuiabá"/>
  </r>
  <r>
    <x v="0"/>
    <s v="163BMT0785"/>
    <n v="0"/>
    <x v="152"/>
    <s v="0785"/>
    <n v="-56.229454719759403"/>
    <n v="-14.5306381598231"/>
    <n v="-56.085938219573102"/>
    <n v="-13.860854390018"/>
    <s v="163"/>
    <s v="MT"/>
    <s v="Eixo Principal"/>
    <s v="-"/>
    <s v="163BMT0785"/>
    <s v="ENTR BR-364(B)/MT-010(B)/240(B) (POSTO GIL)"/>
    <s v="ENTR MT-249 (INÍCIO DA TRAVESSIA URBANA DE NOVA MUTUM)"/>
    <n v="517.4"/>
    <n v="605.29999999999995"/>
    <n v="87.9"/>
    <x v="2"/>
    <m/>
    <m/>
    <s v="Concessão Federal"/>
    <m/>
    <m/>
    <m/>
    <s v="Federal"/>
    <s v="PAV"/>
    <s v="Cuiabá"/>
  </r>
  <r>
    <x v="0"/>
    <s v="163BMT0790"/>
    <n v="0"/>
    <x v="152"/>
    <s v="0790"/>
    <n v="-56.085938219573102"/>
    <n v="-13.860854390018"/>
    <n v="-56.066071369997701"/>
    <n v="-13.793126929664"/>
    <s v="163"/>
    <s v="MT"/>
    <s v="Eixo Principal"/>
    <s v="-"/>
    <s v="163BMT0790"/>
    <s v="ENTR MT-249 (INÍCIO DA TRAVESSIA URBANA DE NOVA MUTUM)"/>
    <s v="FIM DA TRAVESSIA URBANA DE NOVA MUTUM *TRECHO URBANO*"/>
    <n v="605.29999999999995"/>
    <n v="613.20000000000005"/>
    <n v="7.9"/>
    <x v="0"/>
    <m/>
    <m/>
    <s v="Concessão Federal"/>
    <m/>
    <m/>
    <m/>
    <s v="Federal"/>
    <s v="PAV"/>
    <s v="Cuiabá"/>
  </r>
  <r>
    <x v="0"/>
    <s v="163BMT0795"/>
    <n v="0"/>
    <x v="152"/>
    <s v="0795"/>
    <n v="-56.066071369997701"/>
    <n v="-13.793126929664"/>
    <n v="-56.080999890232697"/>
    <n v="-13.429710850375301"/>
    <s v="163"/>
    <s v="MT"/>
    <s v="Eixo Principal"/>
    <s v="-"/>
    <s v="163BMT0795"/>
    <s v="FIM DA TRAVESSIA URBANA DE NOVA MUTUM"/>
    <s v="ENTR MT-235 (P/SÃO JOSÉ DO RIO CLARO)"/>
    <n v="613.20000000000005"/>
    <n v="656.3"/>
    <n v="43.1"/>
    <x v="2"/>
    <m/>
    <m/>
    <s v="Concessão Federal"/>
    <m/>
    <m/>
    <m/>
    <s v="Federal"/>
    <s v="PAV"/>
    <s v="Cuiabá"/>
  </r>
  <r>
    <x v="0"/>
    <s v="163BMT0800"/>
    <n v="0"/>
    <x v="152"/>
    <s v="0800"/>
    <n v="-56.080999890232697"/>
    <n v="-13.429710850375301"/>
    <n v="-56.041052700121902"/>
    <n v="-13.3076090499176"/>
    <s v="163"/>
    <s v="MT"/>
    <s v="Eixo Principal"/>
    <s v="-"/>
    <s v="163BMT0800"/>
    <s v="ENTR MT-235 (P/SÃO JOSÉ DO RIO CLARO)"/>
    <s v="ENTR MT-338"/>
    <n v="656.3"/>
    <n v="671.9"/>
    <n v="15.6"/>
    <x v="2"/>
    <m/>
    <m/>
    <s v="Concessão Federal"/>
    <m/>
    <m/>
    <m/>
    <s v="Federal"/>
    <s v="PAV"/>
    <s v="Sorriso"/>
  </r>
  <r>
    <x v="0"/>
    <s v="163BMT0805"/>
    <n v="0"/>
    <x v="152"/>
    <s v="0805"/>
    <n v="-56.041052700121902"/>
    <n v="-13.3076090499176"/>
    <n v="-55.921364799645701"/>
    <n v="-13.063758920337801"/>
    <s v="163"/>
    <s v="MT"/>
    <s v="Eixo Principal"/>
    <s v="-"/>
    <s v="163BMT0805"/>
    <s v="ENTR MT-338"/>
    <s v="ENTR MT-449 (LUCAS DO RIO VERDE)"/>
    <n v="671.9"/>
    <n v="702.3"/>
    <n v="30.4"/>
    <x v="2"/>
    <m/>
    <m/>
    <s v="Concessão Federal"/>
    <m/>
    <m/>
    <m/>
    <s v="Federal"/>
    <s v="PAV"/>
    <s v="Sorriso"/>
  </r>
  <r>
    <x v="0"/>
    <s v="163BMT0808"/>
    <n v="0"/>
    <x v="152"/>
    <s v="0808"/>
    <n v="-55.921364799645701"/>
    <n v="-13.063758920337801"/>
    <n v="-55.7483211797786"/>
    <n v="-12.5994475598569"/>
    <s v="163"/>
    <s v="MT"/>
    <s v="Eixo Principal"/>
    <s v="-"/>
    <s v="163BMT0808"/>
    <s v="ENTR MT-449 (LUCAS DO RIO VERDE)"/>
    <s v="INÍCIO DA TRAVESSIA URBANA DE SORRISO"/>
    <n v="702.3"/>
    <n v="759.7"/>
    <n v="57.4"/>
    <x v="2"/>
    <m/>
    <m/>
    <s v="Concessão Federal"/>
    <m/>
    <m/>
    <m/>
    <s v="Federal"/>
    <s v="PAV"/>
    <s v="Sorriso"/>
  </r>
  <r>
    <x v="0"/>
    <s v="163BMT0810"/>
    <n v="0"/>
    <x v="152"/>
    <s v="0810"/>
    <n v="-55.7483211797786"/>
    <n v="-12.5994475598569"/>
    <n v="-55.722614239855197"/>
    <n v="-12.565320839585"/>
    <s v="163"/>
    <s v="MT"/>
    <s v="Eixo Principal"/>
    <s v="-"/>
    <s v="163BMT0810"/>
    <s v="INÍCIO DA TRAVESSIA URBANA DE SORRISO"/>
    <s v="ENTR BR-242/MT-242 *TRECHO URBANO*"/>
    <n v="759.7"/>
    <n v="764.5"/>
    <n v="4.8"/>
    <x v="0"/>
    <m/>
    <m/>
    <s v="Concessão Federal"/>
    <m/>
    <m/>
    <m/>
    <s v="Federal"/>
    <s v="PAV"/>
    <s v="Sorriso"/>
  </r>
  <r>
    <x v="0"/>
    <s v="163BMT0815"/>
    <n v="0"/>
    <x v="152"/>
    <s v="0815"/>
    <n v="-55.722614239855197"/>
    <n v="-12.565320839585"/>
    <n v="-55.702305680162901"/>
    <n v="-12.525396799822399"/>
    <s v="163"/>
    <s v="MT"/>
    <s v="Eixo Principal"/>
    <s v="-"/>
    <s v="163BMT0815"/>
    <s v="ENTR BR-242/MT-242"/>
    <s v="FIM DA TRAVESSIA URBANA DE SORRISO *TRECHO URBANO*"/>
    <n v="764.5"/>
    <n v="769.5"/>
    <n v="5"/>
    <x v="0"/>
    <m/>
    <m/>
    <s v="Concessão Federal"/>
    <m/>
    <m/>
    <m/>
    <s v="Federal"/>
    <s v="PAV"/>
    <s v="Sorriso"/>
  </r>
  <r>
    <x v="0"/>
    <s v="163BMT0820"/>
    <n v="0"/>
    <x v="152"/>
    <s v="0820"/>
    <n v="-55.702305680162901"/>
    <n v="-12.525396799822399"/>
    <n v="-55.562298470397998"/>
    <n v="-12.287281580380499"/>
    <s v="163"/>
    <s v="MT"/>
    <s v="Eixo Principal"/>
    <s v="-"/>
    <s v="163BMT0820"/>
    <s v="FIM DA TRAVESSIA URBANA DE SORRISO"/>
    <s v="ENTR MT-225 (P/VERA)"/>
    <n v="769.5"/>
    <n v="800.4"/>
    <n v="30.9"/>
    <x v="2"/>
    <m/>
    <m/>
    <s v="Concessão Federal"/>
    <m/>
    <m/>
    <m/>
    <s v="Federal"/>
    <s v="PAV"/>
    <s v="Sorriso"/>
  </r>
  <r>
    <x v="0"/>
    <s v="163BMT0821"/>
    <n v="0"/>
    <x v="152"/>
    <s v="0821"/>
    <n v="-55.562298470397998"/>
    <n v="-12.287281580380499"/>
    <n v="-55.516977320247001"/>
    <n v="-11.9752315199186"/>
    <s v="163"/>
    <s v="MT"/>
    <s v="Eixo Principal"/>
    <s v="-"/>
    <s v="163BMT0821"/>
    <s v="ENTR MT-225 (P/VERA)"/>
    <s v="INÍCIO DA TRAVESSIA URBANA DE SINOP"/>
    <n v="800.4"/>
    <n v="836.3"/>
    <n v="35.9"/>
    <x v="2"/>
    <m/>
    <m/>
    <s v="Concessão Federal"/>
    <m/>
    <m/>
    <m/>
    <s v="Federal"/>
    <s v="PAV"/>
    <s v="Sorriso"/>
  </r>
  <r>
    <x v="0"/>
    <s v="163BMT0822"/>
    <n v="0"/>
    <x v="152"/>
    <s v="0822"/>
    <n v="-55.516977320247001"/>
    <n v="-11.9752315199186"/>
    <n v="-55.503416300122097"/>
    <n v="-11.8927095104355"/>
    <s v="163"/>
    <s v="MT"/>
    <s v="Eixo Principal"/>
    <s v="-"/>
    <s v="163BMT0822"/>
    <s v="INÍCIO DA TRAVESSIA URBANA DE SINOP"/>
    <s v="ENTR MT-140(B) (P/SANTA CARMEM) *TRECHO URBANO*"/>
    <n v="836.3"/>
    <n v="845.7"/>
    <n v="9.4"/>
    <x v="0"/>
    <m/>
    <m/>
    <s v="Concessão Federal"/>
    <m/>
    <m/>
    <m/>
    <s v="Federal"/>
    <s v="PAV"/>
    <s v="Sorriso"/>
  </r>
  <r>
    <x v="0"/>
    <s v="163BMT0825"/>
    <n v="0"/>
    <x v="152"/>
    <s v="0825"/>
    <n v="-55.503416300122097"/>
    <n v="-11.8927095104355"/>
    <n v="-55.485767120256298"/>
    <n v="-11.8250146199287"/>
    <s v="163"/>
    <s v="MT"/>
    <s v="Eixo Principal"/>
    <s v="-"/>
    <s v="163BMT0825"/>
    <s v="ENTR MT-140(B) (P/SANTA CARMEM)"/>
    <s v="FIM DA TRAVESSIA URBANA DE SINOP *TRECHO URBANO*"/>
    <n v="845.7"/>
    <n v="853.5"/>
    <n v="7.8"/>
    <x v="0"/>
    <m/>
    <m/>
    <s v="Concessão Federal"/>
    <m/>
    <m/>
    <m/>
    <s v="Federal"/>
    <s v="PAV"/>
    <s v="Sorriso"/>
  </r>
  <r>
    <x v="0"/>
    <s v="163BMT0830"/>
    <n v="0"/>
    <x v="152"/>
    <s v="0830"/>
    <n v="-55.485767120256298"/>
    <n v="-11.8250146199287"/>
    <n v="-55.4735951102261"/>
    <n v="-11.778146220371699"/>
    <s v="163"/>
    <s v="MT"/>
    <s v="Eixo Principal"/>
    <s v="-"/>
    <s v="163BMT0830"/>
    <s v="FIM DA TRAVESSIA URBANA DE SINOP"/>
    <s v="ENTR MT-423 (P/ CLAUDIA)"/>
    <n v="853.5"/>
    <n v="858.9"/>
    <n v="5.4"/>
    <x v="2"/>
    <m/>
    <m/>
    <s v="Concessão Federal"/>
    <m/>
    <m/>
    <m/>
    <s v="Federal"/>
    <s v="PAV"/>
    <s v="Sorriso"/>
  </r>
  <r>
    <x v="0"/>
    <s v="163BMT0832"/>
    <n v="0"/>
    <x v="152"/>
    <s v="0832"/>
    <n v="-55.4735951102261"/>
    <n v="-11.778146220371699"/>
    <n v="-55.4514839296396"/>
    <n v="-11.6937274696469"/>
    <s v="163"/>
    <s v="MT"/>
    <s v="Eixo Principal"/>
    <s v="-"/>
    <s v="163BMT0832"/>
    <s v="ENTR MT-423 (P/ CLAUDIA)"/>
    <s v="ENTR MT-220 (P/PORTO DOS GAÚCHOS)"/>
    <n v="858.9"/>
    <n v="868.6"/>
    <n v="9.6999999999999993"/>
    <x v="2"/>
    <m/>
    <m/>
    <s v="Federal"/>
    <m/>
    <m/>
    <m/>
    <s v="Federal"/>
    <s v="PAV"/>
    <s v="Sorriso"/>
  </r>
  <r>
    <x v="0"/>
    <s v="163BMT0834"/>
    <n v="0"/>
    <x v="152"/>
    <s v="0834"/>
    <n v="-55.4514839296396"/>
    <n v="-11.6937274696469"/>
    <n v="-55.251010249922999"/>
    <n v="-11.0097192903129"/>
    <s v="163"/>
    <s v="MT"/>
    <s v="Eixo Principal"/>
    <s v="-"/>
    <s v="163BMT0834"/>
    <s v="ENTR MT-220 (P/PORTO DOS GAÚCHOS)"/>
    <s v="ENTR AV. EUGÊNIO BEDIN (ITAUBA)"/>
    <n v="868.6"/>
    <n v="950"/>
    <n v="81.400000000000006"/>
    <x v="2"/>
    <m/>
    <m/>
    <s v="Federal"/>
    <m/>
    <m/>
    <m/>
    <s v="Federal"/>
    <s v="PAV"/>
    <s v="Sorriso"/>
  </r>
  <r>
    <x v="0"/>
    <s v="163BMT0836"/>
    <n v="0"/>
    <x v="152"/>
    <s v="0836"/>
    <n v="-55.251010249922999"/>
    <n v="-11.0097192903129"/>
    <n v="-55.187653689865797"/>
    <n v="-10.849023649921399"/>
    <s v="163"/>
    <s v="MT"/>
    <s v="Eixo Principal"/>
    <s v="-"/>
    <s v="163BMT0836"/>
    <s v="ENTR AV. EUGÊNIO BEDIN (ITAUBA)"/>
    <s v="ENTR MT-320(A) (SANTA HELENA)"/>
    <n v="950"/>
    <n v="969.8"/>
    <n v="19.8"/>
    <x v="2"/>
    <m/>
    <m/>
    <s v="Federal"/>
    <m/>
    <m/>
    <m/>
    <s v="Federal"/>
    <s v="PAV"/>
    <s v="Sorriso"/>
  </r>
  <r>
    <x v="0"/>
    <s v="163BMT0840"/>
    <n v="0"/>
    <x v="152"/>
    <s v="0840"/>
    <n v="-55.187653689865797"/>
    <n v="-10.849023649921399"/>
    <n v="-55.1745406103608"/>
    <n v="-10.8176666697809"/>
    <s v="163"/>
    <s v="MT"/>
    <s v="Eixo Principal"/>
    <s v="-"/>
    <s v="163BMT0840"/>
    <s v="ENTR MT-320(A) (SANTA HELENA)"/>
    <s v="ENTR MT-320(B) (P/ MARCELÂNDIA)"/>
    <n v="969.8"/>
    <n v="973.6"/>
    <n v="3.8"/>
    <x v="2"/>
    <m/>
    <m/>
    <s v="Federal"/>
    <m/>
    <m/>
    <m/>
    <s v="Federal"/>
    <s v="PAV"/>
    <s v="Sorriso"/>
  </r>
  <r>
    <x v="0"/>
    <s v="163BMT0841"/>
    <n v="0"/>
    <x v="152"/>
    <s v="0841"/>
    <n v="-55.1745406103608"/>
    <n v="-10.8176666697809"/>
    <n v="-55.132425730363103"/>
    <n v="-10.6331296700981"/>
    <s v="163"/>
    <s v="MT"/>
    <s v="Eixo Principal"/>
    <s v="-"/>
    <s v="163BMT0841"/>
    <s v="ENTR MT-320(B) (P/ MARCELÂNDIA)"/>
    <s v="ENTR MT-208 (P/ NOVA GUARITA)"/>
    <n v="973.6"/>
    <n v="997.3"/>
    <n v="23.7"/>
    <x v="2"/>
    <m/>
    <m/>
    <s v="Federal"/>
    <m/>
    <m/>
    <m/>
    <s v="Federal"/>
    <s v="PAV"/>
    <s v="Sorriso"/>
  </r>
  <r>
    <x v="0"/>
    <s v="163BMT0842"/>
    <n v="0"/>
    <x v="152"/>
    <s v="0842"/>
    <n v="-55.132425730363103"/>
    <n v="-10.6331296700981"/>
    <n v="-55.1076031900351"/>
    <n v="-10.605037259561801"/>
    <s v="163"/>
    <s v="MT"/>
    <s v="Eixo Principal"/>
    <s v="-"/>
    <s v="163BMT0842"/>
    <s v="ENTR MT-208 (P/ NOVA GUARITA)"/>
    <s v="ACESSO P/TERRA NOVA DO NORTE"/>
    <n v="997.3"/>
    <n v="1001.5"/>
    <n v="4.2"/>
    <x v="2"/>
    <m/>
    <m/>
    <s v="Federal"/>
    <m/>
    <m/>
    <m/>
    <s v="Federal"/>
    <s v="PAV"/>
    <s v="Sorriso"/>
  </r>
  <r>
    <x v="0"/>
    <s v="163BMT0846"/>
    <n v="0"/>
    <x v="152"/>
    <s v="0846"/>
    <n v="-55.1076031900351"/>
    <n v="-10.605037259561801"/>
    <n v="-54.994236070238401"/>
    <n v="-10.2510676401594"/>
    <s v="163"/>
    <s v="MT"/>
    <s v="Eixo Principal"/>
    <s v="-"/>
    <s v="163BMT0846"/>
    <s v="ACESSO P/TERRA NOVA DO NORTE"/>
    <s v="ENTR. MT-410 (PEIXOTO DE AZEVEDO)"/>
    <n v="1001.5"/>
    <n v="1043.8"/>
    <n v="42.3"/>
    <x v="2"/>
    <m/>
    <m/>
    <s v="Federal"/>
    <m/>
    <m/>
    <m/>
    <s v="Federal"/>
    <s v="PAV"/>
    <s v="Sorriso"/>
  </r>
  <r>
    <x v="0"/>
    <s v="163BMT0850"/>
    <n v="0"/>
    <x v="152"/>
    <s v="0850"/>
    <n v="-54.994236070238401"/>
    <n v="-10.2510676401594"/>
    <n v="-54.936896849709697"/>
    <n v="-10.1659568701134"/>
    <s v="163"/>
    <s v="MT"/>
    <s v="Eixo Principal"/>
    <s v="-"/>
    <s v="163BMT0850"/>
    <s v="ENTR. MT-410 (PEIXOTO DE AZEVEDO)"/>
    <s v="ENTR AV. VITOR DONINE (MATUPÁ)"/>
    <n v="1043.8"/>
    <n v="1055.3"/>
    <n v="11.5"/>
    <x v="2"/>
    <m/>
    <m/>
    <s v="Federal"/>
    <m/>
    <m/>
    <m/>
    <s v="Federal"/>
    <s v="PAV"/>
    <s v="Sorriso"/>
  </r>
  <r>
    <x v="0"/>
    <s v="163BMT0852"/>
    <n v="0"/>
    <x v="152"/>
    <s v="0852"/>
    <n v="-54.936896849709697"/>
    <n v="-10.1659568701134"/>
    <n v="-54.905014300369601"/>
    <n v="-9.9649923197397303"/>
    <s v="163"/>
    <s v="MT"/>
    <s v="Eixo Principal"/>
    <s v="-"/>
    <s v="163BMT0852"/>
    <s v="ENTR AV. VITOR DONINE (MATUPÁ)"/>
    <s v="INÍCIO DA TRAV URB DE GURANTÃ DO NORTE"/>
    <n v="1055.3"/>
    <n v="1078.7"/>
    <n v="23.4"/>
    <x v="2"/>
    <m/>
    <m/>
    <s v="Federal"/>
    <m/>
    <m/>
    <m/>
    <s v="Federal"/>
    <s v="PAV"/>
    <s v="Sorriso"/>
  </r>
  <r>
    <x v="0"/>
    <s v="163BMT0855"/>
    <n v="0"/>
    <x v="152"/>
    <s v="0855"/>
    <n v="-54.905014300369601"/>
    <n v="-9.9649923197397303"/>
    <n v="-54.903326569665403"/>
    <n v="-9.9385780603291707"/>
    <s v="163"/>
    <s v="MT"/>
    <s v="Eixo Principal"/>
    <s v="-"/>
    <s v="163BMT0855"/>
    <s v="INÍCIO DA TRAV URB DE GURANTÃ DO NORTE"/>
    <s v="FIM DA TRAV URB DE GUARANTÃ DO NORTE *TRECHO URBANO*"/>
    <n v="1078.7"/>
    <n v="1081.5999999999999"/>
    <n v="2.9"/>
    <x v="0"/>
    <m/>
    <m/>
    <s v="Federal"/>
    <m/>
    <m/>
    <m/>
    <s v="Federal"/>
    <s v="PAV"/>
    <s v="Sorriso"/>
  </r>
  <r>
    <x v="0"/>
    <s v="163BMT0860"/>
    <n v="0"/>
    <x v="152"/>
    <s v="0860"/>
    <n v="-54.903326569665403"/>
    <n v="-9.9385780603291707"/>
    <n v="-54.876767299970801"/>
    <n v="-9.5703444603285508"/>
    <s v="163"/>
    <s v="MT"/>
    <s v="Eixo Principal"/>
    <s v="-"/>
    <s v="163BMT0860"/>
    <s v="FIM DA TRAV URB DE GUARANTÃ DO NORTE"/>
    <s v="DIV MT/PA"/>
    <n v="1081.5999999999999"/>
    <n v="1131.4000000000001"/>
    <n v="49.8"/>
    <x v="2"/>
    <m/>
    <m/>
    <s v="Federal"/>
    <m/>
    <m/>
    <m/>
    <s v="Federal"/>
    <s v="PAV"/>
    <s v="Sorriso"/>
  </r>
  <r>
    <x v="0"/>
    <s v="163BPA0870"/>
    <n v="0"/>
    <x v="153"/>
    <s v="0870"/>
    <n v="-54.876767299970801"/>
    <n v="-9.5703444603285508"/>
    <n v="-54.858175410266902"/>
    <n v="-9.3728712696932899"/>
    <s v="163"/>
    <s v="PA"/>
    <s v="Eixo Principal"/>
    <s v="-"/>
    <s v="163BPA0870"/>
    <s v="DIV MT/PA"/>
    <s v="ENTR BR-235 (ACESSO A BASE AÉREA)"/>
    <n v="0"/>
    <n v="23.1"/>
    <n v="23.1"/>
    <x v="5"/>
    <s v="EOP"/>
    <m/>
    <s v="Federal"/>
    <m/>
    <m/>
    <m/>
    <s v="Federal"/>
    <s v="N_PAV"/>
    <s v="Itaituba"/>
  </r>
  <r>
    <x v="0"/>
    <s v="163BPA0880"/>
    <n v="0"/>
    <x v="153"/>
    <s v="0880"/>
    <n v="-54.858175410266902"/>
    <n v="-9.3728712696932899"/>
    <n v="-54.914313290326"/>
    <n v="-9.1177607395664495"/>
    <s v="163"/>
    <s v="PA"/>
    <s v="Eixo Principal"/>
    <s v="-"/>
    <s v="163BPA0880"/>
    <s v="ENTR BR-235 (ACESSO A BASE AÉREA)"/>
    <s v="IGARAPÉ ANTA (DIV N PROGRESSO/ALTAMIRA)"/>
    <n v="23.1"/>
    <n v="54.9"/>
    <n v="31.8"/>
    <x v="5"/>
    <s v="EOP"/>
    <m/>
    <s v="Federal"/>
    <m/>
    <m/>
    <m/>
    <s v="Federal"/>
    <s v="N_PAV"/>
    <s v="Itaituba"/>
  </r>
  <r>
    <x v="0"/>
    <s v="163BPA0890"/>
    <n v="0"/>
    <x v="153"/>
    <s v="0890"/>
    <n v="-54.914313290326"/>
    <n v="-9.1177607395664495"/>
    <n v="-54.988103630078299"/>
    <n v="-8.8991671100740106"/>
    <s v="163"/>
    <s v="PA"/>
    <s v="Eixo Principal"/>
    <s v="-"/>
    <s v="163BPA0890"/>
    <s v="IGARAPÉ ANTA (DIV N PROGRESSO/ALTAMIRA)"/>
    <s v="IGARAPÉ CINTURA FINA"/>
    <n v="54.9"/>
    <n v="83"/>
    <n v="28.1"/>
    <x v="2"/>
    <m/>
    <m/>
    <s v="Federal"/>
    <m/>
    <m/>
    <m/>
    <s v="Federal"/>
    <s v="PAV"/>
    <s v="Itaituba"/>
  </r>
  <r>
    <x v="0"/>
    <s v="163BPA0900"/>
    <n v="0"/>
    <x v="153"/>
    <s v="0900"/>
    <n v="-54.988103630078299"/>
    <n v="-8.8991671100740106"/>
    <n v="-54.965262369962304"/>
    <n v="-8.7371987895924104"/>
    <s v="163"/>
    <s v="PA"/>
    <s v="Eixo Principal"/>
    <s v="-"/>
    <s v="163BPA0900"/>
    <s v="IGARAPÉ CINTURA FINA"/>
    <s v="ACESSO USINA (SALTO CURUÁ)"/>
    <n v="83"/>
    <n v="102"/>
    <n v="19"/>
    <x v="2"/>
    <m/>
    <m/>
    <s v="Federal"/>
    <m/>
    <m/>
    <m/>
    <s v="Federal"/>
    <s v="PAV"/>
    <s v="Itaituba"/>
  </r>
  <r>
    <x v="0"/>
    <s v="163BPA0910"/>
    <n v="0"/>
    <x v="153"/>
    <s v="0910"/>
    <n v="-54.965262369962304"/>
    <n v="-8.7371987895924104"/>
    <n v="-55.0495399001462"/>
    <n v="-8.6172283599008193"/>
    <s v="163"/>
    <s v="PA"/>
    <s v="Eixo Principal"/>
    <s v="-"/>
    <s v="163BPA0910"/>
    <s v="ACESSO USINA (SALTO CURUÁ)"/>
    <s v="CACHOEIRA DA SERRA"/>
    <n v="102"/>
    <n v="121"/>
    <n v="19"/>
    <x v="2"/>
    <m/>
    <m/>
    <s v="Federal"/>
    <m/>
    <m/>
    <m/>
    <s v="Federal"/>
    <s v="PAV"/>
    <s v="Itaituba"/>
  </r>
  <r>
    <x v="0"/>
    <s v="163BPA0930"/>
    <n v="0"/>
    <x v="153"/>
    <s v="0930"/>
    <n v="-55.0495399001462"/>
    <n v="-8.6172283599008193"/>
    <n v="-55.099301819822998"/>
    <n v="-8.3195649196852592"/>
    <s v="163"/>
    <s v="PA"/>
    <s v="Eixo Principal"/>
    <s v="-"/>
    <s v="163BPA0930"/>
    <s v="CACHOEIRA DA SERRA"/>
    <s v="CASTELO DOS SONHOS"/>
    <n v="121"/>
    <n v="158"/>
    <n v="37"/>
    <x v="2"/>
    <m/>
    <m/>
    <s v="Federal"/>
    <m/>
    <m/>
    <m/>
    <s v="Federal"/>
    <s v="PAV"/>
    <s v="Itaituba"/>
  </r>
  <r>
    <x v="0"/>
    <s v="163BPA0940"/>
    <n v="0"/>
    <x v="153"/>
    <s v="0940"/>
    <n v="-55.099301819822998"/>
    <n v="-8.3195649196852592"/>
    <n v="-55.207269970332803"/>
    <n v="-7.7292141500129699"/>
    <s v="163"/>
    <s v="PA"/>
    <s v="Eixo Principal"/>
    <s v="-"/>
    <s v="163BPA0940"/>
    <s v="CASTELO DOS SONHOS"/>
    <s v="VILA ISOL"/>
    <n v="158"/>
    <n v="226"/>
    <n v="68"/>
    <x v="2"/>
    <m/>
    <m/>
    <s v="Federal"/>
    <m/>
    <m/>
    <m/>
    <s v="Federal"/>
    <s v="PAV"/>
    <s v="Itaituba"/>
  </r>
  <r>
    <x v="0"/>
    <s v="163BPA0970"/>
    <n v="0"/>
    <x v="153"/>
    <s v="0970"/>
    <n v="-55.207269970332803"/>
    <n v="-7.7292141500129699"/>
    <n v="-55.311255859870002"/>
    <n v="-7.29931286999288"/>
    <s v="163"/>
    <s v="PA"/>
    <s v="Eixo Principal"/>
    <s v="-"/>
    <s v="163BPA0970"/>
    <s v="VILA ISOL"/>
    <s v="VILA  ALVORADA DA AMAZÔNIA"/>
    <n v="226"/>
    <n v="279"/>
    <n v="53"/>
    <x v="5"/>
    <s v="EOP"/>
    <m/>
    <s v="Federal"/>
    <m/>
    <m/>
    <m/>
    <s v="Federal"/>
    <s v="N_PAV"/>
    <s v="Itaituba"/>
  </r>
  <r>
    <x v="0"/>
    <s v="163BPA0990"/>
    <n v="0"/>
    <x v="153"/>
    <s v="0990"/>
    <n v="-55.311255859870002"/>
    <n v="-7.29931286999288"/>
    <n v="-55.411301289822603"/>
    <n v="-7.0487234503269098"/>
    <s v="163"/>
    <s v="PA"/>
    <s v="Eixo Principal"/>
    <s v="-"/>
    <s v="163BPA0990"/>
    <s v="VILA  ALVORADA DA AMAZÔNIA"/>
    <s v="NOVO PROGRESSO"/>
    <n v="279"/>
    <n v="311"/>
    <n v="32"/>
    <x v="2"/>
    <m/>
    <m/>
    <s v="Federal"/>
    <m/>
    <m/>
    <m/>
    <s v="Federal"/>
    <s v="PAV"/>
    <s v="Itaituba"/>
  </r>
  <r>
    <x v="0"/>
    <s v="163BPA1000"/>
    <n v="0"/>
    <x v="153"/>
    <s v="1000"/>
    <n v="-55.411301289822603"/>
    <n v="-7.0487234503269098"/>
    <n v="-55.479232520364398"/>
    <n v="-6.7605279799822702"/>
    <s v="163"/>
    <s v="PA"/>
    <s v="Eixo Principal"/>
    <s v="-"/>
    <s v="163BPA1000"/>
    <s v="NOVO PROGRESSO"/>
    <s v="RIO SANTA JULIA"/>
    <n v="311"/>
    <n v="345.7"/>
    <n v="34.700000000000003"/>
    <x v="2"/>
    <m/>
    <m/>
    <s v="Federal"/>
    <m/>
    <m/>
    <m/>
    <s v="Federal"/>
    <s v="PAV"/>
    <s v="Itaituba"/>
  </r>
  <r>
    <x v="0"/>
    <s v="163BPA1010"/>
    <n v="0"/>
    <x v="153"/>
    <s v="1010"/>
    <n v="-55.479232520364398"/>
    <n v="-6.7605279799822702"/>
    <n v="-55.566803439826799"/>
    <n v="-6.3896702796596401"/>
    <s v="163"/>
    <s v="PA"/>
    <s v="Eixo Principal"/>
    <s v="-"/>
    <s v="163BPA1010"/>
    <s v="RIO SANTA JULIA"/>
    <s v="RIO ARRAIAS (DIV N PROGRESSO/ITAITUBA)"/>
    <n v="345.7"/>
    <n v="389.1"/>
    <n v="43.4"/>
    <x v="5"/>
    <s v="EOP"/>
    <m/>
    <s v="Federal"/>
    <m/>
    <m/>
    <m/>
    <s v="Federal"/>
    <s v="N_PAV"/>
    <s v="Itaituba"/>
  </r>
  <r>
    <x v="0"/>
    <s v="163BPA1020"/>
    <n v="0"/>
    <x v="153"/>
    <s v="1020"/>
    <n v="-55.566803439826799"/>
    <n v="-6.3896702796596401"/>
    <n v="-55.626833100067401"/>
    <n v="-6.2217598101670397"/>
    <s v="163"/>
    <s v="PA"/>
    <s v="Eixo Principal"/>
    <s v="-"/>
    <s v="163BPA1020"/>
    <s v="RIO ARRAIAS (DIV N PROGRESSO/ITAITUBA)"/>
    <s v="VILA MORAES ALMEIDA"/>
    <n v="389.1"/>
    <n v="410"/>
    <n v="20.9"/>
    <x v="5"/>
    <s v="EOP"/>
    <m/>
    <s v="Federal"/>
    <m/>
    <m/>
    <m/>
    <s v="Federal"/>
    <s v="N_PAV"/>
    <s v="Itaituba"/>
  </r>
  <r>
    <x v="0"/>
    <s v="163BPA1030"/>
    <n v="0"/>
    <x v="153"/>
    <s v="1030"/>
    <n v="-55.626833100067401"/>
    <n v="-6.2217598101670397"/>
    <n v="-55.709544174024302"/>
    <n v="-5.9163649244016998"/>
    <s v="163"/>
    <s v="PA"/>
    <s v="Eixo Principal"/>
    <s v="-"/>
    <s v="163BPA1030"/>
    <s v="VILA MORAES ALMEIDA"/>
    <s v="IGARAPÉ DO LAURO"/>
    <n v="410"/>
    <n v="450.2"/>
    <n v="40.200000000000003"/>
    <x v="5"/>
    <s v="EOP"/>
    <m/>
    <s v="Federal"/>
    <m/>
    <m/>
    <m/>
    <s v="Federal"/>
    <s v="N_PAV"/>
    <s v="Itaituba"/>
  </r>
  <r>
    <x v="0"/>
    <s v="163BPA1040"/>
    <n v="0"/>
    <x v="153"/>
    <s v="1040"/>
    <n v="-55.709544174024302"/>
    <n v="-5.9163649244016998"/>
    <n v="-55.883126860116398"/>
    <n v="-5.4021185904005602"/>
    <s v="163"/>
    <s v="PA"/>
    <s v="Eixo Principal"/>
    <s v="-"/>
    <s v="163BPA1040"/>
    <s v="IGARAPÉ DO LAURO"/>
    <s v="RIO ARURI ( DIV ITAITUBA/TRAIRÃO)"/>
    <n v="450.2"/>
    <n v="514.20000000000005"/>
    <n v="64"/>
    <x v="5"/>
    <s v="EOP"/>
    <m/>
    <s v="Federal"/>
    <m/>
    <m/>
    <m/>
    <s v="Federal"/>
    <s v="N_PAV"/>
    <s v="Itaituba"/>
  </r>
  <r>
    <x v="0"/>
    <s v="163BPA1050"/>
    <n v="0"/>
    <x v="153"/>
    <s v="1050"/>
    <n v="-55.883126860116398"/>
    <n v="-5.4021185904005602"/>
    <n v="-56.040187769949497"/>
    <n v="-5.2019531802949901"/>
    <s v="163"/>
    <s v="PA"/>
    <s v="Eixo Principal"/>
    <s v="-"/>
    <s v="163BPA1050"/>
    <s v="RIO ARURI ( DIV ITAITUBA/TRAIRÃO)"/>
    <s v="VILA PLANALTO"/>
    <n v="514.20000000000005"/>
    <n v="547.70000000000005"/>
    <n v="33.5"/>
    <x v="5"/>
    <s v="EOP"/>
    <m/>
    <s v="Federal"/>
    <m/>
    <m/>
    <m/>
    <s v="Federal"/>
    <s v="N_PAV"/>
    <s v="Itaituba"/>
  </r>
  <r>
    <x v="0"/>
    <s v="163BPA1060"/>
    <n v="0"/>
    <x v="153"/>
    <s v="1060"/>
    <n v="-56.040187769949497"/>
    <n v="-5.2019531802949901"/>
    <n v="-56.187253889755098"/>
    <n v="-5.0223199400131699"/>
    <s v="163"/>
    <s v="PA"/>
    <s v="Eixo Principal"/>
    <s v="-"/>
    <s v="163BPA1060"/>
    <s v="VILA PLANALTO"/>
    <s v="VILA CARACOL"/>
    <n v="547.70000000000005"/>
    <n v="574.4"/>
    <n v="26.7"/>
    <x v="5"/>
    <s v="EOP"/>
    <m/>
    <s v="Federal"/>
    <m/>
    <m/>
    <m/>
    <s v="Federal"/>
    <s v="N_PAV"/>
    <s v="Itaituba"/>
  </r>
  <r>
    <x v="0"/>
    <s v="163BPA1070"/>
    <n v="0"/>
    <x v="153"/>
    <s v="1070"/>
    <n v="-56.187253889755098"/>
    <n v="-5.0223199400131699"/>
    <n v="-55.994668070175202"/>
    <n v="-4.6996549197386903"/>
    <s v="163"/>
    <s v="PA"/>
    <s v="Eixo Principal"/>
    <s v="-"/>
    <s v="163BPA1070"/>
    <s v="VILA CARACOL"/>
    <s v="TRAIRÃO"/>
    <n v="574.4"/>
    <n v="625.4"/>
    <n v="51"/>
    <x v="5"/>
    <s v="EOP"/>
    <m/>
    <s v="Federal"/>
    <m/>
    <m/>
    <m/>
    <s v="Federal"/>
    <s v="N_PAV"/>
    <s v="Itaituba"/>
  </r>
  <r>
    <x v="0"/>
    <s v="163BPA1080"/>
    <n v="0"/>
    <x v="153"/>
    <s v="1080"/>
    <n v="-55.994668070175202"/>
    <n v="-4.6996549197386903"/>
    <n v="-55.923843090186402"/>
    <n v="-4.5613128497081998"/>
    <s v="163"/>
    <s v="PA"/>
    <s v="Eixo Principal"/>
    <s v="-"/>
    <s v="163BPA1080"/>
    <s v="TRAIRÃO"/>
    <s v="RIO ITAPACURÁ (DIV TRAIRÃO/ITAITUBA)"/>
    <n v="625.4"/>
    <n v="643.4"/>
    <n v="18"/>
    <x v="5"/>
    <s v="EOP"/>
    <m/>
    <s v="Federal"/>
    <m/>
    <m/>
    <m/>
    <s v="Federal"/>
    <s v="N_PAV"/>
    <s v="Itaituba"/>
  </r>
  <r>
    <x v="0"/>
    <s v="163BPA1090"/>
    <n v="0"/>
    <x v="153"/>
    <s v="1090"/>
    <n v="-55.923843090186402"/>
    <n v="-4.5613128497081998"/>
    <n v="-55.785725609649099"/>
    <n v="-4.3467486101602004"/>
    <s v="163"/>
    <s v="PA"/>
    <s v="Eixo Principal"/>
    <s v="-"/>
    <s v="163BPA1090"/>
    <s v="RIO ITAPACURÁ (DIV TRAIRÃO/ITAITUBA)"/>
    <s v="ENTR BR-230(A) (FIM TRECHO PAVIMENTADO CAMPO VERDE)"/>
    <n v="643.4"/>
    <n v="674.4"/>
    <n v="31"/>
    <x v="2"/>
    <m/>
    <m/>
    <s v="Federal"/>
    <m/>
    <m/>
    <m/>
    <s v="Federal"/>
    <s v="PAV"/>
    <s v="Itaituba"/>
  </r>
  <r>
    <x v="0"/>
    <s v="163BPA1100"/>
    <n v="0"/>
    <x v="153"/>
    <s v="1100"/>
    <n v="-55.785725609649099"/>
    <n v="-4.3467486101602004"/>
    <n v="-55.726620044179597"/>
    <n v="-4.3103005508296999"/>
    <s v="163"/>
    <s v="PA"/>
    <s v="Eixo Principal"/>
    <s v="-"/>
    <s v="163BPA1100"/>
    <s v="ENTR BR-230(A) (FIM TRECHO PAVIMENTADO CAMPO VERDE)"/>
    <s v="IG SÃO JOAQUIM (DIV ITAITUBA/RURÓPOLIS)"/>
    <n v="674.4"/>
    <n v="682.2"/>
    <n v="7.8"/>
    <x v="5"/>
    <s v="EOP"/>
    <s v="230BPA1630"/>
    <s v="Federal"/>
    <m/>
    <m/>
    <m/>
    <s v="Federal"/>
    <s v="N_PAV"/>
    <s v="Itaituba"/>
  </r>
  <r>
    <x v="0"/>
    <s v="163BPA1110"/>
    <n v="0"/>
    <x v="153"/>
    <s v="1110"/>
    <n v="-55.726620044179597"/>
    <n v="-4.3103005508296999"/>
    <n v="-55.487523169758397"/>
    <n v="-4.1945560003590501"/>
    <s v="163"/>
    <s v="PA"/>
    <s v="Eixo Principal"/>
    <s v="-"/>
    <s v="163BPA1110"/>
    <s v="IG SÃO JOAQUIM (DIV ITAITUBA/RURÓPOLIS)"/>
    <s v="VILA DIVINÓPOLIS"/>
    <n v="682.2"/>
    <n v="712.8"/>
    <n v="30.6"/>
    <x v="5"/>
    <s v="EOP"/>
    <s v="230BPA1620"/>
    <s v="Federal"/>
    <m/>
    <m/>
    <m/>
    <s v="Federal"/>
    <s v="N_PAV"/>
    <s v="Itaituba"/>
  </r>
  <r>
    <x v="0"/>
    <s v="163BPA1120"/>
    <n v="0"/>
    <x v="153"/>
    <s v="1120"/>
    <n v="-55.487523169758397"/>
    <n v="-4.1945560003590501"/>
    <n v="-55.424472130084602"/>
    <n v="-4.1740107301110303"/>
    <s v="163"/>
    <s v="PA"/>
    <s v="Eixo Principal"/>
    <s v="-"/>
    <s v="163BPA1120"/>
    <s v="VILA DIVINÓPOLIS"/>
    <s v="RIO CUPARÍ"/>
    <n v="712.8"/>
    <n v="720.2"/>
    <n v="7.4"/>
    <x v="5"/>
    <s v="EOP"/>
    <s v="230BPA1610"/>
    <s v="Federal"/>
    <m/>
    <m/>
    <m/>
    <s v="Federal"/>
    <s v="N_PAV"/>
    <s v="Itaituba"/>
  </r>
  <r>
    <x v="0"/>
    <s v="163BPA1130"/>
    <n v="0"/>
    <x v="153"/>
    <s v="1130"/>
    <n v="-55.424472130084602"/>
    <n v="-4.1740107301110303"/>
    <n v="-55.352941810016397"/>
    <n v="-4.1732913003531804"/>
    <s v="163"/>
    <s v="PA"/>
    <s v="Eixo Principal"/>
    <s v="-"/>
    <s v="163BPA1130"/>
    <s v="RIO CUPARÍ"/>
    <s v="VILA ÁGUA AZUL"/>
    <n v="720.2"/>
    <n v="728.6"/>
    <n v="8.4"/>
    <x v="5"/>
    <s v="EOP"/>
    <s v="230BPA1600"/>
    <s v="Federal"/>
    <m/>
    <m/>
    <m/>
    <s v="Federal"/>
    <s v="N_PAV"/>
    <s v="Itaituba"/>
  </r>
  <r>
    <x v="0"/>
    <s v="163BPA1140"/>
    <n v="0"/>
    <x v="153"/>
    <s v="1140"/>
    <n v="-55.352941810016397"/>
    <n v="-4.1732913003531804"/>
    <n v="-54.911788059671103"/>
    <n v="-4.0937284300229599"/>
    <s v="163"/>
    <s v="PA"/>
    <s v="Eixo Principal"/>
    <s v="-"/>
    <s v="163BPA1140"/>
    <s v="VILA ÁGUA AZUL"/>
    <s v="ENTR BR-230(B) (RURÓPOLIS)"/>
    <n v="728.6"/>
    <n v="786.3"/>
    <n v="57.7"/>
    <x v="5"/>
    <s v="EOP"/>
    <s v="230BPA1590"/>
    <s v="Federal"/>
    <m/>
    <m/>
    <m/>
    <s v="Federal"/>
    <s v="N_PAV"/>
    <s v="Itaituba"/>
  </r>
  <r>
    <x v="0"/>
    <s v="163BPA1150"/>
    <n v="0"/>
    <x v="153"/>
    <s v="1150"/>
    <n v="-54.911788059671103"/>
    <n v="-4.0937284300229599"/>
    <n v="-54.824218239180297"/>
    <n v="-3.7730622069552102"/>
    <s v="163"/>
    <s v="PA"/>
    <s v="Eixo Principal"/>
    <s v="-"/>
    <s v="163BPA1150"/>
    <s v="ENTR BR-230(B) (RURÓPOLIS)"/>
    <s v="DIV RURÓPOLIS/PLACA"/>
    <n v="786.3"/>
    <n v="834.1"/>
    <n v="47.8"/>
    <x v="5"/>
    <s v="EOP"/>
    <m/>
    <s v="Federal"/>
    <m/>
    <m/>
    <m/>
    <s v="Federal"/>
    <s v="N_PAV"/>
    <s v="Itaituba"/>
  </r>
  <r>
    <x v="0"/>
    <s v="163BPA1160"/>
    <n v="0"/>
    <x v="153"/>
    <s v="1160"/>
    <n v="-54.824218239180297"/>
    <n v="-3.7730622069552102"/>
    <n v="-54.867196545684003"/>
    <n v="-3.5627118937388702"/>
    <s v="163"/>
    <s v="PA"/>
    <s v="Eixo Principal"/>
    <s v="-"/>
    <s v="163BPA1160"/>
    <s v="DIV RURÓPOLIS/PLACA"/>
    <s v="IG ONÇA (DIV PLACAS/BELTERRA)"/>
    <n v="834.1"/>
    <n v="860.9"/>
    <n v="26.8"/>
    <x v="2"/>
    <m/>
    <m/>
    <s v="Federal"/>
    <m/>
    <m/>
    <m/>
    <s v="Federal"/>
    <s v="PAV"/>
    <s v="Itaituba"/>
  </r>
  <r>
    <x v="0"/>
    <s v="163BPA1170"/>
    <n v="0"/>
    <x v="153"/>
    <s v="1170"/>
    <n v="-54.867196545684003"/>
    <n v="-3.5627118937388702"/>
    <n v="-54.914060674360499"/>
    <n v="-3.41297970494935"/>
    <s v="163"/>
    <s v="PA"/>
    <s v="Eixo Principal"/>
    <s v="-"/>
    <s v="163BPA1170"/>
    <s v="IG ONÇA (DIV PLACAS/BELTERRA)"/>
    <s v="RIO MOJÚ"/>
    <n v="860.9"/>
    <n v="879"/>
    <n v="18.100000000000001"/>
    <x v="2"/>
    <m/>
    <m/>
    <s v="Federal"/>
    <m/>
    <m/>
    <m/>
    <s v="Federal"/>
    <s v="PAV"/>
    <s v="Itaituba"/>
  </r>
  <r>
    <x v="0"/>
    <s v="163BPA1180"/>
    <n v="0"/>
    <x v="153"/>
    <s v="1180"/>
    <n v="-54.914060674360499"/>
    <n v="-3.41297970494935"/>
    <n v="-54.944272727604201"/>
    <n v="-3.26581695478859"/>
    <s v="163"/>
    <s v="PA"/>
    <s v="Eixo Principal"/>
    <s v="-"/>
    <s v="163BPA1180"/>
    <s v="RIO MOJÚ"/>
    <s v="RIO JUTARANA"/>
    <n v="879"/>
    <n v="896.7"/>
    <n v="17.7"/>
    <x v="2"/>
    <m/>
    <m/>
    <s v="Federal"/>
    <m/>
    <m/>
    <m/>
    <s v="Federal"/>
    <s v="PAV"/>
    <s v="Itaituba"/>
  </r>
  <r>
    <x v="0"/>
    <s v="163BPA1190"/>
    <n v="0"/>
    <x v="153"/>
    <s v="1190"/>
    <n v="-54.944272727604201"/>
    <n v="-3.26581695478859"/>
    <n v="-54.9393821261841"/>
    <n v="-3.1338331410865399"/>
    <s v="163"/>
    <s v="PA"/>
    <s v="Eixo Principal"/>
    <s v="-"/>
    <s v="163BPA1190"/>
    <s v="RIO JUTARANA"/>
    <s v="ACESSO À VILA SÃO JOSÉ"/>
    <n v="896.7"/>
    <n v="911.9"/>
    <n v="15.2"/>
    <x v="2"/>
    <m/>
    <m/>
    <s v="Federal"/>
    <m/>
    <m/>
    <m/>
    <s v="Federal"/>
    <s v="PAV"/>
    <s v="Itaituba"/>
  </r>
  <r>
    <x v="0"/>
    <s v="163BPA1200"/>
    <n v="0"/>
    <x v="153"/>
    <s v="1200"/>
    <n v="-54.9393821261841"/>
    <n v="-3.1338331410865399"/>
    <n v="-54.840488535317597"/>
    <n v="-2.6690198968507199"/>
    <s v="163"/>
    <s v="PA"/>
    <s v="Eixo Principal"/>
    <s v="-"/>
    <s v="163BPA1200"/>
    <s v="ACESSO À VILA SÃO JOSÉ"/>
    <s v="ENTR PA-443 (BELTERRA)"/>
    <n v="911.9"/>
    <n v="968.6"/>
    <n v="56.7"/>
    <x v="2"/>
    <m/>
    <m/>
    <s v="Federal"/>
    <m/>
    <m/>
    <m/>
    <s v="Federal"/>
    <s v="PAV"/>
    <s v="Itaituba"/>
  </r>
  <r>
    <x v="0"/>
    <s v="163BPA1210"/>
    <n v="0"/>
    <x v="153"/>
    <s v="1210"/>
    <n v="-54.840488535317597"/>
    <n v="-2.6690198968507199"/>
    <n v="-54.818682163750701"/>
    <n v="-2.6508168461205002"/>
    <s v="163"/>
    <s v="PA"/>
    <s v="Eixo Principal"/>
    <s v="-"/>
    <s v="163BPA1210"/>
    <s v="ENTR PA-443 (BELTERRA)"/>
    <s v="DIV BELTERRA/SANTARÉM"/>
    <n v="968.6"/>
    <n v="972"/>
    <n v="3.4"/>
    <x v="2"/>
    <m/>
    <m/>
    <s v="Federal"/>
    <m/>
    <m/>
    <m/>
    <s v="Federal"/>
    <s v="PAV"/>
    <s v="Itaituba"/>
  </r>
  <r>
    <x v="0"/>
    <s v="163BPA1220"/>
    <n v="0"/>
    <x v="153"/>
    <s v="1220"/>
    <n v="-54.818682163750701"/>
    <n v="-2.6508168461205002"/>
    <n v="-54.751861883718902"/>
    <n v="-2.6356407991834701"/>
    <s v="163"/>
    <s v="PA"/>
    <s v="Eixo Principal"/>
    <s v="-"/>
    <s v="163BPA1220"/>
    <s v="DIV BELTERRA/SANTARÉM"/>
    <s v="ENTR PA-433"/>
    <n v="972"/>
    <n v="979.6"/>
    <n v="7.6"/>
    <x v="2"/>
    <m/>
    <m/>
    <s v="Federal"/>
    <m/>
    <m/>
    <m/>
    <s v="Federal"/>
    <s v="PAV"/>
    <s v="Itaituba"/>
  </r>
  <r>
    <x v="0"/>
    <s v="163BPA1230"/>
    <n v="0"/>
    <x v="153"/>
    <s v="1230"/>
    <n v="-54.751861883718902"/>
    <n v="-2.6356407991834701"/>
    <n v="-54.719367476127999"/>
    <n v="-2.6008064770372199"/>
    <s v="163"/>
    <s v="PA"/>
    <s v="Eixo Principal"/>
    <s v="-"/>
    <s v="163BPA1230"/>
    <s v="ENTR PA-433"/>
    <s v="ENTR PA-431 (SÃO JOSÉ)"/>
    <n v="979.6"/>
    <n v="985.1"/>
    <n v="5.5"/>
    <x v="2"/>
    <m/>
    <m/>
    <s v="Federal"/>
    <m/>
    <m/>
    <m/>
    <s v="Federal"/>
    <s v="PAV"/>
    <s v="Itaituba"/>
  </r>
  <r>
    <x v="0"/>
    <s v="163BPA1260"/>
    <n v="0"/>
    <x v="153"/>
    <s v="1260"/>
    <n v="-54.719367476127999"/>
    <n v="-2.6008064770372199"/>
    <n v="-54.732171346230501"/>
    <n v="-2.43993171597588"/>
    <s v="163"/>
    <s v="PA"/>
    <s v="Eixo Principal"/>
    <s v="-"/>
    <s v="163BPA1260"/>
    <s v="ENTR PA-431 (SÃO JOSÉ)"/>
    <s v="ENTR PA-457(A) (P/ALTER DO CHÃO)"/>
    <n v="985.1"/>
    <n v="1003.8"/>
    <n v="18.7"/>
    <x v="2"/>
    <m/>
    <m/>
    <s v="Federal"/>
    <m/>
    <m/>
    <m/>
    <s v="Federal"/>
    <s v="PAV"/>
    <s v="Itaituba"/>
  </r>
  <r>
    <x v="0"/>
    <s v="163BPA1270"/>
    <n v="0"/>
    <x v="153"/>
    <s v="1270"/>
    <n v="-54.732171346230501"/>
    <n v="-2.43993171597588"/>
    <n v="-54.736444009983003"/>
    <n v="-2.4206235504364599"/>
    <s v="163"/>
    <s v="PA"/>
    <s v="Eixo Principal"/>
    <s v="-"/>
    <s v="163BPA1270"/>
    <s v="ENTR PA-457(A) (P/ALTER DO CHÃO)"/>
    <s v="ENTR PA-457(B) (AV TAPAJÓS-SANTARÉM) (INÍC TRV AMAZONAS)"/>
    <n v="1003.8"/>
    <n v="1006"/>
    <n v="2.2000000000000002"/>
    <x v="2"/>
    <m/>
    <m/>
    <s v="Federal"/>
    <m/>
    <m/>
    <m/>
    <s v="Federal"/>
    <s v="PAV"/>
    <s v="Itaituba"/>
  </r>
  <r>
    <x v="0"/>
    <s v="163BPA1280"/>
    <n v="0"/>
    <x v="153"/>
    <s v="1280"/>
    <n v="-54.736444009983003"/>
    <n v="-2.4206235504364599"/>
    <n v="-54.769807665391298"/>
    <n v="-1.9204550481618901"/>
    <s v="163"/>
    <s v="PA"/>
    <s v="Eixo Principal"/>
    <s v="-"/>
    <s v="163BPA1280"/>
    <s v="ENTR PA-457(B) (AV TAPAJÓS-SANTARÉM) (INÍC TRV AMAZONAS)"/>
    <s v="ENTR PA-427(A) ((ALENQUER) FIM TRV AMAZ)"/>
    <n v="1006"/>
    <n v="1063.2"/>
    <n v="57.2"/>
    <x v="4"/>
    <m/>
    <m/>
    <s v="Federal"/>
    <m/>
    <m/>
    <m/>
    <s v="Federal"/>
    <s v="N_PAV"/>
    <s v="Itaituba"/>
  </r>
  <r>
    <x v="0"/>
    <s v="163BPA1290"/>
    <n v="0"/>
    <x v="153"/>
    <s v="1290"/>
    <n v="-54.769807665391298"/>
    <n v="-1.9204550481618901"/>
    <n v="-54.753378744133599"/>
    <n v="-1.8060513535870599"/>
    <s v="163"/>
    <s v="PA"/>
    <s v="Eixo Principal"/>
    <s v="-"/>
    <s v="163BPA1290"/>
    <s v="ENTR PA-427(A) ((ALENQUER) FIM TRV AMAZ)"/>
    <s v="ENTR PA-427(B) (BULANDEIRA)"/>
    <n v="1063.2"/>
    <n v="1077.4000000000001"/>
    <n v="14.2"/>
    <x v="1"/>
    <m/>
    <m/>
    <s v="Estadual"/>
    <m/>
    <s v="PA-427"/>
    <s v="IMP"/>
    <s v="Estadual"/>
    <s v="PLA"/>
    <s v="Itaituba"/>
  </r>
  <r>
    <x v="0"/>
    <s v="163BPA1300"/>
    <n v="0"/>
    <x v="153"/>
    <s v="1300"/>
    <n v="-54.753378744133599"/>
    <n v="-1.8060513535870599"/>
    <n v="-54.7468539576439"/>
    <n v="-1.67822903664068"/>
    <s v="163"/>
    <s v="PA"/>
    <s v="Eixo Principal"/>
    <s v="-"/>
    <s v="163BPA1300"/>
    <s v="ENTR PA-427(B) (BULANDEIRA)"/>
    <s v="ENTR PA-455 (BOCA NOVA)"/>
    <n v="1077.4000000000001"/>
    <n v="1092.4000000000001"/>
    <n v="15"/>
    <x v="1"/>
    <m/>
    <m/>
    <s v="Estadual"/>
    <m/>
    <s v="PAT-163"/>
    <s v="IMP"/>
    <s v="Estadual"/>
    <s v="PLA"/>
    <s v="Itaituba"/>
  </r>
  <r>
    <x v="0"/>
    <s v="163BPA1310"/>
    <n v="0"/>
    <x v="153"/>
    <s v="1310"/>
    <n v="-54.7468539576439"/>
    <n v="-1.67822903664068"/>
    <n v="-54.812646239732103"/>
    <n v="-1.6731415862151899"/>
    <s v="163"/>
    <s v="PA"/>
    <s v="Eixo Principal"/>
    <s v="-"/>
    <s v="163BPA1310"/>
    <s v="ENTR PA-455 (BOCA NOVA)"/>
    <s v="ENTR PA-254(A) (CAMBURÃO)"/>
    <n v="1092.4000000000001"/>
    <n v="1100.4000000000001"/>
    <n v="8"/>
    <x v="1"/>
    <m/>
    <m/>
    <s v="Estadual"/>
    <m/>
    <s v="PAT-163"/>
    <s v="IMP"/>
    <s v="Estadual"/>
    <s v="PLA"/>
    <s v="Itaituba"/>
  </r>
  <r>
    <x v="0"/>
    <s v="163BPA1320"/>
    <n v="0"/>
    <x v="153"/>
    <s v="1320"/>
    <n v="-54.812646239732103"/>
    <n v="-1.6731415862151899"/>
    <n v="-55.0553715296723"/>
    <n v="-1.68968466831273"/>
    <s v="163"/>
    <s v="PA"/>
    <s v="Eixo Principal"/>
    <s v="-"/>
    <s v="163BPA1320"/>
    <s v="ENTR PA-254(A) (CAMBURÃO)"/>
    <s v="RIO CURUÁ"/>
    <n v="1100.4000000000001"/>
    <n v="1128.4000000000001"/>
    <n v="28"/>
    <x v="1"/>
    <m/>
    <m/>
    <s v="Estadual"/>
    <m/>
    <s v="PA-254"/>
    <s v="IMP"/>
    <s v="Estadual"/>
    <s v="PLA"/>
    <s v="Itaituba"/>
  </r>
  <r>
    <x v="0"/>
    <s v="163BPA1330"/>
    <n v="0"/>
    <x v="153"/>
    <s v="1330"/>
    <n v="-55.0553715296723"/>
    <n v="-1.68968466831273"/>
    <n v="-55.082541460619801"/>
    <n v="-1.6896417796443699"/>
    <s v="163"/>
    <s v="PA"/>
    <s v="Eixo Principal"/>
    <s v="-"/>
    <s v="163BPA1330"/>
    <s v="RIO CURUÁ"/>
    <s v="ENTR PA-429"/>
    <n v="1128.4000000000001"/>
    <n v="1131.5"/>
    <n v="3.1"/>
    <x v="1"/>
    <m/>
    <m/>
    <s v="Estadual"/>
    <m/>
    <s v="PA-254"/>
    <s v="IMP"/>
    <s v="Estadual"/>
    <s v="PLA"/>
    <s v="Itaituba"/>
  </r>
  <r>
    <x v="0"/>
    <s v="163BPA1340"/>
    <n v="0"/>
    <x v="153"/>
    <s v="1340"/>
    <n v="-55.082541460619801"/>
    <n v="-1.6896417796443699"/>
    <n v="-55.309220466551203"/>
    <n v="-1.66768345592669"/>
    <s v="163"/>
    <s v="PA"/>
    <s v="Eixo Principal"/>
    <s v="-"/>
    <s v="163BPA1340"/>
    <s v="ENTR PA-429"/>
    <s v="RIO MAMIA"/>
    <n v="1131.5"/>
    <n v="1157.5"/>
    <n v="26"/>
    <x v="1"/>
    <m/>
    <m/>
    <s v="Estadual"/>
    <m/>
    <s v="PA-254"/>
    <s v="IMP"/>
    <s v="Estadual"/>
    <s v="PLA"/>
    <s v="Itaituba"/>
  </r>
  <r>
    <x v="0"/>
    <s v="163BPA1350"/>
    <n v="0"/>
    <x v="153"/>
    <s v="1350"/>
    <n v="-55.309220466551203"/>
    <n v="-1.66768345592669"/>
    <n v="-55.644786287656899"/>
    <n v="-1.6360175316837"/>
    <s v="163"/>
    <s v="PA"/>
    <s v="Eixo Principal"/>
    <s v="-"/>
    <s v="163BPA1350"/>
    <s v="RIO MAMIA"/>
    <s v="CIPOAL"/>
    <n v="1157.5"/>
    <n v="1200"/>
    <n v="42.5"/>
    <x v="1"/>
    <m/>
    <m/>
    <s v="Estadual"/>
    <m/>
    <s v="PA-254"/>
    <s v="IMP"/>
    <s v="Estadual"/>
    <s v="PLA"/>
    <s v="Itaituba"/>
  </r>
  <r>
    <x v="0"/>
    <s v="163BPA1360"/>
    <n v="0"/>
    <x v="153"/>
    <s v="1360"/>
    <n v="-55.644786287656899"/>
    <n v="-1.6360175316837"/>
    <n v="-55.700414610945401"/>
    <n v="-1.61036163907834"/>
    <s v="163"/>
    <s v="PA"/>
    <s v="Eixo Principal"/>
    <s v="-"/>
    <s v="163BPA1360"/>
    <s v="CIPOAL"/>
    <s v="ENTR PA-437"/>
    <n v="1200"/>
    <n v="1207"/>
    <n v="7"/>
    <x v="1"/>
    <m/>
    <m/>
    <s v="Estadual"/>
    <m/>
    <s v="PA-254"/>
    <s v="IMP"/>
    <s v="Estadual"/>
    <s v="PLA"/>
    <s v="Itaituba"/>
  </r>
  <r>
    <x v="0"/>
    <s v="163BPA1370"/>
    <n v="0"/>
    <x v="153"/>
    <s v="1370"/>
    <n v="-55.700414610945401"/>
    <n v="-1.61036163907834"/>
    <n v="-55.979833315055401"/>
    <n v="-1.3872351341940401"/>
    <s v="163"/>
    <s v="PA"/>
    <s v="Eixo Principal"/>
    <s v="-"/>
    <s v="163BPA1370"/>
    <s v="ENTR PA-437"/>
    <s v="ENTR PA-254(B)/439 (ONÇAS)"/>
    <n v="1207"/>
    <n v="1248.2"/>
    <n v="41.2"/>
    <x v="1"/>
    <m/>
    <m/>
    <s v="Estadual"/>
    <m/>
    <s v="PA-254"/>
    <s v="IMP"/>
    <s v="Estadual"/>
    <s v="PLA"/>
    <s v="Itaituba"/>
  </r>
  <r>
    <x v="0"/>
    <s v="163BPA1380"/>
    <n v="0"/>
    <x v="153"/>
    <s v="1380"/>
    <n v="-55.979833315055401"/>
    <n v="-1.3872351341940401"/>
    <n v="-56.417917130671"/>
    <n v="-1.4755829725760901"/>
    <s v="163"/>
    <s v="PA"/>
    <s v="Eixo Principal"/>
    <s v="-"/>
    <s v="163BPA1380"/>
    <s v="ENTR PA-254(B)/439 (ONÇAS)"/>
    <s v="RIO CUMINÃ"/>
    <n v="1248.2"/>
    <n v="1303.2"/>
    <n v="55"/>
    <x v="3"/>
    <m/>
    <m/>
    <s v="Federal"/>
    <m/>
    <m/>
    <m/>
    <s v="Federal"/>
    <s v="N_PAV"/>
    <s v="Itaituba"/>
  </r>
  <r>
    <x v="0"/>
    <s v="163BPA1390"/>
    <n v="0"/>
    <x v="153"/>
    <s v="1390"/>
    <n v="-56.417917130671"/>
    <n v="-1.4755829725760901"/>
    <n v="-56.953332079311899"/>
    <n v="-1.3708295476454799"/>
    <s v="163"/>
    <s v="PA"/>
    <s v="Eixo Principal"/>
    <s v="-"/>
    <s v="163BPA1390"/>
    <s v="RIO CUMINÃ"/>
    <s v="AFLUENTE RIO TROMBETAS"/>
    <n v="1303.2"/>
    <n v="1371.2"/>
    <n v="68"/>
    <x v="1"/>
    <m/>
    <m/>
    <s v="Federal"/>
    <m/>
    <m/>
    <m/>
    <s v="Federal"/>
    <s v="PLA"/>
    <s v="Itaituba"/>
  </r>
  <r>
    <x v="0"/>
    <s v="163BPA1400"/>
    <n v="0"/>
    <x v="153"/>
    <s v="1400"/>
    <n v="-56.953332079311899"/>
    <n v="-1.3708295476454799"/>
    <n v="-56.953997315923303"/>
    <n v="-1.03344699258457"/>
    <s v="163"/>
    <s v="PA"/>
    <s v="Eixo Principal"/>
    <s v="-"/>
    <s v="163BPA1400"/>
    <s v="AFLUENTE RIO TROMBETAS"/>
    <s v="CACHOEIRA PORTEIRA"/>
    <n v="1371.2"/>
    <n v="1419.2"/>
    <n v="48"/>
    <x v="1"/>
    <m/>
    <m/>
    <s v="Federal"/>
    <m/>
    <m/>
    <m/>
    <s v="Federal"/>
    <s v="PLA"/>
    <s v="Itaituba"/>
  </r>
  <r>
    <x v="0"/>
    <s v="163BPA1410"/>
    <n v="0"/>
    <x v="153"/>
    <s v="1410"/>
    <n v="-56.953997315923303"/>
    <n v="-1.03344699258457"/>
    <n v="-56.678099942358401"/>
    <n v="-0.55787252099997897"/>
    <s v="163"/>
    <s v="PA"/>
    <s v="Eixo Principal"/>
    <s v="-"/>
    <s v="163BPA1410"/>
    <s v="CACHOEIRA PORTEIRA"/>
    <s v="IGARAPE TAJÁ"/>
    <n v="1419.2"/>
    <n v="1483.2"/>
    <n v="64"/>
    <x v="5"/>
    <m/>
    <m/>
    <s v="Federal"/>
    <m/>
    <m/>
    <m/>
    <s v="Federal"/>
    <s v="N_PAV"/>
    <s v="Itaituba"/>
  </r>
  <r>
    <x v="0"/>
    <s v="163BPA1430"/>
    <n v="0"/>
    <x v="153"/>
    <s v="1430"/>
    <n v="-56.678099942358401"/>
    <n v="-0.55787252099997897"/>
    <n v="-56.643800976733601"/>
    <n v="2.4065615235997002E-2"/>
    <s v="163"/>
    <s v="PA"/>
    <s v="Eixo Principal"/>
    <s v="-"/>
    <s v="163BPA1430"/>
    <s v="IGARAPE TAJÁ"/>
    <s v="AFLUENTE RIO TROMBETAS"/>
    <n v="1483.2"/>
    <n v="1551.2"/>
    <n v="68"/>
    <x v="5"/>
    <m/>
    <m/>
    <s v="Federal"/>
    <m/>
    <m/>
    <m/>
    <s v="Federal"/>
    <s v="N_PAV"/>
    <s v="Itaituba"/>
  </r>
  <r>
    <x v="0"/>
    <s v="163BPA1450"/>
    <n v="0"/>
    <x v="153"/>
    <s v="1450"/>
    <n v="-56.643800976733601"/>
    <n v="2.4065615235997002E-2"/>
    <n v="-56.783688529901603"/>
    <n v="0.77947336040727999"/>
    <s v="163"/>
    <s v="PA"/>
    <s v="Eixo Principal"/>
    <s v="-"/>
    <s v="163BPA1450"/>
    <s v="AFLUENTE RIO TROMBETAS"/>
    <s v="ENTR BR-210(A)"/>
    <n v="1551.2"/>
    <n v="1639.2"/>
    <n v="88"/>
    <x v="5"/>
    <m/>
    <m/>
    <s v="Federal"/>
    <m/>
    <m/>
    <m/>
    <s v="Federal"/>
    <s v="N_PAV"/>
    <s v="Itaituba"/>
  </r>
  <r>
    <x v="0"/>
    <s v="163BPA1470"/>
    <n v="0"/>
    <x v="153"/>
    <s v="1470"/>
    <n v="-56.783688529901603"/>
    <n v="0.77947336040727999"/>
    <n v="-56.207946420390897"/>
    <n v="1.0144837001626501"/>
    <s v="163"/>
    <s v="PA"/>
    <s v="Eixo Principal"/>
    <s v="-"/>
    <s v="163BPA1470"/>
    <s v="ENTR BR-210(A)"/>
    <s v="RIO MARAPÍ"/>
    <n v="1639.2"/>
    <n v="1722.2"/>
    <n v="83"/>
    <x v="1"/>
    <m/>
    <s v="210BPA0290"/>
    <s v="Federal"/>
    <m/>
    <m/>
    <m/>
    <s v="Federal"/>
    <s v="PLA"/>
    <s v="Itaituba"/>
  </r>
  <r>
    <x v="0"/>
    <s v="163BPA1490"/>
    <n v="0"/>
    <x v="153"/>
    <s v="1490"/>
    <n v="-56.207946420390897"/>
    <n v="1.0144837001626501"/>
    <n v="-55.6101859502213"/>
    <n v="1.2251979501253301"/>
    <s v="163"/>
    <s v="PA"/>
    <s v="Eixo Principal"/>
    <s v="-"/>
    <s v="163BPA1490"/>
    <s v="RIO MARAPÍ"/>
    <s v="RIO PARU D'OESTE"/>
    <n v="1722.2"/>
    <n v="1791.2"/>
    <n v="69"/>
    <x v="1"/>
    <m/>
    <s v="210BPA0270"/>
    <s v="Federal"/>
    <m/>
    <m/>
    <m/>
    <s v="Federal"/>
    <s v="PLA"/>
    <s v="Itaituba"/>
  </r>
  <r>
    <x v="0"/>
    <s v="163BPA1510"/>
    <n v="0"/>
    <x v="153"/>
    <s v="1510"/>
    <n v="-55.6101859502213"/>
    <n v="1.2251979501253301"/>
    <n v="-55.283904690349097"/>
    <n v="1.2792613199539999"/>
    <s v="163"/>
    <s v="PA"/>
    <s v="Eixo Principal"/>
    <s v="-"/>
    <s v="163BPA1510"/>
    <s v="RIO PARU D'OESTE"/>
    <s v="ENTR BR-210(B)"/>
    <n v="1791.2"/>
    <n v="1827.2"/>
    <n v="36"/>
    <x v="1"/>
    <m/>
    <s v="210BPA0250"/>
    <s v="Federal"/>
    <m/>
    <m/>
    <m/>
    <s v="Federal"/>
    <s v="PLA"/>
    <s v="Itaituba"/>
  </r>
  <r>
    <x v="0"/>
    <s v="163BPA1530"/>
    <n v="0"/>
    <x v="153"/>
    <s v="1530"/>
    <n v="-55.283904690349097"/>
    <n v="1.2792613199539999"/>
    <n v="-55.550511329734"/>
    <n v="1.93801538330336"/>
    <s v="163"/>
    <s v="PA"/>
    <s v="Eixo Principal"/>
    <s v="-"/>
    <s v="163BPA1530"/>
    <s v="ENTR BR-210(B)"/>
    <s v="ACOTIPA"/>
    <n v="1827.2"/>
    <n v="1905.2"/>
    <n v="78"/>
    <x v="1"/>
    <m/>
    <m/>
    <s v="Federal"/>
    <m/>
    <m/>
    <m/>
    <s v="Federal"/>
    <s v="PLA"/>
    <s v="Itaituba"/>
  </r>
  <r>
    <x v="0"/>
    <s v="163BPA1550"/>
    <n v="0"/>
    <x v="153"/>
    <s v="1550"/>
    <n v="-55.550511329734"/>
    <n v="1.93801538330336"/>
    <n v="-55.6788816197909"/>
    <n v="2.4143105400993901"/>
    <s v="163"/>
    <s v="PA"/>
    <s v="Eixo Principal"/>
    <s v="-"/>
    <s v="163BPA1550"/>
    <s v="ACOTIPA"/>
    <s v="FRONT BRASIL/SURINAME"/>
    <n v="1905.2"/>
    <n v="1963.2"/>
    <n v="58"/>
    <x v="1"/>
    <m/>
    <m/>
    <s v="Federal"/>
    <m/>
    <m/>
    <m/>
    <s v="Federal"/>
    <s v="PLA"/>
    <s v="Itaituba"/>
  </r>
  <r>
    <x v="0"/>
    <s v="163BPR0030"/>
    <n v="0"/>
    <x v="154"/>
    <s v="0030"/>
    <n v="-53.555031230107097"/>
    <n v="-26.2870464399412"/>
    <n v="-53.618574070336997"/>
    <n v="-26.257607399861499"/>
    <s v="163"/>
    <s v="PR"/>
    <s v="Eixo Principal"/>
    <s v="-"/>
    <s v="163BPR0030"/>
    <s v="ENTR BR-280(A)/373(A) (DIV SC/PR)"/>
    <s v="ACESS DIONÍSIO CERQUEIRA (P INSP CARGAS)"/>
    <n v="0"/>
    <n v="7.5"/>
    <n v="7.5"/>
    <x v="2"/>
    <m/>
    <s v="373BPR0570;280BPR0370"/>
    <s v="Federal"/>
    <m/>
    <m/>
    <m/>
    <s v="Federal"/>
    <s v="PAV"/>
    <s v="Pato Branco"/>
  </r>
  <r>
    <x v="0"/>
    <s v="163BPR0035"/>
    <n v="0"/>
    <x v="154"/>
    <s v="0035"/>
    <n v="-53.618574070336997"/>
    <n v="-26.257607399861499"/>
    <n v="-53.622079759872904"/>
    <n v="-26.2570258802401"/>
    <s v="163"/>
    <s v="PR"/>
    <s v="Eixo Principal"/>
    <s v="-"/>
    <s v="163BPR0035"/>
    <s v="ACESS DIONÍSIO CERQUEIRA (P INSP CARGAS)"/>
    <s v="INÍCIO PISTA DUPLA (AV ARNALDO BUSATO)"/>
    <n v="7.5"/>
    <n v="7.9"/>
    <n v="0.4"/>
    <x v="2"/>
    <m/>
    <s v="373BPR0580;280BPR0380"/>
    <s v="Federal"/>
    <m/>
    <m/>
    <m/>
    <s v="Federal"/>
    <s v="PAV"/>
    <s v="Pato Branco"/>
  </r>
  <r>
    <x v="0"/>
    <s v="163BPR0040"/>
    <n v="0"/>
    <x v="154"/>
    <s v="0040"/>
    <n v="-53.622079759872904"/>
    <n v="-26.2570258802401"/>
    <n v="-53.632456670039197"/>
    <n v="-26.254873139783498"/>
    <s v="163"/>
    <s v="PR"/>
    <s v="Eixo Principal"/>
    <s v="-"/>
    <s v="163BPR0040"/>
    <s v="INÍCIO PISTA DUPLA (AV ARNALDO BUSATO)"/>
    <s v="ENTR BR-280(B)/373(B) (BARRACÃO)"/>
    <n v="7.9"/>
    <n v="9"/>
    <n v="1.1000000000000001"/>
    <x v="0"/>
    <m/>
    <s v="280BPR0390;373BPR0590"/>
    <s v="Federal"/>
    <m/>
    <m/>
    <m/>
    <s v="Federal"/>
    <s v="PAV"/>
    <s v="Pato Branco"/>
  </r>
  <r>
    <x v="0"/>
    <s v="163BPR0045"/>
    <n v="0"/>
    <x v="154"/>
    <s v="0045"/>
    <n v="-53.632456670039197"/>
    <n v="-26.254873139783498"/>
    <n v="-53.636016950222"/>
    <n v="-26.251497600134002"/>
    <s v="163"/>
    <s v="PR"/>
    <s v="Eixo Principal"/>
    <s v="-"/>
    <s v="163BPR0045"/>
    <s v="ENTR BR-280(B)/373(B) (BARRACÃO)"/>
    <s v="ENTR R.SÃO PAULO (FIM DA ÁREA URBANA DE BARRACÃO)"/>
    <n v="9"/>
    <n v="9.6"/>
    <n v="0.6"/>
    <x v="2"/>
    <m/>
    <m/>
    <s v="Federal"/>
    <m/>
    <m/>
    <m/>
    <s v="Federal"/>
    <s v="PAV"/>
    <s v="Pato Branco"/>
  </r>
  <r>
    <x v="0"/>
    <s v="163BPR0050"/>
    <n v="0"/>
    <x v="154"/>
    <s v="0050"/>
    <n v="-53.636016950222"/>
    <n v="-26.251497600134002"/>
    <n v="-53.719710500239302"/>
    <n v="-26.059453290237101"/>
    <s v="163"/>
    <s v="PR"/>
    <s v="Eixo Principal"/>
    <s v="-"/>
    <s v="163BPR0050"/>
    <s v="ENTR R.SÃO PAULO (FIM DA ÁREA URBANA DE BARRACÃO)"/>
    <s v="ENTR PR-481 (SANTO ANTÔNIO DO SUDOESTE)"/>
    <n v="9.6"/>
    <n v="35.799999999999997"/>
    <n v="26.2"/>
    <x v="2"/>
    <m/>
    <m/>
    <s v="Federal"/>
    <m/>
    <m/>
    <m/>
    <s v="Federal"/>
    <s v="PAV"/>
    <s v="Pato Branco"/>
  </r>
  <r>
    <x v="0"/>
    <s v="163BPR0055"/>
    <n v="0"/>
    <x v="154"/>
    <s v="0055"/>
    <n v="-53.719710500239302"/>
    <n v="-26.059453290237101"/>
    <n v="-53.734882449865097"/>
    <n v="-26.0320345897245"/>
    <s v="163"/>
    <s v="PR"/>
    <s v="Eixo Principal"/>
    <s v="-"/>
    <s v="163BPR0055"/>
    <s v="ENTR PR-481 (SANTO ANTÔNIO DO SUDOESTE)"/>
    <s v="PRANCHITA"/>
    <n v="35.799999999999997"/>
    <n v="39.6"/>
    <n v="3.8"/>
    <x v="2"/>
    <m/>
    <m/>
    <s v="Federal"/>
    <m/>
    <m/>
    <m/>
    <s v="Federal"/>
    <s v="PAV"/>
    <s v="Pato Branco"/>
  </r>
  <r>
    <x v="0"/>
    <s v="163BPR0060"/>
    <n v="0"/>
    <x v="154"/>
    <s v="0060"/>
    <n v="-53.734882449865097"/>
    <n v="-26.0320345897245"/>
    <n v="-53.750458939728198"/>
    <n v="-25.825185500010701"/>
    <s v="163"/>
    <s v="PR"/>
    <s v="Eixo Principal"/>
    <s v="-"/>
    <s v="163BPR0060"/>
    <s v="PRANCHITA"/>
    <s v="ENTR PR-583 (PEROLA D'OESTE)"/>
    <n v="39.6"/>
    <n v="65.900000000000006"/>
    <n v="26.3"/>
    <x v="2"/>
    <m/>
    <m/>
    <s v="Federal"/>
    <m/>
    <m/>
    <m/>
    <s v="Federal"/>
    <s v="PAV"/>
    <s v="Pato Branco"/>
  </r>
  <r>
    <x v="0"/>
    <s v="163BPR0065"/>
    <n v="0"/>
    <x v="154"/>
    <s v="0065"/>
    <n v="-53.750458939728198"/>
    <n v="-25.825185500010701"/>
    <n v="-53.768941790231302"/>
    <n v="-25.710002690371802"/>
    <s v="163"/>
    <s v="PR"/>
    <s v="Eixo Principal"/>
    <s v="-"/>
    <s v="163BPR0065"/>
    <s v="ENTR PR-583 (PEROLA D'OESTE)"/>
    <s v="ENTR PR-281 (PLANALTO)"/>
    <n v="65.900000000000006"/>
    <n v="83.1"/>
    <n v="17.2"/>
    <x v="2"/>
    <m/>
    <m/>
    <s v="Federal"/>
    <m/>
    <m/>
    <m/>
    <s v="Federal"/>
    <s v="PAV"/>
    <s v="Pato Branco"/>
  </r>
  <r>
    <x v="0"/>
    <s v="163BPR0067"/>
    <n v="0"/>
    <x v="154"/>
    <s v="0067"/>
    <n v="-53.768941790231302"/>
    <n v="-25.710002690371802"/>
    <n v="-53.7956842401355"/>
    <n v="-25.684449209863001"/>
    <s v="163"/>
    <s v="PR"/>
    <s v="Eixo Principal"/>
    <s v="-"/>
    <s v="163BPR0067"/>
    <s v="ENTR PR-281 (PLANALTO)"/>
    <s v="INÍCIO DUPLICAÇÃO"/>
    <n v="83.1"/>
    <n v="87"/>
    <n v="3.9"/>
    <x v="2"/>
    <m/>
    <m/>
    <s v="Federal"/>
    <m/>
    <m/>
    <m/>
    <s v="Federal"/>
    <s v="PAV"/>
    <s v="Pato Branco"/>
  </r>
  <r>
    <x v="0"/>
    <s v="163BPR0069"/>
    <n v="0"/>
    <x v="154"/>
    <s v="0069"/>
    <n v="-53.7956842401355"/>
    <n v="-25.684449209863001"/>
    <n v="-53.805043720291302"/>
    <n v="-25.654632610106798"/>
    <s v="163"/>
    <s v="PR"/>
    <s v="Eixo Principal"/>
    <s v="-"/>
    <s v="163BPR0069"/>
    <s v="INÍCIO DUPLICAÇÃO"/>
    <s v="FIM DUPLICAÇÃO"/>
    <n v="87"/>
    <n v="91.2"/>
    <n v="4.2"/>
    <x v="0"/>
    <m/>
    <m/>
    <s v="Federal"/>
    <m/>
    <m/>
    <m/>
    <s v="Federal"/>
    <s v="PAV"/>
    <s v="Pato Branco"/>
  </r>
  <r>
    <x v="0"/>
    <s v="163BPR0071"/>
    <n v="0"/>
    <x v="154"/>
    <s v="0071"/>
    <n v="-53.805043720291302"/>
    <n v="-25.654632610106798"/>
    <n v="-53.803141959933399"/>
    <n v="-25.6470654302253"/>
    <s v="163"/>
    <s v="PR"/>
    <s v="Eixo Principal"/>
    <s v="-"/>
    <s v="163BPR0071"/>
    <s v="FIM DUPLICAÇÃO"/>
    <s v="ENTR PR-582 (CAPANEMA)"/>
    <n v="91.2"/>
    <n v="92.1"/>
    <n v="0.9"/>
    <x v="2"/>
    <m/>
    <m/>
    <s v="Federal"/>
    <m/>
    <m/>
    <m/>
    <s v="Federal"/>
    <s v="PAV"/>
    <s v="Pato Branco"/>
  </r>
  <r>
    <x v="0"/>
    <s v="163BPR0073"/>
    <n v="0"/>
    <x v="154"/>
    <s v="0073"/>
    <n v="-53.803141959933399"/>
    <n v="-25.6470654302253"/>
    <n v="-53.563520779859999"/>
    <n v="-25.603887649595301"/>
    <s v="163"/>
    <s v="PR"/>
    <s v="Eixo Principal"/>
    <s v="-"/>
    <s v="163BPR0073"/>
    <s v="ENTR PR-582 (CAPANEMA)"/>
    <s v="ENTR PR-182(A) (REALEZA)"/>
    <n v="92.1"/>
    <n v="123.7"/>
    <n v="31.6"/>
    <x v="2"/>
    <m/>
    <m/>
    <s v="Federal"/>
    <m/>
    <m/>
    <m/>
    <s v="Federal"/>
    <s v="PAV"/>
    <s v="Pato Branco"/>
  </r>
  <r>
    <x v="0"/>
    <s v="163BPR0075"/>
    <n v="0"/>
    <x v="154"/>
    <s v="0075"/>
    <n v="-53.563520779859999"/>
    <n v="-25.603887649595301"/>
    <n v="-53.584226429805803"/>
    <n v="-25.470801380379299"/>
    <s v="163"/>
    <s v="PR"/>
    <s v="Eixo Principal"/>
    <s v="-"/>
    <s v="163BPR0075"/>
    <s v="ENTR PR-182(A) (REALEZA)"/>
    <s v="ENTR PR-484 (CAPITÃO LEÔNIDAS MARQUES)"/>
    <n v="123.7"/>
    <n v="141"/>
    <n v="17.3"/>
    <x v="2"/>
    <s v="EOD"/>
    <m/>
    <s v="Federal"/>
    <m/>
    <m/>
    <m/>
    <s v="Federal"/>
    <s v="PAV"/>
    <s v="Foz do Iguaçú"/>
  </r>
  <r>
    <x v="0"/>
    <s v="163BPR0080"/>
    <n v="0"/>
    <x v="154"/>
    <s v="0080"/>
    <n v="-53.584226429805803"/>
    <n v="-25.470801380379299"/>
    <n v="-53.568789809701897"/>
    <n v="-25.2842986497628"/>
    <s v="163"/>
    <s v="PR"/>
    <s v="Eixo Principal"/>
    <s v="-"/>
    <s v="163BPR0080"/>
    <s v="ENTR PR-484 (CAPITÃO LEÔNIDAS MARQUES)"/>
    <s v="INÍCIO PISTA DUPLA"/>
    <n v="141"/>
    <n v="164.2"/>
    <n v="23.2"/>
    <x v="2"/>
    <s v="EOD"/>
    <m/>
    <s v="Federal"/>
    <m/>
    <m/>
    <m/>
    <s v="Federal"/>
    <s v="PAV"/>
    <s v="Foz do Iguaçú"/>
  </r>
  <r>
    <x v="0"/>
    <s v="163BPR0082"/>
    <n v="0"/>
    <x v="154"/>
    <s v="0082"/>
    <n v="-53.568789809701897"/>
    <n v="-25.2842986497628"/>
    <n v="-53.566840870009997"/>
    <n v="-25.278339419928201"/>
    <s v="163"/>
    <s v="PR"/>
    <s v="Eixo Principal"/>
    <s v="-"/>
    <s v="163BPR0082"/>
    <s v="INÍCIO PISTA DUPLA"/>
    <s v="FIM PISTA DUPLA (LINDOESTE SUL)"/>
    <n v="164.2"/>
    <n v="164.9"/>
    <n v="0.7"/>
    <x v="0"/>
    <m/>
    <m/>
    <s v="Federal"/>
    <m/>
    <m/>
    <m/>
    <s v="Federal"/>
    <s v="PAV"/>
    <s v="Foz do Iguaçú"/>
  </r>
  <r>
    <x v="0"/>
    <s v="163BPR0083"/>
    <n v="0"/>
    <x v="154"/>
    <s v="0083"/>
    <n v="-53.566840870009997"/>
    <n v="-25.278339419928201"/>
    <n v="-53.5754434798327"/>
    <n v="-25.261951940329698"/>
    <s v="163"/>
    <s v="PR"/>
    <s v="Eixo Principal"/>
    <s v="-"/>
    <s v="163BPR0083"/>
    <s v="FIM PISTA DUPLA (LINDOESTE SUL)"/>
    <s v="INÍCIO PISTA DUPLA (LINDOESTE NORTE)"/>
    <n v="164.9"/>
    <n v="166.9"/>
    <n v="2"/>
    <x v="2"/>
    <s v="EOD"/>
    <m/>
    <s v="Federal"/>
    <m/>
    <m/>
    <m/>
    <s v="Federal"/>
    <s v="PAV"/>
    <s v="Foz do Iguaçú"/>
  </r>
  <r>
    <x v="0"/>
    <s v="163BPR0084"/>
    <n v="0"/>
    <x v="154"/>
    <s v="0084"/>
    <n v="-53.5754434798327"/>
    <n v="-25.261951940329698"/>
    <n v="-53.577099520226596"/>
    <n v="-25.254652819571898"/>
    <s v="163"/>
    <s v="PR"/>
    <s v="Eixo Principal"/>
    <s v="-"/>
    <s v="163BPR0084"/>
    <s v="INÍCIO PISTA DUPLA (LINDOESTE NORTE)"/>
    <s v="FIM PISTA DUPLA (LINDOESTE NORTE)"/>
    <n v="166.9"/>
    <n v="167.7"/>
    <n v="0.8"/>
    <x v="0"/>
    <m/>
    <m/>
    <s v="Federal"/>
    <m/>
    <m/>
    <m/>
    <s v="Federal"/>
    <s v="PAV"/>
    <s v="Foz do Iguaçú"/>
  </r>
  <r>
    <x v="0"/>
    <s v="163BPR0087"/>
    <n v="0"/>
    <x v="154"/>
    <s v="0087"/>
    <n v="-53.577099520226596"/>
    <n v="-25.254652819571898"/>
    <n v="-53.603000210091501"/>
    <n v="-25.176164829743001"/>
    <s v="163"/>
    <s v="PR"/>
    <s v="Eixo Principal"/>
    <s v="-"/>
    <s v="163BPR0087"/>
    <s v="FIM PISTA DUPLA (LINDOESTE NORTE)"/>
    <s v="INÍCIO PISTA DUPLA"/>
    <n v="167.7"/>
    <n v="177.7"/>
    <n v="10"/>
    <x v="2"/>
    <s v="EOD"/>
    <m/>
    <s v="Federal"/>
    <m/>
    <m/>
    <m/>
    <s v="Federal"/>
    <s v="PAV"/>
    <s v="Foz do Iguaçú"/>
  </r>
  <r>
    <x v="0"/>
    <s v="163BPR0088"/>
    <n v="0"/>
    <x v="154"/>
    <s v="0088"/>
    <n v="-53.603000210091501"/>
    <n v="-25.176164829743001"/>
    <n v="-53.592442559576298"/>
    <n v="-25.148737119822101"/>
    <s v="163"/>
    <s v="PR"/>
    <s v="Eixo Principal"/>
    <s v="-"/>
    <s v="163BPR0088"/>
    <s v="INÍCIO PISTA DUPLA"/>
    <s v="INÍCIO DO CONTORNO DE SANTA MARIA"/>
    <n v="177.7"/>
    <n v="180.9"/>
    <n v="3.2"/>
    <x v="0"/>
    <m/>
    <m/>
    <s v="Federal"/>
    <m/>
    <m/>
    <m/>
    <s v="Federal"/>
    <s v="PAV"/>
    <s v="Foz do Iguaçú"/>
  </r>
  <r>
    <x v="0"/>
    <s v="163BPR0089"/>
    <n v="0"/>
    <x v="154"/>
    <s v="0089"/>
    <n v="-53.592442559576298"/>
    <n v="-25.148737119822101"/>
    <n v="-53.584324390258303"/>
    <n v="-25.134271860158101"/>
    <s v="163"/>
    <s v="PR"/>
    <s v="Eixo Principal"/>
    <s v="-"/>
    <s v="163BPR0089"/>
    <s v="INÍCIO DO CONTORNO DE SANTA MARIA"/>
    <s v="FIM DO CONTORNO DE SANTA MARIA"/>
    <n v="180.9"/>
    <n v="183.1"/>
    <n v="2.2000000000000002"/>
    <x v="2"/>
    <m/>
    <m/>
    <s v="Federal"/>
    <m/>
    <m/>
    <m/>
    <s v="Federal"/>
    <s v="PAV"/>
    <s v="Foz do Iguaçú"/>
  </r>
  <r>
    <x v="0"/>
    <s v="163BPR0090"/>
    <n v="0"/>
    <x v="154"/>
    <s v="0090"/>
    <n v="-53.584324390258303"/>
    <n v="-25.134271860158101"/>
    <n v="-53.583715790251397"/>
    <n v="-25.0816581803806"/>
    <s v="163"/>
    <s v="PR"/>
    <s v="Eixo Principal"/>
    <s v="-"/>
    <s v="163BPR0090"/>
    <s v="FIM DO CONTORNO DE SANTA MARIA"/>
    <s v="ENTR PR-586 (P/ SANTA TEREZA)"/>
    <n v="183.1"/>
    <n v="189.8"/>
    <n v="6.7"/>
    <x v="0"/>
    <m/>
    <m/>
    <s v="Federal"/>
    <m/>
    <m/>
    <m/>
    <s v="Federal"/>
    <s v="PAV"/>
    <s v="Foz do Iguaçú"/>
  </r>
  <r>
    <x v="0"/>
    <s v="163BPR0092"/>
    <n v="0"/>
    <x v="154"/>
    <s v="0092"/>
    <n v="-53.583715790251397"/>
    <n v="-25.0816581803806"/>
    <n v="-53.550529009905802"/>
    <n v="-25.0237615402628"/>
    <s v="163"/>
    <s v="PR"/>
    <s v="Eixo Principal"/>
    <s v="-"/>
    <s v="163BPR0092"/>
    <s v="ENTR PR-586 (P/ SANTA TEREZA)"/>
    <s v="ENTR BR-277 (P/CASCAVEL)"/>
    <n v="189.8"/>
    <n v="197.6"/>
    <n v="7.8"/>
    <x v="0"/>
    <m/>
    <m/>
    <s v="Federal"/>
    <m/>
    <m/>
    <m/>
    <s v="Federal"/>
    <s v="PAV"/>
    <s v="Foz do Iguaçú"/>
  </r>
  <r>
    <x v="0"/>
    <s v="163BPR0095"/>
    <n v="0"/>
    <x v="154"/>
    <s v="0095"/>
    <n v="-53.550529009905802"/>
    <n v="-25.0237615402628"/>
    <n v="-53.533479970124397"/>
    <n v="-24.897535060394599"/>
    <s v="163"/>
    <s v="PR"/>
    <s v="Eixo Principal"/>
    <s v="-"/>
    <s v="163BPR0095"/>
    <s v="ENTR BR-277 (P/CASCAVEL)"/>
    <s v="ENTR BR-467(A) (P/CASCAVEL)"/>
    <n v="197.6"/>
    <n v="212.2"/>
    <n v="14.6"/>
    <x v="2"/>
    <m/>
    <m/>
    <s v="Federal"/>
    <m/>
    <m/>
    <m/>
    <s v="Federal"/>
    <s v="PAV"/>
    <s v="Foz do Iguaçú"/>
  </r>
  <r>
    <x v="0"/>
    <s v="163BPR0100"/>
    <n v="0"/>
    <x v="154"/>
    <s v="0100"/>
    <n v="-53.533479970124397"/>
    <n v="-24.897535060394599"/>
    <n v="-53.6944036498085"/>
    <n v="-24.761489169989101"/>
    <s v="163"/>
    <s v="PR"/>
    <s v="Eixo Principal"/>
    <s v="-"/>
    <s v="163BPR0100"/>
    <s v="ENTR BR-467(A) (P/CASCAVEL)"/>
    <s v="ENTR PR-317(A)/585 (TOLEDO)"/>
    <n v="212.2"/>
    <n v="236.2"/>
    <n v="24"/>
    <x v="0"/>
    <m/>
    <s v="467BPR0050"/>
    <s v="Federal"/>
    <m/>
    <m/>
    <m/>
    <s v="Federal"/>
    <s v="PAV"/>
    <s v="Foz do Iguaçú"/>
  </r>
  <r>
    <x v="0"/>
    <s v="163BPR0105"/>
    <n v="0"/>
    <x v="154"/>
    <s v="0105"/>
    <n v="-53.6944036498085"/>
    <n v="-24.761489169989101"/>
    <n v="-53.7114107101361"/>
    <n v="-24.7181330699851"/>
    <s v="163"/>
    <s v="PR"/>
    <s v="Eixo Principal"/>
    <s v="-"/>
    <s v="163BPR0105"/>
    <s v="ENTR PR-317(A)/585 (TOLEDO)"/>
    <s v="ENTR PR-182/317(B) (TOLEDO)"/>
    <n v="236.2"/>
    <n v="241.7"/>
    <n v="5.5"/>
    <x v="0"/>
    <m/>
    <s v="467BPR0045"/>
    <s v="Federal"/>
    <m/>
    <m/>
    <m/>
    <s v="Federal"/>
    <s v="PAV"/>
    <s v="Foz do Iguaçú"/>
  </r>
  <r>
    <x v="0"/>
    <s v="163BPR0110"/>
    <n v="0"/>
    <x v="154"/>
    <s v="0110"/>
    <n v="-53.7114107101361"/>
    <n v="-24.7181330699851"/>
    <n v="-53.997434340222497"/>
    <n v="-24.571427830130201"/>
    <s v="163"/>
    <s v="PR"/>
    <s v="Eixo Principal"/>
    <s v="-"/>
    <s v="163BPR0110"/>
    <s v="ENTR PR-182/317(B) (TOLEDO)"/>
    <s v="ENTR PR-239 (QUATRO PONTES)"/>
    <n v="241.7"/>
    <n v="276.8"/>
    <n v="35.1"/>
    <x v="2"/>
    <s v="EOD"/>
    <s v="467BPR0040"/>
    <s v="Federal"/>
    <m/>
    <m/>
    <m/>
    <s v="Federal"/>
    <s v="PAV"/>
    <s v="Foz do Iguaçú"/>
  </r>
  <r>
    <x v="0"/>
    <s v="163BPR0115"/>
    <n v="0"/>
    <x v="154"/>
    <s v="0115"/>
    <n v="-53.997434340222497"/>
    <n v="-24.571427830130201"/>
    <n v="-54.034177969837401"/>
    <n v="-24.568124599570499"/>
    <s v="163"/>
    <s v="PR"/>
    <s v="Eixo Principal"/>
    <s v="-"/>
    <s v="163BPR0115"/>
    <s v="ENTR PR-239 (QUATRO PONTES)"/>
    <s v="ENTR BR-467(B) (P/MARECHAL CÂNDIDO RONDON)"/>
    <n v="276.8"/>
    <n v="280.60000000000002"/>
    <n v="3.8"/>
    <x v="2"/>
    <s v="EOD"/>
    <s v="467BPR0030"/>
    <s v="Federal"/>
    <m/>
    <m/>
    <m/>
    <s v="Federal"/>
    <s v="PAV"/>
    <s v="Foz do Iguaçú"/>
  </r>
  <r>
    <x v="0"/>
    <s v="163BPR0120"/>
    <n v="0"/>
    <x v="154"/>
    <s v="0120"/>
    <n v="-54.034177969837401"/>
    <n v="-24.568124599570499"/>
    <n v="-54.053094700060299"/>
    <n v="-24.528056679971701"/>
    <s v="163"/>
    <s v="PR"/>
    <s v="Eixo Principal"/>
    <s v="-"/>
    <s v="163BPR0120"/>
    <s v="ENTR BR-467(B) (P/MARECHAL CÂNDIDO RONDON)"/>
    <s v="ENTR PR-491(P/NOVA SANTA ROSA)"/>
    <n v="280.60000000000002"/>
    <n v="285.5"/>
    <n v="4.9000000000000004"/>
    <x v="0"/>
    <m/>
    <m/>
    <s v="Federal"/>
    <m/>
    <m/>
    <m/>
    <s v="Federal"/>
    <s v="PAV"/>
    <s v="Foz do Iguaçú"/>
  </r>
  <r>
    <x v="0"/>
    <s v="163BPR0122"/>
    <n v="0"/>
    <x v="154"/>
    <s v="0122"/>
    <n v="-54.053094700060299"/>
    <n v="-24.528056679971701"/>
    <n v="-54.201031160359697"/>
    <n v="-24.202013309666398"/>
    <s v="163"/>
    <s v="PR"/>
    <s v="Eixo Principal"/>
    <s v="-"/>
    <s v="163BPR0122"/>
    <s v="ENTR PR-491(P/NOVA SANTA ROSA)"/>
    <s v="ACESSO COMUNIDADE RURAL MARACAJÚ DOS GAÚCHOS (P/TERRA ROXA) "/>
    <n v="285.5"/>
    <n v="332"/>
    <n v="46.5"/>
    <x v="2"/>
    <m/>
    <m/>
    <s v="Federal"/>
    <m/>
    <m/>
    <m/>
    <s v="Federal"/>
    <s v="PAV"/>
    <s v="Foz do Iguaçú"/>
  </r>
  <r>
    <x v="0"/>
    <s v="163BPR0125"/>
    <n v="0"/>
    <x v="154"/>
    <s v="0125"/>
    <n v="-54.201031160359697"/>
    <n v="-24.202013309666398"/>
    <n v="-54.239015640359398"/>
    <n v="-24.1062685195764"/>
    <s v="163"/>
    <s v="PR"/>
    <s v="Eixo Principal"/>
    <s v="-"/>
    <s v="163BPR0125"/>
    <s v="ACESSO COMUNIDADE RURAL MARACAJÚ DOS GAÚCHOS (P/TERRA ROXA)"/>
    <s v="ENTR BR-272(A)(ACESSO P/GUAÍRA)"/>
    <n v="332"/>
    <n v="343.9"/>
    <n v="11.9"/>
    <x v="2"/>
    <m/>
    <m/>
    <s v="Federal"/>
    <m/>
    <m/>
    <m/>
    <s v="Federal"/>
    <s v="PAV"/>
    <s v="Foz do Iguaçú"/>
  </r>
  <r>
    <x v="0"/>
    <s v="163BPR0128"/>
    <n v="0"/>
    <x v="154"/>
    <s v="0128"/>
    <n v="-54.239015640359398"/>
    <n v="-24.1062685195764"/>
    <n v="-54.230931180329598"/>
    <n v="-24.102574819572201"/>
    <s v="163"/>
    <s v="PR"/>
    <s v="Eixo Principal"/>
    <s v="-"/>
    <s v="163BPR0128"/>
    <s v="ENTR BR-272(A)(ACESSO P/GUAÍRA)"/>
    <s v="ENTR BR-272(B)"/>
    <n v="343.9"/>
    <n v="344.8"/>
    <n v="0.9"/>
    <x v="2"/>
    <m/>
    <s v="272BPR0568"/>
    <s v="Federal"/>
    <m/>
    <m/>
    <m/>
    <s v="Federal"/>
    <s v="PAV"/>
    <s v="Foz do Iguaçú"/>
  </r>
  <r>
    <x v="0"/>
    <s v="163BPR0130"/>
    <n v="0"/>
    <x v="154"/>
    <s v="0130"/>
    <n v="-54.230931180329598"/>
    <n v="-24.102574819572201"/>
    <n v="-54.241758499754802"/>
    <n v="-24.075004309900901"/>
    <s v="163"/>
    <s v="PR"/>
    <s v="Eixo Principal"/>
    <s v="-"/>
    <s v="163BPR0130"/>
    <s v="ENTR BR-272(B)"/>
    <s v="ENTR AV ALM TAMANDARÉ (FIM DO PERÍMETRO URBANO DE GUAÍRA)"/>
    <n v="344.8"/>
    <n v="348.7"/>
    <n v="3.9"/>
    <x v="1"/>
    <m/>
    <m/>
    <s v="Federal"/>
    <m/>
    <m/>
    <m/>
    <s v="Federal"/>
    <s v="PLA"/>
    <s v="Foz do Iguaçú"/>
  </r>
  <r>
    <x v="0"/>
    <s v="163BPR0135"/>
    <n v="0"/>
    <x v="154"/>
    <s v="0135"/>
    <n v="-54.241758499754802"/>
    <n v="-24.075004309900901"/>
    <n v="-54.249478440277699"/>
    <n v="-24.069243469610299"/>
    <s v="163"/>
    <s v="PR"/>
    <s v="Eixo Principal"/>
    <s v="-"/>
    <s v="163BPR0135"/>
    <s v="ENTR AV ALM TAMANDARÉ (FIM DO PERÍMETRO URBANO DE GUAÍRA)"/>
    <s v="INÍCIO DA PONTE AYRTON SENNA"/>
    <n v="348.7"/>
    <n v="349.8"/>
    <n v="1.1000000000000001"/>
    <x v="2"/>
    <m/>
    <m/>
    <s v="Federal"/>
    <m/>
    <m/>
    <m/>
    <s v="Federal"/>
    <s v="PAV"/>
    <s v="Foz do Iguaçú"/>
  </r>
  <r>
    <x v="0"/>
    <s v="163BPR0140"/>
    <n v="0"/>
    <x v="154"/>
    <s v="0140"/>
    <n v="-54.249478440277699"/>
    <n v="-24.069243469610299"/>
    <n v="-54.272314190247599"/>
    <n v="-24.0444865995768"/>
    <s v="163"/>
    <s v="PR"/>
    <s v="Eixo Principal"/>
    <s v="-"/>
    <s v="163BPR0140"/>
    <s v="INÍCIO DA PONTE AYRTON SENNA"/>
    <s v="DIV PR/MS (FIM DA PONTE S/ RIO PARANÁ)"/>
    <n v="349.8"/>
    <n v="353.4"/>
    <n v="3.6"/>
    <x v="2"/>
    <m/>
    <m/>
    <s v="Federal"/>
    <m/>
    <m/>
    <m/>
    <s v="Federal"/>
    <s v="PAV"/>
    <s v="Foz do Iguaçú"/>
  </r>
  <r>
    <x v="0"/>
    <s v="163BRS0010"/>
    <n v="0"/>
    <x v="155"/>
    <s v="0010"/>
    <n v="-53.730081879575003"/>
    <n v="-27.341461359953701"/>
    <n v="-53.715583749690197"/>
    <n v="-27.185297680343599"/>
    <s v="163"/>
    <s v="RS"/>
    <s v="Eixo Principal"/>
    <s v="-"/>
    <s v="163BRS0010"/>
    <s v="ENTR BR-472 (P/TENENTE PORTELA)"/>
    <s v="ENTR BR-283 (DIV RS/SC) (ITAPIRANGA)"/>
    <n v="0"/>
    <n v="24.9"/>
    <n v="24.9"/>
    <x v="1"/>
    <m/>
    <m/>
    <s v="Estadual"/>
    <m/>
    <s v="RST-163"/>
    <s v="IMP"/>
    <s v="Estadual"/>
    <s v="PLA"/>
    <s v="Cruz Alta"/>
  </r>
  <r>
    <x v="0"/>
    <s v="163BSC0020"/>
    <n v="0"/>
    <x v="156"/>
    <s v="0020"/>
    <n v="-53.715583749690197"/>
    <n v="-27.185297680343599"/>
    <n v="-53.703973199903203"/>
    <n v="-27.167926640102301"/>
    <s v="163"/>
    <s v="SC"/>
    <s v="Eixo Principal"/>
    <s v="-"/>
    <s v="163BSC0020"/>
    <s v="DIV RS/SC (INÍCIO TRAV RIO URUGUAI)"/>
    <s v="ENTR BR-283 (ITAPIRANGA)(FIM TRAV RIO URUGUAI)"/>
    <n v="0"/>
    <n v="1.2"/>
    <n v="1.2"/>
    <x v="4"/>
    <m/>
    <m/>
    <s v="Federal"/>
    <m/>
    <m/>
    <m/>
    <s v="Federal"/>
    <s v="N_PAV"/>
    <s v="Chapecó"/>
  </r>
  <r>
    <x v="0"/>
    <s v="163BSC0021"/>
    <n v="0"/>
    <x v="156"/>
    <s v="0021"/>
    <n v="-53.703973199903203"/>
    <n v="-27.167926640102301"/>
    <n v="-53.607176550157597"/>
    <n v="-27.052759969696801"/>
    <s v="163"/>
    <s v="SC"/>
    <s v="Eixo Principal"/>
    <s v="-"/>
    <s v="163BSC0021"/>
    <s v="ENTR BR-283 (ITAPIRANGA)(FIM TRAV RIO URUGUAI)"/>
    <s v="ENTR SC-496(B) (P/ SÃO JOÃO DO OESTE)"/>
    <n v="1.2"/>
    <n v="23.8"/>
    <n v="22.6"/>
    <x v="1"/>
    <m/>
    <m/>
    <s v="Estadual"/>
    <m/>
    <s v="SCT-163"/>
    <s v="PAV"/>
    <s v="Estadual"/>
    <s v="PLA"/>
    <s v="Chapecó"/>
  </r>
  <r>
    <x v="0"/>
    <s v="163BSC0022"/>
    <n v="0"/>
    <x v="156"/>
    <s v="0022"/>
    <n v="-53.607176550157597"/>
    <n v="-27.052759969696801"/>
    <n v="-53.533480819983801"/>
    <n v="-27.009187929879001"/>
    <s v="163"/>
    <s v="SC"/>
    <s v="Eixo Principal"/>
    <s v="-"/>
    <s v="163BSC0022"/>
    <s v="ENTR SC-496(B) (P/ SÃO JOÃO DO OESTE)"/>
    <s v="ENTR BR-386(A) (MONDAI)"/>
    <n v="23.8"/>
    <n v="34"/>
    <n v="10.199999999999999"/>
    <x v="1"/>
    <m/>
    <m/>
    <s v="Estadual"/>
    <m/>
    <s v="SCT-163"/>
    <s v="PAV"/>
    <s v="Estadual"/>
    <s v="PLA"/>
    <s v="Chapecó"/>
  </r>
  <r>
    <x v="0"/>
    <s v="163BSC0023"/>
    <n v="0"/>
    <x v="156"/>
    <s v="0023"/>
    <n v="-53.533480819983801"/>
    <n v="-27.009187929879001"/>
    <n v="-53.534514470166599"/>
    <n v="-26.989118370416399"/>
    <s v="163"/>
    <s v="SC"/>
    <s v="Eixo Principal"/>
    <s v="-"/>
    <s v="163BSC0023"/>
    <s v="ENTR BR-386(A) (MONDAI)"/>
    <s v="ENTR R. SÃO JOSÉ (IPORÃ DO OESTE)"/>
    <n v="34"/>
    <n v="36.4"/>
    <n v="2.4"/>
    <x v="1"/>
    <m/>
    <s v="386BSC0025"/>
    <s v="Estadual"/>
    <m/>
    <s v="SCT-163"/>
    <s v="PAV"/>
    <s v="Estadual"/>
    <s v="PLA"/>
    <s v="Chapecó"/>
  </r>
  <r>
    <x v="0"/>
    <s v="163BSC0024"/>
    <n v="0"/>
    <x v="156"/>
    <s v="0024"/>
    <n v="-53.534514470166599"/>
    <n v="-26.989118370416399"/>
    <n v="-53.500767529997397"/>
    <n v="-26.7612013703468"/>
    <s v="163"/>
    <s v="SC"/>
    <s v="Eixo Principal"/>
    <s v="-"/>
    <s v="163BSC0024"/>
    <s v="ENTR R. SÃO JOSÉ (IPORÃ DO OESTE)"/>
    <s v="ENTR BR-282(A)/386(B) (P/SÃO MIGUEL DO OESTE)"/>
    <n v="36.4"/>
    <n v="66.8"/>
    <n v="30.4"/>
    <x v="1"/>
    <m/>
    <s v="386BSC0010"/>
    <s v="Estadual"/>
    <m/>
    <s v="SCT-163"/>
    <s v="PAV"/>
    <s v="Estadual"/>
    <s v="PLA"/>
    <s v="Chapecó"/>
  </r>
  <r>
    <x v="0"/>
    <s v="163BSC0025"/>
    <n v="0"/>
    <x v="156"/>
    <s v="0025"/>
    <n v="-53.500767529997397"/>
    <n v="-26.7612013703468"/>
    <n v="-53.514080910105797"/>
    <n v="-26.707321749998599"/>
    <s v="163"/>
    <s v="SC"/>
    <s v="Eixo Principal"/>
    <s v="-"/>
    <s v="163BSC0025"/>
    <s v="ENTR BR-282(A)/386(B) (P/SÃO MIGUEL DO OESTE)"/>
    <s v="ENTR BR-282(B) (P/PARAÍSO)"/>
    <n v="66.8"/>
    <n v="73.400000000000006"/>
    <n v="6.6"/>
    <x v="2"/>
    <m/>
    <s v="282BSC0390"/>
    <s v="Federal"/>
    <m/>
    <m/>
    <m/>
    <s v="Federal"/>
    <s v="PAV"/>
    <s v="Chapecó"/>
  </r>
  <r>
    <x v="0"/>
    <s v="163BSC0026"/>
    <n v="0"/>
    <x v="156"/>
    <s v="0026"/>
    <n v="-53.514080910105797"/>
    <n v="-26.707321749998599"/>
    <n v="-53.509612890222598"/>
    <n v="-26.5654662202898"/>
    <s v="163"/>
    <s v="SC"/>
    <s v="Eixo Principal"/>
    <s v="-"/>
    <s v="163BSC0026"/>
    <s v="ENTR BR-282(B) (P/PARAÍSO)"/>
    <s v="ENTR SC-305 (P/ANCHIETA)"/>
    <n v="73.400000000000006"/>
    <n v="90.1"/>
    <n v="16.7"/>
    <x v="2"/>
    <m/>
    <m/>
    <s v="Federal"/>
    <m/>
    <m/>
    <m/>
    <s v="Federal"/>
    <s v="PAV"/>
    <s v="Chapecó"/>
  </r>
  <r>
    <x v="0"/>
    <s v="163BSC0027"/>
    <n v="0"/>
    <x v="156"/>
    <s v="0027"/>
    <n v="-53.509612890222598"/>
    <n v="-26.5654662202898"/>
    <n v="-53.510539959951103"/>
    <n v="-26.454747379987499"/>
    <s v="163"/>
    <s v="SC"/>
    <s v="Eixo Principal"/>
    <s v="-"/>
    <s v="163BSC0027"/>
    <s v="ENTR SC-305 (P/ANCHIETA)"/>
    <s v="ENTR ACESSO PRINCESA (SÃO JOSÉ DO CEDRO)"/>
    <n v="90.1"/>
    <n v="103.9"/>
    <n v="13.8"/>
    <x v="2"/>
    <m/>
    <m/>
    <s v="Federal"/>
    <m/>
    <m/>
    <m/>
    <s v="Federal"/>
    <s v="PAV"/>
    <s v="Chapecó"/>
  </r>
  <r>
    <x v="0"/>
    <s v="163BSC0028"/>
    <n v="0"/>
    <x v="156"/>
    <s v="0028"/>
    <n v="-53.510539959951103"/>
    <n v="-26.454747379987499"/>
    <n v="-53.5212690895967"/>
    <n v="-26.384316730232801"/>
    <s v="163"/>
    <s v="SC"/>
    <s v="Eixo Principal"/>
    <s v="-"/>
    <s v="163BSC0028"/>
    <s v="ENTR ACESSO PRINCESA (SÃO JOSÉ DO CEDRO)"/>
    <s v="ENTR R. OTÁVIO DIEHL (GUARUJÁ DO SUL)"/>
    <n v="103.9"/>
    <n v="112.8"/>
    <n v="8.9"/>
    <x v="2"/>
    <m/>
    <m/>
    <s v="Federal"/>
    <m/>
    <m/>
    <m/>
    <s v="Federal"/>
    <s v="PAV"/>
    <s v="Chapecó"/>
  </r>
  <r>
    <x v="0"/>
    <s v="163BSC0029"/>
    <n v="0"/>
    <x v="156"/>
    <s v="0029"/>
    <n v="-53.5212690895967"/>
    <n v="-26.384316730232801"/>
    <n v="-53.555031230107097"/>
    <n v="-26.2870464399412"/>
    <s v="163"/>
    <s v="SC"/>
    <s v="Eixo Principal"/>
    <s v="-"/>
    <s v="163BSC0029"/>
    <s v="ENTR R. OTÁVIO DIEHL (GUARUJÁ DO SUL)"/>
    <s v="ENTR BR-280(A)/373(A) (DIV SC/PR) (IDAMAR)"/>
    <n v="112.8"/>
    <n v="125.1"/>
    <n v="12.3"/>
    <x v="2"/>
    <m/>
    <m/>
    <s v="Federal"/>
    <m/>
    <m/>
    <m/>
    <s v="Federal"/>
    <s v="PAV"/>
    <s v="Chapecó"/>
  </r>
  <r>
    <x v="0"/>
    <s v="163CMT1005"/>
    <n v="0"/>
    <x v="157"/>
    <s v="1005"/>
    <n v="-55.939085040342299"/>
    <n v="-15.6752825301645"/>
    <n v="-55.997209503016101"/>
    <n v="-15.5460100069562"/>
    <s v="163"/>
    <s v="MT"/>
    <s v="Contorno"/>
    <s v="-"/>
    <s v="163CMT1005"/>
    <s v="ENTR BR-070/163/364"/>
    <s v="RIO COXIPÓ (CONTORNO NORTE DE CUIABÁ)"/>
    <n v="0"/>
    <n v="16.600000000000001"/>
    <n v="16.600000000000001"/>
    <x v="5"/>
    <s v="EOP"/>
    <m/>
    <s v="Federal"/>
    <m/>
    <m/>
    <m/>
    <s v="Federal"/>
    <s v="N_PAV"/>
    <s v="Cuiabá"/>
  </r>
  <r>
    <x v="0"/>
    <s v="163CMT1010"/>
    <n v="0"/>
    <x v="157"/>
    <s v="1010"/>
    <n v="-55.997209503016101"/>
    <n v="-15.5460100069562"/>
    <n v="-56.104676673589502"/>
    <n v="-15.524724214251"/>
    <s v="163"/>
    <s v="MT"/>
    <s v="Contorno"/>
    <s v="-"/>
    <s v="163CMT1010"/>
    <s v="RIO COXIPÓ (CONTORNO NORTE DE CUIABÁ)"/>
    <s v="ENTR MT-251 (CONTORNO NORTE DE CUIABÁ)"/>
    <n v="16.600000000000001"/>
    <n v="29.2"/>
    <n v="12.6"/>
    <x v="5"/>
    <s v="EOP"/>
    <m/>
    <s v="Federal"/>
    <m/>
    <m/>
    <m/>
    <s v="Federal"/>
    <s v="N_PAV"/>
    <s v="Cuiabá"/>
  </r>
  <r>
    <x v="0"/>
    <s v="163CMT1015"/>
    <n v="0"/>
    <x v="157"/>
    <s v="1015"/>
    <n v="-56.104676673589502"/>
    <n v="-15.524724214251"/>
    <n v="-56.141938395440498"/>
    <n v="-15.5474369243744"/>
    <s v="163"/>
    <s v="MT"/>
    <s v="Contorno"/>
    <s v="-"/>
    <s v="163CMT1015"/>
    <s v="ENTR MT-251 (CONTORNO NORTE DE CUIABÁ)"/>
    <s v="ENTR MT-010 (CONTORNO NORTE DE CUIABÁ)"/>
    <n v="29.2"/>
    <n v="34.1"/>
    <n v="4.9000000000000004"/>
    <x v="5"/>
    <s v="EOP"/>
    <m/>
    <s v="Federal"/>
    <m/>
    <m/>
    <m/>
    <s v="Federal"/>
    <s v="N_PAV"/>
    <s v="Cuiabá"/>
  </r>
  <r>
    <x v="0"/>
    <s v="163CMT1020"/>
    <n v="0"/>
    <x v="157"/>
    <s v="1020"/>
    <n v="-56.141938395440498"/>
    <n v="-15.5474369243744"/>
    <n v="-56.173363640419602"/>
    <n v="-15.576817722559699"/>
    <s v="163"/>
    <s v="MT"/>
    <s v="Contorno"/>
    <s v="-"/>
    <s v="163CMT1020"/>
    <s v="ENTR MT-010 (CONTORNO NORTE DE CUIABÁ)"/>
    <s v="ENTR MT-400 (SUCURÍ) (CONTORNO NORTE DE CUIABÁ)"/>
    <n v="34.1"/>
    <n v="38.799999999999997"/>
    <n v="4.7"/>
    <x v="5"/>
    <s v="EOP"/>
    <m/>
    <s v="Federal"/>
    <m/>
    <m/>
    <m/>
    <s v="Federal"/>
    <s v="N_PAV"/>
    <s v="Cuiabá"/>
  </r>
  <r>
    <x v="0"/>
    <s v="163CMT1025"/>
    <n v="0"/>
    <x v="157"/>
    <s v="1025"/>
    <n v="-56.173363640419602"/>
    <n v="-15.576817722559699"/>
    <n v="-56.180533521404797"/>
    <n v="-15.581030172204599"/>
    <s v="163"/>
    <s v="MT"/>
    <s v="Contorno"/>
    <s v="-"/>
    <s v="163CMT1025"/>
    <s v="ENTR MT-400 (SUCURÍ) (CONTORNO NORTE DE CUIABÁ)"/>
    <s v="RIO CUIABÁ (CONTORNO NORTE DE CUIABÁ)"/>
    <n v="38.799999999999997"/>
    <n v="39.700000000000003"/>
    <n v="0.9"/>
    <x v="5"/>
    <s v="EOP"/>
    <m/>
    <s v="Federal"/>
    <m/>
    <m/>
    <m/>
    <s v="Federal"/>
    <s v="N_PAV"/>
    <s v="Cuiabá"/>
  </r>
  <r>
    <x v="0"/>
    <s v="163CMT1030"/>
    <n v="0"/>
    <x v="157"/>
    <s v="1030"/>
    <n v="-56.180533521404797"/>
    <n v="-15.581030172204599"/>
    <n v="-56.194845659799299"/>
    <n v="-15.649205750345001"/>
    <s v="163"/>
    <s v="MT"/>
    <s v="Contorno"/>
    <s v="-"/>
    <s v="163CMT1030"/>
    <s v="RIO CUIABÁ (CONTORNO NORTE DE CUIABÁ)"/>
    <s v="ENTR BR-163/364 (CONTORNO NORTE DE CUIABÁ)"/>
    <n v="39.700000000000003"/>
    <n v="47.7"/>
    <n v="8"/>
    <x v="1"/>
    <m/>
    <m/>
    <s v="Federal"/>
    <m/>
    <m/>
    <m/>
    <s v="Federal"/>
    <s v="PLA"/>
    <s v="Cuiabá"/>
  </r>
  <r>
    <x v="0"/>
    <s v="163CPR1005"/>
    <n v="0"/>
    <x v="158"/>
    <s v="1005"/>
    <n v="-53.598247910013001"/>
    <n v="-26.264489780179101"/>
    <n v="-53.637839209611698"/>
    <n v="-26.2182767597645"/>
    <s v="163"/>
    <s v="PR"/>
    <s v="Contorno"/>
    <s v="-"/>
    <s v="163CPR1005"/>
    <s v="ENTR BR-163 (KM 5,1)"/>
    <s v="ENTR BR-163 (KM 14,0) (CONTORNO DE BARRACÃO)"/>
    <n v="0"/>
    <n v="7.5"/>
    <n v="7.5"/>
    <x v="1"/>
    <m/>
    <m/>
    <s v="Federal"/>
    <m/>
    <m/>
    <m/>
    <s v="Federal"/>
    <s v="PLA"/>
    <m/>
  </r>
  <r>
    <x v="0"/>
    <s v="163CPR2005"/>
    <n v="0"/>
    <x v="158"/>
    <s v="2005"/>
    <n v="-53.715257320069199"/>
    <n v="-26.0880353096817"/>
    <n v="-53.728804460057702"/>
    <n v="-26.042088170232802"/>
    <s v="163"/>
    <s v="PR"/>
    <s v="Contorno"/>
    <s v="-"/>
    <s v="163CPR2005"/>
    <s v="ENTR BR-163 (KM 31,9)"/>
    <s v="ENTR BR-163 (KM 39,6) (CONTORNO DE STO ANTÔNIO DO SUDOESTE)"/>
    <n v="0"/>
    <n v="7.7"/>
    <n v="7.7"/>
    <x v="1"/>
    <m/>
    <m/>
    <s v="Federal"/>
    <m/>
    <m/>
    <m/>
    <s v="Federal"/>
    <s v="PLA"/>
    <m/>
  </r>
  <r>
    <x v="0"/>
    <s v="163CPR3005"/>
    <n v="0"/>
    <x v="158"/>
    <s v="3005"/>
    <n v="-53.776122079969902"/>
    <n v="-25.698557349641899"/>
    <n v="-53.803144999641901"/>
    <n v="-25.6468979602726"/>
    <s v="163"/>
    <s v="PR"/>
    <s v="Contorno"/>
    <s v="-"/>
    <s v="163CPR3005"/>
    <s v="ENTR BR-163 (KM 83,8)"/>
    <s v="ENTR BR-163 (KM 92,0) (CONTORNO DE CAPANEMA)"/>
    <n v="0"/>
    <n v="7.6"/>
    <n v="7.6"/>
    <x v="1"/>
    <m/>
    <m/>
    <s v="Federal"/>
    <m/>
    <m/>
    <m/>
    <s v="Federal"/>
    <s v="PLA"/>
    <m/>
  </r>
  <r>
    <x v="0"/>
    <s v="163UPR1005"/>
    <n v="0"/>
    <x v="159"/>
    <s v="1005"/>
    <n v="-53.592442559576298"/>
    <n v="-25.148737119822101"/>
    <n v="-53.584324390258303"/>
    <n v="-25.134271860158101"/>
    <s v="163"/>
    <s v="PR"/>
    <s v="Travessia Urbana"/>
    <s v="-"/>
    <s v="163UPR1005"/>
    <s v="INÍCIO CONTORNO DE SANTA MARIA"/>
    <s v="FIM CONTORNO DE SANTA MARIA"/>
    <n v="0"/>
    <n v="2"/>
    <n v="2"/>
    <x v="2"/>
    <m/>
    <m/>
    <s v="Federal"/>
    <m/>
    <m/>
    <m/>
    <s v="Federal"/>
    <s v="PAV"/>
    <s v="Foz do Iguaçú"/>
  </r>
  <r>
    <x v="0"/>
    <s v="163VMT1005"/>
    <n v="0"/>
    <x v="160"/>
    <s v="1005"/>
    <n v="-55.541225530134"/>
    <n v="-15.809694380291299"/>
    <n v="-55.594080950375499"/>
    <n v="-15.7968226599377"/>
    <s v="163"/>
    <s v="MT"/>
    <s v="Variante"/>
    <s v="Coinc"/>
    <s v="163VMT1005"/>
    <s v="INÍCIO PISTA INVERSA I S DE SÃO VICENTE"/>
    <s v="FIM PISTA INVERSA I S DE SÃO VICENTE"/>
    <n v="0"/>
    <n v="7.6"/>
    <n v="7.6"/>
    <x v="2"/>
    <m/>
    <s v="364VMT1005;070VMT1005"/>
    <s v="Concessão Federal"/>
    <m/>
    <m/>
    <m/>
    <s v="Federal"/>
    <s v="PAV"/>
    <s v="Cuiabá"/>
  </r>
  <r>
    <x v="0"/>
    <s v="163VMT2005"/>
    <n v="0"/>
    <x v="160"/>
    <s v="2005"/>
    <n v="-55.603444599788403"/>
    <n v="-15.7969890596972"/>
    <n v="-55.6539620597012"/>
    <n v="-15.7710792498074"/>
    <s v="163"/>
    <s v="MT"/>
    <s v="Variante"/>
    <s v="Coinc"/>
    <s v="163VMT2005"/>
    <s v="INÍCIO PISTA INVERSA II S DE SÃO VICENTE"/>
    <s v="FIM PISTA INVERSA II S DE SÃO VICENTE"/>
    <n v="0"/>
    <n v="10.5"/>
    <n v="10.5"/>
    <x v="2"/>
    <m/>
    <s v="364VMT2005;070VMT2005"/>
    <s v="Concessão Federal"/>
    <m/>
    <m/>
    <m/>
    <s v="Federal"/>
    <s v="PAV"/>
    <s v="Cuiabá"/>
  </r>
  <r>
    <x v="0"/>
    <s v="174AMT1005"/>
    <n v="0"/>
    <x v="161"/>
    <s v="1005"/>
    <n v="-59.313760429600102"/>
    <n v="-15.24322148958"/>
    <n v="-59.956331910389302"/>
    <n v="-15.010028509707899"/>
    <s v="174"/>
    <s v="MT"/>
    <s v="Acesso"/>
    <s v="-"/>
    <s v="174AMT1005"/>
    <s v="ENTR BR-174/MT-473 (PONTES E LACERDA)"/>
    <s v="ENTR MT-199 (P/VILA BELA DA SANTÍSSIMA TRINDADE)"/>
    <n v="0"/>
    <n v="78"/>
    <n v="78"/>
    <x v="2"/>
    <m/>
    <m/>
    <s v="Federal"/>
    <m/>
    <m/>
    <m/>
    <s v="Federal"/>
    <s v="PAV"/>
    <s v="Cáceres"/>
  </r>
  <r>
    <x v="0"/>
    <s v="174BAM0230"/>
    <n v="0"/>
    <x v="162"/>
    <s v="0230"/>
    <n v="-60.207356899601201"/>
    <n v="-8.7981805800696407"/>
    <n v="-60.567097339970204"/>
    <n v="-8.4396118798842892"/>
    <s v="174"/>
    <s v="AM"/>
    <s v="Eixo Principal"/>
    <s v="-"/>
    <s v="174BAM0230"/>
    <s v="DIV MT/AM"/>
    <s v="DEZ DIAS"/>
    <n v="0"/>
    <n v="55"/>
    <n v="55"/>
    <x v="1"/>
    <m/>
    <m/>
    <s v="Federal"/>
    <m/>
    <m/>
    <m/>
    <s v="Federal"/>
    <s v="PLA"/>
    <s v="Humaitá"/>
  </r>
  <r>
    <x v="0"/>
    <s v="174BAM0250"/>
    <n v="0"/>
    <x v="162"/>
    <s v="0250"/>
    <n v="-60.567097339970204"/>
    <n v="-8.4396118798842892"/>
    <n v="-60.260154880143503"/>
    <n v="-7.825726960231"/>
    <s v="174"/>
    <s v="AM"/>
    <s v="Eixo Principal"/>
    <s v="-"/>
    <s v="174BAM0250"/>
    <s v="DEZ DIAS"/>
    <s v="SANTO ANTÔNIO"/>
    <n v="55"/>
    <n v="130"/>
    <n v="75"/>
    <x v="1"/>
    <m/>
    <m/>
    <s v="Federal"/>
    <m/>
    <m/>
    <m/>
    <s v="Federal"/>
    <s v="PLA"/>
    <s v="Humaitá"/>
  </r>
  <r>
    <x v="0"/>
    <s v="174BAM0270"/>
    <n v="0"/>
    <x v="162"/>
    <s v="0270"/>
    <n v="-60.260154880143503"/>
    <n v="-7.825726960231"/>
    <n v="-60.671795569909499"/>
    <n v="-7.6059065196700999"/>
    <s v="174"/>
    <s v="AM"/>
    <s v="Eixo Principal"/>
    <s v="-"/>
    <s v="174BAM0270"/>
    <s v="SANTO ANTÔNIO"/>
    <s v="ARUANÃ"/>
    <n v="130"/>
    <n v="180"/>
    <n v="50"/>
    <x v="1"/>
    <m/>
    <m/>
    <s v="Federal"/>
    <m/>
    <m/>
    <m/>
    <s v="Federal"/>
    <s v="PLA"/>
    <s v="Humaitá"/>
  </r>
  <r>
    <x v="0"/>
    <s v="174BAM0290"/>
    <n v="0"/>
    <x v="162"/>
    <s v="0290"/>
    <n v="-60.671795569909499"/>
    <n v="-7.6059065196700999"/>
    <n v="-60.599634000408699"/>
    <n v="-7.50538388965475"/>
    <s v="174"/>
    <s v="AM"/>
    <s v="Eixo Principal"/>
    <s v="-"/>
    <s v="174BAM0290"/>
    <s v="ARUANÃ"/>
    <s v="ENTR BR-230"/>
    <n v="180"/>
    <n v="195"/>
    <n v="15"/>
    <x v="1"/>
    <m/>
    <m/>
    <s v="Federal"/>
    <m/>
    <m/>
    <m/>
    <s v="Federal"/>
    <s v="PLA"/>
    <s v="Humaitá"/>
  </r>
  <r>
    <x v="0"/>
    <s v="174BAM0300"/>
    <n v="0"/>
    <x v="162"/>
    <s v="0300"/>
    <n v="-60.599634000408699"/>
    <n v="-7.50538388965475"/>
    <n v="-60.6480906998259"/>
    <n v="-7.23212491023639"/>
    <s v="174"/>
    <s v="AM"/>
    <s v="Eixo Principal"/>
    <s v="-"/>
    <s v="174BAM0300"/>
    <s v="ENTR BR-230"/>
    <s v="PRAINHA"/>
    <n v="195"/>
    <n v="227"/>
    <n v="32"/>
    <x v="5"/>
    <m/>
    <m/>
    <s v="Federal"/>
    <m/>
    <m/>
    <m/>
    <s v="Federal"/>
    <s v="N_PAV"/>
    <s v="Humaitá"/>
  </r>
  <r>
    <x v="0"/>
    <s v="174BAM0310"/>
    <n v="0"/>
    <x v="162"/>
    <s v="0310"/>
    <n v="-60.6480906998259"/>
    <n v="-7.23212491023639"/>
    <n v="-60.558909500173201"/>
    <n v="-6.5258727896974102"/>
    <s v="174"/>
    <s v="AM"/>
    <s v="Eixo Principal"/>
    <s v="-"/>
    <s v="174BAM0310"/>
    <s v="PRAINHA"/>
    <s v="CAPITARÍ"/>
    <n v="227"/>
    <n v="300"/>
    <n v="73"/>
    <x v="1"/>
    <m/>
    <m/>
    <s v="Federal"/>
    <m/>
    <m/>
    <m/>
    <s v="Federal"/>
    <s v="PLA"/>
    <s v="Castanho"/>
  </r>
  <r>
    <x v="0"/>
    <s v="174BAM0330"/>
    <n v="0"/>
    <x v="162"/>
    <s v="0330"/>
    <n v="-60.558909500173201"/>
    <n v="-6.5258727896974102"/>
    <n v="-60.8201059916981"/>
    <n v="-6.2731019879663004"/>
    <s v="174"/>
    <s v="AM"/>
    <s v="Eixo Principal"/>
    <s v="-"/>
    <s v="174BAM0330"/>
    <s v="CAPITARÍ"/>
    <s v="RIO ARUÁ"/>
    <n v="300"/>
    <n v="340"/>
    <n v="40"/>
    <x v="1"/>
    <m/>
    <m/>
    <s v="Federal"/>
    <m/>
    <m/>
    <m/>
    <s v="Federal"/>
    <s v="PLA"/>
    <s v="Castanho"/>
  </r>
  <r>
    <x v="0"/>
    <s v="174BAM0350"/>
    <n v="0"/>
    <x v="162"/>
    <s v="0350"/>
    <n v="-60.8201059916981"/>
    <n v="-6.2731019879663004"/>
    <n v="-61.2909027798393"/>
    <n v="-5.8213631595821198"/>
    <s v="174"/>
    <s v="AM"/>
    <s v="Eixo Principal"/>
    <s v="-"/>
    <s v="174BAM0350"/>
    <s v="RIO ARUÁ"/>
    <s v="ENTR AM-364(A) (MANICORÉ - INÍCIO TRAV RIO MADEIRA)"/>
    <n v="340"/>
    <n v="412"/>
    <n v="72"/>
    <x v="1"/>
    <m/>
    <m/>
    <s v="Federal"/>
    <m/>
    <m/>
    <m/>
    <s v="Federal"/>
    <s v="PLA"/>
    <s v="Castanho"/>
  </r>
  <r>
    <x v="0"/>
    <s v="174BAM0355"/>
    <n v="0"/>
    <x v="162"/>
    <s v="0355"/>
    <n v="-61.2909027798393"/>
    <n v="-5.8213631595821198"/>
    <n v="-61.429822479923402"/>
    <n v="-5.7994977996836496"/>
    <s v="174"/>
    <s v="AM"/>
    <s v="Eixo Principal"/>
    <s v="-"/>
    <s v="174BAM0355"/>
    <s v="ENTR AM-364(A) (MANICORÉ - INÍCIO TRAV RIO MADEIRA)"/>
    <s v="FIM TRAV RIO MADEIRA"/>
    <n v="412"/>
    <n v="428"/>
    <n v="16"/>
    <x v="4"/>
    <m/>
    <m/>
    <s v="Federal"/>
    <m/>
    <m/>
    <m/>
    <s v="Federal"/>
    <s v="N_PAV"/>
    <s v="Castanho"/>
  </r>
  <r>
    <x v="0"/>
    <s v="174BAM0370"/>
    <n v="0"/>
    <x v="162"/>
    <s v="0370"/>
    <n v="-61.429822479923402"/>
    <n v="-5.7994977996836496"/>
    <n v="-61.4560748802514"/>
    <n v="-5.7345306896395396"/>
    <s v="174"/>
    <s v="AM"/>
    <s v="Eixo Principal"/>
    <s v="-"/>
    <s v="174BAM0370"/>
    <s v="FIM TRAV RIO MADEIRA"/>
    <s v="PONTE S/ IGARAPÉ JATUARANA"/>
    <n v="428"/>
    <n v="436.5"/>
    <n v="8.5"/>
    <x v="5"/>
    <m/>
    <m/>
    <m/>
    <s v="MP082/2003"/>
    <m/>
    <m/>
    <m/>
    <s v="N_PAV"/>
    <s v="Castanho"/>
  </r>
  <r>
    <x v="0"/>
    <s v="174BAM0372"/>
    <n v="0"/>
    <x v="162"/>
    <s v="0372"/>
    <n v="-61.4560748802514"/>
    <n v="-5.7345306896395396"/>
    <n v="-61.583364580011299"/>
    <n v="-5.4785682398323203"/>
    <s v="174"/>
    <s v="AM"/>
    <s v="Eixo Principal"/>
    <s v="-"/>
    <s v="174BAM0372"/>
    <s v="PONTE S/ IGARAPÉ JATUARANA"/>
    <s v="PONTE S/ RIO AMAPÁ"/>
    <n v="436.5"/>
    <n v="472.3"/>
    <n v="35.799999999999997"/>
    <x v="5"/>
    <m/>
    <m/>
    <m/>
    <s v="MP082/2003"/>
    <m/>
    <m/>
    <m/>
    <s v="N_PAV"/>
    <s v="Castanho"/>
  </r>
  <r>
    <x v="0"/>
    <s v="174BAM0375"/>
    <n v="0"/>
    <x v="162"/>
    <s v="0375"/>
    <n v="-61.583364580011299"/>
    <n v="-5.4785682398323203"/>
    <n v="-61.780188040145902"/>
    <n v="-5.2522084599524401"/>
    <s v="174"/>
    <s v="AM"/>
    <s v="Eixo Principal"/>
    <s v="-"/>
    <s v="174BAM0375"/>
    <s v="PONTE S/ RIO AMAPÁ"/>
    <s v="PONTE S/ RIO MATUPIRI"/>
    <n v="472.3"/>
    <n v="503.7"/>
    <n v="31.4"/>
    <x v="5"/>
    <m/>
    <m/>
    <m/>
    <s v="MP082/2003"/>
    <m/>
    <m/>
    <m/>
    <s v="N_PAV"/>
    <s v="Castanho"/>
  </r>
  <r>
    <x v="0"/>
    <s v="174BAM0380"/>
    <n v="0"/>
    <x v="162"/>
    <s v="0380"/>
    <n v="-61.780188040145902"/>
    <n v="-5.2522084599524401"/>
    <n v="-61.836273790103199"/>
    <n v="-5.2001367799883802"/>
    <s v="174"/>
    <s v="AM"/>
    <s v="Eixo Principal"/>
    <s v="-"/>
    <s v="174BAM0380"/>
    <s v="PONTE S/ RIO MATUPIRI"/>
    <s v="ENTR BR-319(A)/AM-364(B)"/>
    <n v="503.7"/>
    <n v="512"/>
    <n v="8.3000000000000007"/>
    <x v="5"/>
    <m/>
    <m/>
    <m/>
    <s v="MP082/2003"/>
    <m/>
    <m/>
    <m/>
    <s v="N_PAV"/>
    <s v="Castanho"/>
  </r>
  <r>
    <x v="0"/>
    <s v="174BAM0390"/>
    <n v="0"/>
    <x v="162"/>
    <s v="0390"/>
    <n v="-61.836273790103199"/>
    <n v="-5.2001367799883802"/>
    <n v="-61.4668989198492"/>
    <n v="-4.9042069898606497"/>
    <s v="174"/>
    <s v="AM"/>
    <s v="Eixo Principal"/>
    <s v="-"/>
    <s v="174BAM0390"/>
    <s v="ENTR BR-319(A)/AM-364(B)"/>
    <s v="IGARAPÉ JACARETINGA"/>
    <n v="512"/>
    <n v="568.6"/>
    <n v="56.6"/>
    <x v="5"/>
    <m/>
    <s v="319BAM0125"/>
    <s v="Federal"/>
    <m/>
    <m/>
    <m/>
    <s v="Federal"/>
    <s v="N_PAV"/>
    <s v="Castanho"/>
  </r>
  <r>
    <x v="0"/>
    <s v="174BAM0400"/>
    <n v="0"/>
    <x v="162"/>
    <s v="0400"/>
    <n v="-61.4668989198492"/>
    <n v="-4.9042069898606497"/>
    <n v="-61.293053739638303"/>
    <n v="-4.7129171697915204"/>
    <s v="174"/>
    <s v="AM"/>
    <s v="Eixo Principal"/>
    <s v="-"/>
    <s v="174BAM0400"/>
    <s v="IGARAPÉ JACARETINGA"/>
    <s v="INÍCIO TRAVESSIA RIO IGAPÓ AÇU"/>
    <n v="568.6"/>
    <n v="597.1"/>
    <n v="28.5"/>
    <x v="5"/>
    <m/>
    <s v="319BAM0120"/>
    <s v="Federal"/>
    <m/>
    <m/>
    <m/>
    <s v="Federal"/>
    <s v="N_PAV"/>
    <s v="Castanho"/>
  </r>
  <r>
    <x v="0"/>
    <s v="174BAM0405"/>
    <n v="0"/>
    <x v="162"/>
    <s v="0405"/>
    <n v="-61.293053739638303"/>
    <n v="-4.7129171697915204"/>
    <n v="-61.292147869628401"/>
    <n v="-4.7110479100329599"/>
    <s v="174"/>
    <s v="AM"/>
    <s v="Eixo Principal"/>
    <s v="-"/>
    <s v="174BAM0405"/>
    <s v="INÍCIO TRAVESSIA RIO IGAPÓ AÇU"/>
    <s v="FIM TRAVESSIA RIO IGAPÓ AÇU"/>
    <n v="597.1"/>
    <n v="597.5"/>
    <n v="0.4"/>
    <x v="4"/>
    <m/>
    <s v="319BAM0115"/>
    <s v="Federal"/>
    <m/>
    <m/>
    <m/>
    <s v="Federal"/>
    <s v="N_PAV"/>
    <s v="Castanho"/>
  </r>
  <r>
    <x v="0"/>
    <s v="174BAM0410"/>
    <n v="0"/>
    <x v="162"/>
    <s v="0410"/>
    <n v="-61.292147869628401"/>
    <n v="-4.7110479100329599"/>
    <n v="-61.268980080066598"/>
    <n v="-4.6596893097138201"/>
    <s v="174"/>
    <s v="AM"/>
    <s v="Eixo Principal"/>
    <s v="-"/>
    <s v="174BAM0410"/>
    <s v="FIM TRAVESSIA RIO IGAPÓ AÇU"/>
    <s v="ENTR AM-360 (FIM DA IMPLANTAÇÃO)"/>
    <n v="597.5"/>
    <n v="607.5"/>
    <n v="10"/>
    <x v="5"/>
    <m/>
    <s v="319BAM0110"/>
    <s v="Federal"/>
    <m/>
    <m/>
    <m/>
    <s v="Federal"/>
    <s v="N_PAV"/>
    <s v="Castanho"/>
  </r>
  <r>
    <x v="0"/>
    <s v="174BAM0415"/>
    <n v="0"/>
    <x v="162"/>
    <s v="0415"/>
    <n v="-61.268980080066598"/>
    <n v="-4.6596893097138201"/>
    <n v="-61.180458790340801"/>
    <n v="-4.5579522999586199"/>
    <s v="174"/>
    <s v="AM"/>
    <s v="Eixo Principal"/>
    <s v="-"/>
    <s v="174BAM0415"/>
    <s v="ENTR AM-360 (FIM DA IMPLANTAÇÃO)"/>
    <s v="IGARAPÉ ATIÍ"/>
    <n v="607.5"/>
    <n v="620.4"/>
    <n v="12.9"/>
    <x v="5"/>
    <s v="EOP"/>
    <s v="319BAM0105"/>
    <s v="Federal"/>
    <m/>
    <m/>
    <m/>
    <s v="Federal"/>
    <s v="N_PAV"/>
    <s v="Castanho"/>
  </r>
  <r>
    <x v="0"/>
    <s v="174BAM0420"/>
    <n v="0"/>
    <x v="162"/>
    <s v="0420"/>
    <n v="-61.180458790340801"/>
    <n v="-4.5579522999586199"/>
    <n v="-60.9283082896957"/>
    <n v="-4.3519053902215301"/>
    <s v="174"/>
    <s v="AM"/>
    <s v="Eixo Principal"/>
    <s v="-"/>
    <s v="174BAM0420"/>
    <s v="IGARAPÉ ATIÍ"/>
    <s v="INÍCIO PAVIMENTAÇÃO"/>
    <n v="620.4"/>
    <n v="659.3"/>
    <n v="38.9"/>
    <x v="5"/>
    <s v="EOP"/>
    <s v="319BAM0100"/>
    <s v="Federal"/>
    <m/>
    <m/>
    <m/>
    <s v="Federal"/>
    <s v="N_PAV"/>
    <s v="Castanho"/>
  </r>
  <r>
    <x v="0"/>
    <s v="174BAM0425"/>
    <n v="0"/>
    <x v="162"/>
    <s v="0425"/>
    <n v="-60.9283082896957"/>
    <n v="-4.3519053902215301"/>
    <n v="-60.806853969634901"/>
    <n v="-4.1808447502849599"/>
    <s v="174"/>
    <s v="AM"/>
    <s v="Eixo Principal"/>
    <s v="-"/>
    <s v="174BAM0425"/>
    <s v="INÍCIO PAVIMENTAÇÃO"/>
    <s v="RIO TUPÃNA"/>
    <n v="659.3"/>
    <n v="679.7"/>
    <n v="20.399999999999999"/>
    <x v="2"/>
    <m/>
    <s v="319BAM0095"/>
    <s v="Federal"/>
    <m/>
    <m/>
    <m/>
    <s v="Federal"/>
    <s v="PAV"/>
    <s v="Castanho"/>
  </r>
  <r>
    <x v="0"/>
    <s v="174BAM0430"/>
    <n v="0"/>
    <x v="162"/>
    <s v="0430"/>
    <n v="-60.806853969634901"/>
    <n v="-4.1808447502849599"/>
    <n v="-60.3643395000678"/>
    <n v="-3.82679104966717"/>
    <s v="174"/>
    <s v="AM"/>
    <s v="Eixo Principal"/>
    <s v="-"/>
    <s v="174BAM0430"/>
    <s v="RIO TUPÃNA"/>
    <s v="RIO CASTANHO"/>
    <n v="679.7"/>
    <n v="744"/>
    <n v="64.3"/>
    <x v="2"/>
    <m/>
    <s v="319BAM0085"/>
    <s v="Federal"/>
    <m/>
    <m/>
    <m/>
    <s v="Federal"/>
    <s v="PAV"/>
    <s v="Castanho"/>
  </r>
  <r>
    <x v="0"/>
    <s v="174BAM0445"/>
    <n v="0"/>
    <x v="162"/>
    <s v="0445"/>
    <n v="-60.3643395000678"/>
    <n v="-3.82679104966717"/>
    <n v="-60.300856800201103"/>
    <n v="-3.7650978100158401"/>
    <s v="174"/>
    <s v="AM"/>
    <s v="Eixo Principal"/>
    <s v="-"/>
    <s v="174BAM0445"/>
    <s v="RIO CASTANHO"/>
    <s v="ENTR AM-354"/>
    <n v="744"/>
    <n v="754.7"/>
    <n v="10.7"/>
    <x v="2"/>
    <m/>
    <s v="319BAM0075"/>
    <s v="Federal"/>
    <m/>
    <m/>
    <m/>
    <s v="Federal"/>
    <s v="PAV"/>
    <s v="Castanho"/>
  </r>
  <r>
    <x v="0"/>
    <s v="174BAM0450"/>
    <n v="0"/>
    <x v="162"/>
    <s v="0450"/>
    <n v="-60.300856800201103"/>
    <n v="-3.7650978100158401"/>
    <n v="-60.004112809758297"/>
    <n v="-3.44942241960893"/>
    <s v="174"/>
    <s v="AM"/>
    <s v="Eixo Principal"/>
    <s v="-"/>
    <s v="174BAM0450"/>
    <s v="ENTR AM-354"/>
    <s v="RIO ARAÇÁ"/>
    <n v="754.7"/>
    <n v="805.6"/>
    <n v="50.9"/>
    <x v="2"/>
    <m/>
    <s v="319BAM0070"/>
    <s v="Federal"/>
    <m/>
    <m/>
    <m/>
    <s v="Federal"/>
    <s v="PAV"/>
    <s v="Castanho"/>
  </r>
  <r>
    <x v="0"/>
    <s v="174BAM0465"/>
    <n v="0"/>
    <x v="162"/>
    <s v="0465"/>
    <n v="-60.004112809758297"/>
    <n v="-3.44942241960893"/>
    <n v="-59.902094969607099"/>
    <n v="-3.4033791003651501"/>
    <s v="174"/>
    <s v="AM"/>
    <s v="Eixo Principal"/>
    <s v="-"/>
    <s v="174BAM0465"/>
    <s v="RIO ARAÇÁ"/>
    <s v="ENTR AM-254"/>
    <n v="805.6"/>
    <n v="818.8"/>
    <n v="13.2"/>
    <x v="2"/>
    <m/>
    <s v="319BAM0060"/>
    <s v="Federal"/>
    <m/>
    <m/>
    <m/>
    <s v="Federal"/>
    <s v="PAV"/>
    <s v="Castanho"/>
  </r>
  <r>
    <x v="0"/>
    <s v="174BAM0470"/>
    <n v="0"/>
    <x v="162"/>
    <s v="0470"/>
    <n v="-59.902094969607099"/>
    <n v="-3.4033791003651501"/>
    <n v="-59.863638660295898"/>
    <n v="-3.2838173495909402"/>
    <s v="174"/>
    <s v="AM"/>
    <s v="Eixo Principal"/>
    <s v="-"/>
    <s v="174BAM0470"/>
    <s v="ENTR AM-254"/>
    <s v="RIO AUTAZ MIRIM"/>
    <n v="818.8"/>
    <n v="833.6"/>
    <n v="14.8"/>
    <x v="2"/>
    <m/>
    <s v="319BAM0055"/>
    <s v="Federal"/>
    <m/>
    <m/>
    <m/>
    <s v="Federal"/>
    <s v="PAV"/>
    <s v="Castanho"/>
  </r>
  <r>
    <x v="0"/>
    <s v="174BAM0475"/>
    <n v="0"/>
    <x v="162"/>
    <s v="0475"/>
    <n v="-59.863638660295898"/>
    <n v="-3.2838173495909402"/>
    <n v="-59.854502300141"/>
    <n v="-3.2750720596277998"/>
    <s v="174"/>
    <s v="AM"/>
    <s v="Eixo Principal"/>
    <s v="-"/>
    <s v="174BAM0475"/>
    <s v="RIO AUTAZ MIRIM"/>
    <s v="RIO CURUÇÁ"/>
    <n v="833.6"/>
    <n v="834.9"/>
    <n v="1.3"/>
    <x v="2"/>
    <m/>
    <s v="319BAM0050"/>
    <s v="Federal"/>
    <m/>
    <m/>
    <m/>
    <s v="Federal"/>
    <s v="PAV"/>
    <s v="Castanho"/>
  </r>
  <r>
    <x v="0"/>
    <s v="174BAM0480"/>
    <n v="0"/>
    <x v="162"/>
    <s v="0480"/>
    <n v="-59.854502300141"/>
    <n v="-3.2750720596277998"/>
    <n v="-59.869027790100397"/>
    <n v="-3.2146161297305298"/>
    <s v="174"/>
    <s v="AM"/>
    <s v="Eixo Principal"/>
    <s v="-"/>
    <s v="174BAM0480"/>
    <s v="RIO CURUÇÁ"/>
    <s v="RIO CAPITARI"/>
    <n v="834.9"/>
    <n v="842.2"/>
    <n v="7.3"/>
    <x v="2"/>
    <m/>
    <s v="319BAM0045"/>
    <s v="Federal"/>
    <m/>
    <m/>
    <m/>
    <s v="Federal"/>
    <s v="PAV"/>
    <s v="Castanho"/>
  </r>
  <r>
    <x v="0"/>
    <s v="174BAM0485"/>
    <n v="0"/>
    <x v="162"/>
    <s v="0485"/>
    <n v="-59.869027790100397"/>
    <n v="-3.2146161297305298"/>
    <n v="-59.868711610052699"/>
    <n v="-3.1902446102005801"/>
    <s v="174"/>
    <s v="AM"/>
    <s v="Eixo Principal"/>
    <s v="-"/>
    <s v="174BAM0485"/>
    <s v="RIO CAPITARI"/>
    <s v="INÍCIO TRAVESSIA RIO AMAZONAS (CAREIRO)"/>
    <n v="842.2"/>
    <n v="845.2"/>
    <n v="3"/>
    <x v="2"/>
    <m/>
    <s v="319BAM0040"/>
    <s v="Federal"/>
    <m/>
    <m/>
    <m/>
    <s v="Federal"/>
    <s v="PAV"/>
    <s v="Castanho"/>
  </r>
  <r>
    <x v="0"/>
    <s v="174BAM0490"/>
    <n v="0"/>
    <x v="162"/>
    <s v="0490"/>
    <n v="-59.868711610052699"/>
    <n v="-3.1902446102005801"/>
    <n v="-59.939918589671102"/>
    <n v="-3.1345053303566601"/>
    <s v="174"/>
    <s v="AM"/>
    <s v="Eixo Principal"/>
    <s v="-"/>
    <s v="174BAM0490"/>
    <s v="INÍCIO TRAVESSIA RIO AMAZONAS (CAREIRO)"/>
    <s v="FIM TRAVESSIA RIO AMAZONAS"/>
    <n v="845.2"/>
    <n v="857.2"/>
    <n v="12"/>
    <x v="4"/>
    <m/>
    <s v="319BAM0030"/>
    <s v="Federal"/>
    <m/>
    <m/>
    <m/>
    <s v="Federal"/>
    <s v="N_PAV"/>
    <s v="Castanho"/>
  </r>
  <r>
    <x v="0"/>
    <s v="174BAM0510"/>
    <n v="0"/>
    <x v="162"/>
    <s v="0510"/>
    <n v="-59.939918589671102"/>
    <n v="-3.1345053303566601"/>
    <n v="-59.947465610349497"/>
    <n v="-3.1296145499714498"/>
    <s v="174"/>
    <s v="AM"/>
    <s v="Eixo Principal"/>
    <s v="-"/>
    <s v="174BAM0510"/>
    <s v="FIM TRAVESSIA RIO AMAZONAS"/>
    <s v="ENTR BR-319(B) (POLÍCIA RODOVIÁRIA FEDERAL (MANAUS))"/>
    <n v="857.2"/>
    <n v="858.2"/>
    <n v="1"/>
    <x v="1"/>
    <m/>
    <s v="319BAM0020"/>
    <s v="Estadual"/>
    <m/>
    <s v="AMT-174"/>
    <s v="DUP"/>
    <s v="Estadual"/>
    <s v="PLA"/>
    <s v="Castanho"/>
  </r>
  <r>
    <x v="0"/>
    <s v="174BAM0515"/>
    <n v="0"/>
    <x v="162"/>
    <s v="0515"/>
    <n v="-59.947465610349497"/>
    <n v="-3.1296145499714498"/>
    <n v="-59.956444019875498"/>
    <n v="-3.12815880028836"/>
    <s v="174"/>
    <s v="AM"/>
    <s v="Eixo Principal"/>
    <s v="-"/>
    <s v="174BAM0515"/>
    <s v="ENTR BR-319(B) (POLÍCIA RODOVIÁRIA FEDERAL (MANAUS))"/>
    <s v="AV. GUARUBA"/>
    <n v="858.2"/>
    <n v="859.2"/>
    <n v="1"/>
    <x v="1"/>
    <m/>
    <m/>
    <s v="Estadual"/>
    <m/>
    <s v="AMT-174"/>
    <s v="DUP"/>
    <s v="Estadual"/>
    <s v="PLA"/>
    <s v="Castanho"/>
  </r>
  <r>
    <x v="0"/>
    <s v="174BAM0520"/>
    <n v="0"/>
    <x v="162"/>
    <s v="0520"/>
    <n v="-59.956444019875498"/>
    <n v="-3.12815880028836"/>
    <n v="-59.9559075302083"/>
    <n v="-3.07570024996653"/>
    <s v="174"/>
    <s v="AM"/>
    <s v="Eixo Principal"/>
    <s v="-"/>
    <s v="174BAM0520"/>
    <s v="AV. GUARUBA"/>
    <s v="ENTR AM-020"/>
    <n v="859.2"/>
    <n v="865.8"/>
    <n v="6.6"/>
    <x v="1"/>
    <m/>
    <m/>
    <s v="Estadual"/>
    <m/>
    <s v="AMT-174"/>
    <s v="DUP"/>
    <s v="Estadual"/>
    <s v="PLA"/>
    <s v="Castanho"/>
  </r>
  <r>
    <x v="0"/>
    <s v="174BAM0530"/>
    <n v="0"/>
    <x v="162"/>
    <s v="0530"/>
    <n v="-59.9559075302083"/>
    <n v="-3.07570024996653"/>
    <n v="-59.933789440130496"/>
    <n v="-3.0249584002099801"/>
    <s v="174"/>
    <s v="AM"/>
    <s v="Eixo Principal"/>
    <s v="-"/>
    <s v="174BAM0530"/>
    <s v="ENTR AM-020"/>
    <s v="FIM PISTA DUPLA"/>
    <n v="865.8"/>
    <n v="872.1"/>
    <n v="6.3"/>
    <x v="1"/>
    <m/>
    <m/>
    <s v="Estadual"/>
    <m/>
    <s v="AMT-174"/>
    <s v="DUP"/>
    <s v="Estadual"/>
    <s v="PLA"/>
    <s v="Castanho"/>
  </r>
  <r>
    <x v="0"/>
    <s v="174BAM0535"/>
    <n v="0"/>
    <x v="162"/>
    <s v="0535"/>
    <n v="-59.933789440130496"/>
    <n v="-3.0249584002099801"/>
    <n v="-59.940020009815498"/>
    <n v="-3.0080306501943102"/>
    <s v="174"/>
    <s v="AM"/>
    <s v="Eixo Principal"/>
    <s v="-"/>
    <s v="174BAM0535"/>
    <s v="FIM PISTA DUPLA"/>
    <s v="INICIO PISTA DUPLA"/>
    <n v="872.1"/>
    <n v="874.3"/>
    <n v="2.2000000000000002"/>
    <x v="1"/>
    <m/>
    <m/>
    <s v="Estadual"/>
    <m/>
    <s v="AMT-174"/>
    <s v="EOD"/>
    <s v="Estadual"/>
    <s v="PLA"/>
    <s v="Castanho"/>
  </r>
  <r>
    <x v="0"/>
    <s v="174BAM0540"/>
    <n v="0"/>
    <x v="162"/>
    <s v="0540"/>
    <n v="-59.940020009815498"/>
    <n v="-3.0080306501943102"/>
    <n v="-60.015615699904501"/>
    <n v="-2.97188033031295"/>
    <s v="174"/>
    <s v="AM"/>
    <s v="Eixo Principal"/>
    <s v="-"/>
    <s v="174BAM0540"/>
    <s v="INICIO PISTA DUPLA"/>
    <s v="ENTR AM-010"/>
    <n v="874.3"/>
    <n v="884.5"/>
    <n v="10.199999999999999"/>
    <x v="1"/>
    <m/>
    <m/>
    <s v="Estadual"/>
    <m/>
    <s v="AMT-174"/>
    <s v="DUP"/>
    <s v="Estadual"/>
    <s v="PLA"/>
    <s v="Castanho"/>
  </r>
  <r>
    <x v="0"/>
    <s v="174BAM0550"/>
    <n v="0"/>
    <x v="162"/>
    <s v="0550"/>
    <n v="-60.015615699904501"/>
    <n v="-2.97188033031295"/>
    <n v="-60.048418990443999"/>
    <n v="-2.7099140101234398"/>
    <s v="174"/>
    <s v="AM"/>
    <s v="Eixo Principal"/>
    <s v="-"/>
    <s v="174BAM0550"/>
    <s v="ENTR AM-010"/>
    <s v="IGARAPÉ TARUMÃ AÇÚ"/>
    <n v="884.5"/>
    <n v="914.5"/>
    <n v="30"/>
    <x v="2"/>
    <m/>
    <m/>
    <s v="Federal"/>
    <m/>
    <m/>
    <m/>
    <s v="Federal"/>
    <s v="PAV"/>
    <s v="Castanho"/>
  </r>
  <r>
    <x v="0"/>
    <s v="174BAM0555"/>
    <n v="0"/>
    <x v="162"/>
    <s v="0555"/>
    <n v="-60.048418990443999"/>
    <n v="-2.7099140101234398"/>
    <n v="-60.032179700232902"/>
    <n v="-2.5855567099741199"/>
    <s v="174"/>
    <s v="AM"/>
    <s v="Eixo Principal"/>
    <s v="-"/>
    <s v="174BAM0555"/>
    <s v="IGARAPÉ TARUMÃ AÇÚ"/>
    <s v="IGARAPÉ CABEÇA BRANCA"/>
    <n v="914.5"/>
    <n v="929.3"/>
    <n v="14.8"/>
    <x v="2"/>
    <m/>
    <m/>
    <s v="Federal"/>
    <m/>
    <m/>
    <m/>
    <s v="Federal"/>
    <s v="PAV"/>
    <s v="Castanho"/>
  </r>
  <r>
    <x v="0"/>
    <s v="174BAM0560"/>
    <n v="0"/>
    <x v="162"/>
    <s v="0560"/>
    <n v="-60.032179700232902"/>
    <n v="-2.5855567099741199"/>
    <n v="-60.035969929868301"/>
    <n v="-2.2559132096268901"/>
    <s v="174"/>
    <s v="AM"/>
    <s v="Eixo Principal"/>
    <s v="-"/>
    <s v="174BAM0560"/>
    <s v="IGARAPÉ CABEÇA BRANCA"/>
    <s v="RIO PRETO"/>
    <n v="929.3"/>
    <n v="966.9"/>
    <n v="37.6"/>
    <x v="2"/>
    <m/>
    <m/>
    <s v="Federal"/>
    <m/>
    <m/>
    <m/>
    <s v="Federal"/>
    <s v="PAV"/>
    <s v="Castanho"/>
  </r>
  <r>
    <x v="0"/>
    <s v="174BAM0570"/>
    <n v="0"/>
    <x v="162"/>
    <s v="0570"/>
    <n v="-60.035969929868301"/>
    <n v="-2.2559132096268901"/>
    <n v="-59.9913634097935"/>
    <n v="-2.1141428699974001"/>
    <s v="174"/>
    <s v="AM"/>
    <s v="Eixo Principal"/>
    <s v="-"/>
    <s v="174BAM0570"/>
    <s v="RIO PRETO"/>
    <s v="RIO URUBÚ"/>
    <n v="966.9"/>
    <n v="983.5"/>
    <n v="16.600000000000001"/>
    <x v="2"/>
    <m/>
    <m/>
    <s v="Federal"/>
    <m/>
    <m/>
    <m/>
    <s v="Federal"/>
    <s v="PAV"/>
    <s v="Castanho"/>
  </r>
  <r>
    <x v="0"/>
    <s v="174BAM0575"/>
    <n v="0"/>
    <x v="162"/>
    <s v="0575"/>
    <n v="-59.9913634097935"/>
    <n v="-2.1141428699974001"/>
    <n v="-60.007499599926497"/>
    <n v="-2.0810322397460301"/>
    <s v="174"/>
    <s v="AM"/>
    <s v="Eixo Principal"/>
    <s v="-"/>
    <s v="174BAM0575"/>
    <s v="RIO URUBÚ"/>
    <s v="ENTR AM-240 (USINA HIDROELÉTRICA BALBINA)"/>
    <n v="983.5"/>
    <n v="987.6"/>
    <n v="4.0999999999999996"/>
    <x v="2"/>
    <m/>
    <m/>
    <s v="Federal"/>
    <m/>
    <m/>
    <m/>
    <s v="Federal"/>
    <s v="PAV"/>
    <s v="Castanho"/>
  </r>
  <r>
    <x v="0"/>
    <s v="174BAM0580"/>
    <n v="0"/>
    <x v="162"/>
    <s v="0580"/>
    <n v="-60.007499599926497"/>
    <n v="-2.0810322397460301"/>
    <n v="-60.022428870196102"/>
    <n v="-2.0558134797082599"/>
    <s v="174"/>
    <s v="AM"/>
    <s v="Eixo Principal"/>
    <s v="-"/>
    <s v="174BAM0580"/>
    <s v="ENTR AM-240 (USINA HIDROELÉTRICA BALBINA)"/>
    <s v="INÍCIO DUPLICAÇÃO (PRESIDENTE FIGUEIREDO)"/>
    <n v="987.6"/>
    <n v="990.8"/>
    <n v="3.2"/>
    <x v="2"/>
    <m/>
    <m/>
    <s v="Federal"/>
    <m/>
    <m/>
    <m/>
    <s v="Federal"/>
    <s v="PAV"/>
    <s v="Castanho"/>
  </r>
  <r>
    <x v="0"/>
    <s v="174BAM0582"/>
    <n v="0"/>
    <x v="162"/>
    <s v="0582"/>
    <n v="-60.022428870196102"/>
    <n v="-2.0558134797082599"/>
    <n v="-60.026020150009799"/>
    <n v="-2.0478942997820502"/>
    <s v="174"/>
    <s v="AM"/>
    <s v="Eixo Principal"/>
    <s v="-"/>
    <s v="174BAM0582"/>
    <s v="INÍCIO DUPLICAÇÃO (PRESIDENTE FIGUEIREDO)"/>
    <s v="IGARAPÉ VEADOS (PRESIDENTE FIGUEIREDO)"/>
    <n v="990.8"/>
    <n v="991.8"/>
    <n v="1"/>
    <x v="0"/>
    <m/>
    <m/>
    <s v="Federal"/>
    <m/>
    <m/>
    <m/>
    <s v="Federal"/>
    <s v="PAV"/>
    <s v="Castanho"/>
  </r>
  <r>
    <x v="0"/>
    <s v="174BAM0585"/>
    <n v="0"/>
    <x v="162"/>
    <s v="0585"/>
    <n v="-60.026020150009799"/>
    <n v="-2.0478942997820502"/>
    <n v="-60.0266286402994"/>
    <n v="-1.9945066598544301"/>
    <s v="174"/>
    <s v="AM"/>
    <s v="Eixo Principal"/>
    <s v="-"/>
    <s v="174BAM0585"/>
    <s v="IGARAPÉ VEADOS (PRESIDENTE FIGUEIREDO)"/>
    <s v="IGARAPÉ LAGES"/>
    <n v="991.8"/>
    <n v="997.7"/>
    <n v="5.9"/>
    <x v="2"/>
    <m/>
    <m/>
    <s v="Federal"/>
    <m/>
    <m/>
    <m/>
    <s v="Federal"/>
    <s v="PAV"/>
    <s v="Castanho"/>
  </r>
  <r>
    <x v="0"/>
    <s v="174BAM0590"/>
    <n v="0"/>
    <x v="162"/>
    <s v="0590"/>
    <n v="-60.0266286402994"/>
    <n v="-1.9945066598544301"/>
    <n v="-60.061643079564398"/>
    <n v="-1.9062319102744101"/>
    <s v="174"/>
    <s v="AM"/>
    <s v="Eixo Principal"/>
    <s v="-"/>
    <s v="174BAM0590"/>
    <s v="IGARAPÉ LAGES"/>
    <s v="IGARAPÉ SANTA CRUZ"/>
    <n v="997.7"/>
    <n v="1008.3"/>
    <n v="10.6"/>
    <x v="2"/>
    <m/>
    <m/>
    <s v="Federal"/>
    <m/>
    <m/>
    <m/>
    <s v="Federal"/>
    <s v="PAV"/>
    <s v="Castanho"/>
  </r>
  <r>
    <x v="0"/>
    <s v="174BAM0595"/>
    <n v="0"/>
    <x v="162"/>
    <s v="0595"/>
    <n v="-60.061643079564398"/>
    <n v="-1.9062319102744101"/>
    <n v="-60.115226859831601"/>
    <n v="-1.8384662898873201"/>
    <s v="174"/>
    <s v="AM"/>
    <s v="Eixo Principal"/>
    <s v="-"/>
    <s v="174BAM0595"/>
    <s v="IGARAPÉ SANTA CRUZ"/>
    <s v="IGARAPÉ CANOAS"/>
    <n v="1008.3"/>
    <n v="1018.3"/>
    <n v="10"/>
    <x v="2"/>
    <m/>
    <m/>
    <s v="Federal"/>
    <m/>
    <m/>
    <m/>
    <s v="Federal"/>
    <s v="PAV"/>
    <s v="Castanho"/>
  </r>
  <r>
    <x v="0"/>
    <s v="174BAM0600"/>
    <n v="0"/>
    <x v="162"/>
    <s v="0600"/>
    <n v="-60.115226859831601"/>
    <n v="-1.8384662898873201"/>
    <n v="-60.136666749570701"/>
    <n v="-1.8249039900270501"/>
    <s v="174"/>
    <s v="AM"/>
    <s v="Eixo Principal"/>
    <s v="-"/>
    <s v="174BAM0600"/>
    <s v="IGARAPÉ CANOAS"/>
    <s v="IGARAPÉ CANASTRA"/>
    <n v="1018.3"/>
    <n v="1021.2"/>
    <n v="2.9"/>
    <x v="2"/>
    <m/>
    <m/>
    <s v="Federal"/>
    <m/>
    <m/>
    <m/>
    <s v="Federal"/>
    <s v="PAV"/>
    <s v="Castanho"/>
  </r>
  <r>
    <x v="0"/>
    <s v="174BAM0610"/>
    <n v="0"/>
    <x v="162"/>
    <s v="0610"/>
    <n v="-60.136666749570701"/>
    <n v="-1.8249039900270501"/>
    <n v="-60.238255829842601"/>
    <n v="-1.5348686299832299"/>
    <s v="174"/>
    <s v="AM"/>
    <s v="Eixo Principal"/>
    <s v="-"/>
    <s v="174BAM0610"/>
    <s v="IGARAPÉ CANASTRA"/>
    <s v="IGARAPÉ CORUJA"/>
    <n v="1021.2"/>
    <n v="1056.5"/>
    <n v="35.299999999999997"/>
    <x v="2"/>
    <m/>
    <m/>
    <s v="Federal"/>
    <m/>
    <m/>
    <m/>
    <s v="Federal"/>
    <s v="PAV"/>
    <s v="Castanho"/>
  </r>
  <r>
    <x v="0"/>
    <s v="174BAM0612"/>
    <n v="0"/>
    <x v="162"/>
    <s v="0612"/>
    <n v="-60.238255829842601"/>
    <n v="-1.5348686299832299"/>
    <n v="-60.244058479614999"/>
    <n v="-1.5233381000732"/>
    <s v="174"/>
    <s v="AM"/>
    <s v="Eixo Principal"/>
    <s v="-"/>
    <s v="174BAM0612"/>
    <s v="IGARAPÉ CORUJA"/>
    <s v="IGARAPÉ PICANÇO"/>
    <n v="1056.5"/>
    <n v="1058.0999999999999"/>
    <n v="1.6"/>
    <x v="2"/>
    <m/>
    <m/>
    <s v="Federal"/>
    <m/>
    <m/>
    <m/>
    <s v="Federal"/>
    <s v="PAV"/>
    <s v="Castanho"/>
  </r>
  <r>
    <x v="0"/>
    <s v="174BAM0615"/>
    <n v="0"/>
    <x v="162"/>
    <s v="0615"/>
    <n v="-60.244058479614999"/>
    <n v="-1.5233381000732"/>
    <n v="-60.277460529779603"/>
    <n v="-1.4720942298647499"/>
    <s v="174"/>
    <s v="AM"/>
    <s v="Eixo Principal"/>
    <s v="-"/>
    <s v="174BAM0615"/>
    <s v="IGARAPÉ PICANÇO"/>
    <s v="IGARAPÉ ITABOCA"/>
    <n v="1058.0999999999999"/>
    <n v="1064.7"/>
    <n v="6.6"/>
    <x v="2"/>
    <m/>
    <m/>
    <s v="Federal"/>
    <m/>
    <m/>
    <m/>
    <s v="Federal"/>
    <s v="PAV"/>
    <s v="Castanho"/>
  </r>
  <r>
    <x v="0"/>
    <s v="174BAM0620"/>
    <n v="0"/>
    <x v="162"/>
    <s v="0620"/>
    <n v="-60.277460529779603"/>
    <n v="-1.4720942298647499"/>
    <n v="-60.4062994601518"/>
    <n v="-1.2614005500952801"/>
    <s v="174"/>
    <s v="AM"/>
    <s v="Eixo Principal"/>
    <s v="-"/>
    <s v="174BAM0620"/>
    <s v="IGARAPÉ ITABOCA"/>
    <s v="INÍCIO TERRA INDÍGENA (RIO SANTO ANTÔNIO DA ABONARÍ)"/>
    <n v="1064.7"/>
    <n v="1093.3"/>
    <n v="28.6"/>
    <x v="2"/>
    <m/>
    <m/>
    <s v="Federal"/>
    <m/>
    <m/>
    <m/>
    <s v="Federal"/>
    <s v="PAV"/>
    <s v="Castanho"/>
  </r>
  <r>
    <x v="0"/>
    <s v="174BAM0630"/>
    <n v="0"/>
    <x v="162"/>
    <s v="0630"/>
    <n v="-60.4062994601518"/>
    <n v="-1.2614005500952801"/>
    <n v="-60.468342390388898"/>
    <n v="-1.0687859701963001"/>
    <s v="174"/>
    <s v="AM"/>
    <s v="Eixo Principal"/>
    <s v="-"/>
    <s v="174BAM0630"/>
    <s v="INÍCIO TERRA INDÍGENA (RIO SANTO ANTÔNIO DA ABONARÍ)"/>
    <s v="IGARAPÉ ORLANDO"/>
    <n v="1093.3"/>
    <n v="1115.8"/>
    <n v="22.5"/>
    <x v="2"/>
    <m/>
    <m/>
    <s v="Federal"/>
    <m/>
    <m/>
    <m/>
    <s v="Federal"/>
    <s v="PAV"/>
    <s v="Castanho"/>
  </r>
  <r>
    <x v="0"/>
    <s v="174BAM0635"/>
    <n v="0"/>
    <x v="162"/>
    <s v="0635"/>
    <n v="-60.468342390388898"/>
    <n v="-1.0687859701963001"/>
    <n v="-60.481460220113"/>
    <n v="-1.02538091020079"/>
    <s v="174"/>
    <s v="AM"/>
    <s v="Eixo Principal"/>
    <s v="-"/>
    <s v="174BAM0635"/>
    <s v="IGARAPÉ ORLANDO"/>
    <s v="RIO TAQUARI"/>
    <n v="1115.8"/>
    <n v="1120.8"/>
    <n v="5"/>
    <x v="2"/>
    <m/>
    <m/>
    <s v="Federal"/>
    <m/>
    <m/>
    <m/>
    <s v="Federal"/>
    <s v="PAV"/>
    <s v="Castanho"/>
  </r>
  <r>
    <x v="0"/>
    <s v="174BAM0640"/>
    <n v="0"/>
    <x v="162"/>
    <s v="0640"/>
    <n v="-60.481460220113"/>
    <n v="-1.02538091020079"/>
    <n v="-60.491238410224398"/>
    <n v="-0.99150600010176504"/>
    <s v="174"/>
    <s v="AM"/>
    <s v="Eixo Principal"/>
    <s v="-"/>
    <s v="174BAM0640"/>
    <s v="RIO TAQUARI"/>
    <s v="IGARAPÉ BENITO"/>
    <n v="1120.8"/>
    <n v="1124.7"/>
    <n v="3.9"/>
    <x v="2"/>
    <m/>
    <m/>
    <s v="Federal"/>
    <m/>
    <m/>
    <m/>
    <s v="Federal"/>
    <s v="PAV"/>
    <s v="Castanho"/>
  </r>
  <r>
    <x v="0"/>
    <s v="174BAM0645"/>
    <n v="0"/>
    <x v="162"/>
    <s v="0645"/>
    <n v="-60.491238410224398"/>
    <n v="-0.99150600010176504"/>
    <n v="-60.514574919796601"/>
    <n v="-0.87244940031951002"/>
    <s v="174"/>
    <s v="AM"/>
    <s v="Eixo Principal"/>
    <s v="-"/>
    <s v="174BAM0645"/>
    <s v="IGARAPÉ BENITO"/>
    <s v="IGARAPÉ TIARAJÚ"/>
    <n v="1124.7"/>
    <n v="1138.5"/>
    <n v="13.8"/>
    <x v="2"/>
    <m/>
    <m/>
    <s v="Federal"/>
    <m/>
    <m/>
    <m/>
    <s v="Federal"/>
    <s v="PAV"/>
    <s v="Castanho"/>
  </r>
  <r>
    <x v="0"/>
    <s v="174BAM0650"/>
    <n v="0"/>
    <x v="162"/>
    <s v="0650"/>
    <n v="-60.514574919796601"/>
    <n v="-0.87244940031951002"/>
    <n v="-60.520125379882302"/>
    <n v="-0.85927884963916801"/>
    <s v="174"/>
    <s v="AM"/>
    <s v="Eixo Principal"/>
    <s v="-"/>
    <s v="174BAM0650"/>
    <s v="IGARAPÉ TIARAJÚ"/>
    <s v="DIV AM/RR (RIO ALALAÚ)"/>
    <n v="1138.5"/>
    <n v="1140.2"/>
    <n v="1.7"/>
    <x v="2"/>
    <m/>
    <m/>
    <s v="Federal"/>
    <m/>
    <m/>
    <m/>
    <s v="Federal"/>
    <s v="PAV"/>
    <s v="Castanho"/>
  </r>
  <r>
    <x v="0"/>
    <s v="174BMT0010"/>
    <n v="0"/>
    <x v="163"/>
    <s v="0010"/>
    <n v="-57.845935990053803"/>
    <n v="-16.665594979824299"/>
    <n v="-57.6164705795535"/>
    <n v="-16.156874889864199"/>
    <s v="174"/>
    <s v="MT"/>
    <s v="Eixo Principal"/>
    <s v="-"/>
    <s v="174BMT0010"/>
    <s v="PORTO SANTO ANTÔNIO DAS LENDAS"/>
    <s v="ENTR BR-070(A)"/>
    <n v="0"/>
    <n v="68"/>
    <n v="68"/>
    <x v="3"/>
    <m/>
    <m/>
    <s v="Federal"/>
    <m/>
    <m/>
    <m/>
    <s v="Federal"/>
    <s v="N_PAV"/>
    <s v="Cáceres"/>
  </r>
  <r>
    <x v="0"/>
    <s v="174BMT0020"/>
    <n v="0"/>
    <x v="163"/>
    <s v="0020"/>
    <n v="-57.6164705795535"/>
    <n v="-16.156874889864199"/>
    <n v="-57.670590649838502"/>
    <n v="-16.111871130248399"/>
    <s v="174"/>
    <s v="MT"/>
    <s v="Eixo Principal"/>
    <s v="Coinc"/>
    <s v="174BMT0020"/>
    <s v="ENTR BR-070(A)"/>
    <s v="INÍCIO DA TRAVESSIA URBANA DE CÁCERES"/>
    <n v="68"/>
    <n v="76.5"/>
    <n v="8.5"/>
    <x v="2"/>
    <m/>
    <s v="070BMT0575"/>
    <s v="Federal"/>
    <m/>
    <m/>
    <m/>
    <s v="Federal"/>
    <s v="PAV"/>
    <s v="Cáceres"/>
  </r>
  <r>
    <x v="0"/>
    <s v="174BMT0022"/>
    <n v="0"/>
    <x v="163"/>
    <s v="0022"/>
    <n v="-57.670590649838502"/>
    <n v="-16.111871130248399"/>
    <n v="-57.7023482096021"/>
    <n v="-16.076158499615001"/>
    <s v="174"/>
    <s v="MT"/>
    <s v="Eixo Principal"/>
    <s v="Coinc"/>
    <s v="174BMT0022"/>
    <s v="INÍCIO DA TRAVESSIA URBANA DE CÁCERES"/>
    <s v="PONTE S/RIO PARAGUAI (FIM DA TRAVESSIA URBANA DE CÁCERES)"/>
    <n v="76.5"/>
    <n v="82.4"/>
    <n v="5.9"/>
    <x v="2"/>
    <m/>
    <s v="070BMT0580"/>
    <s v="Federal"/>
    <m/>
    <m/>
    <m/>
    <s v="Federal"/>
    <s v="PAV"/>
    <s v="Cáceres"/>
  </r>
  <r>
    <x v="0"/>
    <s v="174BMT0025"/>
    <n v="0"/>
    <x v="163"/>
    <s v="0025"/>
    <n v="-57.7023482096021"/>
    <n v="-16.076158499615001"/>
    <n v="-57.738482730193802"/>
    <n v="-16.013068440156299"/>
    <s v="174"/>
    <s v="MT"/>
    <s v="Eixo Principal"/>
    <s v="Coinc"/>
    <s v="174BMT0025"/>
    <s v="PONTE S/RIO PARAGUAI (FIM DA TRAVESSIA URBANA DE CÁCERES)"/>
    <s v="ENTR BR-070(B)"/>
    <n v="82.4"/>
    <n v="90.6"/>
    <n v="8.1999999999999993"/>
    <x v="2"/>
    <m/>
    <s v="070BMT0585"/>
    <s v="Federal"/>
    <m/>
    <m/>
    <m/>
    <s v="Federal"/>
    <s v="PAV"/>
    <s v="Cáceres"/>
  </r>
  <r>
    <x v="0"/>
    <s v="174BMT0030"/>
    <n v="0"/>
    <x v="163"/>
    <s v="0030"/>
    <n v="-57.738482730193802"/>
    <n v="-16.013068440156299"/>
    <n v="-57.859523739828703"/>
    <n v="-15.8443660897232"/>
    <s v="174"/>
    <s v="MT"/>
    <s v="Eixo Principal"/>
    <s v="-"/>
    <s v="174BMT0030"/>
    <s v="ENTR BR-070(B)"/>
    <s v="ENTR MT-170 (CARAMÚJO)"/>
    <n v="90.6"/>
    <n v="113.6"/>
    <n v="23"/>
    <x v="2"/>
    <m/>
    <m/>
    <s v="Federal"/>
    <m/>
    <m/>
    <m/>
    <s v="Federal"/>
    <s v="PAV"/>
    <s v="Cáceres"/>
  </r>
  <r>
    <x v="0"/>
    <s v="174BMT0032"/>
    <n v="0"/>
    <x v="163"/>
    <s v="0032"/>
    <n v="-57.859523739828703"/>
    <n v="-15.8443660897232"/>
    <n v="-58.035813360098402"/>
    <n v="-15.8212052699072"/>
    <s v="174"/>
    <s v="MT"/>
    <s v="Eixo Principal"/>
    <s v="-"/>
    <s v="174BMT0032"/>
    <s v="ENTR MT-170 (CARAMÚJO)"/>
    <s v="ENTR MT-175(A)"/>
    <n v="113.6"/>
    <n v="132.9"/>
    <n v="19.3"/>
    <x v="2"/>
    <m/>
    <m/>
    <s v="Federal"/>
    <m/>
    <m/>
    <m/>
    <s v="Federal"/>
    <s v="PAV"/>
    <s v="Cáceres"/>
  </r>
  <r>
    <x v="0"/>
    <s v="174BMT0033"/>
    <n v="0"/>
    <x v="163"/>
    <s v="0033"/>
    <n v="-58.035813360098402"/>
    <n v="-15.8212052699072"/>
    <n v="-58.087365449555797"/>
    <n v="-15.817925089870901"/>
    <s v="174"/>
    <s v="MT"/>
    <s v="Eixo Principal"/>
    <s v="-"/>
    <s v="174BMT0033"/>
    <s v="ENTR MT-175(A)"/>
    <s v="ENTR MT-175(B) (P/MIRASSOL D'OESTE)"/>
    <n v="132.9"/>
    <n v="140.1"/>
    <n v="7.2"/>
    <x v="2"/>
    <m/>
    <m/>
    <s v="Federal"/>
    <m/>
    <m/>
    <m/>
    <s v="Federal"/>
    <s v="PAV"/>
    <s v="Cáceres"/>
  </r>
  <r>
    <x v="0"/>
    <s v="174BMT0034"/>
    <n v="0"/>
    <x v="163"/>
    <s v="0034"/>
    <n v="-58.087365449555797"/>
    <n v="-15.817925089870901"/>
    <n v="-58.315913270081197"/>
    <n v="-15.813943700341399"/>
    <s v="174"/>
    <s v="MT"/>
    <s v="Eixo Principal"/>
    <s v="-"/>
    <s v="174BMT0034"/>
    <s v="ENTR MT-175(B) (P/MIRASSOL D'OESTE)"/>
    <s v="ENTR MT-339 (P/GLÓRIA D'OESTE)"/>
    <n v="140.1"/>
    <n v="165.7"/>
    <n v="25.6"/>
    <x v="2"/>
    <m/>
    <m/>
    <s v="Federal"/>
    <m/>
    <m/>
    <m/>
    <s v="Federal"/>
    <s v="PAV"/>
    <s v="Cáceres"/>
  </r>
  <r>
    <x v="0"/>
    <s v="174BMT0035"/>
    <n v="0"/>
    <x v="163"/>
    <s v="0035"/>
    <n v="-58.315913270081197"/>
    <n v="-15.813943700341399"/>
    <n v="-58.4207406102908"/>
    <n v="-15.819467050364"/>
    <s v="174"/>
    <s v="MT"/>
    <s v="Eixo Principal"/>
    <s v="-"/>
    <s v="174BMT0035"/>
    <s v="ENTR MT-339 (P/GLÓRIA D'OESTE)"/>
    <s v="ENTR MT-180 (P/INDIAVAÍ)"/>
    <n v="165.7"/>
    <n v="177.8"/>
    <n v="12.1"/>
    <x v="2"/>
    <m/>
    <m/>
    <s v="Federal"/>
    <m/>
    <m/>
    <m/>
    <s v="Federal"/>
    <s v="PAV"/>
    <s v="Cáceres"/>
  </r>
  <r>
    <x v="0"/>
    <s v="174BMT0036"/>
    <n v="0"/>
    <x v="163"/>
    <s v="0036"/>
    <n v="-58.4207406102908"/>
    <n v="-15.819467050364"/>
    <n v="-58.470205650270401"/>
    <n v="-15.850969360047801"/>
    <s v="174"/>
    <s v="MT"/>
    <s v="Eixo Principal"/>
    <s v="-"/>
    <s v="174BMT0036"/>
    <s v="ENTR MT-180 (P/INDIAVAÍ)"/>
    <s v="PORTO ESPERIDIÃO"/>
    <n v="177.8"/>
    <n v="184.4"/>
    <n v="6.6"/>
    <x v="2"/>
    <m/>
    <m/>
    <s v="Federal"/>
    <m/>
    <m/>
    <m/>
    <s v="Federal"/>
    <s v="PAV"/>
    <s v="Cáceres"/>
  </r>
  <r>
    <x v="0"/>
    <s v="174BMT0050"/>
    <n v="0"/>
    <x v="163"/>
    <s v="0050"/>
    <n v="-58.470205650270401"/>
    <n v="-15.850969360047801"/>
    <n v="-58.528247740440797"/>
    <n v="-15.8514499604472"/>
    <s v="174"/>
    <s v="MT"/>
    <s v="Eixo Principal"/>
    <s v="-"/>
    <s v="174BMT0050"/>
    <s v="PORTO ESPERIDIÃO"/>
    <s v="ENTR MT-265/388"/>
    <n v="184.4"/>
    <n v="190.8"/>
    <n v="6.4"/>
    <x v="2"/>
    <m/>
    <m/>
    <s v="Federal"/>
    <m/>
    <m/>
    <m/>
    <s v="Federal"/>
    <s v="PAV"/>
    <s v="Cáceres"/>
  </r>
  <r>
    <x v="0"/>
    <s v="174BMT0090"/>
    <n v="0"/>
    <x v="163"/>
    <s v="0090"/>
    <n v="-58.528247740440797"/>
    <n v="-15.8514499604472"/>
    <n v="-59.132353210032498"/>
    <n v="-15.414418689770599"/>
    <s v="174"/>
    <s v="MT"/>
    <s v="Eixo Principal"/>
    <s v="-"/>
    <s v="174BMT0090"/>
    <s v="ENTR MT-265/388"/>
    <s v="ENTR MT-248 (P/JAURÚ)"/>
    <n v="190.8"/>
    <n v="275.8"/>
    <n v="85"/>
    <x v="2"/>
    <m/>
    <m/>
    <s v="Federal"/>
    <m/>
    <m/>
    <m/>
    <s v="Federal"/>
    <s v="PAV"/>
    <s v="Cáceres"/>
  </r>
  <r>
    <x v="0"/>
    <s v="174BMT0091"/>
    <n v="0"/>
    <x v="163"/>
    <s v="0091"/>
    <n v="-59.132353210032498"/>
    <n v="-15.414418689770599"/>
    <n v="-59.145418510355903"/>
    <n v="-15.400369579692301"/>
    <s v="174"/>
    <s v="MT"/>
    <s v="Eixo Principal"/>
    <s v="-"/>
    <s v="174BMT0091"/>
    <s v="ENTR MT-248 (P/JAURÚ)"/>
    <s v="ENTR MT-247 (P/VALE DE SÃO DOMINGOS)"/>
    <n v="275.8"/>
    <n v="278"/>
    <n v="2.2000000000000002"/>
    <x v="2"/>
    <m/>
    <m/>
    <s v="Federal"/>
    <m/>
    <m/>
    <m/>
    <s v="Federal"/>
    <s v="PAV"/>
    <s v="Cáceres"/>
  </r>
  <r>
    <x v="0"/>
    <s v="174BMT0092"/>
    <n v="0"/>
    <x v="163"/>
    <s v="0092"/>
    <n v="-59.145418510355903"/>
    <n v="-15.400369579692301"/>
    <n v="-59.313760429600102"/>
    <n v="-15.24322148958"/>
    <s v="174"/>
    <s v="MT"/>
    <s v="Eixo Principal"/>
    <s v="-"/>
    <s v="174BMT0092"/>
    <s v="ENTR MT-247 (P/VALE DE SÃO DOMINGOS)"/>
    <s v="ENTR MT-473 (PONTES E LACERDA)"/>
    <n v="278"/>
    <n v="303.39999999999998"/>
    <n v="25.4"/>
    <x v="2"/>
    <m/>
    <m/>
    <s v="Federal"/>
    <m/>
    <m/>
    <m/>
    <s v="Federal"/>
    <s v="PAV"/>
    <s v="Cáceres"/>
  </r>
  <r>
    <x v="0"/>
    <s v="174BMT0094"/>
    <n v="0"/>
    <x v="163"/>
    <s v="0094"/>
    <n v="-59.313760429600102"/>
    <n v="-15.24322148958"/>
    <n v="-59.316656850033503"/>
    <n v="-15.153688379814801"/>
    <s v="174"/>
    <s v="MT"/>
    <s v="Eixo Principal"/>
    <s v="-"/>
    <s v="174BMT0094"/>
    <s v="ENTR MT-473 (PONTES E LACERDA)"/>
    <s v="ENTR MT-246"/>
    <n v="303.39999999999998"/>
    <n v="313.8"/>
    <n v="10.4"/>
    <x v="2"/>
    <m/>
    <m/>
    <s v="Federal"/>
    <m/>
    <m/>
    <m/>
    <s v="Federal"/>
    <s v="PAV"/>
    <s v="Cáceres"/>
  </r>
  <r>
    <x v="0"/>
    <s v="174BMT0100"/>
    <n v="0"/>
    <x v="163"/>
    <s v="0100"/>
    <n v="-59.316656850033503"/>
    <n v="-15.153688379814801"/>
    <n v="-59.373063389963399"/>
    <n v="-14.7256632699438"/>
    <s v="174"/>
    <s v="MT"/>
    <s v="Eixo Principal"/>
    <s v="-"/>
    <s v="174BMT0100"/>
    <s v="ENTR MT-246"/>
    <s v="PONTE S/RIO SARARÉ"/>
    <n v="313.8"/>
    <n v="365.5"/>
    <n v="51.7"/>
    <x v="2"/>
    <m/>
    <m/>
    <s v="Federal"/>
    <m/>
    <m/>
    <m/>
    <s v="Federal"/>
    <s v="PAV"/>
    <s v="Cáceres"/>
  </r>
  <r>
    <x v="0"/>
    <s v="174BMT0110"/>
    <n v="0"/>
    <x v="163"/>
    <s v="0110"/>
    <n v="-59.373063389963399"/>
    <n v="-14.7256632699438"/>
    <n v="-59.543944640332803"/>
    <n v="-14.5422104704368"/>
    <s v="174"/>
    <s v="MT"/>
    <s v="Eixo Principal"/>
    <s v="-"/>
    <s v="174BMT0110"/>
    <s v="PONTE S/RIO SARARÉ"/>
    <s v="CONQUISTA DO OESTE"/>
    <n v="365.5"/>
    <n v="394"/>
    <n v="28.5"/>
    <x v="2"/>
    <m/>
    <m/>
    <s v="Federal"/>
    <m/>
    <m/>
    <m/>
    <s v="Federal"/>
    <s v="PAV"/>
    <s v="Cáceres"/>
  </r>
  <r>
    <x v="0"/>
    <s v="174BMT0112"/>
    <n v="0"/>
    <x v="163"/>
    <s v="0112"/>
    <n v="-59.543944640332803"/>
    <n v="-14.5422104704368"/>
    <n v="-59.5827674395656"/>
    <n v="-14.481791150141399"/>
    <s v="174"/>
    <s v="MT"/>
    <s v="Eixo Principal"/>
    <s v="-"/>
    <s v="174BMT0112"/>
    <s v="CONQUISTA DO OESTE"/>
    <s v="PONTE S/RIO GALERA (NOVA LACERDA)"/>
    <n v="394"/>
    <n v="402.3"/>
    <n v="8.3000000000000007"/>
    <x v="2"/>
    <m/>
    <m/>
    <s v="Federal"/>
    <m/>
    <m/>
    <m/>
    <s v="Federal"/>
    <s v="PAV"/>
    <s v="Cáceres"/>
  </r>
  <r>
    <x v="0"/>
    <s v="174BMT0115"/>
    <n v="0"/>
    <x v="163"/>
    <s v="0115"/>
    <n v="-59.5827674395656"/>
    <n v="-14.481791150141399"/>
    <n v="-59.696761760047103"/>
    <n v="-14.181128050019399"/>
    <s v="174"/>
    <s v="MT"/>
    <s v="Eixo Principal"/>
    <s v="-"/>
    <s v="174BMT0115"/>
    <s v="PONTE S/RIO GALERA (NOVA LACERDA)"/>
    <s v="CÓRREGO DOURADO"/>
    <n v="402.3"/>
    <n v="439.9"/>
    <n v="37.6"/>
    <x v="2"/>
    <m/>
    <m/>
    <s v="Federal"/>
    <m/>
    <m/>
    <m/>
    <s v="Federal"/>
    <s v="PAV"/>
    <s v="Cáceres"/>
  </r>
  <r>
    <x v="0"/>
    <s v="174BMT0120"/>
    <n v="0"/>
    <x v="163"/>
    <s v="0120"/>
    <n v="-59.696761760047103"/>
    <n v="-14.181128050019399"/>
    <n v="-59.7936488096448"/>
    <n v="-13.659769059794201"/>
    <s v="174"/>
    <s v="MT"/>
    <s v="Eixo Principal"/>
    <s v="-"/>
    <s v="174BMT0120"/>
    <s v="CÓRREGO DOURADO"/>
    <s v="ENTR MT-235(A) (COMODORO)"/>
    <n v="439.9"/>
    <n v="500.2"/>
    <n v="60.3"/>
    <x v="2"/>
    <m/>
    <m/>
    <s v="Federal"/>
    <m/>
    <m/>
    <m/>
    <s v="Federal"/>
    <s v="PAV"/>
    <s v="Cáceres"/>
  </r>
  <r>
    <x v="0"/>
    <s v="174BMT0125"/>
    <n v="0"/>
    <x v="163"/>
    <s v="0125"/>
    <n v="-59.7936488096448"/>
    <n v="-13.659769059794201"/>
    <n v="-59.798192629786001"/>
    <n v="-13.640614070382901"/>
    <s v="174"/>
    <s v="MT"/>
    <s v="Eixo Principal"/>
    <s v="-"/>
    <s v="174BMT0125"/>
    <s v="ENTR MT-235(A) (COMODORO)"/>
    <s v="ENTR BR-364(A)/MT-235(B)"/>
    <n v="500.2"/>
    <n v="502.4"/>
    <n v="2.2000000000000002"/>
    <x v="2"/>
    <m/>
    <m/>
    <s v="Federal"/>
    <m/>
    <m/>
    <m/>
    <s v="Federal"/>
    <s v="PAV"/>
    <s v="Cáceres"/>
  </r>
  <r>
    <x v="0"/>
    <s v="174BMT0130"/>
    <n v="0"/>
    <x v="163"/>
    <s v="0130"/>
    <n v="-59.798192629786001"/>
    <n v="-13.640614070382901"/>
    <n v="-59.875604890153497"/>
    <n v="-13.175210950025299"/>
    <s v="174"/>
    <s v="MT"/>
    <s v="Eixo Principal"/>
    <s v="-"/>
    <s v="174BMT0130"/>
    <s v="ENTR BR-364(A)/MT-235(B)"/>
    <s v="PADRONAL"/>
    <n v="502.4"/>
    <n v="556.1"/>
    <n v="53.7"/>
    <x v="2"/>
    <m/>
    <s v="364BMT1005"/>
    <s v="Federal"/>
    <m/>
    <m/>
    <m/>
    <s v="Federal"/>
    <s v="PAV"/>
    <s v="Cáceres"/>
  </r>
  <r>
    <x v="0"/>
    <s v="174BMT0132"/>
    <n v="0"/>
    <x v="163"/>
    <s v="0132"/>
    <n v="-59.875604890153497"/>
    <n v="-13.175210950025299"/>
    <n v="-59.934821959865502"/>
    <n v="-13.012953619813601"/>
    <s v="174"/>
    <s v="MT"/>
    <s v="Eixo Principal"/>
    <s v="-"/>
    <s v="174BMT0132"/>
    <s v="PADRONAL"/>
    <s v="RIO 12 DE OUTUBRO"/>
    <n v="556.1"/>
    <n v="585.20000000000005"/>
    <n v="29.1"/>
    <x v="2"/>
    <m/>
    <s v="364BMT1007"/>
    <s v="Federal"/>
    <m/>
    <m/>
    <m/>
    <s v="Federal"/>
    <s v="PAV"/>
    <s v="Cáceres"/>
  </r>
  <r>
    <x v="0"/>
    <s v="174BMT0134"/>
    <n v="0"/>
    <x v="163"/>
    <s v="0134"/>
    <n v="-59.934821959865502"/>
    <n v="-13.012953619813601"/>
    <n v="-60.073443930392997"/>
    <n v="-12.836291869973699"/>
    <s v="174"/>
    <s v="MT"/>
    <s v="Eixo Principal"/>
    <s v="-"/>
    <s v="174BMT0134"/>
    <s v="RIO 12 DE OUTUBRO"/>
    <s v="ENTR BR-364(B) (DIV MT/RO)"/>
    <n v="585.20000000000005"/>
    <n v="602.79999999999995"/>
    <n v="17.600000000000001"/>
    <x v="2"/>
    <m/>
    <s v="364BMT1010"/>
    <s v="Federal"/>
    <m/>
    <m/>
    <m/>
    <s v="Federal"/>
    <s v="PAV"/>
    <s v="Cáceres"/>
  </r>
  <r>
    <x v="0"/>
    <s v="174BMT0180"/>
    <n v="0"/>
    <x v="163"/>
    <s v="0180"/>
    <n v="-59.817910149633597"/>
    <n v="-12.3037564399077"/>
    <n v="-59.586198649947598"/>
    <n v="-12.0971970200263"/>
    <s v="174"/>
    <s v="MT"/>
    <s v="Eixo Principal"/>
    <s v="-"/>
    <s v="174BMT0180"/>
    <s v="ENTR BR-364(B) (DIV RO/MT)"/>
    <s v="BAR CACHOEIRINHA (POSTO FISCAL)"/>
    <n v="602.79999999999995"/>
    <n v="647.29999999999995"/>
    <n v="44.5"/>
    <x v="1"/>
    <m/>
    <m/>
    <s v="Estadual"/>
    <m/>
    <s v="MT-319"/>
    <s v="LEN"/>
    <s v="Estadual"/>
    <s v="PLA"/>
    <s v="Comodoro"/>
  </r>
  <r>
    <x v="0"/>
    <s v="174BMT0184"/>
    <n v="0"/>
    <x v="163"/>
    <s v="0184"/>
    <n v="-59.586198649947598"/>
    <n v="-12.0971970200263"/>
    <n v="-59.185477520371201"/>
    <n v="-11.686455840264699"/>
    <s v="174"/>
    <s v="MT"/>
    <s v="Eixo Principal"/>
    <s v="-"/>
    <s v="174BMT0184"/>
    <s v="BAR CACHOEIRINHA (POSTO FISCAL)"/>
    <s v="RIO VINTE UM (POSTO FISCAL)"/>
    <n v="647.29999999999995"/>
    <n v="721.8"/>
    <n v="74.5"/>
    <x v="1"/>
    <m/>
    <m/>
    <s v="Estadual"/>
    <m/>
    <s v="MT-319"/>
    <s v="LEN"/>
    <s v="Estadual"/>
    <s v="PLA"/>
    <s v="Comodoro"/>
  </r>
  <r>
    <x v="0"/>
    <s v="174BMT0186"/>
    <n v="0"/>
    <x v="163"/>
    <s v="0186"/>
    <n v="-59.185477520371201"/>
    <n v="-11.686455840264699"/>
    <n v="-58.788317029806997"/>
    <n v="-11.4529793203392"/>
    <s v="174"/>
    <s v="MT"/>
    <s v="Eixo Principal"/>
    <s v="-"/>
    <s v="174BMT0186"/>
    <s v="RIO VINTE UM (POSTO FISCAL)"/>
    <s v="ENTR MT-170(A)"/>
    <n v="721.8"/>
    <n v="776.8"/>
    <n v="55"/>
    <x v="1"/>
    <m/>
    <m/>
    <s v="Estadual"/>
    <m/>
    <s v="MT-319"/>
    <s v="LEN"/>
    <s v="Estadual"/>
    <s v="PLA"/>
    <s v="Comodoro"/>
  </r>
  <r>
    <x v="0"/>
    <s v="174BMT0188"/>
    <n v="0"/>
    <x v="163"/>
    <s v="0188"/>
    <n v="-58.788317029806997"/>
    <n v="-11.4529793203392"/>
    <n v="-58.773316650143201"/>
    <n v="-11.4344170803839"/>
    <s v="174"/>
    <s v="MT"/>
    <s v="Eixo Principal"/>
    <s v="-"/>
    <s v="174BMT0188"/>
    <s v="ENTR MT-170(A)"/>
    <s v="INÍCIO DA DUPLICAÇÃO (JUÍNA)"/>
    <n v="776.8"/>
    <n v="779.8"/>
    <n v="3"/>
    <x v="1"/>
    <m/>
    <m/>
    <s v="Estadual"/>
    <m/>
    <s v="MT-170"/>
    <s v="PAV"/>
    <s v="Estadual"/>
    <s v="PLA"/>
    <s v="Comodoro"/>
  </r>
  <r>
    <x v="0"/>
    <s v="174BMT0190"/>
    <n v="0"/>
    <x v="163"/>
    <s v="0190"/>
    <n v="-58.773316650143201"/>
    <n v="-11.4344170803839"/>
    <n v="-58.7403423697045"/>
    <n v="-11.4144932902331"/>
    <s v="174"/>
    <s v="MT"/>
    <s v="Eixo Principal"/>
    <s v="-"/>
    <s v="174BMT0190"/>
    <s v="INÍCIO DA DUPLICAÇÃO (JUÍNA)"/>
    <s v="FIM DA DUPLICAÇÃO (JUÍNA)"/>
    <n v="779.8"/>
    <n v="783.8"/>
    <n v="4"/>
    <x v="1"/>
    <m/>
    <m/>
    <s v="Estadual"/>
    <m/>
    <s v="MT-170"/>
    <s v="DUP"/>
    <s v="Estadual"/>
    <s v="PLA"/>
    <s v="Comodoro"/>
  </r>
  <r>
    <x v="0"/>
    <s v="174BMT0191"/>
    <n v="0"/>
    <x v="163"/>
    <s v="0191"/>
    <n v="-58.7403423697045"/>
    <n v="-11.4144932902331"/>
    <n v="-58.714205339804501"/>
    <n v="-11.4088806501218"/>
    <s v="174"/>
    <s v="MT"/>
    <s v="Eixo Principal"/>
    <s v="-"/>
    <s v="174BMT0191"/>
    <s v="FIM DA DUPLICAÇÃO (JUÍNA)"/>
    <s v="ACESSO AEROPORTO"/>
    <n v="783.8"/>
    <n v="786.8"/>
    <n v="3"/>
    <x v="1"/>
    <m/>
    <m/>
    <s v="Estadual"/>
    <m/>
    <s v="MT-170"/>
    <s v="PAV"/>
    <s v="Estadual"/>
    <s v="PLA"/>
    <s v="Comodoro"/>
  </r>
  <r>
    <x v="0"/>
    <s v="174BMT0193"/>
    <n v="0"/>
    <x v="163"/>
    <s v="0193"/>
    <n v="-58.714205339804501"/>
    <n v="-11.4088806501218"/>
    <n v="-58.6297003198138"/>
    <n v="-11.148979069928"/>
    <s v="174"/>
    <s v="MT"/>
    <s v="Eixo Principal"/>
    <s v="-"/>
    <s v="174BMT0193"/>
    <s v="ACESSO AEROPORTO"/>
    <s v="INÍCIO DA DUPLICAÇÃO (P/ CASTANHEIRA)"/>
    <n v="786.8"/>
    <n v="820.4"/>
    <n v="33.6"/>
    <x v="1"/>
    <m/>
    <m/>
    <s v="Estadual"/>
    <m/>
    <s v="MT-170"/>
    <s v="PAV"/>
    <s v="Estadual"/>
    <s v="PLA"/>
    <s v="Comodoro"/>
  </r>
  <r>
    <x v="0"/>
    <s v="174BMT0194"/>
    <n v="0"/>
    <x v="163"/>
    <s v="0194"/>
    <n v="-58.6297003198138"/>
    <n v="-11.148979069928"/>
    <n v="-58.610431989744399"/>
    <n v="-11.128740220284801"/>
    <s v="174"/>
    <s v="MT"/>
    <s v="Eixo Principal"/>
    <s v="-"/>
    <s v="174BMT0194"/>
    <s v="INÍCIO DA DUPLICAÇÃO (P/ CASTANHEIRA)"/>
    <s v="ENTR MT-420(A)/FIM DA DUPLICAÇÃO (CASTANHEIRA) "/>
    <n v="820.4"/>
    <n v="823.9"/>
    <n v="3.5"/>
    <x v="1"/>
    <m/>
    <m/>
    <s v="Estadual"/>
    <m/>
    <s v="MT-170"/>
    <s v="DUP"/>
    <s v="Estadual"/>
    <s v="PLA"/>
    <s v="Comodoro"/>
  </r>
  <r>
    <x v="0"/>
    <s v="174BMT0195"/>
    <n v="0"/>
    <x v="163"/>
    <s v="0195"/>
    <n v="-58.610431989744399"/>
    <n v="-11.128740220284801"/>
    <n v="-58.616454889781302"/>
    <n v="-11.1213136503046"/>
    <s v="174"/>
    <s v="MT"/>
    <s v="Eixo Principal"/>
    <s v="-"/>
    <s v="174BMT0195"/>
    <s v="ENTR MT-420(A)/FIM DA DUPLICAÇÃO (CASTANHEIRA) "/>
    <s v="FIM DO TRECHO PAVIMENTADO"/>
    <n v="823.9"/>
    <n v="825"/>
    <n v="1.1000000000000001"/>
    <x v="1"/>
    <m/>
    <m/>
    <s v="Estadual"/>
    <m/>
    <s v="MT-170"/>
    <s v="PAV"/>
    <s v="Estadual"/>
    <s v="PLA"/>
    <s v="Comodoro"/>
  </r>
  <r>
    <x v="0"/>
    <s v="174BMT0196"/>
    <n v="0"/>
    <x v="163"/>
    <s v="0196"/>
    <n v="-58.616454889781302"/>
    <n v="-11.1213136503046"/>
    <n v="-58.639980509692698"/>
    <n v="-11.0906625399442"/>
    <s v="174"/>
    <s v="MT"/>
    <s v="Eixo Principal"/>
    <s v="-"/>
    <s v="174BMT0196"/>
    <s v="FIM DO TRECHO PAVIMENTADO"/>
    <s v="ENTR MT-420(B)"/>
    <n v="825"/>
    <n v="829"/>
    <n v="4"/>
    <x v="3"/>
    <m/>
    <m/>
    <s v="Federal"/>
    <m/>
    <m/>
    <m/>
    <s v="Federal"/>
    <s v="N_PAV"/>
    <s v="Comodoro"/>
  </r>
  <r>
    <x v="0"/>
    <s v="174BMT0197"/>
    <n v="0"/>
    <x v="163"/>
    <s v="0197"/>
    <n v="-58.639980509692698"/>
    <n v="-11.0906625399442"/>
    <n v="-58.524280980183001"/>
    <n v="-10.3637252497204"/>
    <s v="174"/>
    <s v="MT"/>
    <s v="Eixo Principal"/>
    <s v="-"/>
    <s v="174BMT0197"/>
    <s v="ENTR MT-420(B)"/>
    <s v="ENTR MT-170(B)/208(A) (P/JURUENA)"/>
    <n v="829"/>
    <n v="925.9"/>
    <n v="96.9"/>
    <x v="3"/>
    <m/>
    <m/>
    <s v="Federal"/>
    <m/>
    <m/>
    <m/>
    <s v="Federal"/>
    <s v="N_PAV"/>
    <s v="Comodoro"/>
  </r>
  <r>
    <x v="0"/>
    <s v="174BMT0200"/>
    <n v="0"/>
    <x v="163"/>
    <s v="0200"/>
    <n v="-58.524280980183001"/>
    <n v="-10.3637252497204"/>
    <n v="-59.088190820150203"/>
    <n v="-10.2652884101319"/>
    <s v="174"/>
    <s v="MT"/>
    <s v="Eixo Principal"/>
    <s v="-"/>
    <s v="174BMT0200"/>
    <s v="ENTR MT-170(B)/208(A) (P/JURUENA)"/>
    <s v="ENTR MT-418(A)/208(B) (PASSAGEM DO LORETO)"/>
    <n v="925.9"/>
    <n v="990.9"/>
    <n v="65"/>
    <x v="3"/>
    <m/>
    <m/>
    <s v="Federal"/>
    <m/>
    <m/>
    <m/>
    <s v="Federal"/>
    <s v="N_PAV"/>
    <s v="Comodoro"/>
  </r>
  <r>
    <x v="0"/>
    <s v="174BMT0202"/>
    <n v="0"/>
    <x v="163"/>
    <s v="0202"/>
    <n v="-59.088190820150203"/>
    <n v="-10.2652884101319"/>
    <n v="-59.209046400371001"/>
    <n v="-9.9649769997886803"/>
    <s v="174"/>
    <s v="MT"/>
    <s v="Eixo Principal"/>
    <s v="-"/>
    <s v="174BMT0202"/>
    <s v="ENTR MT-418(A)/208(B) (PASSAGEM DO LORETO)"/>
    <s v="RIO CANAMÃ"/>
    <n v="990.9"/>
    <n v="1027.9000000000001"/>
    <n v="37"/>
    <x v="3"/>
    <m/>
    <m/>
    <s v="Federal"/>
    <m/>
    <m/>
    <m/>
    <s v="Federal"/>
    <s v="N_PAV"/>
    <s v="Comodoro"/>
  </r>
  <r>
    <x v="0"/>
    <s v="174BMT0204"/>
    <n v="0"/>
    <x v="163"/>
    <s v="0204"/>
    <n v="-59.209046400371001"/>
    <n v="-9.9649769997886803"/>
    <n v="-59.155683099695203"/>
    <n v="-9.7724261998092103"/>
    <s v="174"/>
    <s v="MT"/>
    <s v="Eixo Principal"/>
    <s v="-"/>
    <s v="174BMT0204"/>
    <s v="RIO CANAMÃ"/>
    <s v="IGARAPÉ DO NATAL"/>
    <n v="1027.9000000000001"/>
    <n v="1052.7"/>
    <n v="24.8"/>
    <x v="3"/>
    <m/>
    <m/>
    <s v="Federal"/>
    <m/>
    <m/>
    <m/>
    <s v="Federal"/>
    <s v="N_PAV"/>
    <s v="Comodoro"/>
  </r>
  <r>
    <x v="0"/>
    <s v="174BMT0210"/>
    <n v="0"/>
    <x v="163"/>
    <s v="0210"/>
    <n v="-59.155683099695203"/>
    <n v="-9.7724261998092103"/>
    <n v="-59.211804290135802"/>
    <n v="-9.4741182703418705"/>
    <s v="174"/>
    <s v="MT"/>
    <s v="Eixo Principal"/>
    <s v="-"/>
    <s v="174BMT0210"/>
    <s v="IGARAPÉ DO NATAL"/>
    <s v="ENTR MT-206(A)/418(B) (COLNIZA)"/>
    <n v="1052.7"/>
    <n v="1089.7"/>
    <n v="37"/>
    <x v="3"/>
    <m/>
    <m/>
    <s v="Federal"/>
    <m/>
    <m/>
    <m/>
    <s v="Federal"/>
    <s v="N_PAV"/>
    <s v="Comodoro"/>
  </r>
  <r>
    <x v="0"/>
    <s v="174BMT0214"/>
    <n v="0"/>
    <x v="163"/>
    <s v="0214"/>
    <n v="-59.211804290135802"/>
    <n v="-9.4741182703418705"/>
    <n v="-59.324762999912402"/>
    <n v="-9.3515071999972204"/>
    <s v="174"/>
    <s v="MT"/>
    <s v="Eixo Principal"/>
    <s v="-"/>
    <s v="174BMT0214"/>
    <s v="ENTR MT-206(A)/418(B) (COLNIZA)"/>
    <s v="RIO ARIPUANÃ"/>
    <n v="1089.7"/>
    <n v="1108.7"/>
    <n v="19"/>
    <x v="3"/>
    <m/>
    <m/>
    <s v="Federal"/>
    <m/>
    <m/>
    <m/>
    <s v="Federal"/>
    <s v="N_PAV"/>
    <s v="Comodoro"/>
  </r>
  <r>
    <x v="0"/>
    <s v="174BMT0217"/>
    <n v="0"/>
    <x v="163"/>
    <s v="0217"/>
    <n v="-59.324762999912402"/>
    <n v="-9.3515071999972204"/>
    <n v="-60.075941669672197"/>
    <n v="-9.3206065403595009"/>
    <s v="174"/>
    <s v="MT"/>
    <s v="Eixo Principal"/>
    <s v="-"/>
    <s v="174BMT0217"/>
    <s v="RIO ARIPUANÃ"/>
    <s v="ENTR MT-206(B) (IGARAPÉ DO SOMBRA)"/>
    <n v="1108.7"/>
    <n v="1188.7"/>
    <n v="80"/>
    <x v="3"/>
    <m/>
    <m/>
    <s v="Federal"/>
    <m/>
    <m/>
    <m/>
    <s v="Federal"/>
    <s v="N_PAV"/>
    <s v="Comodoro"/>
  </r>
  <r>
    <x v="0"/>
    <s v="174BMT0220"/>
    <n v="0"/>
    <x v="163"/>
    <s v="0220"/>
    <n v="-60.075941669672197"/>
    <n v="-9.3206065403595009"/>
    <n v="-60.207356899601201"/>
    <n v="-8.7981805800696407"/>
    <s v="174"/>
    <s v="MT"/>
    <s v="Eixo Principal"/>
    <s v="-"/>
    <s v="174BMT0220"/>
    <s v="ENTR MT-206(B) (IGARAPÉ DO SOMBRA)"/>
    <s v="DIV MT/AM"/>
    <n v="1188.7"/>
    <n v="1238.7"/>
    <n v="50"/>
    <x v="1"/>
    <m/>
    <m/>
    <s v="Federal"/>
    <m/>
    <m/>
    <m/>
    <s v="Federal"/>
    <s v="PLA"/>
    <s v="Comodoro"/>
  </r>
  <r>
    <x v="0"/>
    <s v="174BRO0150"/>
    <n v="0"/>
    <x v="164"/>
    <s v="0150"/>
    <n v="-60.073443930392997"/>
    <n v="-12.836291869973699"/>
    <n v="-60.093201009618802"/>
    <n v="-12.776145250203101"/>
    <s v="174"/>
    <s v="RO"/>
    <s v="Eixo Principal"/>
    <s v="-"/>
    <s v="174BRO0150"/>
    <s v="ENTR BR-364(A) (DIV MT/RO)"/>
    <s v="INÍCIO PISTA DUPLA"/>
    <n v="0"/>
    <n v="6.9"/>
    <n v="6.9"/>
    <x v="2"/>
    <m/>
    <s v="364BRO1030"/>
    <s v="Federal"/>
    <m/>
    <m/>
    <m/>
    <s v="Federal"/>
    <s v="PAV"/>
    <s v="Pimenta Bueno"/>
  </r>
  <r>
    <x v="0"/>
    <s v="174BRO0155"/>
    <n v="0"/>
    <x v="164"/>
    <s v="0155"/>
    <n v="-60.093201009618802"/>
    <n v="-12.776145250203101"/>
    <n v="-60.131973749888601"/>
    <n v="-12.740795950172901"/>
    <s v="174"/>
    <s v="RO"/>
    <s v="Eixo Principal"/>
    <s v="-"/>
    <s v="174BRO0155"/>
    <s v="INÍCIO PISTA DUPLA"/>
    <s v="ENTR BR-364(B) (VILHENA)"/>
    <n v="6.9"/>
    <n v="13.2"/>
    <n v="6.3"/>
    <x v="0"/>
    <m/>
    <s v="364BRO1040"/>
    <s v="Federal"/>
    <m/>
    <m/>
    <m/>
    <s v="Federal"/>
    <s v="PAV"/>
    <s v="Pimenta Bueno"/>
  </r>
  <r>
    <x v="0"/>
    <s v="174BRO0160"/>
    <n v="0"/>
    <x v="164"/>
    <s v="0160"/>
    <n v="-60.131973749888601"/>
    <n v="-12.740795950172901"/>
    <n v="-60.128577870272402"/>
    <n v="-12.7261442700419"/>
    <s v="174"/>
    <s v="RO"/>
    <s v="Eixo Principal"/>
    <s v="-"/>
    <s v="174BRO0160"/>
    <s v="ENTR BR-364(B) (VILHENA)"/>
    <s v="FIM PISTA DUPLA"/>
    <n v="13.2"/>
    <n v="14.7"/>
    <n v="1.5"/>
    <x v="0"/>
    <m/>
    <m/>
    <s v="Federal"/>
    <m/>
    <m/>
    <m/>
    <s v="Federal"/>
    <s v="PAV"/>
    <s v="Pimenta Bueno"/>
  </r>
  <r>
    <x v="0"/>
    <s v="174BRO0165"/>
    <n v="0"/>
    <x v="164"/>
    <s v="0165"/>
    <n v="-60.128577870272402"/>
    <n v="-12.7261442700419"/>
    <n v="-60.081072810061997"/>
    <n v="-12.568381280171799"/>
    <s v="174"/>
    <s v="RO"/>
    <s v="Eixo Principal"/>
    <s v="-"/>
    <s v="174BRO0165"/>
    <s v="FIM PISTA DUPLA"/>
    <s v="FIM DO TRECHO PAVIMENTADO"/>
    <n v="14.7"/>
    <n v="33.200000000000003"/>
    <n v="18.5"/>
    <x v="2"/>
    <m/>
    <m/>
    <s v="Federal"/>
    <m/>
    <m/>
    <m/>
    <s v="Federal"/>
    <s v="PAV"/>
    <s v="Pimenta Bueno"/>
  </r>
  <r>
    <x v="0"/>
    <s v="174BRO0170"/>
    <n v="0"/>
    <x v="164"/>
    <s v="0170"/>
    <n v="-60.081072810061997"/>
    <n v="-12.568381280171799"/>
    <n v="-59.817910149633597"/>
    <n v="-12.3037564399077"/>
    <s v="174"/>
    <s v="RO"/>
    <s v="Eixo Principal"/>
    <s v="-"/>
    <s v="174BRO0170"/>
    <s v="FIM DO TRECHO PAVIMENTADO"/>
    <s v="DIV RO/MT"/>
    <n v="33.200000000000003"/>
    <n v="78.900000000000006"/>
    <n v="45.7"/>
    <x v="5"/>
    <m/>
    <m/>
    <s v="Federal"/>
    <m/>
    <m/>
    <m/>
    <s v="Federal"/>
    <s v="N_PAV"/>
    <s v="Pimenta Bueno"/>
  </r>
  <r>
    <x v="0"/>
    <s v="174BRR0670"/>
    <n v="0"/>
    <x v="165"/>
    <s v="0670"/>
    <n v="-60.520125379882302"/>
    <n v="-0.85927884963916801"/>
    <n v="-60.610860070236001"/>
    <n v="-0.599236909555657"/>
    <s v="174"/>
    <s v="RR"/>
    <s v="Eixo Principal"/>
    <s v="-"/>
    <s v="174BRR0670"/>
    <s v="DIV AM/RR (RIO ALALAÚ)"/>
    <s v="IGARAPÉ PIAIA"/>
    <n v="0"/>
    <n v="30.5"/>
    <n v="30.5"/>
    <x v="2"/>
    <m/>
    <m/>
    <s v="Federal"/>
    <m/>
    <m/>
    <m/>
    <s v="Federal"/>
    <s v="PAV"/>
    <s v="Boa Vista"/>
  </r>
  <r>
    <x v="0"/>
    <s v="174BRR0675"/>
    <n v="0"/>
    <x v="165"/>
    <s v="0675"/>
    <n v="-60.610860070236001"/>
    <n v="-0.599236909555657"/>
    <n v="-60.646740359679796"/>
    <n v="-0.50133235980052904"/>
    <s v="174"/>
    <s v="RR"/>
    <s v="Eixo Principal"/>
    <s v="-"/>
    <s v="174BRR0675"/>
    <s v="IGARAPÉ PIAIA"/>
    <s v="IGARAPÉ KAMAA"/>
    <n v="30.5"/>
    <n v="42"/>
    <n v="11.5"/>
    <x v="2"/>
    <m/>
    <m/>
    <s v="Federal"/>
    <m/>
    <m/>
    <m/>
    <s v="Federal"/>
    <s v="PAV"/>
    <s v="Boa Vista"/>
  </r>
  <r>
    <x v="0"/>
    <s v="174BRR0685"/>
    <n v="0"/>
    <x v="165"/>
    <s v="0685"/>
    <n v="-60.646740359679796"/>
    <n v="-0.50133235980052904"/>
    <n v="-60.6926152502935"/>
    <n v="-0.28763560989546"/>
    <s v="174"/>
    <s v="RR"/>
    <s v="Eixo Principal"/>
    <s v="-"/>
    <s v="174BRR0685"/>
    <s v="IGARAPÉ KAMAA"/>
    <s v="IGARAPÉ XERI"/>
    <n v="42"/>
    <n v="66.5"/>
    <n v="24.5"/>
    <x v="2"/>
    <m/>
    <m/>
    <s v="Federal"/>
    <m/>
    <m/>
    <m/>
    <s v="Federal"/>
    <s v="PAV"/>
    <s v="Boa Vista"/>
  </r>
  <r>
    <x v="0"/>
    <s v="174BRR0690"/>
    <n v="0"/>
    <x v="165"/>
    <s v="0690"/>
    <n v="-60.6926152502935"/>
    <n v="-0.28763560989546"/>
    <n v="-60.692009979576802"/>
    <n v="-0.228578290355756"/>
    <s v="174"/>
    <s v="RR"/>
    <s v="Eixo Principal"/>
    <s v="-"/>
    <s v="174BRR0690"/>
    <s v="IGARAPÉ XERI"/>
    <s v="IIGARAPÉ XIKIPI"/>
    <n v="66.5"/>
    <n v="73"/>
    <n v="6.5"/>
    <x v="2"/>
    <m/>
    <m/>
    <s v="Federal"/>
    <m/>
    <m/>
    <m/>
    <s v="Federal"/>
    <s v="PAV"/>
    <s v="Boa Vista"/>
  </r>
  <r>
    <x v="0"/>
    <s v="174BRR0695"/>
    <n v="0"/>
    <x v="165"/>
    <s v="0695"/>
    <n v="-60.692009979576802"/>
    <n v="-0.228578290355756"/>
    <n v="-60.693010499634703"/>
    <n v="-0.207167490087556"/>
    <s v="174"/>
    <s v="RR"/>
    <s v="Eixo Principal"/>
    <s v="-"/>
    <s v="174BRR0695"/>
    <s v="IGARAPÉ XIKIPI"/>
    <s v="ENTR BR-431 (VILA JUNDIÁ)"/>
    <n v="73"/>
    <n v="75.599999999999994"/>
    <n v="2.6"/>
    <x v="2"/>
    <m/>
    <m/>
    <s v="Federal"/>
    <m/>
    <m/>
    <m/>
    <s v="Federal"/>
    <s v="PAV"/>
    <s v="Boa Vista"/>
  </r>
  <r>
    <x v="0"/>
    <s v="174BRR0700"/>
    <n v="0"/>
    <x v="165"/>
    <s v="0700"/>
    <n v="-60.693010499634703"/>
    <n v="-0.207167490087556"/>
    <n v="-60.698785079767497"/>
    <n v="-9.2473780340639994E-2"/>
    <s v="174"/>
    <s v="RR"/>
    <s v="Eixo Principal"/>
    <s v="-"/>
    <s v="174BRR0700"/>
    <s v="ENTR BR-431 (VILA JUNDIÁ)"/>
    <s v="RIO BRANQUINHO"/>
    <n v="75.599999999999994"/>
    <n v="88.5"/>
    <n v="12.9"/>
    <x v="2"/>
    <m/>
    <m/>
    <s v="Federal"/>
    <m/>
    <m/>
    <m/>
    <s v="Federal"/>
    <s v="PAV"/>
    <s v="Boa Vista"/>
  </r>
  <r>
    <x v="0"/>
    <s v="174BRR0705"/>
    <n v="0"/>
    <x v="165"/>
    <s v="0705"/>
    <n v="-60.698785079767497"/>
    <n v="-9.2473780340639994E-2"/>
    <n v="-60.649146369908898"/>
    <n v="-3.9130301559E-5"/>
    <s v="174"/>
    <s v="RR"/>
    <s v="Eixo Principal"/>
    <s v="-"/>
    <s v="174BRR0705"/>
    <s v="RIO BRANQUINHO"/>
    <s v="MARCO DA LINHA DO EQUADOR"/>
    <n v="88.5"/>
    <n v="100.7"/>
    <n v="12.2"/>
    <x v="2"/>
    <m/>
    <m/>
    <s v="Federal"/>
    <m/>
    <m/>
    <m/>
    <s v="Federal"/>
    <s v="PAV"/>
    <s v="Boa Vista"/>
  </r>
  <r>
    <x v="0"/>
    <s v="174BRR0710"/>
    <n v="0"/>
    <x v="165"/>
    <s v="0710"/>
    <n v="-60.649146369908898"/>
    <n v="-3.9130301559E-5"/>
    <n v="-60.643349429932101"/>
    <n v="1.8205110277676999E-2"/>
    <s v="174"/>
    <s v="RR"/>
    <s v="Eixo Principal"/>
    <s v="-"/>
    <s v="174BRR0710"/>
    <s v="MARCO DA LINHA DO EQUADOR"/>
    <s v="IGARAPÉ ARRUDA"/>
    <n v="100.7"/>
    <n v="102.8"/>
    <n v="2.1"/>
    <x v="2"/>
    <m/>
    <m/>
    <s v="Federal"/>
    <m/>
    <m/>
    <m/>
    <s v="Federal"/>
    <s v="PAV"/>
    <s v="Boa Vista"/>
  </r>
  <r>
    <x v="0"/>
    <s v="174BRR0715"/>
    <n v="0"/>
    <x v="165"/>
    <s v="0715"/>
    <n v="-60.643349429932101"/>
    <n v="1.8205110277676999E-2"/>
    <n v="-60.619486959955204"/>
    <n v="6.2750110429306005E-2"/>
    <s v="174"/>
    <s v="RR"/>
    <s v="Eixo Principal"/>
    <s v="-"/>
    <s v="174BRR0715"/>
    <s v="IGARAPÉ ARRUDA"/>
    <s v="IGARAPÉ JUNQUEIRA"/>
    <n v="102.8"/>
    <n v="108.5"/>
    <n v="5.7"/>
    <x v="2"/>
    <m/>
    <m/>
    <s v="Federal"/>
    <m/>
    <m/>
    <m/>
    <s v="Federal"/>
    <s v="PAV"/>
    <s v="Boa Vista"/>
  </r>
  <r>
    <x v="0"/>
    <s v="174BRR0720"/>
    <n v="0"/>
    <x v="165"/>
    <s v="0720"/>
    <n v="-60.619486959955204"/>
    <n v="6.2750110429306005E-2"/>
    <n v="-60.569791340098199"/>
    <n v="0.130619730216438"/>
    <s v="174"/>
    <s v="RR"/>
    <s v="Eixo Principal"/>
    <s v="-"/>
    <s v="174BRR0720"/>
    <s v="IGARAPÉ JUNQUEIRA"/>
    <s v="ENTR VIC 01/02 (VILA DO EQUADOR)"/>
    <n v="108.5"/>
    <n v="118"/>
    <n v="9.5"/>
    <x v="2"/>
    <m/>
    <m/>
    <s v="Federal"/>
    <m/>
    <m/>
    <m/>
    <s v="Federal"/>
    <s v="PAV"/>
    <s v="Boa Vista"/>
  </r>
  <r>
    <x v="0"/>
    <s v="174BRR0725"/>
    <n v="0"/>
    <x v="165"/>
    <s v="0725"/>
    <n v="-60.569791340098199"/>
    <n v="0.130619730216438"/>
    <n v="-60.552281459821401"/>
    <n v="0.152228920028676"/>
    <s v="174"/>
    <s v="RR"/>
    <s v="Eixo Principal"/>
    <s v="-"/>
    <s v="174BRR0725"/>
    <s v="ENTR VIC 01/02 (VILA DO EQUADOR)"/>
    <s v="IGARAPÉ MATIM"/>
    <n v="118"/>
    <n v="121"/>
    <n v="3"/>
    <x v="2"/>
    <m/>
    <m/>
    <s v="Federal"/>
    <m/>
    <m/>
    <m/>
    <s v="Federal"/>
    <s v="PAV"/>
    <s v="Boa Vista"/>
  </r>
  <r>
    <x v="0"/>
    <s v="174BRR0730"/>
    <n v="0"/>
    <x v="165"/>
    <s v="0730"/>
    <n v="-60.552281459821401"/>
    <n v="0.152228920028676"/>
    <n v="-60.542227569946299"/>
    <n v="0.16799072958855299"/>
    <s v="174"/>
    <s v="RR"/>
    <s v="Eixo Principal"/>
    <s v="-"/>
    <s v="174BRR0730"/>
    <s v="IGARAPÉ MATIM"/>
    <s v="IGARAPÉ TENENTE BARREIRO"/>
    <n v="121"/>
    <n v="123.2"/>
    <n v="2.2000000000000002"/>
    <x v="2"/>
    <m/>
    <m/>
    <s v="Federal"/>
    <m/>
    <m/>
    <m/>
    <s v="Federal"/>
    <s v="PAV"/>
    <s v="Boa Vista"/>
  </r>
  <r>
    <x v="0"/>
    <s v="174BRR0735"/>
    <n v="0"/>
    <x v="165"/>
    <s v="0735"/>
    <n v="-60.542227569946299"/>
    <n v="0.16799072958855299"/>
    <n v="-60.521468119857701"/>
    <n v="0.29473836028716999"/>
    <s v="174"/>
    <s v="RR"/>
    <s v="Eixo Principal"/>
    <s v="-"/>
    <s v="174BRR0735"/>
    <s v="IGARAPÉ TENENTE BARREIRO"/>
    <s v="IGARAPÉ DOS PEIXES"/>
    <n v="123.2"/>
    <n v="137.69999999999999"/>
    <n v="14.5"/>
    <x v="2"/>
    <m/>
    <m/>
    <s v="Federal"/>
    <m/>
    <m/>
    <m/>
    <s v="Federal"/>
    <s v="PAV"/>
    <s v="Boa Vista"/>
  </r>
  <r>
    <x v="0"/>
    <s v="174BRR0740"/>
    <n v="0"/>
    <x v="165"/>
    <s v="0740"/>
    <n v="-60.521468119857701"/>
    <n v="0.29473836028716999"/>
    <n v="-60.515725630233497"/>
    <n v="0.34665726971729799"/>
    <s v="174"/>
    <s v="RR"/>
    <s v="Eixo Principal"/>
    <s v="-"/>
    <s v="174BRR0740"/>
    <s v="IGARAPÉ DOS PEIXES"/>
    <s v="RIO TRAIRÍ"/>
    <n v="137.69999999999999"/>
    <n v="143.6"/>
    <n v="5.9"/>
    <x v="2"/>
    <m/>
    <m/>
    <s v="Federal"/>
    <m/>
    <m/>
    <m/>
    <s v="Federal"/>
    <s v="PAV"/>
    <s v="Boa Vista"/>
  </r>
  <r>
    <x v="0"/>
    <s v="174BRR0745"/>
    <n v="0"/>
    <x v="165"/>
    <s v="0745"/>
    <n v="-60.515725630233497"/>
    <n v="0.34665726971729799"/>
    <n v="-60.485542279752302"/>
    <n v="0.40906474014570898"/>
    <s v="174"/>
    <s v="RR"/>
    <s v="Eixo Principal"/>
    <s v="-"/>
    <s v="174BRR0745"/>
    <s v="RIO TRAIRÍ"/>
    <s v="IGARAPÉ EVARISTO"/>
    <n v="143.6"/>
    <n v="151.30000000000001"/>
    <n v="7.7"/>
    <x v="2"/>
    <m/>
    <m/>
    <s v="Federal"/>
    <m/>
    <m/>
    <m/>
    <s v="Federal"/>
    <s v="PAV"/>
    <s v="Boa Vista"/>
  </r>
  <r>
    <x v="0"/>
    <s v="174BRR0750"/>
    <n v="0"/>
    <x v="165"/>
    <s v="0750"/>
    <n v="-60.485542279752302"/>
    <n v="0.40906474014570898"/>
    <n v="-60.478858949980498"/>
    <n v="0.42441370962507102"/>
    <s v="174"/>
    <s v="RR"/>
    <s v="Eixo Principal"/>
    <s v="-"/>
    <s v="174BRR0750"/>
    <s v="IGARAPÉ EVARISTO"/>
    <s v="IGARAPÉ CAP FONTINELE"/>
    <n v="151.30000000000001"/>
    <n v="153.1"/>
    <n v="1.8"/>
    <x v="2"/>
    <m/>
    <m/>
    <s v="Federal"/>
    <m/>
    <m/>
    <m/>
    <s v="Federal"/>
    <s v="PAV"/>
    <s v="Boa Vista"/>
  </r>
  <r>
    <x v="0"/>
    <s v="174BRR0755"/>
    <n v="0"/>
    <x v="165"/>
    <s v="0755"/>
    <n v="-60.478858949980498"/>
    <n v="0.42441370962507102"/>
    <n v="-60.470492199954997"/>
    <n v="0.46619637016641502"/>
    <s v="174"/>
    <s v="RR"/>
    <s v="Eixo Principal"/>
    <s v="-"/>
    <s v="174BRR0755"/>
    <s v="IGARAPÉ CAP FONTINELE"/>
    <s v="IGARAPÉ TENENTE MENDONÇA"/>
    <n v="153.1"/>
    <n v="157.9"/>
    <n v="4.8"/>
    <x v="2"/>
    <m/>
    <m/>
    <s v="Federal"/>
    <m/>
    <m/>
    <m/>
    <s v="Federal"/>
    <s v="PAV"/>
    <s v="Boa Vista"/>
  </r>
  <r>
    <x v="0"/>
    <s v="174BRR0760"/>
    <n v="0"/>
    <x v="165"/>
    <s v="0760"/>
    <n v="-60.470492199954997"/>
    <n v="0.46619637016641502"/>
    <n v="-60.465853229742699"/>
    <n v="0.51402090014448698"/>
    <s v="174"/>
    <s v="RR"/>
    <s v="Eixo Principal"/>
    <s v="-"/>
    <s v="174BRR0760"/>
    <s v="IGARAPÉ TENENTE MENDONÇA"/>
    <s v="RIO JAUAPERI"/>
    <n v="157.9"/>
    <n v="163.19999999999999"/>
    <n v="5.3"/>
    <x v="2"/>
    <m/>
    <m/>
    <s v="Federal"/>
    <m/>
    <m/>
    <m/>
    <s v="Federal"/>
    <s v="PAV"/>
    <s v="Boa Vista"/>
  </r>
  <r>
    <x v="0"/>
    <s v="174BRR0765"/>
    <n v="0"/>
    <x v="165"/>
    <s v="0765"/>
    <n v="-60.465853229742699"/>
    <n v="0.51402090014448698"/>
    <n v="-60.461385920323899"/>
    <n v="0.58435012975473899"/>
    <s v="174"/>
    <s v="RR"/>
    <s v="Eixo Principal"/>
    <s v="-"/>
    <s v="174BRR0765"/>
    <s v="RIO JAUAPERI"/>
    <s v="ENTR VIC 15/16(VILA NOVA COLINA)"/>
    <n v="163.19999999999999"/>
    <n v="170.8"/>
    <n v="7.6"/>
    <x v="2"/>
    <m/>
    <m/>
    <s v="Federal"/>
    <m/>
    <m/>
    <m/>
    <s v="Federal"/>
    <s v="PAV"/>
    <s v="Boa Vista"/>
  </r>
  <r>
    <x v="0"/>
    <s v="174BRR0770"/>
    <n v="0"/>
    <x v="165"/>
    <s v="0770"/>
    <n v="-60.461385920323899"/>
    <n v="0.58435012975473899"/>
    <n v="-60.455181010095401"/>
    <n v="0.64065518029241297"/>
    <s v="174"/>
    <s v="RR"/>
    <s v="Eixo Principal"/>
    <s v="-"/>
    <s v="174BRR0770"/>
    <s v="ENTR VIC 15/16(VILA NOVA COLINA)"/>
    <s v="IGARAPÉ IRAJÁ"/>
    <n v="170.8"/>
    <n v="177.3"/>
    <n v="6.5"/>
    <x v="2"/>
    <m/>
    <m/>
    <s v="Federal"/>
    <m/>
    <m/>
    <m/>
    <s v="Federal"/>
    <s v="PAV"/>
    <s v="Boa Vista"/>
  </r>
  <r>
    <x v="0"/>
    <s v="174BRR0775"/>
    <n v="0"/>
    <x v="165"/>
    <s v="0775"/>
    <n v="-60.455181010095401"/>
    <n v="0.64065518029241297"/>
    <n v="-60.453844009593297"/>
    <n v="0.647562589641836"/>
    <s v="174"/>
    <s v="RR"/>
    <s v="Eixo Principal"/>
    <s v="-"/>
    <s v="174BRR0775"/>
    <s v="IGARAPÉ IRAJÁ"/>
    <s v="IGARAPÉ JABURU"/>
    <n v="177.3"/>
    <n v="178"/>
    <n v="0.7"/>
    <x v="2"/>
    <m/>
    <m/>
    <s v="Federal"/>
    <m/>
    <m/>
    <m/>
    <s v="Federal"/>
    <s v="PAV"/>
    <s v="Boa Vista"/>
  </r>
  <r>
    <x v="0"/>
    <s v="174BRR0780"/>
    <n v="0"/>
    <x v="165"/>
    <s v="0780"/>
    <n v="-60.453844009593297"/>
    <n v="0.647562589641836"/>
    <n v="-60.446453479944097"/>
    <n v="0.68644353004492598"/>
    <s v="174"/>
    <s v="RR"/>
    <s v="Eixo Principal"/>
    <s v="-"/>
    <s v="174BRR0780"/>
    <s v="IGARAPÉ JABURU"/>
    <s v="IGARAPÉ SEABRA"/>
    <n v="178"/>
    <n v="182.4"/>
    <n v="4.4000000000000004"/>
    <x v="2"/>
    <m/>
    <m/>
    <s v="Federal"/>
    <m/>
    <m/>
    <m/>
    <s v="Federal"/>
    <s v="PAV"/>
    <s v="Boa Vista"/>
  </r>
  <r>
    <x v="0"/>
    <s v="174BRR0785"/>
    <n v="0"/>
    <x v="165"/>
    <s v="0785"/>
    <n v="-60.446453479944097"/>
    <n v="0.68644353004492598"/>
    <n v="-60.449452780121597"/>
    <n v="0.78832806009194201"/>
    <s v="174"/>
    <s v="RR"/>
    <s v="Eixo Principal"/>
    <s v="-"/>
    <s v="174BRR0785"/>
    <s v="IGARAPÉ SEABRA"/>
    <s v="IGARAPÉ SÁ NETO"/>
    <n v="182.4"/>
    <n v="194.1"/>
    <n v="11.7"/>
    <x v="2"/>
    <m/>
    <m/>
    <s v="Federal"/>
    <m/>
    <m/>
    <m/>
    <s v="Federal"/>
    <s v="PAV"/>
    <s v="Boa Vista"/>
  </r>
  <r>
    <x v="0"/>
    <s v="174BRR0790"/>
    <n v="0"/>
    <x v="165"/>
    <s v="0790"/>
    <n v="-60.449452780121597"/>
    <n v="0.78832806009194201"/>
    <n v="-60.4325535296216"/>
    <n v="0.91210791005204295"/>
    <s v="174"/>
    <s v="RR"/>
    <s v="Eixo Principal"/>
    <s v="-"/>
    <s v="174BRR0790"/>
    <s v="IGARAPÉ SÁ NETO"/>
    <s v="IGARAPÉ YAMANAKA"/>
    <n v="194.1"/>
    <n v="208.3"/>
    <n v="14.2"/>
    <x v="2"/>
    <m/>
    <m/>
    <s v="Federal"/>
    <m/>
    <m/>
    <m/>
    <s v="Federal"/>
    <s v="PAV"/>
    <s v="Boa Vista"/>
  </r>
  <r>
    <x v="0"/>
    <s v="174BRR0795"/>
    <n v="0"/>
    <x v="165"/>
    <s v="0795"/>
    <n v="-60.4325535296216"/>
    <n v="0.91210791005204295"/>
    <n v="-60.424232129708898"/>
    <n v="0.94282275986250896"/>
    <s v="174"/>
    <s v="RR"/>
    <s v="Eixo Principal"/>
    <s v="-"/>
    <s v="174BRR0795"/>
    <s v="IGARAPÉ YAMANAKA"/>
    <s v="ENTR VIC 01/02 (RORAINÓPÓLIS)"/>
    <n v="208.3"/>
    <n v="211.8"/>
    <n v="3.5"/>
    <x v="2"/>
    <m/>
    <m/>
    <s v="Federal"/>
    <m/>
    <m/>
    <m/>
    <s v="Federal"/>
    <s v="PAV"/>
    <s v="Boa Vista"/>
  </r>
  <r>
    <x v="0"/>
    <s v="174BRR0800"/>
    <n v="0"/>
    <x v="165"/>
    <s v="0800"/>
    <n v="-60.424232129708898"/>
    <n v="0.94282275986250896"/>
    <n v="-60.417618590025803"/>
    <n v="0.95798225028067896"/>
    <s v="174"/>
    <s v="RR"/>
    <s v="Eixo Principal"/>
    <s v="-"/>
    <s v="174BRR0800"/>
    <s v="ENTR VIC 01/02 (RORAINÓPÓLIS)"/>
    <s v="IGARAPÉ TENENTE CORONEL"/>
    <n v="211.8"/>
    <n v="213.6"/>
    <n v="1.8"/>
    <x v="2"/>
    <m/>
    <m/>
    <s v="Federal"/>
    <m/>
    <m/>
    <m/>
    <s v="Federal"/>
    <s v="PAV"/>
    <s v="Boa Vista"/>
  </r>
  <r>
    <x v="0"/>
    <s v="174BRR0805"/>
    <n v="0"/>
    <x v="165"/>
    <s v="0805"/>
    <n v="-60.417618590025803"/>
    <n v="0.95798225028067896"/>
    <n v="-60.382536369757602"/>
    <n v="1.0513682697298901"/>
    <s v="174"/>
    <s v="RR"/>
    <s v="Eixo Principal"/>
    <s v="-"/>
    <s v="174BRR0805"/>
    <s v="IGARAPÉ TENENTE CORONEL"/>
    <s v="IGARAPÉ MARTINS PEREIRA (VILA M PEREIRA)"/>
    <n v="213.6"/>
    <n v="225.1"/>
    <n v="11.5"/>
    <x v="2"/>
    <m/>
    <m/>
    <s v="Federal"/>
    <m/>
    <m/>
    <m/>
    <s v="Federal"/>
    <s v="PAV"/>
    <s v="Boa Vista"/>
  </r>
  <r>
    <x v="0"/>
    <s v="174BRR0810"/>
    <n v="0"/>
    <x v="165"/>
    <s v="0810"/>
    <n v="-60.382536369757602"/>
    <n v="1.0513682697298901"/>
    <n v="-60.387551850137697"/>
    <n v="1.09274197975861"/>
    <s v="174"/>
    <s v="RR"/>
    <s v="Eixo Principal"/>
    <s v="-"/>
    <s v="174BRR0810"/>
    <s v="IGARAPÉ MARTINS PEREIRA (VILA M PEREIRA)"/>
    <s v="IGARAPÉ TENENTE BARRETO"/>
    <n v="225.1"/>
    <n v="229.8"/>
    <n v="4.7"/>
    <x v="2"/>
    <m/>
    <m/>
    <s v="Federal"/>
    <m/>
    <m/>
    <m/>
    <s v="Federal"/>
    <s v="PAV"/>
    <s v="Boa Vista"/>
  </r>
  <r>
    <x v="0"/>
    <s v="174BRR0815"/>
    <n v="0"/>
    <x v="165"/>
    <s v="0815"/>
    <n v="-60.387551850137697"/>
    <n v="1.09274197975861"/>
    <n v="-60.398342319842101"/>
    <n v="1.12262605025205"/>
    <s v="174"/>
    <s v="RR"/>
    <s v="Eixo Principal"/>
    <s v="-"/>
    <s v="174BRR0815"/>
    <s v="IGARAPÉ TENENTE BARRETO"/>
    <s v="IGARAPÉ BISPO"/>
    <n v="229.8"/>
    <n v="233.4"/>
    <n v="3.6"/>
    <x v="2"/>
    <m/>
    <m/>
    <s v="Federal"/>
    <m/>
    <m/>
    <m/>
    <s v="Federal"/>
    <s v="PAV"/>
    <s v="Boa Vista"/>
  </r>
  <r>
    <x v="0"/>
    <s v="174BRR0820"/>
    <n v="0"/>
    <x v="165"/>
    <s v="0820"/>
    <n v="-60.398342319842101"/>
    <n v="1.12262605025205"/>
    <n v="-60.4006605904138"/>
    <n v="1.1301147903653199"/>
    <s v="174"/>
    <s v="RR"/>
    <s v="Eixo Principal"/>
    <s v="-"/>
    <s v="174BRR0820"/>
    <s v="IGARAPÉ BISPO"/>
    <s v="RIO ANAUÁ"/>
    <n v="233.4"/>
    <n v="234.2"/>
    <n v="0.8"/>
    <x v="2"/>
    <m/>
    <m/>
    <s v="Federal"/>
    <m/>
    <m/>
    <m/>
    <s v="Federal"/>
    <s v="PAV"/>
    <s v="Boa Vista"/>
  </r>
  <r>
    <x v="0"/>
    <s v="174BRR0825"/>
    <n v="0"/>
    <x v="165"/>
    <s v="0825"/>
    <n v="-60.4006605904138"/>
    <n v="1.1301147903653199"/>
    <n v="-60.385000040019797"/>
    <n v="1.2235136503347199"/>
    <s v="174"/>
    <s v="RR"/>
    <s v="Eixo Principal"/>
    <s v="-"/>
    <s v="174BRR0825"/>
    <s v="RIO ANAUÁ"/>
    <s v="ENTR BR-210(A) (NOVO PARAÍSO)"/>
    <n v="234.2"/>
    <n v="245.7"/>
    <n v="11.5"/>
    <x v="2"/>
    <m/>
    <m/>
    <s v="Federal"/>
    <m/>
    <m/>
    <m/>
    <s v="Federal"/>
    <s v="PAV"/>
    <s v="Boa Vista"/>
  </r>
  <r>
    <x v="0"/>
    <s v="174BRR0830"/>
    <n v="0"/>
    <x v="165"/>
    <s v="0830"/>
    <n v="-60.385000040019797"/>
    <n v="1.2235136503347199"/>
    <n v="-60.509945649671899"/>
    <n v="1.2759312797048199"/>
    <s v="174"/>
    <s v="RR"/>
    <s v="Eixo Principal"/>
    <s v="-"/>
    <s v="174BRR0830"/>
    <s v="ENTR BR-210(A) (NOVO PARAÍSO)"/>
    <s v="RIO DIAS"/>
    <n v="245.7"/>
    <n v="261.2"/>
    <n v="15.5"/>
    <x v="2"/>
    <m/>
    <s v="210BRR0465"/>
    <s v="Federal"/>
    <m/>
    <m/>
    <m/>
    <s v="Federal"/>
    <s v="PAV"/>
    <s v="Boa Vista"/>
  </r>
  <r>
    <x v="0"/>
    <s v="174BRR0835"/>
    <n v="0"/>
    <x v="165"/>
    <s v="0835"/>
    <n v="-60.509945649671899"/>
    <n v="1.2759312797048199"/>
    <n v="-60.520517280148297"/>
    <n v="1.2853323004453601"/>
    <s v="174"/>
    <s v="RR"/>
    <s v="Eixo Principal"/>
    <s v="-"/>
    <s v="174BRR0835"/>
    <s v="RIO DIAS"/>
    <s v="IGARAPÉ SCHULLER"/>
    <n v="261.2"/>
    <n v="262.89999999999998"/>
    <n v="1.7"/>
    <x v="2"/>
    <m/>
    <s v="210BRR0470"/>
    <s v="Federal"/>
    <m/>
    <m/>
    <m/>
    <s v="Federal"/>
    <s v="PAV"/>
    <s v="Boa Vista"/>
  </r>
  <r>
    <x v="0"/>
    <s v="174BRR0840"/>
    <n v="0"/>
    <x v="165"/>
    <s v="0840"/>
    <n v="-60.520517280148297"/>
    <n v="1.2853323004453601"/>
    <n v="-60.5439169697922"/>
    <n v="1.28993419970362"/>
    <s v="174"/>
    <s v="RR"/>
    <s v="Eixo Principal"/>
    <s v="-"/>
    <s v="174BRR0840"/>
    <s v="IGARAPÉ SCHULLER"/>
    <s v="IGARAPÉ NELSON RIBEIRO"/>
    <n v="262.89999999999998"/>
    <n v="265.5"/>
    <n v="2.6"/>
    <x v="2"/>
    <m/>
    <s v="210BRR0475"/>
    <s v="Federal"/>
    <m/>
    <m/>
    <m/>
    <s v="Federal"/>
    <s v="PAV"/>
    <s v="Boa Vista"/>
  </r>
  <r>
    <x v="0"/>
    <s v="174BRR0845"/>
    <n v="0"/>
    <x v="165"/>
    <s v="0845"/>
    <n v="-60.5439169697922"/>
    <n v="1.28993419970362"/>
    <n v="-60.569051689983397"/>
    <n v="1.3055988599994599"/>
    <s v="174"/>
    <s v="RR"/>
    <s v="Eixo Principal"/>
    <s v="-"/>
    <s v="174BRR0845"/>
    <s v="IGARAPÉ NELSON RIBEIRO"/>
    <s v="IGARAPÉ TAMANDARÉ"/>
    <n v="265.5"/>
    <n v="269"/>
    <n v="3.5"/>
    <x v="2"/>
    <m/>
    <s v="210BRR0480"/>
    <s v="Federal"/>
    <m/>
    <m/>
    <m/>
    <s v="Federal"/>
    <s v="PAV"/>
    <s v="Boa Vista"/>
  </r>
  <r>
    <x v="0"/>
    <s v="174BRR0850"/>
    <n v="0"/>
    <x v="165"/>
    <s v="0850"/>
    <n v="-60.569051689983397"/>
    <n v="1.3055988599994599"/>
    <n v="-60.643771130133501"/>
    <n v="1.3919145696017301"/>
    <s v="174"/>
    <s v="RR"/>
    <s v="Eixo Principal"/>
    <s v="-"/>
    <s v="174BRR0850"/>
    <s v="IGARAPÉ TAMANDARÉ"/>
    <s v="IGARAPÉ CALEFFI"/>
    <n v="269"/>
    <n v="281.7"/>
    <n v="12.7"/>
    <x v="2"/>
    <m/>
    <s v="210BRR0485"/>
    <s v="Federal"/>
    <m/>
    <m/>
    <m/>
    <s v="Federal"/>
    <s v="PAV"/>
    <s v="Boa Vista"/>
  </r>
  <r>
    <x v="0"/>
    <s v="174BRR0855"/>
    <n v="0"/>
    <x v="165"/>
    <s v="0855"/>
    <n v="-60.643771130133501"/>
    <n v="1.3919145696017301"/>
    <n v="-60.693205329662099"/>
    <n v="1.42642043955169"/>
    <s v="174"/>
    <s v="RR"/>
    <s v="Eixo Principal"/>
    <s v="-"/>
    <s v="174BRR0855"/>
    <s v="IGARAPÉ CALEFFI"/>
    <s v="IGARAPÉ KALL"/>
    <n v="281.7"/>
    <n v="288.7"/>
    <n v="7"/>
    <x v="2"/>
    <m/>
    <s v="210BRR0490"/>
    <s v="Federal"/>
    <m/>
    <m/>
    <m/>
    <s v="Federal"/>
    <s v="PAV"/>
    <s v="Boa Vista"/>
  </r>
  <r>
    <x v="0"/>
    <s v="174BRR0860"/>
    <n v="0"/>
    <x v="165"/>
    <s v="0860"/>
    <n v="-60.693205329662099"/>
    <n v="1.42642043955169"/>
    <n v="-60.752184060146099"/>
    <n v="1.4522426096087799"/>
    <s v="174"/>
    <s v="RR"/>
    <s v="Eixo Principal"/>
    <s v="-"/>
    <s v="174BRR0860"/>
    <s v="IGARAPÉ KALL"/>
    <s v="RIO ITÃ"/>
    <n v="288.7"/>
    <n v="296"/>
    <n v="7.3"/>
    <x v="2"/>
    <m/>
    <s v="210BRR0495"/>
    <s v="Federal"/>
    <m/>
    <m/>
    <m/>
    <s v="Federal"/>
    <s v="PAV"/>
    <s v="Boa Vista"/>
  </r>
  <r>
    <x v="0"/>
    <s v="174BRR0865"/>
    <n v="0"/>
    <x v="165"/>
    <s v="0865"/>
    <n v="-60.752184060146099"/>
    <n v="1.4522426096087799"/>
    <n v="-60.8217165299938"/>
    <n v="1.48407886994391"/>
    <s v="174"/>
    <s v="RR"/>
    <s v="Eixo Principal"/>
    <s v="-"/>
    <s v="174BRR0865"/>
    <s v="RIO ITÃ"/>
    <s v="IGARAPÉ SECO"/>
    <n v="296"/>
    <n v="304.7"/>
    <n v="8.6999999999999993"/>
    <x v="2"/>
    <m/>
    <s v="210BRR0500"/>
    <s v="Federal"/>
    <m/>
    <m/>
    <m/>
    <s v="Federal"/>
    <s v="PAV"/>
    <s v="Boa Vista"/>
  </r>
  <r>
    <x v="0"/>
    <s v="174BRR0870"/>
    <n v="0"/>
    <x v="165"/>
    <s v="0870"/>
    <n v="-60.8217165299938"/>
    <n v="1.48407886994391"/>
    <n v="-60.831426830283903"/>
    <n v="1.48221749993774"/>
    <s v="174"/>
    <s v="RR"/>
    <s v="Eixo Principal"/>
    <s v="-"/>
    <s v="174BRR0870"/>
    <s v="IGARAPÉ SECO"/>
    <s v="IGARAPÉ LAGOA"/>
    <n v="304.7"/>
    <n v="305.8"/>
    <n v="1.1000000000000001"/>
    <x v="2"/>
    <m/>
    <s v="210BRR0505"/>
    <s v="Federal"/>
    <m/>
    <m/>
    <m/>
    <s v="Federal"/>
    <s v="PAV"/>
    <s v="Boa Vista"/>
  </r>
  <r>
    <x v="0"/>
    <s v="174BRR0875"/>
    <n v="0"/>
    <x v="165"/>
    <s v="0875"/>
    <n v="-60.831426830283903"/>
    <n v="1.48221749993774"/>
    <n v="-60.863610299975299"/>
    <n v="1.47621117980213"/>
    <s v="174"/>
    <s v="RR"/>
    <s v="Eixo Principal"/>
    <s v="-"/>
    <s v="174BRR0875"/>
    <s v="IGARAPÉ LAGOA"/>
    <s v="RIO BARAUANA"/>
    <n v="305.8"/>
    <n v="309.39999999999998"/>
    <n v="3.6"/>
    <x v="2"/>
    <m/>
    <s v="210BRR0510"/>
    <s v="Federal"/>
    <m/>
    <m/>
    <m/>
    <s v="Federal"/>
    <s v="PAV"/>
    <s v="Boa Vista"/>
  </r>
  <r>
    <x v="0"/>
    <s v="174BRR0880"/>
    <n v="0"/>
    <x v="165"/>
    <s v="0880"/>
    <n v="-60.863610299975299"/>
    <n v="1.47621117980213"/>
    <n v="-60.988999260107697"/>
    <n v="1.5621361897333901"/>
    <s v="174"/>
    <s v="RR"/>
    <s v="Eixo Principal"/>
    <s v="-"/>
    <s v="174BRR0880"/>
    <s v="RIO BARAUANA"/>
    <s v="VILA PETROLINA"/>
    <n v="309.39999999999998"/>
    <n v="329.8"/>
    <n v="20.399999999999999"/>
    <x v="2"/>
    <m/>
    <s v="210BRR0515"/>
    <s v="Federal"/>
    <m/>
    <m/>
    <m/>
    <s v="Federal"/>
    <s v="PAV"/>
    <s v="Boa Vista"/>
  </r>
  <r>
    <x v="0"/>
    <s v="174BRR0885"/>
    <n v="0"/>
    <x v="165"/>
    <s v="0885"/>
    <n v="-60.988999260107697"/>
    <n v="1.5621361897333901"/>
    <n v="-61.141432960162902"/>
    <n v="1.7396065901720501"/>
    <s v="174"/>
    <s v="RR"/>
    <s v="Eixo Principal"/>
    <s v="-"/>
    <s v="174BRR0885"/>
    <s v="VILA PETROLINA"/>
    <s v="RIO BRANCO (VISTA ALEGRE)"/>
    <n v="329.8"/>
    <n v="355.5"/>
    <n v="25.7"/>
    <x v="2"/>
    <m/>
    <s v="210BRR0520"/>
    <s v="Federal"/>
    <m/>
    <m/>
    <m/>
    <s v="Federal"/>
    <s v="PAV"/>
    <s v="Boa Vista"/>
  </r>
  <r>
    <x v="0"/>
    <s v="174BRR0890"/>
    <n v="0"/>
    <x v="165"/>
    <s v="0890"/>
    <n v="-61.141432960162902"/>
    <n v="1.7396065901720501"/>
    <n v="-61.131018790184903"/>
    <n v="1.82795647990764"/>
    <s v="174"/>
    <s v="RR"/>
    <s v="Eixo Principal"/>
    <s v="-"/>
    <s v="174BRR0890"/>
    <s v="RIO BRANCO (VISTA ALEGRE)"/>
    <s v="CARACARAÍ (R. SEN. HÉLIO CAMPOS)"/>
    <n v="355.5"/>
    <n v="367.1"/>
    <n v="11.6"/>
    <x v="2"/>
    <m/>
    <s v="210BRR0530"/>
    <s v="Federal"/>
    <m/>
    <m/>
    <m/>
    <s v="Federal"/>
    <s v="PAV"/>
    <s v="Boa Vista"/>
  </r>
  <r>
    <x v="0"/>
    <s v="174BRR0895"/>
    <n v="0"/>
    <x v="165"/>
    <s v="0895"/>
    <n v="-61.131018790184903"/>
    <n v="1.82795647990764"/>
    <n v="-61.108472850341698"/>
    <n v="1.91203116980267"/>
    <s v="174"/>
    <s v="RR"/>
    <s v="Eixo Principal"/>
    <s v="-"/>
    <s v="174BRR0895"/>
    <s v="CARACARAÍ (R. SEN. HÉLIO CAMPOS)"/>
    <s v="ENTR BR-210(B)/RR-327/347"/>
    <n v="367.1"/>
    <n v="377.2"/>
    <n v="10.1"/>
    <x v="2"/>
    <m/>
    <s v="210BRR0540"/>
    <s v="Federal"/>
    <m/>
    <m/>
    <m/>
    <s v="Federal"/>
    <s v="PAV"/>
    <s v="Boa Vista"/>
  </r>
  <r>
    <x v="0"/>
    <s v="174BRR0900"/>
    <n v="0"/>
    <x v="165"/>
    <s v="0900"/>
    <n v="-61.108472850341698"/>
    <n v="1.91203116980267"/>
    <n v="-61.079508039864002"/>
    <n v="2.0169781899914998"/>
    <s v="174"/>
    <s v="RR"/>
    <s v="Eixo Principal"/>
    <s v="-"/>
    <s v="174BRR0900"/>
    <s v="ENTR BR-210(B)/RR-327/347"/>
    <s v="IGARAPÉ DAS COBRAS"/>
    <n v="377.2"/>
    <n v="391"/>
    <n v="13.8"/>
    <x v="2"/>
    <m/>
    <m/>
    <s v="Federal"/>
    <m/>
    <m/>
    <m/>
    <s v="Federal"/>
    <s v="PAV"/>
    <s v="Boa Vista"/>
  </r>
  <r>
    <x v="0"/>
    <s v="174BRR0905"/>
    <n v="0"/>
    <x v="165"/>
    <s v="0905"/>
    <n v="-61.079508039864002"/>
    <n v="2.0169781899914998"/>
    <n v="-61.054949070143401"/>
    <n v="2.17001502037692"/>
    <s v="174"/>
    <s v="RR"/>
    <s v="Eixo Principal"/>
    <s v="-"/>
    <s v="174BRR0905"/>
    <s v="IGARAPÉ DAS COBRAS"/>
    <s v="ENTR VICINAL 01 (IRACEMA)"/>
    <n v="391"/>
    <n v="410.4"/>
    <n v="19.399999999999999"/>
    <x v="2"/>
    <m/>
    <m/>
    <s v="Federal"/>
    <m/>
    <m/>
    <m/>
    <s v="Federal"/>
    <s v="PAV"/>
    <s v="Boa Vista"/>
  </r>
  <r>
    <x v="0"/>
    <s v="174BRR0910"/>
    <n v="0"/>
    <x v="165"/>
    <s v="0910"/>
    <n v="-61.054949070143401"/>
    <n v="2.17001502037692"/>
    <n v="-60.929299390254599"/>
    <n v="2.2991077097530499"/>
    <s v="174"/>
    <s v="RR"/>
    <s v="Eixo Principal"/>
    <s v="-"/>
    <s v="174BRR0910"/>
    <s v="ENTR VICINAL 01 (IRACEMA)"/>
    <s v="IGARAPÉ BRANCO"/>
    <n v="410.4"/>
    <n v="430.6"/>
    <n v="20.2"/>
    <x v="2"/>
    <m/>
    <m/>
    <s v="Federal"/>
    <m/>
    <m/>
    <m/>
    <s v="Federal"/>
    <s v="PAV"/>
    <s v="Boa Vista"/>
  </r>
  <r>
    <x v="0"/>
    <s v="174BRR0915"/>
    <n v="0"/>
    <x v="165"/>
    <s v="0915"/>
    <n v="-60.929299390254599"/>
    <n v="2.2991077097530499"/>
    <n v="-60.922665159869197"/>
    <n v="2.30074078955584"/>
    <s v="174"/>
    <s v="RR"/>
    <s v="Eixo Principal"/>
    <s v="-"/>
    <s v="174BRR0915"/>
    <s v="IGARAPÉ BRANCO"/>
    <s v="IGARAPÉ AZUL"/>
    <n v="430.6"/>
    <n v="431.3"/>
    <n v="0.7"/>
    <x v="2"/>
    <m/>
    <m/>
    <s v="Federal"/>
    <m/>
    <m/>
    <m/>
    <s v="Federal"/>
    <s v="PAV"/>
    <s v="Boa Vista"/>
  </r>
  <r>
    <x v="0"/>
    <s v="174BRR0920"/>
    <n v="0"/>
    <x v="165"/>
    <s v="0920"/>
    <n v="-60.922665159869197"/>
    <n v="2.30074078955584"/>
    <n v="-60.918670849779801"/>
    <n v="2.4401154098982798"/>
    <s v="174"/>
    <s v="RR"/>
    <s v="Eixo Principal"/>
    <s v="-"/>
    <s v="174BRR0920"/>
    <s v="IGARAPÉ AZUL"/>
    <s v="ENTR RR-325/345 (MUCAJAÍ)"/>
    <n v="431.3"/>
    <n v="448"/>
    <n v="16.7"/>
    <x v="2"/>
    <m/>
    <m/>
    <s v="Federal"/>
    <m/>
    <m/>
    <m/>
    <s v="Federal"/>
    <s v="PAV"/>
    <s v="Boa Vista"/>
  </r>
  <r>
    <x v="0"/>
    <s v="174BRR0925"/>
    <n v="0"/>
    <x v="165"/>
    <s v="0925"/>
    <n v="-60.918670849779801"/>
    <n v="2.4401154098982798"/>
    <n v="-60.918477500036502"/>
    <n v="2.4511895500577299"/>
    <s v="174"/>
    <s v="RR"/>
    <s v="Eixo Principal"/>
    <s v="-"/>
    <s v="174BRR0925"/>
    <s v="ENTR RR-325/345 (MUCAJAÍ)"/>
    <s v="FIM DA DUPLICAÇÃO"/>
    <n v="448"/>
    <n v="449.2"/>
    <n v="1.2"/>
    <x v="0"/>
    <m/>
    <m/>
    <s v="Federal"/>
    <m/>
    <m/>
    <m/>
    <s v="Federal"/>
    <s v="PAV"/>
    <s v="Boa Vista"/>
  </r>
  <r>
    <x v="0"/>
    <s v="174BRR0930"/>
    <n v="0"/>
    <x v="165"/>
    <s v="0930"/>
    <n v="-60.918477500036502"/>
    <n v="2.4511895500577299"/>
    <n v="-60.916071229903302"/>
    <n v="2.4719223703211801"/>
    <s v="174"/>
    <s v="RR"/>
    <s v="Eixo Principal"/>
    <s v="-"/>
    <s v="174BRR0930"/>
    <s v="FIM DA DUPLICAÇÃO"/>
    <s v="RIO MUCAJAÍ"/>
    <n v="449.2"/>
    <n v="451.8"/>
    <n v="2.6"/>
    <x v="2"/>
    <m/>
    <m/>
    <s v="Federal"/>
    <m/>
    <m/>
    <m/>
    <s v="Federal"/>
    <s v="PAV"/>
    <s v="Boa Vista"/>
  </r>
  <r>
    <x v="0"/>
    <s v="174BRR0935"/>
    <n v="0"/>
    <x v="165"/>
    <s v="0935"/>
    <n v="-60.916071229903302"/>
    <n v="2.4719223703211801"/>
    <n v="-60.8116604502695"/>
    <n v="2.7258323603751902"/>
    <s v="174"/>
    <s v="RR"/>
    <s v="Eixo Principal"/>
    <s v="-"/>
    <s v="174BRR0935"/>
    <s v="RIO MUCAJAÍ"/>
    <s v="IGARAPÉ ÁGUA BOA"/>
    <n v="451.8"/>
    <n v="485.4"/>
    <n v="33.6"/>
    <x v="2"/>
    <m/>
    <m/>
    <s v="Federal"/>
    <m/>
    <m/>
    <m/>
    <s v="Federal"/>
    <s v="PAV"/>
    <s v="Boa Vista"/>
  </r>
  <r>
    <x v="0"/>
    <s v="174BRR0940"/>
    <n v="0"/>
    <x v="165"/>
    <s v="0940"/>
    <n v="-60.8116604502695"/>
    <n v="2.7258323603751902"/>
    <n v="-60.749066199645299"/>
    <n v="2.7446988598645099"/>
    <s v="174"/>
    <s v="RR"/>
    <s v="Eixo Principal"/>
    <s v="-"/>
    <s v="174BRR0940"/>
    <s v="IGARAPÉ ÁGUA BOA"/>
    <s v="IGARAPÉ AÍ GRANDE"/>
    <n v="485.4"/>
    <n v="493"/>
    <n v="7.6"/>
    <x v="2"/>
    <m/>
    <m/>
    <s v="Federal"/>
    <m/>
    <m/>
    <m/>
    <s v="Federal"/>
    <s v="PAV"/>
    <s v="Boa Vista"/>
  </r>
  <r>
    <x v="0"/>
    <s v="174BRR0945"/>
    <n v="0"/>
    <x v="165"/>
    <s v="0945"/>
    <n v="-60.749066199645299"/>
    <n v="2.7446988598645099"/>
    <n v="-60.744588690115897"/>
    <n v="2.7482213999976399"/>
    <s v="174"/>
    <s v="RR"/>
    <s v="Eixo Principal"/>
    <s v="-"/>
    <s v="174BRR0945"/>
    <s v="IGARAPÉ AÍ GRANDE"/>
    <s v="ENTR CONTORNO OESTE BOA VISTA (SUL)"/>
    <n v="493"/>
    <n v="493.6"/>
    <n v="0.6"/>
    <x v="2"/>
    <m/>
    <m/>
    <s v="Federal"/>
    <m/>
    <m/>
    <m/>
    <s v="Federal"/>
    <s v="PAV"/>
    <s v="Boa Vista"/>
  </r>
  <r>
    <x v="0"/>
    <s v="174BRR0950"/>
    <n v="0"/>
    <x v="165"/>
    <s v="0950"/>
    <n v="-60.744588690115897"/>
    <n v="2.7482213999976399"/>
    <n v="-60.702259359581703"/>
    <n v="2.7834738196610802"/>
    <s v="174"/>
    <s v="RR"/>
    <s v="Eixo Principal"/>
    <s v="-"/>
    <s v="174BRR0950"/>
    <s v="ENTR CONTORNO OESTE BOA VISTA (SUL)"/>
    <s v="IGARAPÉ GRANDE"/>
    <n v="493.6"/>
    <n v="500.2"/>
    <n v="6.6"/>
    <x v="0"/>
    <m/>
    <m/>
    <s v="Federal"/>
    <m/>
    <m/>
    <m/>
    <s v="Federal"/>
    <s v="PAV"/>
    <s v="Boa Vista"/>
  </r>
  <r>
    <x v="0"/>
    <s v="174BRR0955"/>
    <n v="0"/>
    <x v="165"/>
    <s v="0955"/>
    <n v="-60.702259359581703"/>
    <n v="2.7834738196610802"/>
    <n v="-60.690132320150397"/>
    <n v="2.8064423203568301"/>
    <s v="174"/>
    <s v="RR"/>
    <s v="Eixo Principal"/>
    <s v="-"/>
    <s v="174BRR0955"/>
    <s v="IGARAPÉ GRANDE"/>
    <s v="ENTR BR-401 (BOA VISTA)"/>
    <n v="500.2"/>
    <n v="503"/>
    <n v="2.8"/>
    <x v="0"/>
    <m/>
    <m/>
    <s v="Federal"/>
    <m/>
    <m/>
    <m/>
    <s v="Federal"/>
    <s v="PAV"/>
    <s v="Boa Vista"/>
  </r>
  <r>
    <x v="0"/>
    <s v="174BRR0960"/>
    <n v="0"/>
    <x v="165"/>
    <s v="0960"/>
    <n v="-60.690132320150397"/>
    <n v="2.8064423203568301"/>
    <n v="-60.697811460230596"/>
    <n v="2.82834773965652"/>
    <s v="174"/>
    <s v="RR"/>
    <s v="Eixo Principal"/>
    <s v="-"/>
    <s v="174BRR0960"/>
    <s v="ENTR BR-401 (BOA VISTA)"/>
    <s v="ENTR RR-205"/>
    <n v="503"/>
    <n v="505"/>
    <n v="2"/>
    <x v="0"/>
    <m/>
    <m/>
    <s v="Federal"/>
    <m/>
    <m/>
    <m/>
    <s v="Federal"/>
    <s v="PAV"/>
    <s v="Boa Vista"/>
  </r>
  <r>
    <x v="0"/>
    <s v="174BRR0965"/>
    <n v="0"/>
    <x v="165"/>
    <s v="0965"/>
    <n v="-60.697811460230596"/>
    <n v="2.82834773965652"/>
    <n v="-60.696715090429002"/>
    <n v="2.8685878101793398"/>
    <s v="174"/>
    <s v="RR"/>
    <s v="Eixo Principal"/>
    <s v="-"/>
    <s v="174BRR0965"/>
    <s v="ENTR RR-205"/>
    <s v="RIO CAUAMÉ"/>
    <n v="505"/>
    <n v="509.5"/>
    <n v="4.5"/>
    <x v="2"/>
    <m/>
    <m/>
    <s v="Federal"/>
    <m/>
    <m/>
    <m/>
    <s v="Federal"/>
    <s v="PAV"/>
    <s v="Boa Vista"/>
  </r>
  <r>
    <x v="0"/>
    <s v="174BRR0970"/>
    <n v="0"/>
    <x v="165"/>
    <s v="0970"/>
    <n v="-60.696715090429002"/>
    <n v="2.8685878101793398"/>
    <n v="-60.7397357100349"/>
    <n v="2.9656551495655199"/>
    <s v="174"/>
    <s v="RR"/>
    <s v="Eixo Principal"/>
    <s v="-"/>
    <s v="174BRR0970"/>
    <s v="RIO CAUAMÉ"/>
    <s v="ENTR CONTORNO OESTE DE BOA VISTA (NORTE)"/>
    <n v="509.5"/>
    <n v="522"/>
    <n v="12.5"/>
    <x v="2"/>
    <m/>
    <m/>
    <s v="Federal"/>
    <m/>
    <m/>
    <m/>
    <s v="Federal"/>
    <s v="PAV"/>
    <s v="Boa Vista"/>
  </r>
  <r>
    <x v="0"/>
    <s v="174BRR0975"/>
    <n v="0"/>
    <x v="165"/>
    <s v="0975"/>
    <n v="-60.7397357100349"/>
    <n v="2.9656551495655199"/>
    <n v="-60.775434660181297"/>
    <n v="3.0203470303911701"/>
    <s v="174"/>
    <s v="RR"/>
    <s v="Eixo Principal"/>
    <s v="-"/>
    <s v="174BRR0975"/>
    <s v="ENTR CONTORNO OESTE DE BOA VISTA (NORTE)"/>
    <s v="IGARAPÉ MURUPÚ"/>
    <n v="522"/>
    <n v="529.1"/>
    <n v="7.1"/>
    <x v="2"/>
    <m/>
    <m/>
    <s v="Federal"/>
    <m/>
    <m/>
    <m/>
    <s v="Federal"/>
    <s v="PAV"/>
    <s v="Boa Vista"/>
  </r>
  <r>
    <x v="0"/>
    <s v="174BRR0980"/>
    <n v="0"/>
    <x v="165"/>
    <s v="0980"/>
    <n v="-60.775434660181297"/>
    <n v="3.0203470303911701"/>
    <n v="-60.818602729932003"/>
    <n v="3.09745038982367"/>
    <s v="174"/>
    <s v="RR"/>
    <s v="Eixo Principal"/>
    <s v="-"/>
    <s v="174BRR0980"/>
    <s v="IGARAPÉ MURUPÚ"/>
    <s v="ENTR RR-342 (OÁSIS)"/>
    <n v="529.1"/>
    <n v="538.9"/>
    <n v="9.8000000000000007"/>
    <x v="2"/>
    <m/>
    <m/>
    <s v="Federal"/>
    <m/>
    <m/>
    <m/>
    <s v="Federal"/>
    <s v="PAV"/>
    <s v="Boa Vista"/>
  </r>
  <r>
    <x v="0"/>
    <s v="174BRR0985"/>
    <n v="0"/>
    <x v="165"/>
    <s v="0985"/>
    <n v="-60.818602729932003"/>
    <n v="3.09745038982367"/>
    <n v="-60.8283127100634"/>
    <n v="3.12223729991149"/>
    <s v="174"/>
    <s v="RR"/>
    <s v="Eixo Principal"/>
    <s v="-"/>
    <s v="174BRR0985"/>
    <s v="ENTR RR-342 (OÁSIS)"/>
    <s v="IGARAPÉ JACITARA"/>
    <n v="538.9"/>
    <n v="541.9"/>
    <n v="3"/>
    <x v="2"/>
    <m/>
    <m/>
    <s v="Federal"/>
    <m/>
    <m/>
    <m/>
    <s v="Federal"/>
    <s v="PAV"/>
    <s v="Boa Vista"/>
  </r>
  <r>
    <x v="0"/>
    <s v="174BRR0990"/>
    <n v="0"/>
    <x v="165"/>
    <s v="0990"/>
    <n v="-60.8283127100634"/>
    <n v="3.12223729991149"/>
    <n v="-60.836707140322197"/>
    <n v="3.2089366899763201"/>
    <s v="174"/>
    <s v="RR"/>
    <s v="Eixo Principal"/>
    <s v="-"/>
    <s v="174BRR0990"/>
    <s v="IGARAPÉ JACITARA"/>
    <s v="IGARAPÉ SAÚBA"/>
    <n v="541.9"/>
    <n v="551.6"/>
    <n v="9.6999999999999993"/>
    <x v="2"/>
    <m/>
    <m/>
    <s v="Federal"/>
    <m/>
    <m/>
    <m/>
    <s v="Federal"/>
    <s v="PAV"/>
    <s v="Boa Vista"/>
  </r>
  <r>
    <x v="0"/>
    <s v="174BRR0995"/>
    <n v="0"/>
    <x v="165"/>
    <s v="0995"/>
    <n v="-60.836707140322197"/>
    <n v="3.2089366899763201"/>
    <n v="-60.850276810126601"/>
    <n v="3.2816433700455101"/>
    <s v="174"/>
    <s v="RR"/>
    <s v="Eixo Principal"/>
    <s v="-"/>
    <s v="174BRR0995"/>
    <s v="IGARAPÉ SAÚBA"/>
    <s v="IGARAPÉ TRUARÚ"/>
    <n v="551.6"/>
    <n v="559.79999999999995"/>
    <n v="8.1999999999999993"/>
    <x v="2"/>
    <m/>
    <m/>
    <s v="Federal"/>
    <m/>
    <m/>
    <m/>
    <s v="Federal"/>
    <s v="PAV"/>
    <s v="Boa Vista"/>
  </r>
  <r>
    <x v="0"/>
    <s v="174BRR1000"/>
    <n v="0"/>
    <x v="165"/>
    <s v="1000"/>
    <n v="-60.850276810126601"/>
    <n v="3.2816433700455101"/>
    <n v="-60.9101657903188"/>
    <n v="3.45958488033801"/>
    <s v="174"/>
    <s v="RR"/>
    <s v="Eixo Principal"/>
    <s v="-"/>
    <s v="174BRR1000"/>
    <s v="IGARAPÉ TRUARÚ"/>
    <s v="RIO URARICOERA"/>
    <n v="559.79999999999995"/>
    <n v="580.70000000000005"/>
    <n v="20.9"/>
    <x v="2"/>
    <m/>
    <m/>
    <s v="Federal"/>
    <m/>
    <m/>
    <m/>
    <s v="Federal"/>
    <s v="PAV"/>
    <s v="Boa Vista"/>
  </r>
  <r>
    <x v="0"/>
    <s v="174BRR1005"/>
    <n v="0"/>
    <x v="165"/>
    <s v="1005"/>
    <n v="-60.9101657903188"/>
    <n v="3.45958488033801"/>
    <n v="-60.9730351201746"/>
    <n v="3.6442456600092301"/>
    <s v="174"/>
    <s v="RR"/>
    <s v="Eixo Principal"/>
    <s v="-"/>
    <s v="174BRR1005"/>
    <s v="RIO URARICOERA"/>
    <s v="ENTR RR-203 (TRÊS CORAÇÕES)"/>
    <n v="580.70000000000005"/>
    <n v="602.70000000000005"/>
    <n v="22"/>
    <x v="2"/>
    <m/>
    <m/>
    <s v="Federal"/>
    <m/>
    <m/>
    <m/>
    <s v="Federal"/>
    <s v="PAV"/>
    <s v="Boa Vista"/>
  </r>
  <r>
    <x v="0"/>
    <s v="174BRR1010"/>
    <n v="0"/>
    <x v="165"/>
    <s v="1010"/>
    <n v="-60.9730351201746"/>
    <n v="3.6442456600092301"/>
    <n v="-60.985993140371001"/>
    <n v="3.6919230995714498"/>
    <s v="174"/>
    <s v="RR"/>
    <s v="Eixo Principal"/>
    <s v="-"/>
    <s v="174BRR1010"/>
    <s v="ENTR RR-203 (TRÊS CORAÇÕES)"/>
    <s v="RIO CAUARUAU"/>
    <n v="602.70000000000005"/>
    <n v="607.79999999999995"/>
    <n v="5.0999999999999996"/>
    <x v="2"/>
    <m/>
    <m/>
    <s v="Federal"/>
    <m/>
    <m/>
    <m/>
    <s v="Federal"/>
    <s v="PAV"/>
    <s v="Boa Vista"/>
  </r>
  <r>
    <x v="0"/>
    <s v="174BRR1020"/>
    <n v="0"/>
    <x v="165"/>
    <s v="1020"/>
    <n v="-60.985993140371001"/>
    <n v="3.6919230995714498"/>
    <n v="-60.998140730210402"/>
    <n v="3.7359434100603699"/>
    <s v="174"/>
    <s v="RR"/>
    <s v="Eixo Principal"/>
    <s v="-"/>
    <s v="174BRR1020"/>
    <s v="RIO CAUARUAU"/>
    <s v="IGARAPÉ ANINGAL"/>
    <n v="607.79999999999995"/>
    <n v="612.9"/>
    <n v="5.0999999999999996"/>
    <x v="2"/>
    <m/>
    <m/>
    <s v="Federal"/>
    <m/>
    <m/>
    <m/>
    <s v="Federal"/>
    <s v="PAV"/>
    <s v="Boa Vista"/>
  </r>
  <r>
    <x v="0"/>
    <s v="174BRR1025"/>
    <n v="0"/>
    <x v="165"/>
    <s v="1025"/>
    <n v="-60.998140730210402"/>
    <n v="3.7359434100603699"/>
    <n v="-60.997614619618901"/>
    <n v="3.7574302003434901"/>
    <s v="174"/>
    <s v="RR"/>
    <s v="Eixo Principal"/>
    <s v="-"/>
    <s v="174BRR1025"/>
    <s v="IGARAPÉ ANINGAL"/>
    <s v="IGARAPÉ JAUARÍ"/>
    <n v="612.9"/>
    <n v="615.4"/>
    <n v="2.5"/>
    <x v="2"/>
    <m/>
    <m/>
    <s v="Federal"/>
    <m/>
    <m/>
    <m/>
    <s v="Federal"/>
    <s v="PAV"/>
    <s v="Boa Vista"/>
  </r>
  <r>
    <x v="0"/>
    <s v="174BRR1030"/>
    <n v="0"/>
    <x v="165"/>
    <s v="1030"/>
    <n v="-60.997614619618901"/>
    <n v="3.7574302003434901"/>
    <n v="-61.000082940275398"/>
    <n v="3.86380806978661"/>
    <s v="174"/>
    <s v="RR"/>
    <s v="Eixo Principal"/>
    <s v="-"/>
    <s v="174BRR1030"/>
    <s v="IGARAPÉ JAUARÍ"/>
    <s v="ENTR RR-400 (P/PEDRA PINTADA)"/>
    <n v="615.4"/>
    <n v="629.4"/>
    <n v="14"/>
    <x v="2"/>
    <m/>
    <m/>
    <s v="Federal"/>
    <m/>
    <m/>
    <m/>
    <s v="Federal"/>
    <s v="PAV"/>
    <s v="Boa Vista"/>
  </r>
  <r>
    <x v="0"/>
    <s v="174BRR1040"/>
    <n v="0"/>
    <x v="165"/>
    <s v="1040"/>
    <n v="-61.000082940275398"/>
    <n v="3.86380806978661"/>
    <n v="-61.042901850040302"/>
    <n v="4.0224012202401704"/>
    <s v="174"/>
    <s v="RR"/>
    <s v="Eixo Principal"/>
    <s v="-"/>
    <s v="174BRR1040"/>
    <s v="ENTR RR-400 (P/PEDRA PINTADA)"/>
    <s v="RIO PARIMÉ"/>
    <n v="629.4"/>
    <n v="645.5"/>
    <n v="16.100000000000001"/>
    <x v="2"/>
    <m/>
    <m/>
    <s v="Federal"/>
    <m/>
    <m/>
    <m/>
    <s v="Federal"/>
    <s v="PAV"/>
    <s v="Boa Vista"/>
  </r>
  <r>
    <x v="0"/>
    <s v="174BRR1050"/>
    <n v="0"/>
    <x v="165"/>
    <s v="1050"/>
    <n v="-61.042901850040302"/>
    <n v="4.0224012202401704"/>
    <n v="-61.036916680160601"/>
    <n v="4.1294031796131199"/>
    <s v="174"/>
    <s v="RR"/>
    <s v="Eixo Principal"/>
    <s v="-"/>
    <s v="174BRR1050"/>
    <s v="RIO PARIMÉ"/>
    <s v="RIO PARICARANÃ"/>
    <n v="645.5"/>
    <n v="657.4"/>
    <n v="11.9"/>
    <x v="2"/>
    <m/>
    <m/>
    <s v="Federal"/>
    <m/>
    <m/>
    <m/>
    <s v="Federal"/>
    <s v="PAV"/>
    <s v="Boa Vista"/>
  </r>
  <r>
    <x v="0"/>
    <s v="174BRR1060"/>
    <n v="0"/>
    <x v="165"/>
    <s v="1060"/>
    <n v="-61.036916680160601"/>
    <n v="4.1294031796131199"/>
    <n v="-61.015544719812901"/>
    <n v="4.2305007902792804"/>
    <s v="174"/>
    <s v="RR"/>
    <s v="Eixo Principal"/>
    <s v="-"/>
    <s v="174BRR1060"/>
    <s v="RIO PARICARANÃ"/>
    <s v="ENTR BR-433"/>
    <n v="657.4"/>
    <n v="671.8"/>
    <n v="14.4"/>
    <x v="2"/>
    <m/>
    <m/>
    <s v="Federal"/>
    <m/>
    <m/>
    <m/>
    <s v="Federal"/>
    <s v="PAV"/>
    <s v="Boa Vista"/>
  </r>
  <r>
    <x v="0"/>
    <s v="174BRR1065"/>
    <n v="0"/>
    <x v="165"/>
    <s v="1065"/>
    <n v="-61.015544719812901"/>
    <n v="4.2305007902792804"/>
    <n v="-61.034466399904296"/>
    <n v="4.2545107904406896"/>
    <s v="174"/>
    <s v="RR"/>
    <s v="Eixo Principal"/>
    <s v="-"/>
    <s v="174BRR1065"/>
    <s v="ENTR BR-433"/>
    <s v="RIO SURUMU"/>
    <n v="671.8"/>
    <n v="674.2"/>
    <n v="2.4"/>
    <x v="2"/>
    <m/>
    <m/>
    <s v="Federal"/>
    <m/>
    <m/>
    <m/>
    <s v="Federal"/>
    <s v="PAV"/>
    <s v="Boa Vista"/>
  </r>
  <r>
    <x v="0"/>
    <s v="174BRR1075"/>
    <n v="0"/>
    <x v="165"/>
    <s v="1075"/>
    <n v="-61.034466399904296"/>
    <n v="4.2545107904406896"/>
    <n v="-61.135211084224103"/>
    <n v="4.4281891688950701"/>
    <s v="174"/>
    <s v="RR"/>
    <s v="Eixo Principal"/>
    <s v="-"/>
    <s v="174BRR1075"/>
    <s v="RIO SURUMU"/>
    <s v="COMUNIDADE SOROCAIMA"/>
    <n v="674.2"/>
    <n v="702.7"/>
    <n v="28.5"/>
    <x v="2"/>
    <m/>
    <m/>
    <s v="Federal"/>
    <m/>
    <m/>
    <m/>
    <s v="Federal"/>
    <s v="PAV"/>
    <s v="Boa Vista"/>
  </r>
  <r>
    <x v="0"/>
    <s v="174BRR1080"/>
    <n v="0"/>
    <x v="165"/>
    <s v="1080"/>
    <n v="-61.135211084224103"/>
    <n v="4.4281891688950701"/>
    <n v="-61.1247828902181"/>
    <n v="4.4451153603856097"/>
    <s v="174"/>
    <s v="RR"/>
    <s v="Eixo Principal"/>
    <s v="-"/>
    <s v="174BRR1080"/>
    <s v="COMUNIDADE SOROCAIMA"/>
    <s v="IGARAPÉ ÁVILA"/>
    <n v="702.7"/>
    <n v="708.2"/>
    <n v="5.5"/>
    <x v="2"/>
    <m/>
    <m/>
    <s v="Federal"/>
    <m/>
    <m/>
    <m/>
    <s v="Federal"/>
    <s v="PAV"/>
    <s v="Boa Vista"/>
  </r>
  <r>
    <x v="0"/>
    <s v="174BRR1090"/>
    <n v="0"/>
    <x v="165"/>
    <s v="1090"/>
    <n v="-61.1247828902181"/>
    <n v="4.4451153603856097"/>
    <n v="-61.148411350303498"/>
    <n v="4.4836340196942999"/>
    <s v="174"/>
    <s v="RR"/>
    <s v="Eixo Principal"/>
    <s v="-"/>
    <s v="174BRR1090"/>
    <s v="IGARAPÉ ÁVILA"/>
    <s v="FRONT BRASIL/VENEZUELA (MARCO BV8)"/>
    <n v="708.2"/>
    <n v="713.6"/>
    <n v="5.4"/>
    <x v="2"/>
    <m/>
    <m/>
    <s v="Federal"/>
    <m/>
    <m/>
    <m/>
    <s v="Federal"/>
    <s v="PAV"/>
    <s v="Boa Vista"/>
  </r>
  <r>
    <x v="0"/>
    <s v="174CRR1005"/>
    <n v="0"/>
    <x v="166"/>
    <s v="1005"/>
    <n v="-60.744588690115897"/>
    <n v="2.7482213999976399"/>
    <n v="-60.806010529662103"/>
    <n v="2.8273076197509099"/>
    <s v="174"/>
    <s v="RR"/>
    <s v="Contorno"/>
    <s v="-"/>
    <s v="174CRR1005"/>
    <s v="ENTR BR-174 (SUL) (KM 496,1)"/>
    <s v="ENTR RR-205"/>
    <n v="0"/>
    <n v="11"/>
    <n v="11"/>
    <x v="2"/>
    <m/>
    <m/>
    <s v="Federal"/>
    <m/>
    <m/>
    <m/>
    <s v="Federal"/>
    <s v="PAV"/>
    <s v="Boa Vista"/>
  </r>
  <r>
    <x v="0"/>
    <s v="174CRR1010"/>
    <n v="0"/>
    <x v="166"/>
    <s v="1010"/>
    <n v="-60.806010529662103"/>
    <n v="2.8273076197509099"/>
    <n v="-60.7397357100349"/>
    <n v="2.9656551495655199"/>
    <s v="174"/>
    <s v="RR"/>
    <s v="Contorno"/>
    <s v="-"/>
    <s v="174CRR1010"/>
    <s v="ENTR RR-205"/>
    <s v="ENTR BR-174 (NORTE) (KM 524,1) (CONT OESTE BOA VISTA)"/>
    <n v="11"/>
    <n v="28.7"/>
    <n v="17.7"/>
    <x v="2"/>
    <m/>
    <m/>
    <s v="Federal"/>
    <m/>
    <m/>
    <m/>
    <s v="Federal"/>
    <s v="PAV"/>
    <s v="Boa Vista"/>
  </r>
  <r>
    <x v="0"/>
    <s v="210BAM0610"/>
    <n v="0"/>
    <x v="167"/>
    <s v="0610"/>
    <n v="-62.749313019979802"/>
    <n v="1.5043670797769499"/>
    <n v="-63.382415688233301"/>
    <n v="1.0795251661535299"/>
    <s v="210"/>
    <s v="AM"/>
    <s v="Eixo Principal"/>
    <s v="-"/>
    <s v="210BAM0610"/>
    <s v="DIV RR/AM"/>
    <s v="KM 1614,6"/>
    <n v="0"/>
    <n v="89.5"/>
    <n v="89.5"/>
    <x v="1"/>
    <m/>
    <m/>
    <s v="Federal"/>
    <m/>
    <m/>
    <m/>
    <s v="Federal"/>
    <s v="PLA"/>
    <s v="Castanho"/>
  </r>
  <r>
    <x v="0"/>
    <s v="210BAM0630"/>
    <n v="0"/>
    <x v="167"/>
    <s v="0630"/>
    <n v="-63.382415688233301"/>
    <n v="1.0795251661535299"/>
    <n v="-63.916170911957899"/>
    <n v="0.72991974709867702"/>
    <s v="210"/>
    <s v="AM"/>
    <s v="Eixo Principal"/>
    <s v="-"/>
    <s v="210BAM0630"/>
    <s v="KM 1614,6"/>
    <s v="RIO ARAÇÁ"/>
    <n v="89.5"/>
    <n v="164.5"/>
    <n v="75"/>
    <x v="1"/>
    <m/>
    <m/>
    <s v="Federal"/>
    <m/>
    <m/>
    <m/>
    <s v="Federal"/>
    <s v="PLA"/>
    <s v="Castanho"/>
  </r>
  <r>
    <x v="0"/>
    <s v="210BAM0650"/>
    <n v="0"/>
    <x v="167"/>
    <s v="0650"/>
    <n v="-63.916170911957899"/>
    <n v="0.72991974709867702"/>
    <n v="-64.214957552349105"/>
    <n v="0.60750519121165802"/>
    <s v="210"/>
    <s v="AM"/>
    <s v="Eixo Principal"/>
    <s v="-"/>
    <s v="210BAM0650"/>
    <s v="RIO ARAÇÁ"/>
    <s v="RIO PADAUARI"/>
    <n v="164.5"/>
    <n v="202.5"/>
    <n v="38"/>
    <x v="1"/>
    <m/>
    <m/>
    <s v="Federal"/>
    <m/>
    <m/>
    <m/>
    <s v="Federal"/>
    <s v="PLA"/>
    <s v="Castanho"/>
  </r>
  <r>
    <x v="0"/>
    <s v="210BAM0670"/>
    <n v="0"/>
    <x v="167"/>
    <s v="0670"/>
    <n v="-64.214957552349105"/>
    <n v="0.60750519121165802"/>
    <n v="-65.005776630087297"/>
    <n v="0.43558800008616999"/>
    <s v="210"/>
    <s v="AM"/>
    <s v="Eixo Principal"/>
    <s v="-"/>
    <s v="210BAM0670"/>
    <s v="RIO PADAUARI"/>
    <s v="ENTR AM-170"/>
    <n v="202.5"/>
    <n v="297.5"/>
    <n v="95"/>
    <x v="1"/>
    <m/>
    <m/>
    <s v="Federal"/>
    <m/>
    <m/>
    <m/>
    <s v="Federal"/>
    <s v="PLA"/>
    <s v="Castanho"/>
  </r>
  <r>
    <x v="0"/>
    <s v="210BAM0690"/>
    <n v="0"/>
    <x v="167"/>
    <s v="0690"/>
    <n v="-65.005776630087297"/>
    <n v="0.43558800008616999"/>
    <n v="-65.737842038978798"/>
    <n v="0.27727506039576599"/>
    <s v="210"/>
    <s v="AM"/>
    <s v="Eixo Principal"/>
    <s v="-"/>
    <s v="210BAM0690"/>
    <s v="ENTR AM-170"/>
    <s v="RIO MAIA"/>
    <n v="297.5"/>
    <n v="382.5"/>
    <n v="85"/>
    <x v="1"/>
    <m/>
    <m/>
    <s v="Federal"/>
    <m/>
    <m/>
    <m/>
    <s v="Federal"/>
    <s v="PLA"/>
    <s v="Castanho"/>
  </r>
  <r>
    <x v="0"/>
    <s v="210BAM0710"/>
    <n v="0"/>
    <x v="167"/>
    <s v="0710"/>
    <n v="-65.737842038978798"/>
    <n v="0.27727506039576599"/>
    <n v="-66.355717603984203"/>
    <n v="0.145389334849995"/>
    <s v="210"/>
    <s v="AM"/>
    <s v="Eixo Principal"/>
    <s v="-"/>
    <s v="210BAM0710"/>
    <s v="RIO MAIA"/>
    <s v="KM 2111,8"/>
    <n v="382.5"/>
    <n v="454.2"/>
    <n v="71.7"/>
    <x v="1"/>
    <m/>
    <m/>
    <s v="Federal"/>
    <m/>
    <m/>
    <m/>
    <s v="Federal"/>
    <s v="PLA"/>
    <s v="Castanho"/>
  </r>
  <r>
    <x v="0"/>
    <s v="210BAM0730"/>
    <n v="0"/>
    <x v="167"/>
    <s v="0730"/>
    <n v="-66.355717603984203"/>
    <n v="0.145389334849995"/>
    <n v="-66.655072490003306"/>
    <n v="0.23897237957169201"/>
    <s v="210"/>
    <s v="AM"/>
    <s v="Eixo Principal"/>
    <s v="-"/>
    <s v="210BAM0730"/>
    <s v="KM 2111,8"/>
    <s v="ENTR BR-307"/>
    <n v="454.2"/>
    <n v="490"/>
    <n v="35.799999999999997"/>
    <x v="5"/>
    <m/>
    <m/>
    <m/>
    <s v="MP082/2005"/>
    <m/>
    <m/>
    <m/>
    <s v="N_PAV"/>
    <s v="Castanho"/>
  </r>
  <r>
    <x v="0"/>
    <s v="210BAM0750"/>
    <n v="0"/>
    <x v="167"/>
    <s v="0750"/>
    <n v="-66.655072490003306"/>
    <n v="0.23897237957169201"/>
    <n v="-67.240793980557697"/>
    <n v="0.366495344584507"/>
    <s v="210"/>
    <s v="AM"/>
    <s v="Eixo Principal"/>
    <s v="-"/>
    <s v="210BAM0750"/>
    <s v="ENTR BR-307"/>
    <s v="IÇANA"/>
    <n v="490"/>
    <n v="554.1"/>
    <n v="64.099999999999994"/>
    <x v="1"/>
    <m/>
    <m/>
    <s v="Federal"/>
    <m/>
    <m/>
    <m/>
    <s v="Federal"/>
    <s v="PLA"/>
    <s v="Castanho"/>
  </r>
  <r>
    <x v="0"/>
    <s v="210BAM0770"/>
    <n v="0"/>
    <x v="167"/>
    <s v="0770"/>
    <n v="-67.240793980557697"/>
    <n v="0.366495344584507"/>
    <n v="-67.7138825650283"/>
    <n v="0.85961750214607902"/>
    <s v="210"/>
    <s v="AM"/>
    <s v="Eixo Principal"/>
    <s v="-"/>
    <s v="210BAM0770"/>
    <s v="IÇANA"/>
    <s v="RIO PIRAIVARA"/>
    <n v="554.1"/>
    <n v="629.79999999999995"/>
    <n v="75.7"/>
    <x v="1"/>
    <m/>
    <m/>
    <s v="Federal"/>
    <m/>
    <m/>
    <m/>
    <s v="Federal"/>
    <s v="PLA"/>
    <s v="Castanho"/>
  </r>
  <r>
    <x v="0"/>
    <s v="210BAM0810"/>
    <n v="0"/>
    <x v="167"/>
    <s v="0810"/>
    <n v="-67.7138825650283"/>
    <n v="0.85961750214607902"/>
    <n v="-68.106167716566802"/>
    <n v="1.25172271283298"/>
    <s v="210"/>
    <s v="AM"/>
    <s v="Eixo Principal"/>
    <s v="-"/>
    <s v="210BAM0810"/>
    <s v="RIO PIRAIVARA"/>
    <s v="IGARAPÉ PIRAPOCU"/>
    <n v="629.79999999999995"/>
    <n v="689.8"/>
    <n v="60"/>
    <x v="1"/>
    <m/>
    <m/>
    <s v="Federal"/>
    <m/>
    <m/>
    <m/>
    <s v="Federal"/>
    <s v="PLA"/>
    <s v="Castanho"/>
  </r>
  <r>
    <x v="0"/>
    <s v="210BAM0830"/>
    <n v="0"/>
    <x v="167"/>
    <s v="0830"/>
    <n v="-68.106167716566802"/>
    <n v="1.25172271283298"/>
    <n v="-68.902016011829403"/>
    <n v="1.23028756431966"/>
    <s v="210"/>
    <s v="AM"/>
    <s v="Eixo Principal"/>
    <s v="-"/>
    <s v="210BAM0830"/>
    <s v="IGARAPÉ PIRAPOCU"/>
    <s v="IGARAPÉ CAMARÃO"/>
    <n v="689.8"/>
    <n v="774.8"/>
    <n v="85"/>
    <x v="1"/>
    <m/>
    <m/>
    <s v="Federal"/>
    <m/>
    <m/>
    <m/>
    <s v="Federal"/>
    <s v="PLA"/>
    <s v="Castanho"/>
  </r>
  <r>
    <x v="0"/>
    <s v="210BAM0850"/>
    <n v="0"/>
    <x v="167"/>
    <s v="0850"/>
    <n v="-68.902016011829403"/>
    <n v="1.23028756431966"/>
    <n v="-69.379313077236702"/>
    <n v="1.21180380370265"/>
    <s v="210"/>
    <s v="AM"/>
    <s v="Eixo Principal"/>
    <s v="-"/>
    <s v="210BAM0850"/>
    <s v="IGARAPÉ CAMARÃO"/>
    <s v="CIPÓ POCÓ"/>
    <n v="774.8"/>
    <n v="825.8"/>
    <n v="51"/>
    <x v="1"/>
    <m/>
    <m/>
    <s v="Federal"/>
    <m/>
    <m/>
    <m/>
    <s v="Federal"/>
    <s v="PLA"/>
    <s v="Castanho"/>
  </r>
  <r>
    <x v="0"/>
    <s v="210BAM0870"/>
    <n v="0"/>
    <x v="167"/>
    <s v="0870"/>
    <n v="-69.379313077236702"/>
    <n v="1.21180380370265"/>
    <n v="-69.849899129940795"/>
    <n v="1.18925095976402"/>
    <s v="210"/>
    <s v="AM"/>
    <s v="Eixo Principal"/>
    <s v="-"/>
    <s v="210BAM0870"/>
    <s v="CIPÓ POCÓ"/>
    <s v="FRONT BRASIL/COLOMBIA"/>
    <n v="825.8"/>
    <n v="876.1"/>
    <n v="50.3"/>
    <x v="1"/>
    <m/>
    <m/>
    <s v="Federal"/>
    <m/>
    <m/>
    <m/>
    <s v="Federal"/>
    <s v="PLA"/>
    <s v="Castanho"/>
  </r>
  <r>
    <x v="0"/>
    <s v="210BAP0010"/>
    <n v="0"/>
    <x v="168"/>
    <s v="0010"/>
    <n v="-51.060925579751597"/>
    <n v="7.7802470008009994E-2"/>
    <n v="-51.116303899605199"/>
    <n v="0.20280847003493799"/>
    <s v="210"/>
    <s v="AP"/>
    <s v="Eixo Principal"/>
    <s v="-"/>
    <s v="210BAP0010"/>
    <s v="ENTR AP-010/030(A)/070/110 (MACAPÁ)"/>
    <s v="ENTR BR-156(A)/AP-030(B)"/>
    <n v="0"/>
    <n v="20.8"/>
    <n v="20.8"/>
    <x v="2"/>
    <m/>
    <m/>
    <s v="Federal"/>
    <m/>
    <m/>
    <m/>
    <s v="Federal"/>
    <s v="PAV"/>
    <s v="Macapá"/>
  </r>
  <r>
    <x v="0"/>
    <s v="210BAP0050"/>
    <n v="0"/>
    <x v="168"/>
    <s v="0050"/>
    <n v="-51.116303899605199"/>
    <n v="0.20280847003493799"/>
    <n v="-51.048266780187703"/>
    <n v="0.42371092991555798"/>
    <s v="210"/>
    <s v="AP"/>
    <s v="Eixo Principal"/>
    <s v="Coinc"/>
    <s v="210BAP0050"/>
    <s v="ENTR BR-156(A)/AP-030(B)"/>
    <s v="ENTR AP-340"/>
    <n v="20.8"/>
    <n v="48.3"/>
    <n v="27.5"/>
    <x v="2"/>
    <m/>
    <s v="156BAP0130"/>
    <s v="Federal"/>
    <m/>
    <m/>
    <m/>
    <s v="Federal"/>
    <s v="PAV"/>
    <s v="Macapá"/>
  </r>
  <r>
    <x v="0"/>
    <s v="210BAP0070"/>
    <n v="0"/>
    <x v="168"/>
    <s v="0070"/>
    <n v="-51.048266780187703"/>
    <n v="0.42371092991555798"/>
    <n v="-51.367137329624001"/>
    <n v="0.68747022037439398"/>
    <s v="210"/>
    <s v="AP"/>
    <s v="Eixo Principal"/>
    <s v="Coinc"/>
    <s v="210BAP0070"/>
    <s v="ENTR AP-340"/>
    <s v="ENTR BR-156(B)/AP-130 (PORTO GRANDE)"/>
    <n v="48.3"/>
    <n v="100.5"/>
    <n v="52.2"/>
    <x v="2"/>
    <m/>
    <s v="156BAP0150"/>
    <s v="Federal"/>
    <m/>
    <m/>
    <m/>
    <s v="Federal"/>
    <s v="PAV"/>
    <s v="Macapá"/>
  </r>
  <r>
    <x v="0"/>
    <s v="210BAP0090"/>
    <n v="0"/>
    <x v="168"/>
    <s v="0090"/>
    <n v="-51.367137329624001"/>
    <n v="0.68747022037439398"/>
    <n v="-51.414354390043002"/>
    <n v="0.70484022999266904"/>
    <s v="210"/>
    <s v="AP"/>
    <s v="Eixo Principal"/>
    <s v="-"/>
    <s v="210BAP0090"/>
    <s v="ENTR BR-156(B)/AP-130 (PORTO GRANDE)"/>
    <s v="FIM TRECHO PAVIMENTADO"/>
    <n v="100.5"/>
    <n v="106.2"/>
    <n v="5.7"/>
    <x v="2"/>
    <m/>
    <m/>
    <s v="Federal"/>
    <m/>
    <m/>
    <m/>
    <s v="Federal"/>
    <s v="PAV"/>
    <s v="Macapá"/>
  </r>
  <r>
    <x v="0"/>
    <s v="210BAP0110"/>
    <n v="0"/>
    <x v="168"/>
    <s v="0110"/>
    <n v="-51.414354390043002"/>
    <n v="0.70484022999266904"/>
    <n v="-51.9805444700512"/>
    <n v="0.80863164023804801"/>
    <s v="210"/>
    <s v="AP"/>
    <s v="Eixo Principal"/>
    <s v="-"/>
    <s v="210BAP0110"/>
    <s v="FIM TRECHO PAVIMENTADO"/>
    <s v="P/PEDRA BRANCA DO AMAPARI"/>
    <n v="106.2"/>
    <n v="179.3"/>
    <n v="73.099999999999994"/>
    <x v="5"/>
    <m/>
    <m/>
    <s v="Federal"/>
    <m/>
    <m/>
    <m/>
    <s v="Federal"/>
    <s v="N_PAV"/>
    <s v="Macapá"/>
  </r>
  <r>
    <x v="0"/>
    <s v="210BAP0130"/>
    <n v="0"/>
    <x v="168"/>
    <s v="0130"/>
    <n v="-51.9805444700512"/>
    <n v="0.80863164023804801"/>
    <n v="-52.024800060274501"/>
    <n v="0.85516528964643601"/>
    <s v="210"/>
    <s v="AP"/>
    <s v="Eixo Principal"/>
    <s v="-"/>
    <s v="210BAP0130"/>
    <s v="P/PEDRA BRANCA DO AMAPARI"/>
    <s v="ACESSO SERRA DO NAVIO"/>
    <n v="179.3"/>
    <n v="193"/>
    <n v="13.7"/>
    <x v="5"/>
    <m/>
    <m/>
    <s v="Federal"/>
    <m/>
    <m/>
    <m/>
    <s v="Federal"/>
    <s v="N_PAV"/>
    <s v="Macapá"/>
  </r>
  <r>
    <x v="0"/>
    <s v="210BAP0140"/>
    <n v="0"/>
    <x v="168"/>
    <s v="0140"/>
    <n v="-52.024800060274501"/>
    <n v="0.85516528964643601"/>
    <n v="-52.241216739560798"/>
    <n v="1.0144372600715299"/>
    <s v="210"/>
    <s v="AP"/>
    <s v="Eixo Principal"/>
    <s v="-"/>
    <s v="210BAP0140"/>
    <s v="ACESSO SERRA DO NAVIO"/>
    <s v="RIO SETE ILHAS"/>
    <n v="193"/>
    <n v="236.8"/>
    <n v="43.8"/>
    <x v="5"/>
    <m/>
    <m/>
    <s v="Federal"/>
    <m/>
    <m/>
    <m/>
    <s v="Federal"/>
    <s v="N_PAV"/>
    <s v="Macapá"/>
  </r>
  <r>
    <x v="0"/>
    <s v="210BAP0150"/>
    <n v="0"/>
    <x v="168"/>
    <s v="0150"/>
    <n v="-52.241216739560798"/>
    <n v="1.0144372600715299"/>
    <n v="-52.677411263019302"/>
    <n v="1.14972542578783"/>
    <s v="210"/>
    <s v="AP"/>
    <s v="Eixo Principal"/>
    <s v="-"/>
    <s v="210BAP0150"/>
    <s v="RIO SETE ILHAS"/>
    <s v="RIO JACARÉ"/>
    <n v="236.8"/>
    <n v="305.2"/>
    <n v="68.400000000000006"/>
    <x v="5"/>
    <m/>
    <m/>
    <s v="Federal"/>
    <m/>
    <m/>
    <m/>
    <s v="Federal"/>
    <s v="N_PAV"/>
    <s v="Macapá"/>
  </r>
  <r>
    <x v="0"/>
    <s v="210BAP0160"/>
    <n v="0"/>
    <x v="168"/>
    <s v="0160"/>
    <n v="-52.677411263019302"/>
    <n v="1.14972542578783"/>
    <n v="-53.053878919876098"/>
    <n v="1.2229735723724899"/>
    <s v="210"/>
    <s v="AP"/>
    <s v="Eixo Principal"/>
    <s v="-"/>
    <s v="210BAP0160"/>
    <s v="RIO JACARÉ"/>
    <s v="ENTR AP-160"/>
    <n v="305.2"/>
    <n v="353.2"/>
    <n v="48"/>
    <x v="1"/>
    <m/>
    <m/>
    <s v="Federal"/>
    <m/>
    <m/>
    <m/>
    <s v="Federal"/>
    <s v="PLA"/>
    <s v="Macapá"/>
  </r>
  <r>
    <x v="0"/>
    <s v="210BAP0170"/>
    <n v="0"/>
    <x v="168"/>
    <s v="0170"/>
    <n v="-53.053878919876098"/>
    <n v="1.2229735723724899"/>
    <n v="-53.720084604720597"/>
    <n v="1.4596593922672101"/>
    <s v="210"/>
    <s v="AP"/>
    <s v="Eixo Principal"/>
    <s v="-"/>
    <s v="210BAP0170"/>
    <s v="ENTR AP-160"/>
    <s v="ENTR AP-320 (RIO CULARÍ)"/>
    <n v="353.2"/>
    <n v="438.2"/>
    <n v="85"/>
    <x v="1"/>
    <m/>
    <m/>
    <s v="Federal"/>
    <m/>
    <m/>
    <m/>
    <s v="Federal"/>
    <s v="PLA"/>
    <s v="Macapá"/>
  </r>
  <r>
    <x v="0"/>
    <s v="210BAP0190"/>
    <n v="0"/>
    <x v="168"/>
    <s v="0190"/>
    <n v="-53.720084604720597"/>
    <n v="1.4596593922672101"/>
    <n v="-53.987043520242104"/>
    <n v="1.4987675400899401"/>
    <s v="210"/>
    <s v="AP"/>
    <s v="Eixo Principal"/>
    <s v="-"/>
    <s v="210BAP0190"/>
    <s v="ENTR AP-320 (RIO CULARÍ)"/>
    <s v="DIV AP/PA"/>
    <n v="438.2"/>
    <n v="471.2"/>
    <n v="33"/>
    <x v="1"/>
    <m/>
    <m/>
    <s v="Federal"/>
    <m/>
    <m/>
    <m/>
    <s v="Federal"/>
    <s v="PLA"/>
    <s v="Macapá"/>
  </r>
  <r>
    <x v="0"/>
    <s v="210BPA0210"/>
    <n v="0"/>
    <x v="169"/>
    <s v="0210"/>
    <n v="-53.987043520242104"/>
    <n v="1.4987675400899401"/>
    <n v="-54.720748479558601"/>
    <n v="1.36795016956472"/>
    <s v="210"/>
    <s v="PA"/>
    <s v="Eixo Principal"/>
    <s v="-"/>
    <s v="210BPA0210"/>
    <s v="DIV AP/PA"/>
    <s v="RIO PARU D'ESTE"/>
    <n v="0"/>
    <n v="90"/>
    <n v="90"/>
    <x v="1"/>
    <m/>
    <m/>
    <s v="Federal"/>
    <m/>
    <m/>
    <m/>
    <s v="Federal"/>
    <s v="PLA"/>
    <s v="Itaituba"/>
  </r>
  <r>
    <x v="0"/>
    <s v="210BPA0230"/>
    <n v="0"/>
    <x v="169"/>
    <s v="0230"/>
    <n v="-54.720748479558601"/>
    <n v="1.36795016956472"/>
    <n v="-55.283904690349097"/>
    <n v="1.2792613199539999"/>
    <s v="210"/>
    <s v="PA"/>
    <s v="Eixo Principal"/>
    <s v="-"/>
    <s v="210BPA0230"/>
    <s v="RIO PARU D'ESTE"/>
    <s v="ENTR BR-163(A)"/>
    <n v="90"/>
    <n v="158"/>
    <n v="68"/>
    <x v="1"/>
    <m/>
    <m/>
    <s v="Federal"/>
    <m/>
    <m/>
    <m/>
    <s v="Federal"/>
    <s v="PLA"/>
    <s v="Itaituba"/>
  </r>
  <r>
    <x v="0"/>
    <s v="210BPA0250"/>
    <n v="0"/>
    <x v="169"/>
    <s v="0250"/>
    <n v="-55.283904690349097"/>
    <n v="1.2792613199539999"/>
    <n v="-55.6101859502213"/>
    <n v="1.2251979501253301"/>
    <s v="210"/>
    <s v="PA"/>
    <s v="Eixo Principal"/>
    <s v="Coinc"/>
    <s v="210BPA0250"/>
    <s v="ENTR BR-163(A)"/>
    <s v="RIO PARU D'OESTE"/>
    <n v="158"/>
    <n v="194"/>
    <n v="36"/>
    <x v="1"/>
    <m/>
    <s v="163BPA1510"/>
    <s v="Federal"/>
    <m/>
    <m/>
    <m/>
    <s v="Federal"/>
    <s v="PLA"/>
    <s v="Itaituba"/>
  </r>
  <r>
    <x v="0"/>
    <s v="210BPA0270"/>
    <n v="0"/>
    <x v="169"/>
    <s v="0270"/>
    <n v="-55.6101859502213"/>
    <n v="1.2251979501253301"/>
    <n v="-56.207946420390897"/>
    <n v="1.0144837001626501"/>
    <s v="210"/>
    <s v="PA"/>
    <s v="Eixo Principal"/>
    <s v="Coinc"/>
    <s v="210BPA0270"/>
    <s v="RIO PARU D'OESTE"/>
    <s v="RIO MARAPI"/>
    <n v="194"/>
    <n v="263"/>
    <n v="69"/>
    <x v="1"/>
    <m/>
    <s v="163BPA1490"/>
    <s v="Federal"/>
    <m/>
    <m/>
    <m/>
    <s v="Federal"/>
    <s v="PLA"/>
    <s v="Itaituba"/>
  </r>
  <r>
    <x v="0"/>
    <s v="210BPA0290"/>
    <n v="0"/>
    <x v="169"/>
    <s v="0290"/>
    <n v="-56.207946420390897"/>
    <n v="1.0144837001626501"/>
    <n v="-56.783688529901603"/>
    <n v="0.77947336040727999"/>
    <s v="210"/>
    <s v="PA"/>
    <s v="Eixo Principal"/>
    <s v="Coinc"/>
    <s v="210BPA0290"/>
    <s v="RIO MARAPI"/>
    <s v="ENTR BR-163(B)"/>
    <n v="263"/>
    <n v="346"/>
    <n v="83"/>
    <x v="1"/>
    <m/>
    <s v="163BPA1470"/>
    <s v="Federal"/>
    <m/>
    <m/>
    <m/>
    <s v="Federal"/>
    <s v="PLA"/>
    <s v="Itaituba"/>
  </r>
  <r>
    <x v="0"/>
    <s v="210BPA0310"/>
    <n v="0"/>
    <x v="169"/>
    <s v="0310"/>
    <n v="-56.783688529901603"/>
    <n v="0.77947336040727999"/>
    <n v="-56.905925059593798"/>
    <n v="0.72847463010015201"/>
    <s v="210"/>
    <s v="PA"/>
    <s v="Eixo Principal"/>
    <s v="-"/>
    <s v="210BPA0310"/>
    <s v="ENTR BR-163(B)"/>
    <s v="AFLUENTE RIO TROMBETAS"/>
    <n v="346"/>
    <n v="363"/>
    <n v="17"/>
    <x v="1"/>
    <m/>
    <m/>
    <s v="Federal"/>
    <m/>
    <m/>
    <m/>
    <s v="Federal"/>
    <s v="PLA"/>
    <s v="Itaituba"/>
  </r>
  <r>
    <x v="0"/>
    <s v="210BPA0330"/>
    <n v="0"/>
    <x v="169"/>
    <s v="0330"/>
    <n v="-56.905925059593798"/>
    <n v="0.72847463010015201"/>
    <n v="-57.337790319567503"/>
    <n v="0.57649507958427604"/>
    <s v="210"/>
    <s v="PA"/>
    <s v="Eixo Principal"/>
    <s v="-"/>
    <s v="210BPA0330"/>
    <s v="AFLUENTE RIO TROMBETAS"/>
    <s v="RIO TURUNA"/>
    <n v="363"/>
    <n v="399"/>
    <n v="36"/>
    <x v="1"/>
    <m/>
    <m/>
    <s v="Federal"/>
    <m/>
    <m/>
    <m/>
    <s v="Federal"/>
    <s v="PLA"/>
    <s v="Itaituba"/>
  </r>
  <r>
    <x v="0"/>
    <s v="210BPA0350"/>
    <n v="0"/>
    <x v="169"/>
    <s v="0350"/>
    <n v="-57.337790319567503"/>
    <n v="0.57649507958427604"/>
    <n v="-58.016330343870202"/>
    <n v="0.515127676001498"/>
    <s v="210"/>
    <s v="PA"/>
    <s v="Eixo Principal"/>
    <s v="-"/>
    <s v="210BPA0350"/>
    <s v="RIO TURUNA"/>
    <s v="RIO IMABU"/>
    <n v="399"/>
    <n v="479"/>
    <n v="80"/>
    <x v="5"/>
    <m/>
    <m/>
    <s v="Federal"/>
    <m/>
    <m/>
    <m/>
    <s v="Federal"/>
    <s v="N_PAV"/>
    <s v="Itaituba"/>
  </r>
  <r>
    <x v="0"/>
    <s v="210BPA0360"/>
    <n v="0"/>
    <x v="169"/>
    <s v="0360"/>
    <n v="-58.016330343870202"/>
    <n v="0.515127676001498"/>
    <n v="-58.5347727913311"/>
    <n v="0.53890213472578796"/>
    <s v="210"/>
    <s v="PA"/>
    <s v="Eixo Principal"/>
    <s v="-"/>
    <s v="210BPA0360"/>
    <s v="RIO IMABU"/>
    <s v="MAPUERA"/>
    <n v="479"/>
    <n v="541"/>
    <n v="62"/>
    <x v="5"/>
    <m/>
    <m/>
    <s v="Federal"/>
    <m/>
    <m/>
    <m/>
    <s v="Federal"/>
    <s v="N_PAV"/>
    <s v="Itaituba"/>
  </r>
  <r>
    <x v="0"/>
    <s v="210BPA0370"/>
    <n v="0"/>
    <x v="169"/>
    <s v="0370"/>
    <n v="-58.5347727913311"/>
    <n v="0.53890213472578796"/>
    <n v="-58.896721579936901"/>
    <n v="0.72352164990428502"/>
    <s v="210"/>
    <s v="PA"/>
    <s v="Eixo Principal"/>
    <s v="-"/>
    <s v="210BPA0370"/>
    <s v="MAPUERA"/>
    <s v="DIV PA/RR"/>
    <n v="541"/>
    <n v="589.6"/>
    <n v="48.6"/>
    <x v="5"/>
    <m/>
    <m/>
    <s v="Federal"/>
    <m/>
    <m/>
    <m/>
    <s v="Federal"/>
    <s v="N_PAV"/>
    <s v="Itaituba"/>
  </r>
  <r>
    <x v="0"/>
    <s v="210BRR0390"/>
    <n v="0"/>
    <x v="170"/>
    <s v="0390"/>
    <n v="-58.896721579936901"/>
    <n v="0.72352164990428502"/>
    <n v="-59.289783400383499"/>
    <n v="0.75930714001253796"/>
    <s v="210"/>
    <s v="RR"/>
    <s v="Eixo Principal"/>
    <s v="-"/>
    <s v="210BRR0390"/>
    <s v="DIV PA/RR"/>
    <s v="RIO JATAPÚ"/>
    <n v="0"/>
    <n v="45.3"/>
    <n v="45.3"/>
    <x v="1"/>
    <m/>
    <m/>
    <s v="Federal"/>
    <m/>
    <m/>
    <m/>
    <s v="Federal"/>
    <s v="PLA"/>
    <s v="Boa Vista"/>
  </r>
  <r>
    <x v="0"/>
    <s v="210BRR0395"/>
    <n v="0"/>
    <x v="170"/>
    <s v="0395"/>
    <n v="-59.289783400383499"/>
    <n v="0.75930714001253796"/>
    <n v="-59.428627550221201"/>
    <n v="0.79744234998452201"/>
    <s v="210"/>
    <s v="RR"/>
    <s v="Eixo Principal"/>
    <s v="-"/>
    <s v="210BRR0395"/>
    <s v="RIO JATAPÚ"/>
    <s v="ENTR VIC13/14 (ENTRE RIOS)"/>
    <n v="45.3"/>
    <n v="56.3"/>
    <n v="11"/>
    <x v="5"/>
    <m/>
    <m/>
    <s v="Federal"/>
    <m/>
    <m/>
    <m/>
    <s v="Federal"/>
    <s v="N_PAV"/>
    <s v="Boa Vista"/>
  </r>
  <r>
    <x v="0"/>
    <s v="210BRR0400"/>
    <n v="0"/>
    <x v="170"/>
    <s v="0400"/>
    <n v="-59.428627550221201"/>
    <n v="0.79744234998452201"/>
    <n v="-59.620673229785602"/>
    <n v="0.85505625044567102"/>
    <s v="210"/>
    <s v="RR"/>
    <s v="Eixo Principal"/>
    <s v="-"/>
    <s v="210BRR0400"/>
    <s v="ENTR VIC13/14 (ENTRE RIOS)"/>
    <s v="IGARAPÉ ROCOCÓ"/>
    <n v="56.3"/>
    <n v="78.599999999999994"/>
    <n v="22.3"/>
    <x v="5"/>
    <m/>
    <m/>
    <s v="Federal"/>
    <m/>
    <m/>
    <m/>
    <s v="Federal"/>
    <s v="N_PAV"/>
    <s v="Boa Vista"/>
  </r>
  <r>
    <x v="0"/>
    <s v="210BRR0405"/>
    <n v="0"/>
    <x v="170"/>
    <s v="0405"/>
    <n v="-59.620673229785602"/>
    <n v="0.85505625044567102"/>
    <n v="-59.662448169647199"/>
    <n v="0.87520022970687705"/>
    <s v="210"/>
    <s v="RR"/>
    <s v="Eixo Principal"/>
    <s v="-"/>
    <s v="210BRR0405"/>
    <s v="IGARAPÉ ROCOCÓ"/>
    <s v="RIO CAROEBE"/>
    <n v="78.599999999999994"/>
    <n v="83.7"/>
    <n v="5.0999999999999996"/>
    <x v="5"/>
    <m/>
    <m/>
    <s v="Federal"/>
    <m/>
    <m/>
    <m/>
    <s v="Federal"/>
    <s v="N_PAV"/>
    <s v="Boa Vista"/>
  </r>
  <r>
    <x v="0"/>
    <s v="210BRR0410"/>
    <n v="0"/>
    <x v="170"/>
    <s v="0410"/>
    <n v="-59.662448169647199"/>
    <n v="0.87520022970687705"/>
    <n v="-59.699739339798597"/>
    <n v="0.881269669659559"/>
    <s v="210"/>
    <s v="RR"/>
    <s v="Eixo Principal"/>
    <s v="-"/>
    <s v="210BRR0410"/>
    <s v="RIO CAROEBE"/>
    <s v="ENTR VIC 36/37 (CAROEBE)"/>
    <n v="83.7"/>
    <n v="86.8"/>
    <n v="3.1"/>
    <x v="2"/>
    <m/>
    <m/>
    <s v="Federal"/>
    <m/>
    <m/>
    <m/>
    <s v="Federal"/>
    <s v="PAV"/>
    <s v="Boa Vista"/>
  </r>
  <r>
    <x v="0"/>
    <s v="210BRR0415"/>
    <n v="0"/>
    <x v="170"/>
    <s v="0415"/>
    <n v="-59.699739339798597"/>
    <n v="0.881269669659559"/>
    <n v="-59.734940140175198"/>
    <n v="0.89558439000762702"/>
    <s v="210"/>
    <s v="RR"/>
    <s v="Eixo Principal"/>
    <s v="-"/>
    <s v="210BRR0415"/>
    <s v="ENTR VIC 36/37 (CAROEBE)"/>
    <s v="IGARAPÉ TABOCA"/>
    <n v="86.8"/>
    <n v="92.1"/>
    <n v="5.3"/>
    <x v="2"/>
    <m/>
    <m/>
    <s v="Federal"/>
    <m/>
    <m/>
    <m/>
    <s v="Federal"/>
    <s v="PAV"/>
    <s v="Boa Vista"/>
  </r>
  <r>
    <x v="0"/>
    <s v="210BRR0420"/>
    <n v="0"/>
    <x v="170"/>
    <s v="0420"/>
    <n v="-59.734940140175198"/>
    <n v="0.89558439000762702"/>
    <n v="-59.907701600448398"/>
    <n v="0.94938665966668601"/>
    <s v="210"/>
    <s v="RR"/>
    <s v="Eixo Principal"/>
    <s v="-"/>
    <s v="210BRR0420"/>
    <s v="IGARAPÉ TABOCA"/>
    <s v="SÃO JOÃO DA BALIZA"/>
    <n v="92.1"/>
    <n v="113"/>
    <n v="20.9"/>
    <x v="2"/>
    <m/>
    <m/>
    <s v="Federal"/>
    <m/>
    <m/>
    <m/>
    <s v="Federal"/>
    <s v="PAV"/>
    <s v="Boa Vista"/>
  </r>
  <r>
    <x v="0"/>
    <s v="210BRR0425"/>
    <n v="0"/>
    <x v="170"/>
    <s v="0425"/>
    <n v="-59.907701600448398"/>
    <n v="0.94938665966668601"/>
    <n v="-59.914451439582201"/>
    <n v="0.95033660994664604"/>
    <s v="210"/>
    <s v="RR"/>
    <s v="Eixo Principal"/>
    <s v="-"/>
    <s v="210BRR0425"/>
    <s v="SÃO JOÃO DA BALIZA"/>
    <s v="FIM DA DUPLICAÇÃO"/>
    <n v="113"/>
    <n v="113.7"/>
    <n v="0.7"/>
    <x v="0"/>
    <m/>
    <m/>
    <s v="Federal"/>
    <m/>
    <m/>
    <m/>
    <s v="Federal"/>
    <s v="PAV"/>
    <s v="Boa Vista"/>
  </r>
  <r>
    <x v="0"/>
    <s v="210BRR0430"/>
    <n v="0"/>
    <x v="170"/>
    <s v="0430"/>
    <n v="-59.914451439582201"/>
    <n v="0.95033660994664604"/>
    <n v="-60.037709449831098"/>
    <n v="1.01238477963391"/>
    <s v="210"/>
    <s v="RR"/>
    <s v="Eixo Principal"/>
    <s v="-"/>
    <s v="210BRR0430"/>
    <s v="FIM DA DUPLICAÇÃO"/>
    <s v="ENTR RR-460 (SÃO LUIZ DO ANAUÁ)"/>
    <n v="113.7"/>
    <n v="129"/>
    <n v="15.3"/>
    <x v="2"/>
    <m/>
    <m/>
    <s v="Federal"/>
    <m/>
    <m/>
    <m/>
    <s v="Federal"/>
    <s v="PAV"/>
    <s v="Boa Vista"/>
  </r>
  <r>
    <x v="0"/>
    <s v="210BRR0435"/>
    <n v="0"/>
    <x v="170"/>
    <s v="0435"/>
    <n v="-60.037709449831098"/>
    <n v="1.01238477963391"/>
    <n v="-60.088402100376499"/>
    <n v="1.0337847403735001"/>
    <s v="210"/>
    <s v="RR"/>
    <s v="Eixo Principal"/>
    <s v="-"/>
    <s v="210BRR0435"/>
    <s v="ENTR RR-460 (SÃO LUIZ DO ANAUÁ)"/>
    <s v="IGARAPÉ AREAL"/>
    <n v="129"/>
    <n v="135.5"/>
    <n v="6.5"/>
    <x v="2"/>
    <m/>
    <m/>
    <s v="Federal"/>
    <m/>
    <m/>
    <m/>
    <s v="Federal"/>
    <s v="PAV"/>
    <s v="Boa Vista"/>
  </r>
  <r>
    <x v="0"/>
    <s v="210BRR0445"/>
    <n v="0"/>
    <x v="170"/>
    <s v="0445"/>
    <n v="-60.088402100376499"/>
    <n v="1.0337847403735001"/>
    <n v="-60.190825940364697"/>
    <n v="1.0805602696407799"/>
    <s v="210"/>
    <s v="RR"/>
    <s v="Eixo Principal"/>
    <s v="-"/>
    <s v="210BRR0445"/>
    <s v="IGARAPÉ AREAL"/>
    <s v="ENTR VIC 12/13 (VILA MODERNA)"/>
    <n v="135.5"/>
    <n v="148.4"/>
    <n v="12.9"/>
    <x v="2"/>
    <m/>
    <m/>
    <s v="Federal"/>
    <m/>
    <m/>
    <m/>
    <s v="Federal"/>
    <s v="PAV"/>
    <s v="Boa Vista"/>
  </r>
  <r>
    <x v="0"/>
    <s v="210BRR0450"/>
    <n v="0"/>
    <x v="170"/>
    <s v="0450"/>
    <n v="-60.190825940364697"/>
    <n v="1.0805602696407799"/>
    <n v="-60.223668140072498"/>
    <n v="1.1283761400468899"/>
    <s v="210"/>
    <s v="RR"/>
    <s v="Eixo Principal"/>
    <s v="-"/>
    <s v="210BRR0450"/>
    <s v="ENTR VIC 12/13 (VILA MODERNA)"/>
    <s v="RIO ANAUÁ"/>
    <n v="148.4"/>
    <n v="155"/>
    <n v="6.6"/>
    <x v="2"/>
    <m/>
    <m/>
    <s v="Federal"/>
    <m/>
    <m/>
    <m/>
    <s v="Federal"/>
    <s v="PAV"/>
    <s v="Boa Vista"/>
  </r>
  <r>
    <x v="0"/>
    <s v="210BRR0455"/>
    <n v="0"/>
    <x v="170"/>
    <s v="0455"/>
    <n v="-60.223668140072498"/>
    <n v="1.1283761400468899"/>
    <n v="-60.254722539713299"/>
    <n v="1.1676394299158199"/>
    <s v="210"/>
    <s v="RR"/>
    <s v="Eixo Principal"/>
    <s v="-"/>
    <s v="210BRR0455"/>
    <s v="RIO ANAUÁ"/>
    <s v="IGARAPÉ SÃO FRANCISCO"/>
    <n v="155"/>
    <n v="161.80000000000001"/>
    <n v="6.8"/>
    <x v="2"/>
    <m/>
    <m/>
    <s v="Federal"/>
    <m/>
    <m/>
    <m/>
    <s v="Federal"/>
    <s v="PAV"/>
    <s v="Boa Vista"/>
  </r>
  <r>
    <x v="0"/>
    <s v="210BRR0460"/>
    <n v="0"/>
    <x v="170"/>
    <s v="0460"/>
    <n v="-60.254722539713299"/>
    <n v="1.1676394299158199"/>
    <n v="-60.385000040019797"/>
    <n v="1.2235136503347199"/>
    <s v="210"/>
    <s v="RR"/>
    <s v="Eixo Principal"/>
    <s v="-"/>
    <s v="210BRR0460"/>
    <s v="IGARAPÉ SÃO FRANCISCO"/>
    <s v="ENTR BR-174(A) (NOVO PARAÍSO)"/>
    <n v="161.80000000000001"/>
    <n v="178.5"/>
    <n v="16.7"/>
    <x v="2"/>
    <m/>
    <m/>
    <s v="Federal"/>
    <m/>
    <m/>
    <m/>
    <s v="Federal"/>
    <s v="PAV"/>
    <s v="Boa Vista"/>
  </r>
  <r>
    <x v="0"/>
    <s v="210BRR0465"/>
    <n v="0"/>
    <x v="170"/>
    <s v="0465"/>
    <n v="-60.385000040019797"/>
    <n v="1.2235136503347199"/>
    <n v="-60.509945649671899"/>
    <n v="1.2759312797048199"/>
    <s v="210"/>
    <s v="RR"/>
    <s v="Eixo Principal"/>
    <s v="Coinc"/>
    <s v="210BRR0465"/>
    <s v="ENTR BR-174(A) (NOVO PARAÍSO)"/>
    <s v="RIO DIAS"/>
    <n v="178.5"/>
    <n v="194"/>
    <n v="15.5"/>
    <x v="2"/>
    <m/>
    <s v="174BRR0830"/>
    <s v="Federal"/>
    <m/>
    <m/>
    <m/>
    <s v="Federal"/>
    <s v="PAV"/>
    <s v="Boa Vista"/>
  </r>
  <r>
    <x v="0"/>
    <s v="210BRR0470"/>
    <n v="0"/>
    <x v="170"/>
    <s v="0470"/>
    <n v="-60.509945649671899"/>
    <n v="1.2759312797048199"/>
    <n v="-60.520517280148297"/>
    <n v="1.2853323004453601"/>
    <s v="210"/>
    <s v="RR"/>
    <s v="Eixo Principal"/>
    <s v="Coinc"/>
    <s v="210BRR0470"/>
    <s v="RIO DIAS"/>
    <s v="IGARAPÉ SCHULLER"/>
    <n v="194"/>
    <n v="195.7"/>
    <n v="1.7"/>
    <x v="2"/>
    <m/>
    <s v="174BRR0835"/>
    <s v="Federal"/>
    <m/>
    <m/>
    <m/>
    <s v="Federal"/>
    <s v="PAV"/>
    <s v="Boa Vista"/>
  </r>
  <r>
    <x v="0"/>
    <s v="210BRR0475"/>
    <n v="0"/>
    <x v="170"/>
    <s v="0475"/>
    <n v="-60.520517280148297"/>
    <n v="1.2853323004453601"/>
    <n v="-60.5439169697922"/>
    <n v="1.28993419970362"/>
    <s v="210"/>
    <s v="RR"/>
    <s v="Eixo Principal"/>
    <s v="Coinc"/>
    <s v="210BRR0475"/>
    <s v="IGARAPÉ SCHULLER"/>
    <s v="IGARAPÉ NELSON RIBEIRO"/>
    <n v="195.7"/>
    <n v="198.3"/>
    <n v="2.6"/>
    <x v="2"/>
    <m/>
    <s v="174BRR0840"/>
    <s v="Federal"/>
    <m/>
    <m/>
    <m/>
    <s v="Federal"/>
    <s v="PAV"/>
    <s v="Boa Vista"/>
  </r>
  <r>
    <x v="0"/>
    <s v="210BRR0480"/>
    <n v="0"/>
    <x v="170"/>
    <s v="0480"/>
    <n v="-60.5439169697922"/>
    <n v="1.28993419970362"/>
    <n v="-60.569051689983397"/>
    <n v="1.3055988599994599"/>
    <s v="210"/>
    <s v="RR"/>
    <s v="Eixo Principal"/>
    <s v="Coinc"/>
    <s v="210BRR0480"/>
    <s v="IGARAPÉ NELSON RIBEIRO"/>
    <s v="IGARAPÉ TAMANDARÉ"/>
    <n v="198.3"/>
    <n v="201.8"/>
    <n v="3.5"/>
    <x v="2"/>
    <m/>
    <s v="174BRR0845"/>
    <s v="Federal"/>
    <m/>
    <m/>
    <m/>
    <s v="Federal"/>
    <s v="PAV"/>
    <s v="Boa Vista"/>
  </r>
  <r>
    <x v="0"/>
    <s v="210BRR0485"/>
    <n v="0"/>
    <x v="170"/>
    <s v="0485"/>
    <n v="-60.569051689983397"/>
    <n v="1.3055988599994599"/>
    <n v="-60.643771130133501"/>
    <n v="1.3919145696017301"/>
    <s v="210"/>
    <s v="RR"/>
    <s v="Eixo Principal"/>
    <s v="Coinc"/>
    <s v="210BRR0485"/>
    <s v="IGARAPÉ TAMANDARÉ"/>
    <s v="IGARAPÉ CALEFFI"/>
    <n v="201.8"/>
    <n v="214.5"/>
    <n v="12.7"/>
    <x v="2"/>
    <m/>
    <s v="174BRR0850"/>
    <s v="Federal"/>
    <m/>
    <m/>
    <m/>
    <s v="Federal"/>
    <s v="PAV"/>
    <s v="Boa Vista"/>
  </r>
  <r>
    <x v="0"/>
    <s v="210BRR0490"/>
    <n v="0"/>
    <x v="170"/>
    <s v="0490"/>
    <n v="-60.643771130133501"/>
    <n v="1.3919145696017301"/>
    <n v="-60.693205329662099"/>
    <n v="1.42642043955169"/>
    <s v="210"/>
    <s v="RR"/>
    <s v="Eixo Principal"/>
    <s v="Coinc"/>
    <s v="210BRR0490"/>
    <s v="IGARAPÉ CALEFFI"/>
    <s v="IGARAPÉ KALL"/>
    <n v="214.5"/>
    <n v="221.5"/>
    <n v="7"/>
    <x v="2"/>
    <m/>
    <s v="174BRR0855"/>
    <s v="Federal"/>
    <m/>
    <m/>
    <m/>
    <s v="Federal"/>
    <s v="PAV"/>
    <s v="Boa Vista"/>
  </r>
  <r>
    <x v="0"/>
    <s v="210BRR0495"/>
    <n v="0"/>
    <x v="170"/>
    <s v="0495"/>
    <n v="-60.693205329662099"/>
    <n v="1.42642043955169"/>
    <n v="-60.752184060146099"/>
    <n v="1.4522426096087799"/>
    <s v="210"/>
    <s v="RR"/>
    <s v="Eixo Principal"/>
    <s v="Coinc"/>
    <s v="210BRR0495"/>
    <s v="IGARAPÉ KALL"/>
    <s v="RIO ITÃ"/>
    <n v="221.5"/>
    <n v="228.8"/>
    <n v="7.3"/>
    <x v="2"/>
    <m/>
    <s v="174BRR0860"/>
    <s v="Federal"/>
    <m/>
    <m/>
    <m/>
    <s v="Federal"/>
    <s v="PAV"/>
    <s v="Boa Vista"/>
  </r>
  <r>
    <x v="0"/>
    <s v="210BRR0500"/>
    <n v="0"/>
    <x v="170"/>
    <s v="0500"/>
    <n v="-60.752184060146099"/>
    <n v="1.4522426096087799"/>
    <n v="-60.8217165299938"/>
    <n v="1.48407886994391"/>
    <s v="210"/>
    <s v="RR"/>
    <s v="Eixo Principal"/>
    <s v="Coinc"/>
    <s v="210BRR0500"/>
    <s v="RIO ITÃ"/>
    <s v="IGARAPÉ SECO"/>
    <n v="228.8"/>
    <n v="237.5"/>
    <n v="8.6999999999999993"/>
    <x v="2"/>
    <m/>
    <s v="174BRR0865"/>
    <s v="Federal"/>
    <m/>
    <m/>
    <m/>
    <s v="Federal"/>
    <s v="PAV"/>
    <s v="Boa Vista"/>
  </r>
  <r>
    <x v="0"/>
    <s v="210BRR0505"/>
    <n v="0"/>
    <x v="170"/>
    <s v="0505"/>
    <n v="-60.8217165299938"/>
    <n v="1.48407886994391"/>
    <n v="-60.831426830283903"/>
    <n v="1.48221749993774"/>
    <s v="210"/>
    <s v="RR"/>
    <s v="Eixo Principal"/>
    <s v="Coinc"/>
    <s v="210BRR0505"/>
    <s v="IGARAPÉ SECO"/>
    <s v="IGARAPÉ LAGOA"/>
    <n v="237.5"/>
    <n v="238.6"/>
    <n v="1.1000000000000001"/>
    <x v="2"/>
    <m/>
    <s v="174BRR0870"/>
    <s v="Federal"/>
    <m/>
    <m/>
    <m/>
    <s v="Federal"/>
    <s v="PAV"/>
    <s v="Boa Vista"/>
  </r>
  <r>
    <x v="0"/>
    <s v="210BRR0510"/>
    <n v="0"/>
    <x v="170"/>
    <s v="0510"/>
    <n v="-60.831426830283903"/>
    <n v="1.48221749993774"/>
    <n v="-60.863610299975299"/>
    <n v="1.47621117980213"/>
    <s v="210"/>
    <s v="RR"/>
    <s v="Eixo Principal"/>
    <s v="Coinc"/>
    <s v="210BRR0510"/>
    <s v="IGARAPÉ LAGOA"/>
    <s v="RIO BARAUANA"/>
    <n v="238.6"/>
    <n v="242.2"/>
    <n v="3.6"/>
    <x v="2"/>
    <m/>
    <s v="174BRR0875"/>
    <s v="Federal"/>
    <m/>
    <m/>
    <m/>
    <s v="Federal"/>
    <s v="PAV"/>
    <s v="Boa Vista"/>
  </r>
  <r>
    <x v="0"/>
    <s v="210BRR0515"/>
    <n v="0"/>
    <x v="170"/>
    <s v="0515"/>
    <n v="-60.863610299975299"/>
    <n v="1.47621117980213"/>
    <n v="-60.988999260107697"/>
    <n v="1.5621361897333901"/>
    <s v="210"/>
    <s v="RR"/>
    <s v="Eixo Principal"/>
    <s v="Coinc"/>
    <s v="210BRR0515"/>
    <s v="RIO BARAUANA"/>
    <s v="VILA PETROLINA"/>
    <n v="242.2"/>
    <n v="262.60000000000002"/>
    <n v="20.399999999999999"/>
    <x v="2"/>
    <m/>
    <s v="174BRR0880"/>
    <s v="Federal"/>
    <m/>
    <m/>
    <m/>
    <s v="Federal"/>
    <s v="PAV"/>
    <s v="Boa Vista"/>
  </r>
  <r>
    <x v="0"/>
    <s v="210BRR0520"/>
    <n v="0"/>
    <x v="170"/>
    <s v="0520"/>
    <n v="-60.988999260107697"/>
    <n v="1.5621361897333901"/>
    <n v="-61.141432960162902"/>
    <n v="1.7396065901720501"/>
    <s v="210"/>
    <s v="RR"/>
    <s v="Eixo Principal"/>
    <s v="Coinc"/>
    <s v="210BRR0520"/>
    <s v="VILA PETROLINA"/>
    <s v="RIO BRANCO (VISTA ALEGRE)"/>
    <n v="262.60000000000002"/>
    <n v="288.3"/>
    <n v="25.7"/>
    <x v="2"/>
    <m/>
    <s v="174BRR0885"/>
    <s v="Federal"/>
    <m/>
    <m/>
    <m/>
    <s v="Federal"/>
    <s v="PAV"/>
    <s v="Boa Vista"/>
  </r>
  <r>
    <x v="0"/>
    <s v="210BRR0530"/>
    <n v="0"/>
    <x v="170"/>
    <s v="0530"/>
    <n v="-61.141432960162902"/>
    <n v="1.7396065901720501"/>
    <n v="-61.131018790184903"/>
    <n v="1.82795647990764"/>
    <s v="210"/>
    <s v="RR"/>
    <s v="Eixo Principal"/>
    <s v="Coinc"/>
    <s v="210BRR0530"/>
    <s v="RIO BRANCO (VISTA ALEGRE)"/>
    <s v="CARACARAÍ (R. SEN. HÉLIO CAMPOS)"/>
    <n v="288.3"/>
    <n v="299.89999999999998"/>
    <n v="11.6"/>
    <x v="2"/>
    <m/>
    <s v="174BRR0890"/>
    <s v="Federal"/>
    <m/>
    <m/>
    <m/>
    <s v="Federal"/>
    <s v="PAV"/>
    <s v="Boa Vista"/>
  </r>
  <r>
    <x v="0"/>
    <s v="210BRR0540"/>
    <n v="0"/>
    <x v="170"/>
    <s v="0540"/>
    <n v="-61.131018790184903"/>
    <n v="1.82795647990764"/>
    <n v="-61.108472850341698"/>
    <n v="1.91203116980267"/>
    <s v="210"/>
    <s v="RR"/>
    <s v="Eixo Principal"/>
    <s v="Coinc"/>
    <s v="210BRR0540"/>
    <s v="CARACARAÍ (R. SEN. HÉLIO CAMPOS)"/>
    <s v="ENTR BR-174(B)/RR-327/347"/>
    <n v="299.89999999999998"/>
    <n v="310"/>
    <n v="10.1"/>
    <x v="2"/>
    <m/>
    <s v="174BRR0895"/>
    <s v="Federal"/>
    <m/>
    <m/>
    <m/>
    <s v="Federal"/>
    <s v="PAV"/>
    <s v="Boa Vista"/>
  </r>
  <r>
    <x v="0"/>
    <s v="210BRR0550"/>
    <n v="0"/>
    <x v="170"/>
    <s v="0550"/>
    <n v="-61.108472850341698"/>
    <n v="1.91203116980267"/>
    <n v="-61.4728511898305"/>
    <n v="2.0107435598674201"/>
    <s v="210"/>
    <s v="RR"/>
    <s v="Eixo Principal"/>
    <s v="-"/>
    <s v="210BRR0550"/>
    <s v="ENTR BR-174(B)/RR-327/347"/>
    <s v="RIO REPARTIMENTO DO AJARANI"/>
    <n v="310"/>
    <n v="353.7"/>
    <n v="43.7"/>
    <x v="5"/>
    <m/>
    <m/>
    <m/>
    <s v="MP082/2003"/>
    <m/>
    <m/>
    <m/>
    <s v="N_PAV"/>
    <s v="Boa Vista"/>
  </r>
  <r>
    <x v="0"/>
    <s v="210BRR0570"/>
    <n v="0"/>
    <x v="170"/>
    <s v="0570"/>
    <n v="-61.4728511898305"/>
    <n v="2.0107435598674201"/>
    <n v="-62.225306506589902"/>
    <n v="1.7862056175952099"/>
    <s v="210"/>
    <s v="RR"/>
    <s v="Eixo Principal"/>
    <s v="-"/>
    <s v="210BRR0570"/>
    <s v="RIO REPARTIMENTO DO AJARANI"/>
    <s v="ENTR RR-175/344 (MISSÃO CATRIMANI)"/>
    <n v="353.7"/>
    <n v="452.7"/>
    <n v="99"/>
    <x v="5"/>
    <m/>
    <m/>
    <m/>
    <s v="MP082/2005"/>
    <m/>
    <m/>
    <m/>
    <s v="N_PAV"/>
    <s v="Boa Vista"/>
  </r>
  <r>
    <x v="0"/>
    <s v="210BRR0580"/>
    <n v="0"/>
    <x v="170"/>
    <s v="0580"/>
    <n v="-62.225306506589902"/>
    <n v="1.7862056175952099"/>
    <n v="-62.287236869585698"/>
    <n v="1.74026575995691"/>
    <s v="210"/>
    <s v="RR"/>
    <s v="Eixo Principal"/>
    <s v="-"/>
    <s v="210BRR0580"/>
    <s v="ENTR RR-175/344 (MISSÃO CATRIMANI)"/>
    <s v="FIM DA IMPLANTAÇÃO"/>
    <n v="452.7"/>
    <n v="462.7"/>
    <n v="10"/>
    <x v="5"/>
    <m/>
    <m/>
    <m/>
    <s v="MP082/2003"/>
    <m/>
    <m/>
    <m/>
    <s v="N_PAV"/>
    <s v="Boa Vista"/>
  </r>
  <r>
    <x v="0"/>
    <s v="210BRR0590"/>
    <n v="0"/>
    <x v="170"/>
    <s v="0590"/>
    <n v="-62.287236869585698"/>
    <n v="1.74026575995691"/>
    <n v="-62.749313019979802"/>
    <n v="1.5043670797769499"/>
    <s v="210"/>
    <s v="RR"/>
    <s v="Eixo Principal"/>
    <s v="-"/>
    <s v="210BRR0590"/>
    <s v="FIM DA IMPLANTAÇÃO"/>
    <s v="DIV RR/AM"/>
    <n v="462.7"/>
    <n v="522.70000000000005"/>
    <n v="60"/>
    <x v="1"/>
    <m/>
    <m/>
    <s v="Federal"/>
    <m/>
    <m/>
    <m/>
    <s v="Federal"/>
    <s v="PLA"/>
    <s v="Boa Vista"/>
  </r>
  <r>
    <x v="0"/>
    <s v="222ACE1005"/>
    <n v="0"/>
    <x v="171"/>
    <s v="1005"/>
    <n v="-38.616833750277202"/>
    <n v="-3.7435269798861501"/>
    <n v="-38.6542677498567"/>
    <n v="-3.7353818003297699"/>
    <s v="222"/>
    <s v="CE"/>
    <s v="Acesso"/>
    <s v="-"/>
    <s v="222ACE1005"/>
    <s v="ENTR BR-020/222"/>
    <s v="ACESSO LESTE CAUCÁIA"/>
    <n v="0"/>
    <n v="3.8"/>
    <n v="3.8"/>
    <x v="0"/>
    <m/>
    <m/>
    <s v="Federal"/>
    <m/>
    <m/>
    <m/>
    <s v="Federal"/>
    <s v="PAV"/>
    <s v="Fortaleza"/>
  </r>
  <r>
    <x v="0"/>
    <s v="222ACE2005"/>
    <n v="0"/>
    <x v="171"/>
    <s v="2005"/>
    <n v="-38.7441630597773"/>
    <n v="-3.7359981300096399"/>
    <n v="-38.6542677498567"/>
    <n v="-3.7353818003297699"/>
    <s v="222"/>
    <s v="CE"/>
    <s v="Acesso"/>
    <s v="-"/>
    <s v="222ACE2005"/>
    <s v="ENTR BR-222"/>
    <s v="ACESSO OESTE CAUCÁIA"/>
    <n v="0"/>
    <n v="11.2"/>
    <n v="11.2"/>
    <x v="2"/>
    <m/>
    <m/>
    <s v="Federal"/>
    <m/>
    <m/>
    <m/>
    <s v="Federal"/>
    <s v="PAV"/>
    <s v="Fortaleza"/>
  </r>
  <r>
    <x v="0"/>
    <s v="222ACE3005"/>
    <n v="0"/>
    <x v="171"/>
    <s v="3005"/>
    <n v="-40.334302930135998"/>
    <n v="-3.7169909100024299"/>
    <n v="-40.344374939551699"/>
    <n v="-3.6842333104188998"/>
    <s v="222"/>
    <s v="CE"/>
    <s v="Acesso"/>
    <s v="-"/>
    <s v="222ACE3005"/>
    <s v="ENTR BR-222"/>
    <s v="ACESSO LESTE SOBRAL"/>
    <n v="0"/>
    <n v="3.8"/>
    <n v="3.8"/>
    <x v="0"/>
    <m/>
    <m/>
    <s v="Federal"/>
    <m/>
    <m/>
    <m/>
    <s v="Federal"/>
    <s v="PAV"/>
    <s v="Sobral"/>
  </r>
  <r>
    <x v="0"/>
    <s v="222ACE4005"/>
    <n v="0"/>
    <x v="171"/>
    <s v="4005"/>
    <n v="-40.381080900163298"/>
    <n v="-3.6953880298336799"/>
    <n v="-40.359948500323"/>
    <n v="-3.6912929201321201"/>
    <s v="222"/>
    <s v="CE"/>
    <s v="Acesso"/>
    <s v="-"/>
    <s v="222ACE4005"/>
    <s v="ENTR BR-222"/>
    <s v="ACESSO OESTE SOBRAL"/>
    <n v="0"/>
    <n v="2.5"/>
    <n v="2.5"/>
    <x v="2"/>
    <m/>
    <m/>
    <s v="Federal"/>
    <m/>
    <m/>
    <m/>
    <s v="Federal"/>
    <s v="PAV"/>
    <s v="Sobral"/>
  </r>
  <r>
    <x v="0"/>
    <s v="222AMA1005"/>
    <n v="0"/>
    <x v="172"/>
    <s v="1005"/>
    <n v="-45.390411309634203"/>
    <n v="-3.6755002296518402"/>
    <n v="-45.382734780285801"/>
    <n v="-3.6647803099632998"/>
    <s v="222"/>
    <s v="MA"/>
    <s v="Acesso"/>
    <s v="-"/>
    <s v="222AMA1005"/>
    <s v="ENTR BR-222 (KM 362,8)"/>
    <s v="SANTA INÊS (AV LARANJEIRAS - SUL)"/>
    <n v="0"/>
    <n v="1.4"/>
    <n v="1.4"/>
    <x v="2"/>
    <m/>
    <m/>
    <s v="Federal"/>
    <m/>
    <m/>
    <m/>
    <s v="Federal"/>
    <s v="PAV"/>
    <s v="Pedrinhas"/>
  </r>
  <r>
    <x v="0"/>
    <s v="222BCE0015"/>
    <n v="0"/>
    <x v="173"/>
    <s v="0015"/>
    <n v="-38.5692160104105"/>
    <n v="-3.73677077984757"/>
    <n v="-38.616833750277202"/>
    <n v="-3.7435269798861501"/>
    <s v="222"/>
    <s v="CE"/>
    <s v="Eixo Principal"/>
    <s v="-"/>
    <s v="222BCE0015"/>
    <s v="FORTALEZA (AVENIDA BEZERRA DE MENEZES)"/>
    <s v="P/CAUCÁIA"/>
    <n v="0"/>
    <n v="5.4"/>
    <n v="5.4"/>
    <x v="0"/>
    <m/>
    <m/>
    <s v="Federal"/>
    <m/>
    <m/>
    <m/>
    <s v="Federal"/>
    <s v="PAV"/>
    <s v="Fortaleza"/>
  </r>
  <r>
    <x v="0"/>
    <s v="222BCE0030"/>
    <n v="0"/>
    <x v="173"/>
    <s v="0030"/>
    <n v="-38.616833750277202"/>
    <n v="-3.7435269798861501"/>
    <n v="-38.665159190044498"/>
    <n v="-3.76795457034711"/>
    <s v="222"/>
    <s v="CE"/>
    <s v="Eixo Principal"/>
    <s v="-"/>
    <s v="222BCE0030"/>
    <s v="P/CAUCÁIA"/>
    <s v="ENTR BR-020"/>
    <n v="5.4"/>
    <n v="11.4"/>
    <n v="6"/>
    <x v="2"/>
    <s v="EOD"/>
    <m/>
    <s v="Federal"/>
    <m/>
    <m/>
    <m/>
    <s v="Federal"/>
    <s v="PAV"/>
    <s v="Fortaleza"/>
  </r>
  <r>
    <x v="0"/>
    <s v="222BCE0035"/>
    <n v="0"/>
    <x v="173"/>
    <s v="0035"/>
    <n v="-38.665159190044498"/>
    <n v="-3.76795457034711"/>
    <n v="-38.7441630597773"/>
    <n v="-3.7359981300096399"/>
    <s v="222"/>
    <s v="CE"/>
    <s v="Eixo Principal"/>
    <s v="-"/>
    <s v="222BCE0035"/>
    <s v="ENTR BR-020"/>
    <s v="ACESSO OESTE CAUCÁIA"/>
    <n v="11.4"/>
    <n v="21.2"/>
    <n v="9.8000000000000007"/>
    <x v="2"/>
    <m/>
    <m/>
    <s v="Federal"/>
    <m/>
    <m/>
    <m/>
    <s v="Federal"/>
    <s v="PAV"/>
    <s v="Fortaleza"/>
  </r>
  <r>
    <x v="0"/>
    <s v="222BCE0037"/>
    <n v="0"/>
    <x v="173"/>
    <s v="0037"/>
    <n v="-38.7441630597773"/>
    <n v="-3.7359981300096399"/>
    <n v="-38.824215129824303"/>
    <n v="-3.7113703702463501"/>
    <s v="222"/>
    <s v="CE"/>
    <s v="Eixo Principal"/>
    <s v="-"/>
    <s v="222BCE0037"/>
    <s v="ACESSO OESTE CAUCÁIA"/>
    <s v="ENTR CE-421 (PRIMAVERA)"/>
    <n v="21.2"/>
    <n v="30.5"/>
    <n v="9.3000000000000007"/>
    <x v="2"/>
    <m/>
    <m/>
    <s v="Federal"/>
    <m/>
    <m/>
    <m/>
    <s v="Federal"/>
    <s v="PAV"/>
    <s v="Fortaleza"/>
  </r>
  <r>
    <x v="0"/>
    <s v="222BCE0040"/>
    <n v="0"/>
    <x v="173"/>
    <s v="0040"/>
    <n v="-38.824215129824303"/>
    <n v="-3.7113703702463501"/>
    <n v="-38.870475709986003"/>
    <n v="-3.6979128099281899"/>
    <s v="222"/>
    <s v="CE"/>
    <s v="Eixo Principal"/>
    <s v="-"/>
    <s v="222BCE0040"/>
    <s v="ENTR CE-421 (PRIMAVERA)"/>
    <s v="ENTR CE-422 (P/PECÉM)"/>
    <n v="30.5"/>
    <n v="35.700000000000003"/>
    <n v="5.2"/>
    <x v="2"/>
    <m/>
    <m/>
    <s v="Federal"/>
    <m/>
    <m/>
    <m/>
    <s v="Federal"/>
    <s v="PAV"/>
    <s v="Fortaleza"/>
  </r>
  <r>
    <x v="0"/>
    <s v="222BCE0045"/>
    <n v="0"/>
    <x v="173"/>
    <s v="0045"/>
    <n v="-38.870475709986003"/>
    <n v="-3.6979128099281899"/>
    <n v="-38.918516070060498"/>
    <n v="-3.6836265801025498"/>
    <s v="222"/>
    <s v="CE"/>
    <s v="Eixo Principal"/>
    <s v="-"/>
    <s v="222BCE0045"/>
    <s v="ENTR CE-422 (P/PECÉM)"/>
    <s v="ENTR CE-156 (CATUANA)"/>
    <n v="35.700000000000003"/>
    <n v="41.3"/>
    <n v="5.6"/>
    <x v="2"/>
    <m/>
    <m/>
    <s v="Federal"/>
    <m/>
    <m/>
    <m/>
    <s v="Federal"/>
    <s v="PAV"/>
    <s v="Fortaleza"/>
  </r>
  <r>
    <x v="0"/>
    <s v="222BCE0047"/>
    <n v="0"/>
    <x v="173"/>
    <s v="0047"/>
    <n v="-38.918516070060498"/>
    <n v="-3.6836265801025498"/>
    <n v="-38.977252429655799"/>
    <n v="-3.66997450991567"/>
    <s v="222"/>
    <s v="CE"/>
    <s v="Eixo Principal"/>
    <s v="-"/>
    <s v="222BCE0047"/>
    <s v="ENTR CE-156 (CATUANA)"/>
    <s v="ENTR CE-423 (P/SÃO GONÇALO)"/>
    <n v="41.3"/>
    <n v="48.2"/>
    <n v="6.9"/>
    <x v="2"/>
    <m/>
    <m/>
    <s v="Federal"/>
    <m/>
    <m/>
    <m/>
    <s v="Federal"/>
    <s v="PAV"/>
    <s v="Fortaleza"/>
  </r>
  <r>
    <x v="0"/>
    <s v="222BCE0050"/>
    <n v="0"/>
    <x v="173"/>
    <s v="0050"/>
    <n v="-38.977252429655799"/>
    <n v="-3.66997450991567"/>
    <n v="-39.117893520269703"/>
    <n v="-3.6721374199059298"/>
    <s v="222"/>
    <s v="CE"/>
    <s v="Eixo Principal"/>
    <s v="-"/>
    <s v="222BCE0050"/>
    <s v="ENTR CE-423 (P/SÃO GONÇALO)"/>
    <s v="ENTR CE-341 (CROATÁ)"/>
    <n v="48.2"/>
    <n v="64.2"/>
    <n v="16"/>
    <x v="2"/>
    <m/>
    <m/>
    <s v="Federal"/>
    <m/>
    <m/>
    <m/>
    <s v="Federal"/>
    <s v="PAV"/>
    <s v="Fortaleza"/>
  </r>
  <r>
    <x v="0"/>
    <s v="222BCE0070"/>
    <n v="0"/>
    <x v="173"/>
    <s v="0070"/>
    <n v="-39.117893520269703"/>
    <n v="-3.6721374199059298"/>
    <n v="-39.2402696202467"/>
    <n v="-3.6739282300037499"/>
    <s v="222"/>
    <s v="CE"/>
    <s v="Eixo Principal"/>
    <s v="-"/>
    <s v="222BCE0070"/>
    <s v="ENTR CE-341 (CROATÁ)"/>
    <s v="ENTR CE-162 (SÃO LUÍS DO CURU)"/>
    <n v="64.2"/>
    <n v="77.8"/>
    <n v="13.6"/>
    <x v="2"/>
    <m/>
    <m/>
    <s v="Federal"/>
    <m/>
    <m/>
    <m/>
    <s v="Federal"/>
    <s v="PAV"/>
    <s v="Fortaleza"/>
  </r>
  <r>
    <x v="0"/>
    <s v="222BCE0080"/>
    <n v="0"/>
    <x v="173"/>
    <s v="0080"/>
    <n v="-39.2402696202467"/>
    <n v="-3.6739282300037499"/>
    <n v="-39.2789257400308"/>
    <n v="-3.67509413988261"/>
    <s v="222"/>
    <s v="CE"/>
    <s v="Eixo Principal"/>
    <s v="-"/>
    <s v="222BCE0080"/>
    <s v="ENTR CE-162 (SÃO LUÍS DO CURU)"/>
    <s v="ENTR CE-163"/>
    <n v="77.8"/>
    <n v="82.3"/>
    <n v="4.5"/>
    <x v="2"/>
    <m/>
    <m/>
    <s v="Federal"/>
    <m/>
    <m/>
    <m/>
    <s v="Federal"/>
    <s v="PAV"/>
    <s v="Fortaleza"/>
  </r>
  <r>
    <x v="0"/>
    <s v="222BCE0085"/>
    <n v="0"/>
    <x v="173"/>
    <s v="0085"/>
    <n v="-39.2789257400308"/>
    <n v="-3.67509413988261"/>
    <n v="-39.355987209941702"/>
    <n v="-3.6807394703502001"/>
    <s v="222"/>
    <s v="CE"/>
    <s v="Eixo Principal"/>
    <s v="-"/>
    <s v="222BCE0085"/>
    <s v="ENTR CE-163"/>
    <s v="ENTR BR-402 (UMIRIM)"/>
    <n v="82.3"/>
    <n v="91"/>
    <n v="8.6999999999999993"/>
    <x v="2"/>
    <m/>
    <m/>
    <s v="Federal"/>
    <m/>
    <m/>
    <m/>
    <s v="Federal"/>
    <s v="PAV"/>
    <s v="Fortaleza"/>
  </r>
  <r>
    <x v="0"/>
    <s v="222BCE0090"/>
    <n v="0"/>
    <x v="173"/>
    <s v="0090"/>
    <n v="-39.355987209941702"/>
    <n v="-3.6807394703502001"/>
    <n v="-39.5793478299383"/>
    <n v="-3.69591570974216"/>
    <s v="222"/>
    <s v="CE"/>
    <s v="Eixo Principal"/>
    <s v="-"/>
    <s v="222BCE0090"/>
    <s v="ENTR BR-402 (UMIRIM)"/>
    <s v="ENTR CE-243 (ITAPAGÉ)"/>
    <n v="91"/>
    <n v="122.7"/>
    <n v="31.7"/>
    <x v="2"/>
    <m/>
    <m/>
    <s v="Federal"/>
    <m/>
    <m/>
    <m/>
    <s v="Federal"/>
    <s v="PAV"/>
    <s v="Fortaleza"/>
  </r>
  <r>
    <x v="0"/>
    <s v="222BCE0110"/>
    <n v="0"/>
    <x v="173"/>
    <s v="0110"/>
    <n v="-39.5793478299383"/>
    <n v="-3.69591570974216"/>
    <n v="-40.0454634903477"/>
    <n v="-3.7471602301604299"/>
    <s v="222"/>
    <s v="CE"/>
    <s v="Eixo Principal"/>
    <s v="-"/>
    <s v="222BCE0110"/>
    <s v="ENTR CE-243 (ITAPAGÉ)"/>
    <s v="ENTR CE-176 (PATOS)"/>
    <n v="122.7"/>
    <n v="179.8"/>
    <n v="57.1"/>
    <x v="2"/>
    <m/>
    <m/>
    <s v="Federal"/>
    <m/>
    <m/>
    <m/>
    <s v="Federal"/>
    <s v="PAV"/>
    <s v="Sobral"/>
  </r>
  <r>
    <x v="0"/>
    <s v="222BCE0130"/>
    <n v="0"/>
    <x v="173"/>
    <s v="0130"/>
    <n v="-40.0454634903477"/>
    <n v="-3.7471602301604299"/>
    <n v="-40.275047659921498"/>
    <n v="-3.79410710995512"/>
    <s v="222"/>
    <s v="CE"/>
    <s v="Eixo Principal"/>
    <s v="-"/>
    <s v="222BCE0130"/>
    <s v="ENTR CE-176 (PATOS)"/>
    <s v="ENTR CE-362 (FORQUILHA)"/>
    <n v="179.8"/>
    <n v="211"/>
    <n v="31.2"/>
    <x v="2"/>
    <m/>
    <m/>
    <s v="Federal"/>
    <m/>
    <m/>
    <m/>
    <s v="Federal"/>
    <s v="PAV"/>
    <s v="Sobral"/>
  </r>
  <r>
    <x v="0"/>
    <s v="222BCE0150"/>
    <n v="0"/>
    <x v="173"/>
    <s v="0150"/>
    <n v="-40.275047659921498"/>
    <n v="-3.79410710995512"/>
    <n v="-40.323031830354601"/>
    <n v="-3.7253867099286699"/>
    <s v="222"/>
    <s v="CE"/>
    <s v="Eixo Principal"/>
    <s v="-"/>
    <s v="222BCE0150"/>
    <s v="ENTR CE-362 (FORQUILHA)"/>
    <s v="ENTR BR-403(A)/CE-178"/>
    <n v="211"/>
    <n v="221.2"/>
    <n v="10.199999999999999"/>
    <x v="2"/>
    <m/>
    <m/>
    <s v="Federal"/>
    <m/>
    <m/>
    <m/>
    <s v="Federal"/>
    <s v="PAV"/>
    <s v="Sobral"/>
  </r>
  <r>
    <x v="0"/>
    <s v="222BCE0160"/>
    <n v="0"/>
    <x v="173"/>
    <s v="0160"/>
    <n v="-40.323031830354601"/>
    <n v="-3.7253867099286699"/>
    <n v="-40.334302930135998"/>
    <n v="-3.7169909100024299"/>
    <s v="222"/>
    <s v="CE"/>
    <s v="Eixo Principal"/>
    <s v="-"/>
    <s v="222BCE0160"/>
    <s v="ENTR BR-403(A)/CE-178"/>
    <s v="ACESSO LESTE SOBRAL"/>
    <n v="221.2"/>
    <n v="222.8"/>
    <n v="1.6"/>
    <x v="2"/>
    <m/>
    <s v="403BCE0060"/>
    <s v="Federal"/>
    <m/>
    <m/>
    <m/>
    <s v="Federal"/>
    <s v="PAV"/>
    <s v="Sobral"/>
  </r>
  <r>
    <x v="0"/>
    <s v="222BCE0170"/>
    <n v="0"/>
    <x v="173"/>
    <s v="0170"/>
    <n v="-40.334302930135998"/>
    <n v="-3.7169909100024299"/>
    <n v="-40.381080900163298"/>
    <n v="-3.6953880298336799"/>
    <s v="222"/>
    <s v="CE"/>
    <s v="Eixo Principal"/>
    <s v="-"/>
    <s v="222BCE0170"/>
    <s v="ACESSO LESTE SOBRAL"/>
    <s v="ACESSO OESTE SOBRAL"/>
    <n v="222.8"/>
    <n v="228.6"/>
    <n v="5.8"/>
    <x v="2"/>
    <m/>
    <s v="403BCE0065"/>
    <s v="Federal"/>
    <m/>
    <m/>
    <m/>
    <s v="Federal"/>
    <s v="PAV"/>
    <s v="Sobral"/>
  </r>
  <r>
    <x v="0"/>
    <s v="222BCE0190"/>
    <n v="0"/>
    <x v="173"/>
    <s v="0190"/>
    <n v="-40.381080900163298"/>
    <n v="-3.6953880298336799"/>
    <n v="-40.481585860299099"/>
    <n v="-3.7336625996492199"/>
    <s v="222"/>
    <s v="CE"/>
    <s v="Eixo Principal"/>
    <s v="-"/>
    <s v="222BCE0190"/>
    <s v="ACESSO OESTE SOBRAL"/>
    <s v="ENTR BR-403(B)/CE-183"/>
    <n v="228.6"/>
    <n v="240.6"/>
    <n v="12"/>
    <x v="2"/>
    <m/>
    <s v="403BCE0070"/>
    <s v="Federal"/>
    <m/>
    <m/>
    <m/>
    <s v="Federal"/>
    <s v="PAV"/>
    <s v="Sobral"/>
  </r>
  <r>
    <x v="0"/>
    <s v="222BCE0191"/>
    <n v="0"/>
    <x v="173"/>
    <s v="0191"/>
    <n v="-40.481585860299099"/>
    <n v="-3.7336625996492199"/>
    <n v="-40.555503919969901"/>
    <n v="-3.7560078998446298"/>
    <s v="222"/>
    <s v="CE"/>
    <s v="Eixo Principal"/>
    <s v="-"/>
    <s v="222BCE0191"/>
    <s v="ENTR BR-403(B)/CE-183"/>
    <s v="ENTR CE-364 (SALGADINHO)"/>
    <n v="240.6"/>
    <n v="249.6"/>
    <n v="9"/>
    <x v="2"/>
    <m/>
    <m/>
    <s v="Federal"/>
    <m/>
    <m/>
    <m/>
    <s v="Federal"/>
    <s v="PAV"/>
    <s v="Sobral"/>
  </r>
  <r>
    <x v="0"/>
    <s v="222BCE0210"/>
    <n v="0"/>
    <x v="173"/>
    <s v="0210"/>
    <n v="-40.555503919969901"/>
    <n v="-3.7560078998446298"/>
    <n v="-40.987272320261297"/>
    <n v="-3.7140340002688301"/>
    <s v="222"/>
    <s v="CE"/>
    <s v="Eixo Principal"/>
    <s v="-"/>
    <s v="222BCE0210"/>
    <s v="ENTR CE-364 (SALGADINHO)"/>
    <s v="ACESSO LESTE TIANGUÁ"/>
    <n v="249.6"/>
    <n v="311.39999999999998"/>
    <n v="61.8"/>
    <x v="2"/>
    <m/>
    <m/>
    <s v="Federal"/>
    <m/>
    <m/>
    <m/>
    <s v="Federal"/>
    <s v="PAV"/>
    <s v="Sobral"/>
  </r>
  <r>
    <x v="0"/>
    <s v="222BCE0220"/>
    <n v="0"/>
    <x v="173"/>
    <s v="0220"/>
    <n v="-40.987272320261297"/>
    <n v="-3.7140340002688301"/>
    <n v="-41.0022269604058"/>
    <n v="-3.7333462802066002"/>
    <s v="222"/>
    <s v="CE"/>
    <s v="Eixo Principal"/>
    <s v="-"/>
    <s v="222BCE0220"/>
    <s v="ACESSO LESTE TIANGUÁ"/>
    <s v="ENTR CE-187 (ACESSO OESTE TIANGUÁ)"/>
    <n v="311.39999999999998"/>
    <n v="314.3"/>
    <n v="2.9"/>
    <x v="2"/>
    <m/>
    <m/>
    <s v="Federal"/>
    <m/>
    <m/>
    <m/>
    <s v="Federal"/>
    <s v="PAV"/>
    <s v="Sobral"/>
  </r>
  <r>
    <x v="0"/>
    <s v="222BCE0230"/>
    <n v="0"/>
    <x v="173"/>
    <s v="0230"/>
    <n v="-41.0022269604058"/>
    <n v="-3.7333462802066002"/>
    <n v="-41.232792089782997"/>
    <n v="-3.9182451895637702"/>
    <s v="222"/>
    <s v="CE"/>
    <s v="Eixo Principal"/>
    <s v="-"/>
    <s v="222BCE0230"/>
    <s v="ENTR CE-187 (ACESSO OESTE TIANGUÁ)"/>
    <s v="DIV CE/PI"/>
    <n v="314.3"/>
    <n v="348.7"/>
    <n v="34.4"/>
    <x v="2"/>
    <m/>
    <m/>
    <s v="Federal"/>
    <m/>
    <m/>
    <m/>
    <s v="Federal"/>
    <s v="PAV"/>
    <s v="Sobral"/>
  </r>
  <r>
    <x v="0"/>
    <s v="222BMA0370"/>
    <n v="0"/>
    <x v="174"/>
    <s v="0370"/>
    <n v="-42.674971729861298"/>
    <n v="-3.67592021034937"/>
    <n v="-42.789705220219602"/>
    <n v="-3.6666857899172101"/>
    <s v="222"/>
    <s v="MA"/>
    <s v="Eixo Principal"/>
    <s v="-"/>
    <s v="222BMA0370"/>
    <s v="DIV PI/MA (REPARTIÇÃO/PI)"/>
    <s v="ENTR MA-034(A) (BREJO)"/>
    <n v="0"/>
    <n v="9.9"/>
    <n v="9.9"/>
    <x v="1"/>
    <m/>
    <m/>
    <s v="Federal"/>
    <m/>
    <m/>
    <m/>
    <s v="Federal"/>
    <s v="PLA"/>
    <s v="Pedrinhas"/>
  </r>
  <r>
    <x v="0"/>
    <s v="222BMA0380"/>
    <n v="0"/>
    <x v="174"/>
    <s v="0380"/>
    <n v="-42.789705220219602"/>
    <n v="-3.6666857899172101"/>
    <n v="-42.993955709887999"/>
    <n v="-3.6903090995852401"/>
    <s v="222"/>
    <s v="MA"/>
    <s v="Eixo Principal"/>
    <s v="-"/>
    <s v="222BMA0380"/>
    <s v="ENTR MA-034(A) (BREJO)"/>
    <s v="ENTR MA-034(B)"/>
    <n v="9.9"/>
    <n v="32.9"/>
    <n v="23"/>
    <x v="1"/>
    <m/>
    <m/>
    <s v="Estadual"/>
    <m/>
    <s v="MA-034"/>
    <s v="PAV"/>
    <s v="Estadual"/>
    <s v="PLA"/>
    <s v="Pedrinhas"/>
  </r>
  <r>
    <x v="0"/>
    <s v="222BMA0385"/>
    <n v="0"/>
    <x v="174"/>
    <s v="0385"/>
    <n v="-42.993955709887999"/>
    <n v="-3.6903090995852401"/>
    <n v="-43.122977949972302"/>
    <n v="-3.66836984958882"/>
    <s v="222"/>
    <s v="MA"/>
    <s v="Eixo Principal"/>
    <s v="-"/>
    <s v="222BMA0385"/>
    <s v="ENTR MA-034(B)"/>
    <s v="ENTR MA-228/234(A) (ANAPURUS)"/>
    <n v="32.9"/>
    <n v="49.1"/>
    <n v="16.2"/>
    <x v="1"/>
    <m/>
    <m/>
    <s v="Estadual"/>
    <m/>
    <s v="MA-230"/>
    <s v="PAV"/>
    <s v="Estadual"/>
    <s v="PLA"/>
    <s v="Pedrinhas"/>
  </r>
  <r>
    <x v="0"/>
    <s v="222BMA0390"/>
    <n v="0"/>
    <x v="174"/>
    <s v="0390"/>
    <n v="-43.122977949972302"/>
    <n v="-3.66836984958882"/>
    <n v="-43.337604949608703"/>
    <n v="-3.7356265796029202"/>
    <s v="222"/>
    <s v="MA"/>
    <s v="Eixo Principal"/>
    <s v="-"/>
    <s v="222BMA0390"/>
    <s v="ENTR MA-228/234(A) (ANAPURUS)"/>
    <s v="ENTR MA-025(A)/234(B) (INI TRAV URB CHAPADINHA)"/>
    <n v="49.1"/>
    <n v="74.599999999999994"/>
    <n v="25.5"/>
    <x v="1"/>
    <m/>
    <m/>
    <s v="Estadual"/>
    <m/>
    <s v="MA-234"/>
    <s v="PAV"/>
    <s v="Estadual"/>
    <s v="PLA"/>
    <s v="Pedrinhas"/>
  </r>
  <r>
    <x v="0"/>
    <s v="222BMA0400"/>
    <n v="0"/>
    <x v="174"/>
    <s v="0400"/>
    <n v="-43.337604949608703"/>
    <n v="-3.7356265796029202"/>
    <n v="-43.350032910290501"/>
    <n v="-3.7531146099512398"/>
    <s v="222"/>
    <s v="MA"/>
    <s v="Eixo Principal"/>
    <s v="-"/>
    <s v="222BMA0400"/>
    <s v="ENTR MA-025(A)/234(B) (INI TRAV URB CHAPADINHA)"/>
    <s v="ENTR MA-025(B) (CHAPADINHA)"/>
    <n v="74.599999999999994"/>
    <n v="77.099999999999994"/>
    <n v="2.5"/>
    <x v="2"/>
    <m/>
    <m/>
    <m/>
    <s v="MP082/2006"/>
    <m/>
    <m/>
    <m/>
    <s v="PAV"/>
    <s v="Pedrinhas"/>
  </r>
  <r>
    <x v="0"/>
    <s v="222BMA0405"/>
    <n v="0"/>
    <x v="174"/>
    <s v="0405"/>
    <n v="-43.350032910290501"/>
    <n v="-3.7531146099512398"/>
    <n v="-43.378017439952799"/>
    <n v="-3.7538888003278399"/>
    <s v="222"/>
    <s v="MA"/>
    <s v="Eixo Principal"/>
    <s v="-"/>
    <s v="222BMA0405"/>
    <s v="ENTR MA-025(B) (CHAPADINHA)"/>
    <s v="ENTR MA-026 (FIM TRAV URB CHAPADINHA)"/>
    <n v="77.099999999999994"/>
    <n v="80.2"/>
    <n v="3.1"/>
    <x v="2"/>
    <m/>
    <m/>
    <m/>
    <s v="MP082/2006"/>
    <m/>
    <m/>
    <m/>
    <s v="PAV"/>
    <s v="Pedrinhas"/>
  </r>
  <r>
    <x v="0"/>
    <s v="222BMA0410"/>
    <n v="0"/>
    <x v="174"/>
    <s v="0410"/>
    <n v="-43.378017439952799"/>
    <n v="-3.7538888003278399"/>
    <n v="-43.6602711803706"/>
    <n v="-3.60904842974116"/>
    <s v="222"/>
    <s v="MA"/>
    <s v="Eixo Principal"/>
    <s v="-"/>
    <s v="222BMA0410"/>
    <s v="ENTR MA-026 (FIM TRAV URB CHAPADINHA)"/>
    <s v="ENTR MA-224 (FAZENDINHA)"/>
    <n v="80.2"/>
    <n v="118.2"/>
    <n v="38"/>
    <x v="2"/>
    <m/>
    <m/>
    <m/>
    <s v="MP082/2006"/>
    <m/>
    <m/>
    <m/>
    <s v="PAV"/>
    <s v="Pedrinhas"/>
  </r>
  <r>
    <x v="0"/>
    <s v="222BMA0450"/>
    <n v="0"/>
    <x v="174"/>
    <s v="0450"/>
    <n v="-43.6602711803706"/>
    <n v="-3.60904842974116"/>
    <n v="-43.915796699957603"/>
    <n v="-3.5532855795657898"/>
    <s v="222"/>
    <s v="MA"/>
    <s v="Eixo Principal"/>
    <s v="-"/>
    <s v="222BMA0450"/>
    <s v="ENTR MA-224 (FAZENDINHA)"/>
    <s v="ENTR MA-020(A) (VARGEM GRANDE)"/>
    <n v="118.2"/>
    <n v="150"/>
    <n v="31.8"/>
    <x v="2"/>
    <m/>
    <m/>
    <m/>
    <s v="MP082/2006"/>
    <m/>
    <m/>
    <m/>
    <s v="PAV"/>
    <s v="Pedrinhas"/>
  </r>
  <r>
    <x v="0"/>
    <s v="222BMA0470"/>
    <n v="0"/>
    <x v="174"/>
    <s v="0470"/>
    <n v="-43.915796699957603"/>
    <n v="-3.5532855795657898"/>
    <n v="-44.086019490107297"/>
    <n v="-3.4805029301660402"/>
    <s v="222"/>
    <s v="MA"/>
    <s v="Eixo Principal"/>
    <s v="-"/>
    <s v="222BMA0470"/>
    <s v="ENTR MA-020(A) (VARGEM GRANDE)"/>
    <s v="ENTR MA-020(B) (P/PRESIDENTE VARGAS)"/>
    <n v="150"/>
    <n v="171.5"/>
    <n v="21.5"/>
    <x v="2"/>
    <m/>
    <m/>
    <m/>
    <s v="MP082/2006"/>
    <m/>
    <m/>
    <m/>
    <s v="PAV"/>
    <s v="Pedrinhas"/>
  </r>
  <r>
    <x v="0"/>
    <s v="222BMA0472"/>
    <n v="0"/>
    <x v="174"/>
    <s v="0472"/>
    <n v="-44.086019490107297"/>
    <n v="-3.4805029301660402"/>
    <n v="-44.3509876996225"/>
    <n v="-3.4062243997362298"/>
    <s v="222"/>
    <s v="MA"/>
    <s v="Eixo Principal"/>
    <s v="-"/>
    <s v="222BMA0472"/>
    <s v="ENTR MA-020(B) (P/PRESIDENTE VARGAS)"/>
    <s v="INÍCIO DUPLICAÇÃO"/>
    <n v="171.5"/>
    <n v="205.9"/>
    <n v="34.4"/>
    <x v="2"/>
    <m/>
    <m/>
    <m/>
    <s v="MP082/2006"/>
    <m/>
    <m/>
    <m/>
    <s v="PAV"/>
    <s v="Pedrinhas"/>
  </r>
  <r>
    <x v="0"/>
    <s v="222BMA0480"/>
    <n v="0"/>
    <x v="174"/>
    <s v="0480"/>
    <n v="-44.3509876996225"/>
    <n v="-3.4062243997362298"/>
    <n v="-44.361331149612703"/>
    <n v="-3.3929913299858101"/>
    <s v="222"/>
    <s v="MA"/>
    <s v="Eixo Principal"/>
    <s v="-"/>
    <s v="222BMA0480"/>
    <s v="INÍCIO DUPLICAÇÃO"/>
    <s v="PONTE S/ RIO ITAPECURU (ITAPECURU-MIRIM)"/>
    <n v="205.9"/>
    <n v="207.6"/>
    <n v="1.7"/>
    <x v="0"/>
    <m/>
    <m/>
    <m/>
    <s v="MP082/2006"/>
    <m/>
    <m/>
    <m/>
    <s v="PAV"/>
    <s v="Pedrinhas"/>
  </r>
  <r>
    <x v="0"/>
    <s v="222BMA0490"/>
    <n v="0"/>
    <x v="174"/>
    <s v="0490"/>
    <n v="-44.361331149612703"/>
    <n v="-3.3929913299858101"/>
    <n v="-44.445945099986297"/>
    <n v="-3.3320338895522901"/>
    <s v="222"/>
    <s v="MA"/>
    <s v="Eixo Principal"/>
    <s v="-"/>
    <s v="222BMA0490"/>
    <s v="PONTE S/ RIO ITAPECURU (ITAPECURU-MIRIM)"/>
    <s v="ENTR BR-135(A) (OUTEIRO)"/>
    <n v="207.6"/>
    <n v="219.4"/>
    <n v="11.8"/>
    <x v="2"/>
    <m/>
    <m/>
    <m/>
    <s v="MP082/2006"/>
    <m/>
    <m/>
    <m/>
    <s v="PAV"/>
    <s v="Pedrinhas"/>
  </r>
  <r>
    <x v="0"/>
    <s v="222BMA0510"/>
    <n v="0"/>
    <x v="174"/>
    <s v="0510"/>
    <n v="-44.445945099986297"/>
    <n v="-3.3320338895522901"/>
    <n v="-44.496988360224499"/>
    <n v="-3.38979042968452"/>
    <s v="222"/>
    <s v="MA"/>
    <s v="Eixo Principal"/>
    <s v="Coinc"/>
    <s v="222BMA0510"/>
    <s v="ENTR BR-135(A) (OUTEIRO)"/>
    <s v="ENTR MA-339 (COLOMBO)"/>
    <n v="219.4"/>
    <n v="227.9"/>
    <n v="8.5"/>
    <x v="2"/>
    <m/>
    <s v="135BMA0090"/>
    <s v="Federal"/>
    <m/>
    <m/>
    <m/>
    <s v="Federal"/>
    <s v="PAV"/>
    <s v="Pedrinhas"/>
  </r>
  <r>
    <x v="0"/>
    <s v="222BMA0530"/>
    <n v="0"/>
    <x v="174"/>
    <s v="0530"/>
    <n v="-44.496988360224499"/>
    <n v="-3.38979042968452"/>
    <n v="-44.581852289751303"/>
    <n v="-3.5707127303082302"/>
    <s v="222"/>
    <s v="MA"/>
    <s v="Eixo Principal"/>
    <s v="Coinc"/>
    <s v="222BMA0530"/>
    <s v="ENTR MA-339 (COLOMBO)"/>
    <s v="ENTR BR-135(B) (MIRANDA DO NORTE)"/>
    <n v="227.9"/>
    <n v="251.1"/>
    <n v="23.2"/>
    <x v="2"/>
    <m/>
    <s v="135BMA0110"/>
    <s v="Federal"/>
    <m/>
    <m/>
    <m/>
    <s v="Federal"/>
    <s v="PAV"/>
    <s v="Pedrinhas"/>
  </r>
  <r>
    <x v="0"/>
    <s v="222BMA0550"/>
    <n v="0"/>
    <x v="174"/>
    <s v="0550"/>
    <n v="-44.581852289751303"/>
    <n v="-3.5707127303082302"/>
    <n v="-44.779587120149401"/>
    <n v="-3.4611956000967998"/>
    <s v="222"/>
    <s v="MA"/>
    <s v="Eixo Principal"/>
    <s v="-"/>
    <s v="222BMA0550"/>
    <s v="ENTR BR-135(B) (MIRANDA DO NORTE)"/>
    <s v="ARARI"/>
    <n v="251.1"/>
    <n v="280.3"/>
    <n v="29.2"/>
    <x v="2"/>
    <m/>
    <m/>
    <s v="Federal"/>
    <m/>
    <m/>
    <m/>
    <s v="Federal"/>
    <s v="PAV"/>
    <s v="Pedrinhas"/>
  </r>
  <r>
    <x v="0"/>
    <s v="222BMA0570"/>
    <n v="0"/>
    <x v="174"/>
    <s v="0570"/>
    <n v="-44.779587120149401"/>
    <n v="-3.4611956000967998"/>
    <n v="-44.869190930117199"/>
    <n v="-3.4573594600709598"/>
    <s v="222"/>
    <s v="MA"/>
    <s v="Eixo Principal"/>
    <s v="-"/>
    <s v="222BMA0570"/>
    <s v="ARARI"/>
    <s v="INÍCIO PISTA DUPLA"/>
    <n v="280.3"/>
    <n v="291.7"/>
    <n v="11.4"/>
    <x v="2"/>
    <m/>
    <m/>
    <s v="Federal"/>
    <m/>
    <m/>
    <m/>
    <s v="Federal"/>
    <s v="PAV"/>
    <s v="Pedrinhas"/>
  </r>
  <r>
    <x v="0"/>
    <s v="222BMA0580"/>
    <n v="0"/>
    <x v="174"/>
    <s v="0580"/>
    <n v="-44.869190930117199"/>
    <n v="-3.4573594600709598"/>
    <n v="-44.871742490223703"/>
    <n v="-3.46075983989464"/>
    <s v="222"/>
    <s v="MA"/>
    <s v="Eixo Principal"/>
    <s v="-"/>
    <s v="222BMA0580"/>
    <s v="INÍCIO PISTA DUPLA"/>
    <s v="ENTR MA-014 (VITÓRIA DO MEARIM) *TRECHO URBANO*"/>
    <n v="291.7"/>
    <n v="292.2"/>
    <n v="0.5"/>
    <x v="0"/>
    <m/>
    <m/>
    <s v="Federal"/>
    <m/>
    <m/>
    <m/>
    <s v="Federal"/>
    <s v="PAV"/>
    <s v="Pedrinhas"/>
  </r>
  <r>
    <x v="0"/>
    <s v="222BMA0585"/>
    <n v="0"/>
    <x v="174"/>
    <s v="0585"/>
    <n v="-44.871742490223703"/>
    <n v="-3.46075983989464"/>
    <n v="-44.872424119677298"/>
    <n v="-3.4702771303852198"/>
    <s v="222"/>
    <s v="MA"/>
    <s v="Eixo Principal"/>
    <s v="-"/>
    <s v="222BMA0585"/>
    <s v="ENTR MA-014 (VITÓRIA DO MEARIM)"/>
    <s v="FIM PISTA DUPLA *TRECHO URBANO*"/>
    <n v="292.2"/>
    <n v="294"/>
    <n v="1.8"/>
    <x v="0"/>
    <m/>
    <m/>
    <s v="Federal"/>
    <m/>
    <m/>
    <m/>
    <s v="Federal"/>
    <s v="PAV"/>
    <s v="Pedrinhas"/>
  </r>
  <r>
    <x v="0"/>
    <s v="222BMA0590"/>
    <n v="0"/>
    <x v="174"/>
    <s v="0590"/>
    <n v="-44.872424119677298"/>
    <n v="-3.4702771303852198"/>
    <n v="-44.958544080145103"/>
    <n v="-3.57699474031494"/>
    <s v="222"/>
    <s v="MA"/>
    <s v="Eixo Principal"/>
    <s v="-"/>
    <s v="222BMA0590"/>
    <s v="FIM PISTA DUPLA"/>
    <s v="INÍCIO DA PISTA DUPLA (ACOQUE, VITÓRIA DO MEARIM)"/>
    <n v="294"/>
    <n v="320.8"/>
    <n v="26.8"/>
    <x v="2"/>
    <m/>
    <m/>
    <s v="Federal"/>
    <m/>
    <m/>
    <m/>
    <s v="Federal"/>
    <s v="PAV"/>
    <s v="Pedrinhas"/>
  </r>
  <r>
    <x v="0"/>
    <s v="222BMA0592"/>
    <n v="0"/>
    <x v="174"/>
    <s v="0592"/>
    <n v="-44.958544080145103"/>
    <n v="-3.57699474031494"/>
    <n v="-44.9644513399573"/>
    <n v="-3.58024431012677"/>
    <s v="222"/>
    <s v="MA"/>
    <s v="Eixo Principal"/>
    <s v="-"/>
    <s v="222BMA0592"/>
    <s v="INÍCIO DA PISTA DUPLA (ACOQUE, VITÓRIA DO MEARIM)"/>
    <s v="FIM DA PISTA DUPLA (ACOQUE, VITÓRIA DO MEARIM)"/>
    <n v="320.8"/>
    <n v="321.5"/>
    <n v="0.7"/>
    <x v="0"/>
    <m/>
    <m/>
    <s v="Federal"/>
    <m/>
    <m/>
    <m/>
    <s v="Federal"/>
    <s v="PAV"/>
    <s v="Pedrinhas"/>
  </r>
  <r>
    <x v="0"/>
    <s v="222BMA0595"/>
    <n v="0"/>
    <x v="174"/>
    <s v="0595"/>
    <n v="-44.9644513399573"/>
    <n v="-3.58024431012677"/>
    <n v="-45.185644610010598"/>
    <n v="-3.64057576036299"/>
    <s v="222"/>
    <s v="MA"/>
    <s v="Eixo Principal"/>
    <s v="-"/>
    <s v="222BMA0595"/>
    <s v="FIM DA PISTA DUPLA (ACOQUE, VITÓRIA DO MEARIM)"/>
    <s v="ENTR MA-342 (IGARAPÉ DO MEIO)"/>
    <n v="321.5"/>
    <n v="337"/>
    <n v="15.5"/>
    <x v="2"/>
    <m/>
    <m/>
    <s v="Federal"/>
    <m/>
    <m/>
    <m/>
    <s v="Federal"/>
    <s v="PAV"/>
    <s v="Pedrinhas"/>
  </r>
  <r>
    <x v="0"/>
    <s v="222BMA0600"/>
    <n v="0"/>
    <x v="174"/>
    <s v="0600"/>
    <n v="-45.185644610010598"/>
    <n v="-3.64057576036299"/>
    <n v="-45.307231410101402"/>
    <n v="-3.7063313797892699"/>
    <s v="222"/>
    <s v="MA"/>
    <s v="Eixo Principal"/>
    <s v="-"/>
    <s v="222BMA0600"/>
    <s v="ENTR MA-342 (IGARAPÉ DO MEIO)"/>
    <s v="ENTR BR-316(A) (BELA VISTA DO MARANHÃO)"/>
    <n v="337"/>
    <n v="352.4"/>
    <n v="15.4"/>
    <x v="2"/>
    <m/>
    <m/>
    <s v="Federal"/>
    <m/>
    <m/>
    <m/>
    <s v="Federal"/>
    <s v="PAV"/>
    <s v="Pedrinhas"/>
  </r>
  <r>
    <x v="0"/>
    <s v="222BMA0610"/>
    <n v="0"/>
    <x v="174"/>
    <s v="0610"/>
    <n v="-45.307231410101402"/>
    <n v="-3.7063313797892699"/>
    <n v="-45.359950340235898"/>
    <n v="-3.6741156999794899"/>
    <s v="222"/>
    <s v="MA"/>
    <s v="Eixo Principal"/>
    <s v="-"/>
    <s v="222BMA0610"/>
    <s v="ENTR BR-316(A) (BELA VISTA DO MARANHÃO)"/>
    <s v="ENTR ACESSO LESTE SANTA INÊS"/>
    <n v="352.4"/>
    <n v="359.4"/>
    <n v="7"/>
    <x v="2"/>
    <m/>
    <s v="316BMA0295"/>
    <s v="Federal"/>
    <m/>
    <m/>
    <m/>
    <s v="Federal"/>
    <s v="PAV"/>
    <s v="Pedrinhas"/>
  </r>
  <r>
    <x v="0"/>
    <s v="222BMA0620"/>
    <n v="0"/>
    <x v="174"/>
    <s v="0620"/>
    <n v="-45.359950340235898"/>
    <n v="-3.6741156999794899"/>
    <n v="-45.390411309634203"/>
    <n v="-3.6755002296518402"/>
    <s v="222"/>
    <s v="MA"/>
    <s v="Eixo Principal"/>
    <s v="-"/>
    <s v="222BMA0620"/>
    <s v="ENTR ACESSO LESTE SANTA INÊS"/>
    <s v="ENTR BR-316(B) (SANTA INÊS)"/>
    <n v="359.4"/>
    <n v="362.9"/>
    <n v="3.5"/>
    <x v="2"/>
    <m/>
    <s v="316BMA0290"/>
    <s v="Federal"/>
    <m/>
    <m/>
    <m/>
    <s v="Federal"/>
    <s v="PAV"/>
    <s v="Pedrinhas"/>
  </r>
  <r>
    <x v="0"/>
    <s v="222BMA0630"/>
    <n v="0"/>
    <x v="174"/>
    <s v="0630"/>
    <n v="-45.390411309634203"/>
    <n v="-3.6755002296518402"/>
    <n v="-45.660065829674203"/>
    <n v="-3.9574738096685498"/>
    <s v="222"/>
    <s v="MA"/>
    <s v="Eixo Principal"/>
    <s v="-"/>
    <s v="222BMA0630"/>
    <s v="ENTR BR-316(B)/MA-006(A)/320 (SANTA INÊS)"/>
    <s v="INICIO PISTA DUPLA  SANTA LUZIA DO TIDE"/>
    <n v="362.9"/>
    <n v="406.8"/>
    <n v="43.9"/>
    <x v="2"/>
    <m/>
    <m/>
    <s v="Federal"/>
    <m/>
    <m/>
    <m/>
    <s v="Federal"/>
    <s v="PAV"/>
    <s v="Pedrinhas"/>
  </r>
  <r>
    <x v="0"/>
    <s v="222BMA0640"/>
    <n v="0"/>
    <x v="174"/>
    <s v="0640"/>
    <n v="-45.660065829674203"/>
    <n v="-3.9574738096685498"/>
    <n v="-45.6670888702551"/>
    <n v="-3.9633667702601598"/>
    <s v="222"/>
    <s v="MA"/>
    <s v="Eixo Principal"/>
    <s v="-"/>
    <s v="222BMA0640"/>
    <s v="INICIO PISTA DUPLA  SANTA LUZIA DO TIDE"/>
    <s v="ENTR MA-119"/>
    <n v="406.8"/>
    <n v="407.9"/>
    <n v="1.1000000000000001"/>
    <x v="0"/>
    <m/>
    <m/>
    <s v="Federal"/>
    <m/>
    <m/>
    <m/>
    <s v="Federal"/>
    <s v="PAV"/>
    <s v="Pedrinhas"/>
  </r>
  <r>
    <x v="0"/>
    <s v="222BMA0645"/>
    <n v="0"/>
    <x v="174"/>
    <s v="0645"/>
    <n v="-45.6670888702551"/>
    <n v="-3.9633667702601598"/>
    <n v="-45.666502989820998"/>
    <n v="-3.9688420002580602"/>
    <s v="222"/>
    <s v="MA"/>
    <s v="Eixo Principal"/>
    <s v="-"/>
    <s v="222BMA0645"/>
    <s v="ENTR MA-119"/>
    <s v="FIM PISTA DUPLA SANTA LUZIA DO TIDE"/>
    <n v="407.9"/>
    <n v="408.3"/>
    <n v="0.4"/>
    <x v="0"/>
    <m/>
    <m/>
    <s v="Federal"/>
    <m/>
    <m/>
    <m/>
    <s v="Federal"/>
    <s v="PAV"/>
    <s v="Pedrinhas"/>
  </r>
  <r>
    <x v="0"/>
    <s v="222BMA0650"/>
    <n v="0"/>
    <x v="174"/>
    <s v="0650"/>
    <n v="-45.666502989820998"/>
    <n v="-3.9688420002580602"/>
    <n v="-46.2619055104308"/>
    <n v="-4.3124832800792703"/>
    <s v="222"/>
    <s v="MA"/>
    <s v="Eixo Principal"/>
    <s v="-"/>
    <s v="222BMA0650"/>
    <s v="FIM PISTA DUPLA SANTA LUZIA DO TIDE"/>
    <s v="ENTR MA-006 (ARAME)"/>
    <n v="408.3"/>
    <n v="502"/>
    <n v="93.7"/>
    <x v="2"/>
    <m/>
    <m/>
    <s v="Federal"/>
    <m/>
    <m/>
    <m/>
    <s v="Federal"/>
    <s v="PAV"/>
    <s v="Imperatriz"/>
  </r>
  <r>
    <x v="0"/>
    <s v="222BMA0660"/>
    <n v="0"/>
    <x v="174"/>
    <s v="0660"/>
    <n v="-46.2619055104308"/>
    <n v="-4.3124832800792703"/>
    <n v="-46.458528669962099"/>
    <n v="-4.3154635299179001"/>
    <s v="222"/>
    <s v="MA"/>
    <s v="Eixo Principal"/>
    <s v="-"/>
    <s v="222BMA0660"/>
    <s v="ENTR MA-006 (ARAME)"/>
    <s v="BURITICUPU"/>
    <n v="502"/>
    <n v="527.29999999999995"/>
    <n v="25.3"/>
    <x v="2"/>
    <m/>
    <m/>
    <s v="Federal"/>
    <m/>
    <m/>
    <m/>
    <s v="Federal"/>
    <s v="PAV"/>
    <s v="Imperatriz"/>
  </r>
  <r>
    <x v="0"/>
    <s v="222BMA0665"/>
    <n v="0"/>
    <x v="174"/>
    <s v="0665"/>
    <n v="-46.458528669962099"/>
    <n v="-4.3154635299179001"/>
    <n v="-46.8557185296863"/>
    <n v="-4.4839824303448301"/>
    <s v="222"/>
    <s v="MA"/>
    <s v="Eixo Principal"/>
    <s v="-"/>
    <s v="222BMA0665"/>
    <s v="BURITICUPU"/>
    <s v="BOM JESUS DAS SELVAS"/>
    <n v="527.29999999999995"/>
    <n v="583"/>
    <n v="55.7"/>
    <x v="2"/>
    <m/>
    <m/>
    <s v="Federal"/>
    <m/>
    <m/>
    <m/>
    <s v="Federal"/>
    <s v="PAV"/>
    <s v="Imperatriz"/>
  </r>
  <r>
    <x v="0"/>
    <s v="222BMA0670"/>
    <n v="0"/>
    <x v="174"/>
    <s v="0670"/>
    <n v="-46.8557185296863"/>
    <n v="-4.4839824303448301"/>
    <n v="-46.935441199651599"/>
    <n v="-4.6086800303590296"/>
    <s v="222"/>
    <s v="MA"/>
    <s v="Eixo Principal"/>
    <s v="-"/>
    <s v="222BMA0670"/>
    <s v="BOM JESUS DAS SELVAS"/>
    <s v="RIO PINDARÉ"/>
    <n v="583"/>
    <n v="600.20000000000005"/>
    <n v="17.2"/>
    <x v="2"/>
    <m/>
    <m/>
    <s v="Federal"/>
    <m/>
    <m/>
    <m/>
    <s v="Federal"/>
    <s v="PAV"/>
    <s v="Imperatriz"/>
  </r>
  <r>
    <x v="0"/>
    <s v="222BMA0680"/>
    <n v="0"/>
    <x v="174"/>
    <s v="0680"/>
    <n v="-46.935441199651599"/>
    <n v="-4.6086800303590296"/>
    <n v="-47.503507320306497"/>
    <n v="-4.9541285203148897"/>
    <s v="222"/>
    <s v="MA"/>
    <s v="Eixo Principal"/>
    <s v="-"/>
    <s v="222BMA0680"/>
    <s v="RIO PINDARÉ"/>
    <s v="ENTR BR-010(A) (AÇAILÂNDIA)"/>
    <n v="600.20000000000005"/>
    <n v="680.4"/>
    <n v="80.2"/>
    <x v="2"/>
    <m/>
    <m/>
    <s v="Federal"/>
    <m/>
    <m/>
    <m/>
    <s v="Federal"/>
    <s v="PAV"/>
    <s v="Imperatriz"/>
  </r>
  <r>
    <x v="0"/>
    <s v="222BMA0690"/>
    <n v="0"/>
    <x v="174"/>
    <s v="0690"/>
    <n v="-47.503507320306497"/>
    <n v="-4.9541285203148897"/>
    <n v="-47.531781400191399"/>
    <n v="-4.4438006700648298"/>
    <s v="222"/>
    <s v="MA"/>
    <s v="Eixo Principal"/>
    <s v="Coinc"/>
    <s v="222BMA0690"/>
    <s v="ENTR BR-010(A) (AÇAILÂNDIA)"/>
    <s v="DIV MA/PA (RIO ITINGA)"/>
    <n v="680.4"/>
    <n v="739.3"/>
    <n v="58.9"/>
    <x v="2"/>
    <m/>
    <s v="010BMA0470"/>
    <s v="Federal"/>
    <m/>
    <m/>
    <m/>
    <s v="Federal"/>
    <s v="PAV"/>
    <s v="Imperatriz"/>
  </r>
  <r>
    <x v="0"/>
    <s v="222BPA0710"/>
    <n v="0"/>
    <x v="175"/>
    <s v="0710"/>
    <n v="-47.531781400191399"/>
    <n v="-4.4438006700648298"/>
    <n v="-47.556904180083698"/>
    <n v="-4.2930949004093"/>
    <s v="222"/>
    <s v="PA"/>
    <s v="Eixo Principal"/>
    <s v="Coinc"/>
    <s v="222BPA0710"/>
    <s v="DIV MA/PA (RIO ITINGA)"/>
    <s v="ENTR BR-010(B)/PA-332(A) (DOM ELISEU)"/>
    <n v="0"/>
    <n v="18"/>
    <n v="18"/>
    <x v="2"/>
    <m/>
    <s v="010BPA0490"/>
    <s v="Federal"/>
    <m/>
    <m/>
    <m/>
    <s v="Federal"/>
    <s v="PAV"/>
    <s v="São Miguel do Guamá"/>
  </r>
  <r>
    <x v="0"/>
    <s v="222BPA0712"/>
    <n v="0"/>
    <x v="175"/>
    <s v="0712"/>
    <n v="-47.556904180083698"/>
    <n v="-4.2930949004093"/>
    <n v="-48.056688640368399"/>
    <n v="-4.7666696197071499"/>
    <s v="222"/>
    <s v="PA"/>
    <s v="Eixo Principal"/>
    <s v="-"/>
    <s v="222BPA0712"/>
    <s v="ENTR BR-010(B)/PA-332(A) (DOM ELISEU)"/>
    <s v="RONDON DO PARÁ"/>
    <n v="18"/>
    <n v="102.9"/>
    <n v="84.9"/>
    <x v="2"/>
    <m/>
    <m/>
    <s v="Federal"/>
    <m/>
    <m/>
    <m/>
    <s v="Federal"/>
    <s v="PAV"/>
    <s v="São Miguel do Guamá"/>
  </r>
  <r>
    <x v="0"/>
    <s v="222BPA0714"/>
    <n v="0"/>
    <x v="175"/>
    <s v="0714"/>
    <n v="-48.056688640368399"/>
    <n v="-4.7666696197071499"/>
    <n v="-48.393617279713602"/>
    <n v="-4.9519319702841296"/>
    <s v="222"/>
    <s v="PA"/>
    <s v="Eixo Principal"/>
    <s v="-"/>
    <s v="222BPA0714"/>
    <s v="RONDON DO PARÁ"/>
    <s v="ABEL FIGUEIREDO"/>
    <n v="102.9"/>
    <n v="147.5"/>
    <n v="44.6"/>
    <x v="2"/>
    <m/>
    <m/>
    <s v="Federal"/>
    <m/>
    <m/>
    <m/>
    <s v="Federal"/>
    <s v="PAV"/>
    <s v="São Miguel do Guamá"/>
  </r>
  <r>
    <x v="0"/>
    <s v="222BPA0720"/>
    <n v="0"/>
    <x v="175"/>
    <s v="0720"/>
    <n v="-48.393617279713602"/>
    <n v="-4.9519319702841296"/>
    <n v="-48.597070790184702"/>
    <n v="-5.0445356398078598"/>
    <s v="222"/>
    <s v="PA"/>
    <s v="Eixo Principal"/>
    <s v="-"/>
    <s v="222BPA0720"/>
    <s v="ABEL FIGUEIREDO"/>
    <s v="BOM JESUS DO TOCANTINS"/>
    <n v="147.5"/>
    <n v="172.6"/>
    <n v="25.1"/>
    <x v="2"/>
    <m/>
    <m/>
    <s v="Federal"/>
    <m/>
    <m/>
    <m/>
    <s v="Federal"/>
    <s v="PAV"/>
    <s v="Marabá"/>
  </r>
  <r>
    <x v="0"/>
    <s v="222BPA0730"/>
    <n v="0"/>
    <x v="175"/>
    <s v="0730"/>
    <n v="-48.597070790184702"/>
    <n v="-5.0445356398078598"/>
    <n v="-48.840839180383803"/>
    <n v="-5.1371242303988502"/>
    <s v="222"/>
    <s v="PA"/>
    <s v="Eixo Principal"/>
    <s v="-"/>
    <s v="222BPA0730"/>
    <s v="BOM JESUS DO TOCANTINS"/>
    <s v="RIO JACUNDÁ (R MÃE MARIA)"/>
    <n v="172.6"/>
    <n v="201.5"/>
    <n v="28.9"/>
    <x v="2"/>
    <m/>
    <m/>
    <s v="Federal"/>
    <m/>
    <m/>
    <m/>
    <s v="Federal"/>
    <s v="PAV"/>
    <s v="Marabá"/>
  </r>
  <r>
    <x v="0"/>
    <s v="222BPA0750"/>
    <n v="0"/>
    <x v="175"/>
    <s v="0750"/>
    <n v="-48.840839180383803"/>
    <n v="-5.1371242303988502"/>
    <n v="-49.044342579846102"/>
    <n v="-5.2121400601156402"/>
    <s v="222"/>
    <s v="PA"/>
    <s v="Eixo Principal"/>
    <s v="-"/>
    <s v="222BPA0750"/>
    <s v="RIO JACUNDÁ (R MÃE MARIA)"/>
    <s v="ENTR PA-150(A)/332(B) (MORADA NOVA (DOZE))"/>
    <n v="201.5"/>
    <n v="226.3"/>
    <n v="24.8"/>
    <x v="2"/>
    <m/>
    <m/>
    <s v="Federal"/>
    <m/>
    <m/>
    <m/>
    <s v="Federal"/>
    <s v="PAV"/>
    <s v="Marabá"/>
  </r>
  <r>
    <x v="0"/>
    <s v="222BPA0770"/>
    <n v="0"/>
    <x v="175"/>
    <s v="0770"/>
    <n v="-49.044342579846102"/>
    <n v="-5.2121400601156402"/>
    <n v="-49.072188270372301"/>
    <n v="-5.3047467603546403"/>
    <s v="222"/>
    <s v="PA"/>
    <s v="Eixo Principal"/>
    <s v="-"/>
    <s v="222BPA0770"/>
    <s v="ENTR PA-150(A)/332(B) (MORADA NOVA (DOZE))"/>
    <s v="INÍCIO PONTE SOBRE RIO TOCANTINS"/>
    <n v="226.3"/>
    <n v="238.4"/>
    <n v="12.1"/>
    <x v="2"/>
    <m/>
    <m/>
    <s v="Federal"/>
    <m/>
    <m/>
    <m/>
    <s v="Federal"/>
    <s v="PAV"/>
    <s v="Marabá"/>
  </r>
  <r>
    <x v="0"/>
    <s v="222BPA0790"/>
    <n v="0"/>
    <x v="175"/>
    <s v="0790"/>
    <n v="-49.072188270372301"/>
    <n v="-5.3047467603546403"/>
    <n v="-49.083731860237002"/>
    <n v="-5.32193184957515"/>
    <s v="222"/>
    <s v="PA"/>
    <s v="Eixo Principal"/>
    <s v="-"/>
    <s v="222BPA0790"/>
    <s v="INÍCIO PONTE SOBRE RIO TOCANTINS"/>
    <s v="FIM PONTE SOBRE RIO TOCANTINS"/>
    <n v="238.4"/>
    <n v="240.7"/>
    <n v="2.2999999999999998"/>
    <x v="2"/>
    <m/>
    <m/>
    <s v="Federal"/>
    <m/>
    <m/>
    <m/>
    <s v="Federal"/>
    <s v="PAV"/>
    <s v="Marabá"/>
  </r>
  <r>
    <x v="0"/>
    <s v="222BPA0810"/>
    <n v="0"/>
    <x v="175"/>
    <s v="0810"/>
    <n v="-49.083731860237002"/>
    <n v="-5.32193184957515"/>
    <n v="-49.078453970274403"/>
    <n v="-5.3615281601963698"/>
    <s v="222"/>
    <s v="PA"/>
    <s v="Eixo Principal"/>
    <s v="-"/>
    <s v="222BPA0810"/>
    <s v="FIM PONTE SOBRE RIO TOCANTINS"/>
    <s v="ENTR BR-153/230/PA-150(B) (MARABÁ)"/>
    <n v="240.7"/>
    <n v="245.7"/>
    <n v="5"/>
    <x v="2"/>
    <m/>
    <m/>
    <s v="Federal"/>
    <m/>
    <m/>
    <m/>
    <s v="Federal"/>
    <s v="PAV"/>
    <s v="Marabá"/>
  </r>
  <r>
    <x v="0"/>
    <s v="222BPA0850"/>
    <n v="0"/>
    <x v="175"/>
    <s v="0850"/>
    <n v="-49.078453970274403"/>
    <n v="-5.3615281601963698"/>
    <n v="-49.6958244157641"/>
    <n v="-5.3936740849909999"/>
    <s v="222"/>
    <s v="PA"/>
    <s v="Eixo Principal"/>
    <s v="-"/>
    <s v="222BPA0850"/>
    <s v="ENTR BR-153/230/PA-150(B) (MARABÁ)"/>
    <s v="IGARAPÉ VERMELHO"/>
    <n v="245.7"/>
    <n v="325.7"/>
    <n v="80"/>
    <x v="1"/>
    <m/>
    <m/>
    <s v="Federal"/>
    <m/>
    <m/>
    <m/>
    <s v="Federal"/>
    <s v="PLA"/>
    <s v="Marabá"/>
  </r>
  <r>
    <x v="0"/>
    <s v="222BPA0870"/>
    <n v="0"/>
    <x v="175"/>
    <s v="0870"/>
    <n v="-49.6958244157641"/>
    <n v="-5.3936740849909999"/>
    <n v="-50.403751889637903"/>
    <n v="-5.3958575606778201"/>
    <s v="222"/>
    <s v="PA"/>
    <s v="Eixo Principal"/>
    <s v="-"/>
    <s v="222BPA0870"/>
    <s v="IGARAPÉ VERMELHO"/>
    <s v="RIO TAPIRAPÉ"/>
    <n v="325.7"/>
    <n v="415.7"/>
    <n v="90"/>
    <x v="1"/>
    <m/>
    <m/>
    <s v="Federal"/>
    <m/>
    <m/>
    <m/>
    <s v="Federal"/>
    <s v="PLA"/>
    <s v="Marabá"/>
  </r>
  <r>
    <x v="0"/>
    <s v="222BPA0890"/>
    <n v="0"/>
    <x v="175"/>
    <s v="0890"/>
    <n v="-50.403751889637903"/>
    <n v="-5.3958575606778201"/>
    <n v="-51.149222270091599"/>
    <n v="-5.3928542000612598"/>
    <s v="222"/>
    <s v="PA"/>
    <s v="Eixo Principal"/>
    <s v="-"/>
    <s v="222BPA0890"/>
    <s v="RIO TAPIRAPÉ"/>
    <s v="ENTR BR-158 (RIO BACAJÁ)"/>
    <n v="415.7"/>
    <n v="510.7"/>
    <n v="95"/>
    <x v="1"/>
    <m/>
    <m/>
    <s v="Federal"/>
    <m/>
    <m/>
    <m/>
    <s v="Federal"/>
    <s v="PLA"/>
    <s v="Marabá"/>
  </r>
  <r>
    <x v="0"/>
    <s v="222BPI0250"/>
    <n v="0"/>
    <x v="176"/>
    <s v="0250"/>
    <n v="-41.232792089782997"/>
    <n v="-3.9182451895637702"/>
    <n v="-41.439836960107499"/>
    <n v="-4.0012431499513301"/>
    <s v="222"/>
    <s v="PI"/>
    <s v="Eixo Principal"/>
    <s v="-"/>
    <s v="222BPI0250"/>
    <s v="DIV CE/PI"/>
    <s v="ENTR PI-110 (ALTO ALEGRE)"/>
    <n v="0"/>
    <n v="25.9"/>
    <n v="25.9"/>
    <x v="2"/>
    <m/>
    <m/>
    <s v="Federal"/>
    <m/>
    <m/>
    <m/>
    <s v="Federal"/>
    <s v="PAV"/>
    <s v="Piripiri"/>
  </r>
  <r>
    <x v="0"/>
    <s v="222BPI0270"/>
    <n v="0"/>
    <x v="176"/>
    <s v="0270"/>
    <n v="-41.439836960107499"/>
    <n v="-4.0012431499513301"/>
    <n v="-41.6849661900375"/>
    <n v="-4.2120828697285901"/>
    <s v="222"/>
    <s v="PI"/>
    <s v="Eixo Principal"/>
    <s v="-"/>
    <s v="222BPI0270"/>
    <s v="ENTR PI-110 (ALTO ALEGRE)"/>
    <s v="ENTR PI-111"/>
    <n v="25.9"/>
    <n v="63.1"/>
    <n v="37.200000000000003"/>
    <x v="2"/>
    <m/>
    <m/>
    <s v="Federal"/>
    <m/>
    <m/>
    <m/>
    <s v="Federal"/>
    <s v="PAV"/>
    <s v="Piripiri"/>
  </r>
  <r>
    <x v="0"/>
    <s v="222BPI0273"/>
    <n v="0"/>
    <x v="176"/>
    <s v="0273"/>
    <n v="-41.6849661900375"/>
    <n v="-4.2120828697285901"/>
    <n v="-41.755696279859301"/>
    <n v="-4.2640056102706501"/>
    <s v="222"/>
    <s v="PI"/>
    <s v="Eixo Principal"/>
    <s v="-"/>
    <s v="222BPI0273"/>
    <s v="ENTR PI-111"/>
    <s v="ENTR BR-343(A)"/>
    <n v="63.1"/>
    <n v="73.7"/>
    <n v="10.6"/>
    <x v="2"/>
    <m/>
    <m/>
    <s v="Federal"/>
    <m/>
    <m/>
    <m/>
    <s v="Federal"/>
    <s v="PAV"/>
    <s v="Piripiri"/>
  </r>
  <r>
    <x v="0"/>
    <s v="222BPI0274"/>
    <n v="0"/>
    <x v="176"/>
    <s v="0274"/>
    <n v="-41.755696279859301"/>
    <n v="-4.2640056102706501"/>
    <n v="-41.769312580411203"/>
    <n v="-4.2463801500238603"/>
    <s v="222"/>
    <s v="PI"/>
    <s v="Eixo Principal"/>
    <s v="-"/>
    <s v="222BPI0274"/>
    <s v="ENTR BR-343(A)"/>
    <s v="ACESSO A PIRIPIRI"/>
    <n v="73.7"/>
    <n v="76.2"/>
    <n v="2.5"/>
    <x v="2"/>
    <m/>
    <s v="343BPI0119"/>
    <s v="Federal"/>
    <m/>
    <m/>
    <m/>
    <s v="Federal"/>
    <s v="PAV"/>
    <s v="Piripiri"/>
  </r>
  <r>
    <x v="0"/>
    <s v="222BPI0275"/>
    <n v="0"/>
    <x v="176"/>
    <s v="0275"/>
    <n v="-41.769312580411203"/>
    <n v="-4.2463801500238603"/>
    <n v="-41.771500440293003"/>
    <n v="-4.2354861998281796"/>
    <s v="222"/>
    <s v="PI"/>
    <s v="Eixo Principal"/>
    <s v="-"/>
    <s v="222BPI0275"/>
    <s v="ACESSO A PIRIPIRI"/>
    <s v="ENTR BR-343(B)"/>
    <n v="76.2"/>
    <n v="77.599999999999994"/>
    <n v="1.4"/>
    <x v="2"/>
    <m/>
    <s v="343BPI0117"/>
    <s v="Federal"/>
    <m/>
    <m/>
    <m/>
    <s v="Federal"/>
    <s v="PAV"/>
    <s v="Piripiri"/>
  </r>
  <r>
    <x v="0"/>
    <s v="222BPI0276"/>
    <n v="0"/>
    <x v="176"/>
    <s v="0276"/>
    <n v="-41.771500440293003"/>
    <n v="-4.2354861998281796"/>
    <n v="-41.814343370050402"/>
    <n v="-4.2491350702272799"/>
    <s v="222"/>
    <s v="PI"/>
    <s v="Eixo Principal"/>
    <s v="-"/>
    <s v="222BPI0276"/>
    <s v="ENTR BR-343(B)"/>
    <s v="ENTR PI-117(A)"/>
    <n v="77.599999999999994"/>
    <n v="82.6"/>
    <n v="5"/>
    <x v="1"/>
    <m/>
    <m/>
    <s v="Federal"/>
    <m/>
    <m/>
    <m/>
    <s v="Federal"/>
    <s v="PLA"/>
    <s v="Piripiri"/>
  </r>
  <r>
    <x v="0"/>
    <s v="222BPI0277"/>
    <n v="0"/>
    <x v="176"/>
    <s v="0277"/>
    <n v="-41.814343370050402"/>
    <n v="-4.2491350702272799"/>
    <n v="-42.064015099916901"/>
    <n v="-4.02828580974227"/>
    <s v="222"/>
    <s v="PI"/>
    <s v="Eixo Principal"/>
    <s v="-"/>
    <s v="222BPI0277"/>
    <s v="ENTR PI-117(A)"/>
    <s v="ENTR PI-110 (BATALHA)"/>
    <n v="82.6"/>
    <n v="124.6"/>
    <n v="42"/>
    <x v="5"/>
    <m/>
    <m/>
    <s v="Federal"/>
    <m/>
    <m/>
    <m/>
    <s v="Federal"/>
    <s v="N_PAV"/>
    <s v="Piripiri"/>
  </r>
  <r>
    <x v="0"/>
    <s v="222BPI0290"/>
    <n v="0"/>
    <x v="176"/>
    <s v="0290"/>
    <n v="-42.064015099916901"/>
    <n v="-4.02828580974227"/>
    <n v="-42.245735469716102"/>
    <n v="-3.89141259971165"/>
    <s v="222"/>
    <s v="PI"/>
    <s v="Eixo Principal"/>
    <s v="-"/>
    <s v="222BPI0290"/>
    <s v="ENTR PI-110 (BATALHA)"/>
    <s v="ENTR PI-213/214 (ESPERANTINA)"/>
    <n v="124.6"/>
    <n v="147.6"/>
    <n v="23"/>
    <x v="2"/>
    <m/>
    <m/>
    <s v="Federal"/>
    <m/>
    <m/>
    <m/>
    <s v="Federal"/>
    <s v="PAV"/>
    <s v="Piripiri"/>
  </r>
  <r>
    <x v="0"/>
    <s v="222BPI0310"/>
    <n v="0"/>
    <x v="176"/>
    <s v="0310"/>
    <n v="-42.245735469716102"/>
    <n v="-3.89141259971165"/>
    <n v="-42.4562495197994"/>
    <n v="-3.8101806802941298"/>
    <s v="222"/>
    <s v="PI"/>
    <s v="Eixo Principal"/>
    <s v="-"/>
    <s v="222BPI0310"/>
    <s v="ENTR PI-213/214 (ESPERANTINA)"/>
    <s v="SÃO JOÃO DO ARRAIAL"/>
    <n v="147.6"/>
    <n v="183.6"/>
    <n v="36"/>
    <x v="2"/>
    <m/>
    <m/>
    <s v="Federal"/>
    <m/>
    <m/>
    <m/>
    <s v="Federal"/>
    <s v="PAV"/>
    <s v="Piripiri"/>
  </r>
  <r>
    <x v="0"/>
    <s v="222BPI0330"/>
    <n v="0"/>
    <x v="176"/>
    <s v="0330"/>
    <n v="-42.4562495197994"/>
    <n v="-3.8101806802941298"/>
    <n v="-42.554745450242301"/>
    <n v="-3.7150471099361"/>
    <s v="222"/>
    <s v="PI"/>
    <s v="Eixo Principal"/>
    <s v="-"/>
    <s v="222BPI0330"/>
    <s v="SÃO JOÃO DO ARRAIAL"/>
    <s v="ENTR PI-112 (MATIAS OLÍMPIO)"/>
    <n v="183.6"/>
    <n v="200.9"/>
    <n v="17.3"/>
    <x v="3"/>
    <m/>
    <m/>
    <s v="Federal"/>
    <m/>
    <m/>
    <m/>
    <s v="Federal"/>
    <s v="N_PAV"/>
    <s v="Piripiri"/>
  </r>
  <r>
    <x v="0"/>
    <s v="222BPI0350"/>
    <n v="0"/>
    <x v="176"/>
    <s v="0350"/>
    <n v="-42.554745450242301"/>
    <n v="-3.7150471099361"/>
    <n v="-42.674971729861298"/>
    <n v="-3.67592021034937"/>
    <s v="222"/>
    <s v="PI"/>
    <s v="Eixo Principal"/>
    <s v="-"/>
    <s v="222BPI0350"/>
    <s v="ENTR PI-112 (MATIAS OLÍMPIO)"/>
    <s v="ENTR PI-117(B) (DIV PI/MA) (REPARTIÇÃO)"/>
    <n v="200.9"/>
    <n v="219.9"/>
    <n v="19"/>
    <x v="3"/>
    <m/>
    <m/>
    <s v="Federal"/>
    <m/>
    <m/>
    <m/>
    <s v="Federal"/>
    <s v="N_PAV"/>
    <s v="Piripiri"/>
  </r>
  <r>
    <x v="0"/>
    <s v="222UPI1005"/>
    <n v="0"/>
    <x v="177"/>
    <s v="1005"/>
    <n v="-41.760006529877302"/>
    <n v="-4.2700033400820399"/>
    <n v="-41.777432780398399"/>
    <n v="-4.2814383700846799"/>
    <s v="222"/>
    <s v="PI"/>
    <s v="Travessia Urbana"/>
    <s v="-"/>
    <s v="222UPI1005"/>
    <s v="ENTR BR-222/343"/>
    <s v="ENTR BR-404/407/PI-111/117 (PIRIPIRI) *TRECHO URBANO*"/>
    <n v="0"/>
    <n v="3.9"/>
    <n v="3.9"/>
    <x v="0"/>
    <m/>
    <m/>
    <m/>
    <s v="MP082/2003"/>
    <m/>
    <m/>
    <m/>
    <s v="PAV"/>
    <s v="Piripiri"/>
  </r>
  <r>
    <x v="0"/>
    <s v="226BCE0430"/>
    <n v="0"/>
    <x v="178"/>
    <s v="0430"/>
    <n v="-38.271986180117999"/>
    <n v="-6.0641888804124697"/>
    <n v="-38.348977060442898"/>
    <n v="-6.0386669103496002"/>
    <s v="226"/>
    <s v="CE"/>
    <s v="Eixo Principal"/>
    <s v="-"/>
    <s v="226BCE0430"/>
    <s v="DIV RN/CE"/>
    <s v="ERERÊ"/>
    <n v="0"/>
    <n v="9.1999999999999993"/>
    <n v="9.1999999999999993"/>
    <x v="1"/>
    <m/>
    <m/>
    <s v="Federal"/>
    <m/>
    <m/>
    <m/>
    <s v="Federal"/>
    <s v="PLA"/>
    <s v="Icó"/>
  </r>
  <r>
    <x v="0"/>
    <s v="226BCE0440"/>
    <n v="0"/>
    <x v="178"/>
    <s v="0440"/>
    <n v="-38.348977060442898"/>
    <n v="-6.0386669103496002"/>
    <n v="-38.4608923399094"/>
    <n v="-6.0506517498782797"/>
    <s v="226"/>
    <s v="CE"/>
    <s v="Eixo Principal"/>
    <s v="-"/>
    <s v="226BCE0440"/>
    <s v="ERERÊ"/>
    <s v="ENTR CE-138(A)(P/SÃO MIGUEL/RN)"/>
    <n v="9.1999999999999993"/>
    <n v="25.4"/>
    <n v="16.2"/>
    <x v="1"/>
    <m/>
    <m/>
    <s v="Federal"/>
    <m/>
    <m/>
    <m/>
    <s v="Federal"/>
    <s v="PLA"/>
    <s v="Icó"/>
  </r>
  <r>
    <x v="0"/>
    <s v="226BCE0450"/>
    <n v="0"/>
    <x v="178"/>
    <s v="0450"/>
    <n v="-38.4608923399094"/>
    <n v="-6.0506517498782797"/>
    <n v="-38.460761510135498"/>
    <n v="-6.0436506401648504"/>
    <s v="226"/>
    <s v="CE"/>
    <s v="Eixo Principal"/>
    <s v="-"/>
    <s v="226BCE0450"/>
    <s v="ENTR CE-138(A)(P/SÃO MIGUEL/RN)"/>
    <s v="ENTR CE-138(B)(PEREIRO)"/>
    <n v="25.4"/>
    <n v="29.1"/>
    <n v="3.7"/>
    <x v="1"/>
    <m/>
    <m/>
    <s v="Estadual"/>
    <m/>
    <s v="CE-138"/>
    <s v="PAV"/>
    <s v="Estadual"/>
    <s v="PLA"/>
    <s v="Icó"/>
  </r>
  <r>
    <x v="0"/>
    <s v="226BCE0470"/>
    <n v="0"/>
    <x v="178"/>
    <s v="0470"/>
    <n v="-38.460761510135498"/>
    <n v="-6.0436506401648504"/>
    <n v="-38.6276472597132"/>
    <n v="-5.9882433603427696"/>
    <s v="226"/>
    <s v="CE"/>
    <s v="Eixo Principal"/>
    <s v="-"/>
    <s v="226BCE0470"/>
    <s v="ENTR CE-138(B)(PEREIRO)"/>
    <s v="ENTR BR-116(A)"/>
    <n v="29.1"/>
    <n v="56.9"/>
    <n v="27.8"/>
    <x v="2"/>
    <m/>
    <m/>
    <s v="Federal"/>
    <m/>
    <m/>
    <m/>
    <s v="Federal"/>
    <s v="PAV"/>
    <s v="Icó"/>
  </r>
  <r>
    <x v="0"/>
    <s v="226BCE0490"/>
    <n v="0"/>
    <x v="178"/>
    <s v="0490"/>
    <n v="-38.6276472597132"/>
    <n v="-5.9882433603427696"/>
    <n v="-38.624315359665999"/>
    <n v="-5.9055089795556901"/>
    <s v="226"/>
    <s v="CE"/>
    <s v="Eixo Principal"/>
    <s v="Coinc"/>
    <s v="226BCE0490"/>
    <s v="ENTR BR-116(A)"/>
    <s v="ENTR BR-116(B) (JAGUARIBE)"/>
    <n v="56.9"/>
    <n v="66.3"/>
    <n v="9.4"/>
    <x v="2"/>
    <m/>
    <s v="116BCE0250"/>
    <s v="Federal"/>
    <m/>
    <m/>
    <m/>
    <s v="Federal"/>
    <s v="PAV"/>
    <s v="Icó"/>
  </r>
  <r>
    <x v="0"/>
    <s v="226BCE0510"/>
    <n v="0"/>
    <x v="178"/>
    <s v="0510"/>
    <n v="-38.624315359665999"/>
    <n v="-5.9055089795556901"/>
    <n v="-38.663916620155803"/>
    <n v="-5.8891096100204496"/>
    <s v="226"/>
    <s v="CE"/>
    <s v="Eixo Principal"/>
    <s v="-"/>
    <s v="226BCE0510"/>
    <s v="ENTR BR-116(B) (JAGUARIBE)"/>
    <s v="ENTR CE-275"/>
    <n v="66.3"/>
    <n v="71.7"/>
    <n v="5.4"/>
    <x v="2"/>
    <m/>
    <m/>
    <s v="Federal"/>
    <m/>
    <m/>
    <m/>
    <s v="Federal"/>
    <s v="PAV"/>
    <s v="Icó"/>
  </r>
  <r>
    <x v="0"/>
    <s v="226BCE0530"/>
    <n v="0"/>
    <x v="178"/>
    <s v="0530"/>
    <n v="-38.663916620155803"/>
    <n v="-5.8891096100204496"/>
    <n v="-38.702510839603498"/>
    <n v="-5.8594292098900898"/>
    <s v="226"/>
    <s v="CE"/>
    <s v="Eixo Principal"/>
    <s v="-"/>
    <s v="226BCE0530"/>
    <s v="ENTR CE-275"/>
    <s v="ENTR CE-368"/>
    <n v="71.7"/>
    <n v="77.7"/>
    <n v="6"/>
    <x v="5"/>
    <s v="EOP"/>
    <m/>
    <s v="Federal"/>
    <m/>
    <m/>
    <m/>
    <s v="Federal"/>
    <s v="N_PAV"/>
    <s v="Icó"/>
  </r>
  <r>
    <x v="0"/>
    <s v="226BCE0540"/>
    <n v="0"/>
    <x v="178"/>
    <s v="0540"/>
    <n v="-38.702510839603498"/>
    <n v="-5.8594292098900898"/>
    <n v="-39.0034003800234"/>
    <n v="-5.7346615400979299"/>
    <s v="226"/>
    <s v="CE"/>
    <s v="Eixo Principal"/>
    <s v="-"/>
    <s v="226BCE0540"/>
    <s v="ENTR CE-368"/>
    <s v="ENTR BR-122/CE-371 (SOLONÓPOLE)"/>
    <n v="77.7"/>
    <n v="116.1"/>
    <n v="38.4"/>
    <x v="5"/>
    <s v="EOP"/>
    <m/>
    <s v="Federal"/>
    <m/>
    <m/>
    <m/>
    <s v="Federal"/>
    <s v="N_PAV"/>
    <s v="Icó"/>
  </r>
  <r>
    <x v="0"/>
    <s v="226BCE0550"/>
    <n v="0"/>
    <x v="178"/>
    <s v="0550"/>
    <n v="-39.0034003800234"/>
    <n v="-5.7346615400979299"/>
    <n v="-39.366667879618802"/>
    <n v="-5.5775589799629302"/>
    <s v="226"/>
    <s v="CE"/>
    <s v="Eixo Principal"/>
    <s v="-"/>
    <s v="226BCE0550"/>
    <s v="ENTR BR-122/CE-371 (SOLONÓPOLE)"/>
    <s v="ENTR CE-166/363 (SENADOR POMPEU)"/>
    <n v="116.1"/>
    <n v="168.2"/>
    <n v="52.1"/>
    <x v="2"/>
    <m/>
    <m/>
    <s v="Federal"/>
    <m/>
    <m/>
    <m/>
    <s v="Federal"/>
    <s v="PAV"/>
    <s v="Boa Viagem"/>
  </r>
  <r>
    <x v="0"/>
    <s v="226BCE0570"/>
    <n v="0"/>
    <x v="178"/>
    <s v="0570"/>
    <n v="-39.366667879618802"/>
    <n v="-5.5775589799629302"/>
    <n v="-39.496013130101801"/>
    <n v="-5.5229102800852798"/>
    <s v="226"/>
    <s v="CE"/>
    <s v="Eixo Principal"/>
    <s v="-"/>
    <s v="226BCE0570"/>
    <s v="ENTR CE-166/363 (SENADOR POMPEU)"/>
    <s v="ENTR CE-060(A) (BONFIM)"/>
    <n v="168.2"/>
    <n v="187.8"/>
    <n v="19.600000000000001"/>
    <x v="2"/>
    <m/>
    <m/>
    <s v="Federal"/>
    <m/>
    <m/>
    <m/>
    <s v="Federal"/>
    <s v="PAV"/>
    <s v="Boa Viagem"/>
  </r>
  <r>
    <x v="0"/>
    <s v="226BCE0590"/>
    <n v="0"/>
    <x v="178"/>
    <s v="0590"/>
    <n v="-39.496013130101801"/>
    <n v="-5.5229102800852798"/>
    <n v="-39.595790619641299"/>
    <n v="-5.5270548695864896"/>
    <s v="226"/>
    <s v="CE"/>
    <s v="Eixo Principal"/>
    <s v="-"/>
    <s v="226BCE0590"/>
    <s v="ENTR CE-060(A) (BONFIM)"/>
    <s v="ENTR CE-060(B) (MINEIROLÂNDIA)"/>
    <n v="187.8"/>
    <n v="201.6"/>
    <n v="13.8"/>
    <x v="2"/>
    <m/>
    <m/>
    <s v="Federal"/>
    <m/>
    <m/>
    <m/>
    <s v="Federal"/>
    <s v="PAV"/>
    <s v="Boa Viagem"/>
  </r>
  <r>
    <x v="0"/>
    <s v="226BCE0610"/>
    <n v="0"/>
    <x v="178"/>
    <s v="0610"/>
    <n v="-39.595790619641299"/>
    <n v="-5.5270548695864896"/>
    <n v="-39.7179546298023"/>
    <n v="-5.4554011400505198"/>
    <s v="226"/>
    <s v="CE"/>
    <s v="Eixo Principal"/>
    <s v="-"/>
    <s v="226BCE0610"/>
    <s v="ENTR CE-060(B) (MINEIROLÂNDIA)"/>
    <s v="ENTR CE-168 (PEDRA BRANCA)"/>
    <n v="201.6"/>
    <n v="220.5"/>
    <n v="18.899999999999999"/>
    <x v="2"/>
    <m/>
    <m/>
    <s v="Federal"/>
    <m/>
    <m/>
    <m/>
    <s v="Federal"/>
    <s v="PAV"/>
    <s v="Boa Viagem"/>
  </r>
  <r>
    <x v="0"/>
    <s v="226BCE0630"/>
    <n v="0"/>
    <x v="178"/>
    <s v="0630"/>
    <n v="-39.7179546298023"/>
    <n v="-5.4554011400505198"/>
    <n v="-40.003626349776098"/>
    <n v="-5.4397001597345103"/>
    <s v="226"/>
    <s v="CE"/>
    <s v="Eixo Principal"/>
    <s v="-"/>
    <s v="226BCE0630"/>
    <s v="ENTR CE-168 (PEDRA BRANCA)"/>
    <s v="ENTR BR-020 (SANTA CRUZ DO BANABUIÚ)"/>
    <n v="220.5"/>
    <n v="255.8"/>
    <n v="35.299999999999997"/>
    <x v="2"/>
    <m/>
    <m/>
    <s v="Federal"/>
    <m/>
    <m/>
    <m/>
    <s v="Federal"/>
    <s v="PAV"/>
    <s v="Boa Viagem"/>
  </r>
  <r>
    <x v="0"/>
    <s v="226BCE0650"/>
    <n v="0"/>
    <x v="178"/>
    <s v="0650"/>
    <n v="-40.003626349776098"/>
    <n v="-5.4397001597345103"/>
    <n v="-40.307196360023902"/>
    <n v="-5.4041092703264999"/>
    <s v="226"/>
    <s v="CE"/>
    <s v="Eixo Principal"/>
    <s v="-"/>
    <s v="226BCE0650"/>
    <s v="ENTR BR-020 (SANTA CRUZ DO BANABUIÚ)"/>
    <s v="ENTR CE-176 (INDEPENDÊNCIA)"/>
    <n v="255.8"/>
    <n v="292.60000000000002"/>
    <n v="36.799999999999997"/>
    <x v="2"/>
    <m/>
    <m/>
    <s v="Federal"/>
    <m/>
    <m/>
    <m/>
    <s v="Federal"/>
    <s v="PAV"/>
    <s v="Boa Viagem"/>
  </r>
  <r>
    <x v="0"/>
    <s v="226BCE0670"/>
    <n v="0"/>
    <x v="178"/>
    <s v="0670"/>
    <n v="-40.307196360023902"/>
    <n v="-5.4041092703264999"/>
    <n v="-40.650126019799899"/>
    <n v="-5.1851357797923399"/>
    <s v="226"/>
    <s v="CE"/>
    <s v="Eixo Principal"/>
    <s v="-"/>
    <s v="226BCE0670"/>
    <s v="ENTR CE-176 (INDEPENDÊNCIA)"/>
    <s v="ENTR BR-404 (CRATEÚS)"/>
    <n v="292.60000000000002"/>
    <n v="339.7"/>
    <n v="47.1"/>
    <x v="2"/>
    <m/>
    <m/>
    <s v="Federal"/>
    <m/>
    <m/>
    <m/>
    <s v="Federal"/>
    <s v="PAV"/>
    <s v="Boa Viagem"/>
  </r>
  <r>
    <x v="0"/>
    <s v="226BCE0680"/>
    <n v="0"/>
    <x v="178"/>
    <s v="0680"/>
    <n v="-40.650126019799899"/>
    <n v="-5.1851357797923399"/>
    <n v="-40.724693229908603"/>
    <n v="-5.1720170597394599"/>
    <s v="226"/>
    <s v="CE"/>
    <s v="Eixo Principal"/>
    <s v="-"/>
    <s v="226BCE0680"/>
    <s v="ENTR BR-404 (CRATEÚS)"/>
    <s v="INÍCIO DA IMPLANTAÇÃO"/>
    <n v="339.7"/>
    <n v="348.7"/>
    <n v="9"/>
    <x v="1"/>
    <m/>
    <m/>
    <s v="Federal"/>
    <m/>
    <m/>
    <m/>
    <s v="Federal"/>
    <s v="PLA"/>
    <s v="Boa Viagem"/>
  </r>
  <r>
    <x v="0"/>
    <s v="226BCE0690"/>
    <n v="0"/>
    <x v="178"/>
    <s v="0690"/>
    <n v="-40.724693229908603"/>
    <n v="-5.1720170597394599"/>
    <n v="-40.924166469606803"/>
    <n v="-5.0522468802892604"/>
    <s v="226"/>
    <s v="CE"/>
    <s v="Eixo Principal"/>
    <s v="-"/>
    <s v="226BCE0690"/>
    <s v="INÍCIO DA IMPLANTAÇÃO"/>
    <s v="IBIAPABA"/>
    <n v="348.7"/>
    <n v="375.7"/>
    <n v="27"/>
    <x v="5"/>
    <m/>
    <m/>
    <s v="Federal"/>
    <m/>
    <m/>
    <m/>
    <s v="Federal"/>
    <s v="N_PAV"/>
    <s v="Boa Viagem"/>
  </r>
  <r>
    <x v="0"/>
    <s v="226BCE0695"/>
    <n v="0"/>
    <x v="178"/>
    <s v="0695"/>
    <n v="-40.924166469606803"/>
    <n v="-5.0522468802892604"/>
    <n v="-41.120997619844204"/>
    <n v="-5.0450900799431704"/>
    <s v="226"/>
    <s v="CE"/>
    <s v="Eixo Principal"/>
    <s v="-"/>
    <s v="226BCE0695"/>
    <s v="IBIAPABA"/>
    <s v="DIV CE/PI"/>
    <n v="375.7"/>
    <n v="397.7"/>
    <n v="22"/>
    <x v="3"/>
    <m/>
    <m/>
    <s v="Federal"/>
    <m/>
    <m/>
    <m/>
    <s v="Federal"/>
    <s v="N_PAV"/>
    <s v="Boa Viagem"/>
  </r>
  <r>
    <x v="0"/>
    <s v="226BMA0810"/>
    <n v="0"/>
    <x v="179"/>
    <s v="0810"/>
    <n v="-42.815677929592702"/>
    <n v="-5.1311774903488701"/>
    <n v="-42.820728559975002"/>
    <n v="-5.13089531007045"/>
    <s v="226"/>
    <s v="MA"/>
    <s v="Eixo Principal"/>
    <s v="-"/>
    <s v="226BMA0810"/>
    <s v="ENTR BR-316(A) (DIV PI/MA) (TERESINA/TIMON)"/>
    <s v="ENTR BR-316(B) (INÍCIO DO CONTORNO DE TIMON)"/>
    <n v="0"/>
    <n v="0.6"/>
    <n v="0.6"/>
    <x v="2"/>
    <m/>
    <s v="316BMA0380"/>
    <s v="Federal"/>
    <m/>
    <m/>
    <m/>
    <s v="Federal"/>
    <s v="PAV"/>
    <s v="Caxias"/>
  </r>
  <r>
    <x v="0"/>
    <s v="226BMA0812"/>
    <n v="0"/>
    <x v="179"/>
    <s v="0812"/>
    <n v="-42.820728559975002"/>
    <n v="-5.13089531007045"/>
    <n v="-42.874128040376704"/>
    <n v="-5.1328530100583398"/>
    <s v="226"/>
    <s v="MA"/>
    <s v="Eixo Principal"/>
    <s v="-"/>
    <s v="226BMA0812"/>
    <s v="ENTR BR-316(B) (INÍCIO DO CONTORNO DE TIMON)"/>
    <s v="ENTR BR-316 (CONTORNO DE TIMON)"/>
    <n v="0.6"/>
    <n v="7"/>
    <n v="6.4"/>
    <x v="5"/>
    <m/>
    <s v="316CMA1010"/>
    <m/>
    <s v="MP082/2005"/>
    <m/>
    <m/>
    <m/>
    <s v="N_PAV"/>
    <s v="Caxias"/>
  </r>
  <r>
    <x v="0"/>
    <s v="226BMA0815"/>
    <n v="0"/>
    <x v="179"/>
    <s v="0815"/>
    <n v="-42.874128040376704"/>
    <n v="-5.1328530100583398"/>
    <n v="-43.449851499746799"/>
    <n v="-5.2242777403254204"/>
    <s v="226"/>
    <s v="MA"/>
    <s v="Eixo Principal"/>
    <s v="-"/>
    <s v="226BMA0815"/>
    <s v="ENTR BR-316 (CONTORNO DE TIMON)"/>
    <s v="ENTR MA-034 (BAÚ)"/>
    <n v="7"/>
    <n v="75.599999999999994"/>
    <n v="68.599999999999994"/>
    <x v="5"/>
    <m/>
    <m/>
    <m/>
    <s v="MP082/2005"/>
    <m/>
    <m/>
    <m/>
    <s v="N_PAV"/>
    <s v="Caxias"/>
  </r>
  <r>
    <x v="0"/>
    <s v="226BMA0820"/>
    <n v="0"/>
    <x v="179"/>
    <s v="0820"/>
    <n v="-43.449851499746799"/>
    <n v="-5.2242777403254204"/>
    <n v="-43.652069759911399"/>
    <n v="-5.2734067603136596"/>
    <s v="226"/>
    <s v="MA"/>
    <s v="Eixo Principal"/>
    <s v="-"/>
    <s v="226BMA0820"/>
    <s v="ENTR MA-034 (BAÚ)"/>
    <s v="KM 100 (INÍCIO PAVIMENTAÇÃO)"/>
    <n v="75.599999999999994"/>
    <n v="99.4"/>
    <n v="23.8"/>
    <x v="5"/>
    <m/>
    <m/>
    <m/>
    <s v="MP082/2006"/>
    <m/>
    <m/>
    <m/>
    <s v="N_PAV"/>
    <s v="Caxias"/>
  </r>
  <r>
    <x v="0"/>
    <s v="226BMA0830"/>
    <n v="0"/>
    <x v="179"/>
    <s v="0830"/>
    <n v="-43.652069759911399"/>
    <n v="-5.2734067603136596"/>
    <n v="-43.783872479830997"/>
    <n v="-5.2741745403227398"/>
    <s v="226"/>
    <s v="MA"/>
    <s v="Eixo Principal"/>
    <s v="-"/>
    <s v="226BMA0830"/>
    <s v="KM 100 (INÍCIO PAVIMENTAÇÃO)"/>
    <s v="INÍCIO DA PONTE S/ RIO ITAPECURU (PAIOL)"/>
    <n v="99.4"/>
    <n v="115.6"/>
    <n v="16.2"/>
    <x v="2"/>
    <m/>
    <m/>
    <m/>
    <s v="MP082/2005"/>
    <m/>
    <m/>
    <m/>
    <s v="PAV"/>
    <s v="Caxias"/>
  </r>
  <r>
    <x v="0"/>
    <s v="226BMA0840"/>
    <n v="0"/>
    <x v="179"/>
    <s v="0840"/>
    <n v="-43.783872479830997"/>
    <n v="-5.2741745403227398"/>
    <n v="-44.489757159865"/>
    <n v="-5.3000448402971099"/>
    <s v="226"/>
    <s v="MA"/>
    <s v="Eixo Principal"/>
    <s v="-"/>
    <s v="226BMA0840"/>
    <s v="INÍCIO DA PONTE S/ RIO ITAPECURU (PAIOL)"/>
    <s v="ENTR BR-135(A)/MA-127"/>
    <n v="115.6"/>
    <n v="201.9"/>
    <n v="86.3"/>
    <x v="2"/>
    <m/>
    <m/>
    <m/>
    <s v="MP082/2005"/>
    <m/>
    <m/>
    <m/>
    <s v="PAV"/>
    <s v="Caxias"/>
  </r>
  <r>
    <x v="0"/>
    <s v="226BMA0845"/>
    <n v="0"/>
    <x v="179"/>
    <s v="0845"/>
    <n v="-44.489757159865"/>
    <n v="-5.3000448402971099"/>
    <n v="-44.4966495001742"/>
    <n v="-5.2817101602956296"/>
    <s v="226"/>
    <s v="MA"/>
    <s v="Eixo Principal"/>
    <s v="Coinc"/>
    <s v="226BMA0845"/>
    <s v="ENTR BR-135(A)/MA-127"/>
    <s v="ENTR BR-135(B) (PRESIDENTE DUTRA)"/>
    <n v="201.9"/>
    <n v="204.1"/>
    <n v="2.2000000000000002"/>
    <x v="0"/>
    <m/>
    <s v="135BMA0240"/>
    <s v="Federal"/>
    <m/>
    <m/>
    <m/>
    <s v="Federal"/>
    <s v="PAV"/>
    <s v="Caxias"/>
  </r>
  <r>
    <x v="0"/>
    <s v="226BMA0850"/>
    <n v="0"/>
    <x v="179"/>
    <s v="0850"/>
    <n v="-44.4966495001742"/>
    <n v="-5.2817101602956296"/>
    <n v="-44.601300610134999"/>
    <n v="-5.3217082898056498"/>
    <s v="226"/>
    <s v="MA"/>
    <s v="Eixo Principal"/>
    <s v="-"/>
    <s v="226BMA0850"/>
    <s v="ENTR BR-135(B) (PRESIDENTE DUTRA)"/>
    <s v="ENTR MA-259 (P/TUNTUM)"/>
    <n v="204.1"/>
    <n v="217.2"/>
    <n v="13.1"/>
    <x v="2"/>
    <m/>
    <m/>
    <m/>
    <s v="MP082/2004"/>
    <m/>
    <m/>
    <m/>
    <s v="PAV"/>
    <s v="Caxias"/>
  </r>
  <r>
    <x v="0"/>
    <s v="226BMA0860"/>
    <n v="0"/>
    <x v="179"/>
    <s v="0860"/>
    <n v="-44.601300610134999"/>
    <n v="-5.3217082898056498"/>
    <n v="-45.2464816698931"/>
    <n v="-5.5019163002969496"/>
    <s v="226"/>
    <s v="MA"/>
    <s v="Eixo Principal"/>
    <s v="-"/>
    <s v="226BMA0860"/>
    <s v="ENTR MA-259 (P/TUNTUM)"/>
    <s v="BARRA DO CORDA"/>
    <n v="217.2"/>
    <n v="299.8"/>
    <n v="82.6"/>
    <x v="2"/>
    <m/>
    <m/>
    <m/>
    <s v="MP082/2004"/>
    <m/>
    <m/>
    <m/>
    <s v="PAV"/>
    <s v="Caxias"/>
  </r>
  <r>
    <x v="0"/>
    <s v="226BMA0870"/>
    <n v="0"/>
    <x v="179"/>
    <s v="0870"/>
    <n v="-45.2464816698931"/>
    <n v="-5.5019163002969496"/>
    <n v="-45.535717449900297"/>
    <n v="-5.4970290200731702"/>
    <s v="226"/>
    <s v="MA"/>
    <s v="Eixo Principal"/>
    <s v="-"/>
    <s v="226BMA0870"/>
    <s v="BARRA DO CORDA"/>
    <s v="ENTR MA-328 (P/JENIPAPO DOS VIEIRAS)"/>
    <n v="299.8"/>
    <n v="340.3"/>
    <n v="40.5"/>
    <x v="2"/>
    <m/>
    <m/>
    <m/>
    <s v="MP082/2003"/>
    <m/>
    <m/>
    <m/>
    <s v="PAV"/>
    <s v="Imperatriz"/>
  </r>
  <r>
    <x v="0"/>
    <s v="226BMA0880"/>
    <n v="0"/>
    <x v="179"/>
    <s v="0880"/>
    <n v="-45.535717449900297"/>
    <n v="-5.4970290200731702"/>
    <n v="-46.126113149702"/>
    <n v="-5.8121712501030602"/>
    <s v="226"/>
    <s v="MA"/>
    <s v="Eixo Principal"/>
    <s v="-"/>
    <s v="226BMA0880"/>
    <s v="ENTR MA-328 (P/JENIPAPO DOS VIEIRAS)"/>
    <s v="ENTR MA-006(A) (GRAJAÚ)"/>
    <n v="340.3"/>
    <n v="415.7"/>
    <n v="75.400000000000006"/>
    <x v="2"/>
    <m/>
    <m/>
    <m/>
    <s v="MP082/2003"/>
    <m/>
    <m/>
    <m/>
    <s v="PAV"/>
    <s v="Imperatriz"/>
  </r>
  <r>
    <x v="0"/>
    <s v="226BMA0885"/>
    <n v="0"/>
    <x v="179"/>
    <s v="0885"/>
    <n v="-46.126113149702"/>
    <n v="-5.8121712501030602"/>
    <n v="-46.1596563196833"/>
    <n v="-5.8248634999505304"/>
    <s v="226"/>
    <s v="MA"/>
    <s v="Eixo Principal"/>
    <s v="-"/>
    <s v="226BMA0885"/>
    <s v="ENTR MA-006(A) (GRAJAÚ)"/>
    <s v="ENTR MA-006(B) (PONTE S/ R GRAJAÚ (ACESSO BELA ESTRÊLA))"/>
    <n v="415.7"/>
    <n v="419.9"/>
    <n v="4.2"/>
    <x v="2"/>
    <m/>
    <m/>
    <m/>
    <s v="MP082/2003"/>
    <m/>
    <m/>
    <m/>
    <s v="PAV"/>
    <s v="Imperatriz"/>
  </r>
  <r>
    <x v="0"/>
    <s v="226BMA0890"/>
    <n v="0"/>
    <x v="179"/>
    <s v="0890"/>
    <n v="-46.1596563196833"/>
    <n v="-5.8248634999505304"/>
    <n v="-46.629362990109797"/>
    <n v="-6.0362148503349999"/>
    <s v="226"/>
    <s v="MA"/>
    <s v="Eixo Principal"/>
    <s v="-"/>
    <s v="226BMA0890"/>
    <s v="ENTR MA-006(B) (PONTE S/ R GRAJAÚ (ACESSO BELA ESTRÊLA))"/>
    <s v="ENTR MA-275"/>
    <n v="419.9"/>
    <n v="478.4"/>
    <n v="58.5"/>
    <x v="2"/>
    <m/>
    <m/>
    <m/>
    <s v="MP082/2003"/>
    <m/>
    <m/>
    <m/>
    <s v="PAV"/>
    <s v="Imperatriz"/>
  </r>
  <r>
    <x v="0"/>
    <s v="226BMA0910"/>
    <n v="0"/>
    <x v="179"/>
    <s v="0910"/>
    <n v="-46.629362990109797"/>
    <n v="-6.0362148503349999"/>
    <n v="-47.3761021296095"/>
    <n v="-6.35271884010234"/>
    <s v="226"/>
    <s v="MA"/>
    <s v="Eixo Principal"/>
    <s v="-"/>
    <s v="226BMA0910"/>
    <s v="ENTR MA-275"/>
    <s v="ENTR BR-010(A) (PORTO FRANCO)"/>
    <n v="478.4"/>
    <n v="570.70000000000005"/>
    <n v="92.3"/>
    <x v="2"/>
    <m/>
    <m/>
    <m/>
    <s v="MP082/2004"/>
    <m/>
    <m/>
    <m/>
    <s v="PAV"/>
    <s v="Imperatriz"/>
  </r>
  <r>
    <x v="0"/>
    <s v="226BMA0930"/>
    <n v="0"/>
    <x v="179"/>
    <s v="0930"/>
    <n v="-47.3761021296095"/>
    <n v="-6.35271884010234"/>
    <n v="-47.450543029936803"/>
    <n v="-6.5579729902612396"/>
    <s v="226"/>
    <s v="MA"/>
    <s v="Eixo Principal"/>
    <s v="Coinc"/>
    <s v="226BMA0930"/>
    <s v="ENTR BR-010(A) (PORTO FRANCO)"/>
    <s v="ENTR BR-010(B)/230(A)/MA-138 (ESTREITO)"/>
    <n v="570.70000000000005"/>
    <n v="598.29999999999995"/>
    <n v="27.6"/>
    <x v="2"/>
    <m/>
    <s v="010BMA0390"/>
    <s v="Federal"/>
    <m/>
    <m/>
    <m/>
    <s v="Federal"/>
    <s v="PAV"/>
    <s v="Imperatriz"/>
  </r>
  <r>
    <x v="0"/>
    <s v="226BMA0940"/>
    <n v="0"/>
    <x v="179"/>
    <s v="0940"/>
    <n v="-47.450543029936803"/>
    <n v="-6.5579729902612396"/>
    <n v="-47.460316420366397"/>
    <n v="-6.56020490972878"/>
    <s v="226"/>
    <s v="MA"/>
    <s v="Eixo Principal"/>
    <s v="-"/>
    <s v="226BMA0940"/>
    <s v="ENTR BR-010(B)/230(A)/MA-138 (ESTREITO)"/>
    <s v="DIV MA/TO"/>
    <n v="598.29999999999995"/>
    <n v="599.1"/>
    <n v="0.8"/>
    <x v="2"/>
    <m/>
    <s v="230BMA1075"/>
    <s v="Federal"/>
    <m/>
    <m/>
    <m/>
    <s v="Federal"/>
    <s v="PAV"/>
    <s v="Imperatriz"/>
  </r>
  <r>
    <x v="0"/>
    <s v="226BPI0710"/>
    <n v="0"/>
    <x v="180"/>
    <s v="0710"/>
    <n v="-41.120997619844204"/>
    <n v="-5.0450900799431704"/>
    <n v="-41.094588580098801"/>
    <n v="-5.3148829004254496"/>
    <s v="226"/>
    <s v="PI"/>
    <s v="Eixo Principal"/>
    <s v="-"/>
    <s v="226BPI0710"/>
    <s v="DIV CE/PI (OITICICA)"/>
    <s v="BURITI DOS MONTES"/>
    <n v="0"/>
    <n v="37"/>
    <n v="37"/>
    <x v="1"/>
    <m/>
    <m/>
    <s v="Federal"/>
    <m/>
    <m/>
    <m/>
    <s v="Federal"/>
    <s v="PLA"/>
    <s v="Piripiri"/>
  </r>
  <r>
    <x v="0"/>
    <s v="226BPI0715"/>
    <n v="0"/>
    <x v="180"/>
    <s v="0715"/>
    <n v="-41.094588580098801"/>
    <n v="-5.3148829004254496"/>
    <n v="-41.406378419928103"/>
    <n v="-5.3907115104278196"/>
    <s v="226"/>
    <s v="PI"/>
    <s v="Eixo Principal"/>
    <s v="-"/>
    <s v="226BPI0715"/>
    <s v="BURITI DOS MONTES"/>
    <s v="ENTR BR-407(A)/PI-115"/>
    <n v="37"/>
    <n v="78"/>
    <n v="41"/>
    <x v="1"/>
    <m/>
    <m/>
    <s v="Federal"/>
    <m/>
    <m/>
    <m/>
    <s v="Federal"/>
    <s v="PLA"/>
    <s v="Piripiri"/>
  </r>
  <r>
    <x v="0"/>
    <s v="226BPI0730"/>
    <n v="0"/>
    <x v="180"/>
    <s v="0730"/>
    <n v="-41.406378419928103"/>
    <n v="-5.3907115104278196"/>
    <n v="-41.544178419997998"/>
    <n v="-5.3248115102429603"/>
    <s v="226"/>
    <s v="PI"/>
    <s v="Eixo Principal"/>
    <s v="-"/>
    <s v="226BPI0730"/>
    <s v="ENTR BR-407(A)/PI-115"/>
    <s v="CASTELO DO PIAUÍ"/>
    <n v="78"/>
    <n v="104.1"/>
    <n v="26.1"/>
    <x v="1"/>
    <m/>
    <s v="407BPI0053"/>
    <s v="Estadual"/>
    <m/>
    <s v="PI-115"/>
    <s v="PAV"/>
    <s v="Estadual"/>
    <s v="PLA"/>
    <s v="Piripiri"/>
  </r>
  <r>
    <x v="0"/>
    <s v="226BPI0735"/>
    <n v="0"/>
    <x v="180"/>
    <s v="0735"/>
    <n v="-41.544178419997998"/>
    <n v="-5.3248115102429603"/>
    <n v="-41.7120784195833"/>
    <n v="-5.1820115098232602"/>
    <s v="226"/>
    <s v="PI"/>
    <s v="Eixo Principal"/>
    <s v="-"/>
    <s v="226BPI0735"/>
    <s v="CASTELO DO PIAUÍ"/>
    <s v="ENTR BR-407(B)/PI-115 (JUAZEIRO DO PIAUÍ)"/>
    <n v="104.1"/>
    <n v="124.9"/>
    <n v="20.8"/>
    <x v="1"/>
    <m/>
    <s v="407BPI0050"/>
    <s v="Estadual"/>
    <m/>
    <s v="PI-115"/>
    <s v="PAV"/>
    <s v="Estadual"/>
    <s v="PLA"/>
    <s v="Piripiri"/>
  </r>
  <r>
    <x v="0"/>
    <s v="226BPI0750"/>
    <n v="0"/>
    <x v="180"/>
    <s v="0750"/>
    <n v="-41.7120784195833"/>
    <n v="-5.1820115098232602"/>
    <n v="-41.934478419743201"/>
    <n v="-5.28811151033789"/>
    <s v="226"/>
    <s v="PI"/>
    <s v="Eixo Principal"/>
    <s v="-"/>
    <s v="226BPI0750"/>
    <s v="ENTR BR-407(B)/PI-115 (JUAZEIRO DO PIAUÍ)"/>
    <s v="ENTR PI-221 (NOVO SANTO ANTÔNIO)"/>
    <n v="124.9"/>
    <n v="156.80000000000001"/>
    <n v="31.9"/>
    <x v="1"/>
    <m/>
    <m/>
    <s v="Estadual"/>
    <m/>
    <s v="PI-450"/>
    <s v="LEN"/>
    <s v="Estadual"/>
    <s v="PLA"/>
    <s v="Piripiri"/>
  </r>
  <r>
    <x v="0"/>
    <s v="226BPI0755"/>
    <n v="0"/>
    <x v="180"/>
    <s v="0755"/>
    <n v="-41.934478419743201"/>
    <n v="-5.28811151033789"/>
    <n v="-42.205403660250603"/>
    <n v="-5.09260266028451"/>
    <s v="226"/>
    <s v="PI"/>
    <s v="Eixo Principal"/>
    <s v="-"/>
    <s v="226BPI0755"/>
    <s v="ENTR PI-221 (NOVO SANTO ANTÔNIO)"/>
    <s v="ENTR PI-215 (COIVARAS)"/>
    <n v="156.80000000000001"/>
    <n v="199.7"/>
    <n v="42.9"/>
    <x v="1"/>
    <m/>
    <m/>
    <s v="Federal"/>
    <m/>
    <m/>
    <m/>
    <s v="Federal"/>
    <s v="PLA"/>
    <s v="Piripiri"/>
  </r>
  <r>
    <x v="0"/>
    <s v="226BPI0760"/>
    <n v="0"/>
    <x v="180"/>
    <s v="0760"/>
    <n v="-42.205403660250603"/>
    <n v="-5.09260266028451"/>
    <n v="-42.439444330291501"/>
    <n v="-5.03096362996751"/>
    <s v="226"/>
    <s v="PI"/>
    <s v="Eixo Principal"/>
    <s v="-"/>
    <s v="226BPI0760"/>
    <s v="ENTR PI-215 (COIVARAS)"/>
    <s v="ENTR BR-343(A)/PI-352 (ALTOS)"/>
    <n v="199.7"/>
    <n v="227.7"/>
    <n v="28"/>
    <x v="2"/>
    <m/>
    <m/>
    <s v="Federal"/>
    <m/>
    <m/>
    <m/>
    <s v="Federal"/>
    <s v="PAV"/>
    <s v="Piripiri"/>
  </r>
  <r>
    <x v="0"/>
    <s v="226BPI0765"/>
    <n v="0"/>
    <x v="180"/>
    <s v="0765"/>
    <n v="-42.439444330291501"/>
    <n v="-5.03096362996751"/>
    <n v="-42.668502589822502"/>
    <n v="-5.0578509597539201"/>
    <s v="226"/>
    <s v="PI"/>
    <s v="Eixo Principal"/>
    <s v="-"/>
    <s v="226BPI0765"/>
    <s v="ENTR BR-343(A)/PI-352 (ALTOS)"/>
    <s v="INÍCIO DAS OBRAS DE DUPLICAÇÃO"/>
    <n v="227.7"/>
    <n v="255.5"/>
    <n v="27.8"/>
    <x v="2"/>
    <m/>
    <s v="343BPI0170"/>
    <s v="Federal"/>
    <m/>
    <m/>
    <m/>
    <s v="Federal"/>
    <s v="PAV"/>
    <s v="Piripiri"/>
  </r>
  <r>
    <x v="0"/>
    <s v="226BPI0770"/>
    <n v="0"/>
    <x v="180"/>
    <s v="0770"/>
    <n v="-42.668502589822502"/>
    <n v="-5.0578509597539201"/>
    <n v="-42.684149459729703"/>
    <n v="-5.0568872102764999"/>
    <s v="226"/>
    <s v="PI"/>
    <s v="Eixo Principal"/>
    <s v="-"/>
    <s v="226BPI0770"/>
    <s v="INÍCIO DAS OBRAS DE DUPLICAÇÃO"/>
    <s v="ENTR PI-113"/>
    <n v="255.5"/>
    <n v="256.8"/>
    <n v="1.3"/>
    <x v="2"/>
    <s v="EOD"/>
    <s v="343BPI0175"/>
    <s v="Federal"/>
    <m/>
    <m/>
    <m/>
    <s v="Federal"/>
    <s v="PAV"/>
    <s v="Piripiri"/>
  </r>
  <r>
    <x v="0"/>
    <s v="226BPI0775"/>
    <n v="0"/>
    <x v="180"/>
    <s v="0775"/>
    <n v="-42.684149459729703"/>
    <n v="-5.0568872102764999"/>
    <n v="-42.7460371301094"/>
    <n v="-5.0776008102291703"/>
    <s v="226"/>
    <s v="PI"/>
    <s v="Eixo Principal"/>
    <s v="-"/>
    <s v="226BPI0775"/>
    <s v="ENTR PI-113"/>
    <s v="INÍCIO DA PISTA DUPLA"/>
    <n v="256.8"/>
    <n v="264.5"/>
    <n v="7.7"/>
    <x v="2"/>
    <s v="EOD"/>
    <s v="343BPI0180"/>
    <s v="Federal"/>
    <m/>
    <m/>
    <m/>
    <s v="Federal"/>
    <s v="PAV"/>
    <s v="Piripiri"/>
  </r>
  <r>
    <x v="0"/>
    <s v="226BPI0780"/>
    <n v="0"/>
    <x v="180"/>
    <s v="0780"/>
    <n v="-42.7460371301094"/>
    <n v="-5.0776008102291703"/>
    <n v="-42.749379390346498"/>
    <n v="-5.0787763599410001"/>
    <s v="226"/>
    <s v="PI"/>
    <s v="Eixo Principal"/>
    <s v="-"/>
    <s v="226BPI0780"/>
    <s v="INÍCIO DA PISTA DUPLA"/>
    <s v="ACESSO A TERESINA (FIM DA PISTA DUPLA)"/>
    <n v="264.5"/>
    <n v="264.8"/>
    <n v="0.3"/>
    <x v="0"/>
    <m/>
    <s v="343BPI0185"/>
    <s v="Federal"/>
    <m/>
    <m/>
    <m/>
    <s v="Federal"/>
    <s v="PAV"/>
    <s v="Piripiri"/>
  </r>
  <r>
    <x v="0"/>
    <s v="226BPI0785"/>
    <n v="0"/>
    <x v="180"/>
    <s v="0785"/>
    <n v="-42.749379390346498"/>
    <n v="-5.0787763599410001"/>
    <n v="-42.794929610413099"/>
    <n v="-5.12321786970886"/>
    <s v="226"/>
    <s v="PI"/>
    <s v="Eixo Principal"/>
    <s v="-"/>
    <s v="226BPI0785"/>
    <s v="ACESSO A TERESINA (FIM DA PISTA DUPLA)"/>
    <s v="ENTR BR-316(A)/343(B) (TERESINA)"/>
    <n v="264.8"/>
    <n v="272.39999999999998"/>
    <n v="7.6"/>
    <x v="2"/>
    <m/>
    <s v="343BPI0190"/>
    <s v="Federal"/>
    <m/>
    <m/>
    <m/>
    <s v="Federal"/>
    <s v="PAV"/>
    <s v="Piripiri"/>
  </r>
  <r>
    <x v="0"/>
    <s v="226BPI0790"/>
    <n v="0"/>
    <x v="180"/>
    <s v="0790"/>
    <n v="-42.794929610413099"/>
    <n v="-5.12321786970886"/>
    <n v="-42.7993320697191"/>
    <n v="-5.1252910003793204"/>
    <s v="226"/>
    <s v="PI"/>
    <s v="Eixo Principal"/>
    <s v="-"/>
    <s v="226BPI0790"/>
    <s v="ENTR BR-316(A)/343(B) (TERESINA)"/>
    <s v="ENTR PI-130"/>
    <n v="272.39999999999998"/>
    <n v="272.89999999999998"/>
    <n v="0.5"/>
    <x v="0"/>
    <m/>
    <s v="316BPI0400"/>
    <s v="Federal"/>
    <m/>
    <m/>
    <m/>
    <s v="Federal"/>
    <s v="PAV"/>
    <s v="Piripiri"/>
  </r>
  <r>
    <x v="0"/>
    <s v="226BPI0795"/>
    <n v="0"/>
    <x v="180"/>
    <s v="0795"/>
    <n v="-42.7993320697191"/>
    <n v="-5.1252910003793204"/>
    <n v="-42.810573419927302"/>
    <n v="-5.12993270003403"/>
    <s v="226"/>
    <s v="PI"/>
    <s v="Eixo Principal"/>
    <s v="-"/>
    <s v="226BPI0795"/>
    <s v="ENTR PI-130"/>
    <s v="INÍCIO PONTE RIO PARANAÍBA (TERESINA)"/>
    <n v="272.89999999999998"/>
    <n v="274.2"/>
    <n v="1.3"/>
    <x v="2"/>
    <m/>
    <s v="316BPI0395"/>
    <s v="Federal"/>
    <m/>
    <m/>
    <m/>
    <s v="Federal"/>
    <s v="PAV"/>
    <s v="Piripiri"/>
  </r>
  <r>
    <x v="0"/>
    <s v="226BPI0800"/>
    <n v="0"/>
    <x v="180"/>
    <s v="0800"/>
    <n v="-42.810573419927302"/>
    <n v="-5.12993270003403"/>
    <n v="-42.815677929592702"/>
    <n v="-5.1311774903488701"/>
    <s v="226"/>
    <s v="PI"/>
    <s v="Eixo Principal"/>
    <s v="-"/>
    <s v="226BPI0800"/>
    <s v="INÍCIO PONTE RIO PARANAÍBA (TERESINA)"/>
    <s v="ENTR BR-316(B) (DIV PI/MA) (FIM PONTE RIO PARNAÍBA) (TIMON)"/>
    <n v="274.2"/>
    <n v="274.8"/>
    <n v="0.6"/>
    <x v="2"/>
    <m/>
    <s v="316BPI0390"/>
    <s v="Federal"/>
    <m/>
    <m/>
    <m/>
    <s v="Federal"/>
    <s v="PAV"/>
    <s v="Piripiri"/>
  </r>
  <r>
    <x v="0"/>
    <s v="226BRN0010"/>
    <n v="0"/>
    <x v="181"/>
    <s v="0010"/>
    <n v="-35.238182950182903"/>
    <n v="-5.8000135698703099"/>
    <n v="-35.240167000306698"/>
    <n v="-5.8054604703244204"/>
    <s v="226"/>
    <s v="RN"/>
    <s v="Eixo Principal"/>
    <s v="-"/>
    <s v="226BRN0010"/>
    <s v="ENTR BR-101 (VIADUTO DA URBANA - NATAL)*TRECHO URBANO*"/>
    <s v="INÍCIO DA PISTA DUPLA *TRECHO URBANO*"/>
    <n v="0"/>
    <n v="0.8"/>
    <n v="0.8"/>
    <x v="2"/>
    <m/>
    <m/>
    <s v="Convênio de Administração"/>
    <m/>
    <m/>
    <m/>
    <s v="Federal"/>
    <s v="PAV"/>
    <s v="Macaíba"/>
  </r>
  <r>
    <x v="0"/>
    <s v="226BRN0015"/>
    <n v="0"/>
    <x v="181"/>
    <s v="0015"/>
    <n v="-35.240167000306698"/>
    <n v="-5.8054604703244204"/>
    <n v="-35.2485715497371"/>
    <n v="-5.8154905398564498"/>
    <s v="226"/>
    <s v="RN"/>
    <s v="Eixo Principal"/>
    <s v="-"/>
    <s v="226BRN0015"/>
    <s v="INÍCIO DA PISTA DUPLA"/>
    <s v="FIM PISTA DUPLA (ENTR AV C MOR GOLVEIA) *TRECHO URBANO*"/>
    <n v="0.8"/>
    <n v="2.2000000000000002"/>
    <n v="1.4"/>
    <x v="0"/>
    <m/>
    <m/>
    <s v="Convênio de Administração"/>
    <m/>
    <m/>
    <m/>
    <s v="Federal"/>
    <s v="PAV"/>
    <s v="Macaíba"/>
  </r>
  <r>
    <x v="0"/>
    <s v="226BRN0018"/>
    <n v="0"/>
    <x v="181"/>
    <s v="0018"/>
    <n v="-35.2485715497371"/>
    <n v="-5.8154905398564498"/>
    <n v="-35.343982769589097"/>
    <n v="-5.8640041501713496"/>
    <s v="226"/>
    <s v="RN"/>
    <s v="Eixo Principal"/>
    <s v="-"/>
    <s v="226BRN0018"/>
    <s v="FIM PISTA DUPLA (ENTR AV C MOR GOLVEIA)"/>
    <s v="ENTR BR-304(A) (MACAÍBA)"/>
    <n v="2.2000000000000002"/>
    <n v="16.100000000000001"/>
    <n v="13.9"/>
    <x v="2"/>
    <m/>
    <m/>
    <s v="Federal"/>
    <m/>
    <m/>
    <m/>
    <s v="Federal"/>
    <s v="PAV"/>
    <s v="Macaíba"/>
  </r>
  <r>
    <x v="0"/>
    <s v="226BRN0030"/>
    <n v="0"/>
    <x v="181"/>
    <s v="0030"/>
    <n v="-35.343982769589097"/>
    <n v="-5.8640041501713496"/>
    <n v="-35.490399460166799"/>
    <n v="-5.8898457096117296"/>
    <s v="226"/>
    <s v="RN"/>
    <s v="Eixo Principal"/>
    <s v="-"/>
    <s v="226BRN0030"/>
    <s v="ENTR BR-304(A) (MACAÍBA)"/>
    <s v="ENTR BR-304(B)"/>
    <n v="16.100000000000001"/>
    <n v="32.799999999999997"/>
    <n v="16.7"/>
    <x v="2"/>
    <s v="EOD"/>
    <s v="304BRN0350"/>
    <s v="Federal"/>
    <m/>
    <m/>
    <m/>
    <s v="Federal"/>
    <s v="PAV"/>
    <s v="Macaíba"/>
  </r>
  <r>
    <x v="0"/>
    <s v="226BRN0050"/>
    <n v="0"/>
    <x v="181"/>
    <s v="0050"/>
    <n v="-35.490399460166799"/>
    <n v="-5.8898457096117296"/>
    <n v="-35.547679279575"/>
    <n v="-5.9354124097548597"/>
    <s v="226"/>
    <s v="RN"/>
    <s v="Eixo Principal"/>
    <s v="-"/>
    <s v="226BRN0050"/>
    <s v="ENTR BR-304(B)"/>
    <s v="ENTR RN-203 (P/ SÃO PEDRO)"/>
    <n v="32.799999999999997"/>
    <n v="41"/>
    <n v="8.1999999999999993"/>
    <x v="2"/>
    <m/>
    <m/>
    <s v="Federal"/>
    <m/>
    <m/>
    <m/>
    <s v="Federal"/>
    <s v="PAV"/>
    <s v="Macaíba"/>
  </r>
  <r>
    <x v="0"/>
    <s v="226BRN0070"/>
    <n v="0"/>
    <x v="181"/>
    <s v="0070"/>
    <n v="-35.547679279575"/>
    <n v="-5.9354124097548597"/>
    <n v="-35.587487349961101"/>
    <n v="-5.9870129996501698"/>
    <s v="226"/>
    <s v="RN"/>
    <s v="Eixo Principal"/>
    <s v="-"/>
    <s v="226BRN0070"/>
    <s v="ENTR RN-203 (P/SÃO PEDRO)"/>
    <s v="ENTR RN-315 (BOM JESUS)"/>
    <n v="41"/>
    <n v="48.3"/>
    <n v="7.3"/>
    <x v="2"/>
    <m/>
    <m/>
    <s v="Federal"/>
    <m/>
    <m/>
    <m/>
    <s v="Federal"/>
    <s v="PAV"/>
    <s v="Macaíba"/>
  </r>
  <r>
    <x v="0"/>
    <s v="226BRN0080"/>
    <n v="0"/>
    <x v="181"/>
    <s v="0080"/>
    <n v="-35.587487349961101"/>
    <n v="-5.9870129996501698"/>
    <n v="-35.673649049763803"/>
    <n v="-6.0476626300263003"/>
    <s v="226"/>
    <s v="RN"/>
    <s v="Eixo Principal"/>
    <s v="-"/>
    <s v="226BRN0080"/>
    <s v="ENTR RN-315 (BOM JESUS)"/>
    <s v="ENTR RN-120(A) (P/SENADOR ELÓI DE SOUZA)"/>
    <n v="48.3"/>
    <n v="60.7"/>
    <n v="12.4"/>
    <x v="2"/>
    <m/>
    <m/>
    <s v="Federal"/>
    <m/>
    <m/>
    <m/>
    <s v="Federal"/>
    <s v="PAV"/>
    <s v="Macaíba"/>
  </r>
  <r>
    <x v="0"/>
    <s v="226BRN0090"/>
    <n v="0"/>
    <x v="181"/>
    <s v="0090"/>
    <n v="-35.673649049763803"/>
    <n v="-6.0476626300263003"/>
    <n v="-35.704600270186198"/>
    <n v="-6.1031774399868297"/>
    <s v="226"/>
    <s v="RN"/>
    <s v="Eixo Principal"/>
    <s v="-"/>
    <s v="226BRN0090"/>
    <s v="ENTR RN-120(A) (P/SENADOR ELÓI DE SOUZA)"/>
    <s v="ENTR RN-120(B) (SERRA CAIADA)"/>
    <n v="60.7"/>
    <n v="67.900000000000006"/>
    <n v="7.2"/>
    <x v="2"/>
    <m/>
    <m/>
    <s v="Federal"/>
    <m/>
    <m/>
    <m/>
    <s v="Federal"/>
    <s v="PAV"/>
    <s v="Macaíba"/>
  </r>
  <r>
    <x v="0"/>
    <s v="226BRN0110"/>
    <n v="0"/>
    <x v="181"/>
    <s v="0110"/>
    <n v="-35.704600270186198"/>
    <n v="-6.1031774399868297"/>
    <n v="-35.801024829931897"/>
    <n v="-6.1997207695977696"/>
    <s v="226"/>
    <s v="RN"/>
    <s v="Eixo Principal"/>
    <s v="-"/>
    <s v="226BRN0110"/>
    <s v="ENTR RN-120(B) (SERRA CAIADA)"/>
    <s v="ENTR RN-093(A) (TANGARÁ)"/>
    <n v="67.900000000000006"/>
    <n v="83.4"/>
    <n v="15.5"/>
    <x v="2"/>
    <m/>
    <m/>
    <s v="Federal"/>
    <m/>
    <m/>
    <m/>
    <s v="Federal"/>
    <s v="PAV"/>
    <s v="Macaíba"/>
  </r>
  <r>
    <x v="0"/>
    <s v="226BRN0120"/>
    <n v="0"/>
    <x v="181"/>
    <s v="0120"/>
    <n v="-35.801024829931897"/>
    <n v="-6.1997207695977696"/>
    <n v="-35.804632880303103"/>
    <n v="-6.20264296999704"/>
    <s v="226"/>
    <s v="RN"/>
    <s v="Eixo Principal"/>
    <s v="-"/>
    <s v="226BRN0120"/>
    <s v="ENTR RN-093(A) (TANGARÁ)"/>
    <s v="ENTR RN-093(B) (TANGARÁ) (P/SÍTIO NOVO)"/>
    <n v="83.4"/>
    <n v="83.9"/>
    <n v="0.5"/>
    <x v="2"/>
    <m/>
    <m/>
    <s v="Federal"/>
    <m/>
    <m/>
    <m/>
    <s v="Federal"/>
    <s v="PAV"/>
    <s v="Currais Novos"/>
  </r>
  <r>
    <x v="0"/>
    <s v="226BRN0130"/>
    <n v="0"/>
    <x v="181"/>
    <s v="0130"/>
    <n v="-35.804632880303103"/>
    <n v="-6.20264296999704"/>
    <n v="-35.990924479780801"/>
    <n v="-6.2439750099387004"/>
    <s v="226"/>
    <s v="RN"/>
    <s v="Eixo Principal"/>
    <s v="-"/>
    <s v="226BRN0130"/>
    <s v="ENTR RN-093(B) (TANGARÁ) (P/SÍTIO NOVO)"/>
    <s v="ENTR RN-092 (P/JAPI)"/>
    <n v="83.9"/>
    <n v="107.5"/>
    <n v="23.6"/>
    <x v="2"/>
    <m/>
    <m/>
    <s v="Federal"/>
    <m/>
    <m/>
    <m/>
    <s v="Federal"/>
    <s v="PAV"/>
    <s v="Currais Novos"/>
  </r>
  <r>
    <x v="0"/>
    <s v="226BRN0150"/>
    <n v="0"/>
    <x v="181"/>
    <s v="0150"/>
    <n v="-35.990924479780801"/>
    <n v="-6.2439750099387004"/>
    <n v="-36.020398919874097"/>
    <n v="-6.2236111599270298"/>
    <s v="226"/>
    <s v="RN"/>
    <s v="Eixo Principal"/>
    <s v="-"/>
    <s v="226BRN0150"/>
    <s v="ENTR RN-092 (P/JAPI)"/>
    <s v="ENTR RN-023(A) (SANTA CRUZ) (P/CEL.EZEQUIEL)"/>
    <n v="107.5"/>
    <n v="111.7"/>
    <n v="4.2"/>
    <x v="2"/>
    <m/>
    <m/>
    <s v="Federal"/>
    <m/>
    <m/>
    <m/>
    <s v="Federal"/>
    <s v="PAV"/>
    <s v="Currais Novos"/>
  </r>
  <r>
    <x v="0"/>
    <s v="226BRN0155"/>
    <n v="0"/>
    <x v="181"/>
    <s v="0155"/>
    <n v="-36.020398919874097"/>
    <n v="-6.2236111599270298"/>
    <n v="-36.050363879889098"/>
    <n v="-6.1940710801162"/>
    <s v="226"/>
    <s v="RN"/>
    <s v="Eixo Principal"/>
    <s v="-"/>
    <s v="226BRN0155"/>
    <s v="ENTR RN-023(A) (SANTA CRUZ) (P/CEL.EZEQUIEL)"/>
    <s v="ENTR RN-023(B) (P/LAJES PINTADAS)"/>
    <n v="111.7"/>
    <n v="117"/>
    <n v="5.3"/>
    <x v="2"/>
    <m/>
    <m/>
    <s v="Federal"/>
    <m/>
    <m/>
    <m/>
    <s v="Federal"/>
    <s v="PAV"/>
    <s v="Currais Novos"/>
  </r>
  <r>
    <x v="0"/>
    <s v="226BRN0165"/>
    <n v="0"/>
    <x v="181"/>
    <s v="0165"/>
    <n v="-36.050363879889098"/>
    <n v="-6.1940710801162"/>
    <n v="-36.1741231704478"/>
    <n v="-6.2158007404117903"/>
    <s v="226"/>
    <s v="RN"/>
    <s v="Eixo Principal"/>
    <s v="-"/>
    <s v="226BRN0165"/>
    <s v="ENTR RN-023(B) (P/LAJES PINTADAS)"/>
    <s v="ENTR BR-104(A) (P/CAMPO REDONDO)"/>
    <n v="117"/>
    <n v="133.80000000000001"/>
    <n v="16.8"/>
    <x v="2"/>
    <m/>
    <m/>
    <s v="Federal"/>
    <m/>
    <m/>
    <m/>
    <s v="Federal"/>
    <s v="PAV"/>
    <s v="Currais Novos"/>
  </r>
  <r>
    <x v="0"/>
    <s v="226BRN0175"/>
    <n v="0"/>
    <x v="181"/>
    <s v="0175"/>
    <n v="-36.1741231704478"/>
    <n v="-6.2158007404117903"/>
    <n v="-36.398534200392902"/>
    <n v="-6.2027626598688199"/>
    <s v="226"/>
    <s v="RN"/>
    <s v="Eixo Principal"/>
    <s v="Coinc"/>
    <s v="226BRN0175"/>
    <s v="ENTR BR-104(A) (P/CAMPO REDONDO)"/>
    <s v="ENTR BR-104(B)/RN-042 (P/CERRO CORÁ)"/>
    <n v="133.80000000000001"/>
    <n v="160.5"/>
    <n v="26.7"/>
    <x v="2"/>
    <m/>
    <s v="104BRN0150"/>
    <s v="Federal"/>
    <m/>
    <m/>
    <m/>
    <s v="Federal"/>
    <s v="PAV"/>
    <s v="Currais Novos"/>
  </r>
  <r>
    <x v="0"/>
    <s v="226BRN0180"/>
    <n v="0"/>
    <x v="181"/>
    <s v="0180"/>
    <n v="-36.398534200392902"/>
    <n v="-6.2027626598688199"/>
    <n v="-36.511743019724499"/>
    <n v="-6.2570262997239103"/>
    <s v="226"/>
    <s v="RN"/>
    <s v="Eixo Principal"/>
    <s v="-"/>
    <s v="226BRN0180"/>
    <s v="ENTR BR-104(B)/RN-042 (P/CERRO CORÁ)"/>
    <s v="ENTR RN-041 (P/LAGOA NOVA) (CURRAIS NOVOS)*TRECHO URBANO*"/>
    <n v="160.5"/>
    <n v="175.3"/>
    <n v="14.8"/>
    <x v="2"/>
    <m/>
    <m/>
    <s v="Federal"/>
    <m/>
    <m/>
    <m/>
    <s v="Federal"/>
    <s v="PAV"/>
    <s v="Currais Novos"/>
  </r>
  <r>
    <x v="0"/>
    <s v="226BRN0190"/>
    <n v="0"/>
    <x v="181"/>
    <s v="0190"/>
    <n v="-36.511743019724499"/>
    <n v="-6.2570262997239103"/>
    <n v="-36.512988790300298"/>
    <n v="-6.2582586200392099"/>
    <s v="226"/>
    <s v="RN"/>
    <s v="Eixo Principal"/>
    <s v="-"/>
    <s v="226BRN0190"/>
    <s v="ENTR RN-041 (P/LAGOA NOVA) (CURRAIS NOVOS)*TRECHO URBANO*"/>
    <s v="INÍCIO TRECHO DUPLICADO (CURRAIS NOVOS)*TRECHO URBANO*"/>
    <n v="175.3"/>
    <n v="175.5"/>
    <n v="0.2"/>
    <x v="2"/>
    <m/>
    <m/>
    <s v="Federal"/>
    <m/>
    <m/>
    <m/>
    <s v="Federal"/>
    <s v="PAV"/>
    <s v="Currais Novos"/>
  </r>
  <r>
    <x v="0"/>
    <s v="226BRN0195"/>
    <n v="0"/>
    <x v="181"/>
    <s v="0195"/>
    <n v="-36.512988790300298"/>
    <n v="-6.2582586200392099"/>
    <n v="-36.522661620337402"/>
    <n v="-6.2686827203312401"/>
    <s v="226"/>
    <s v="RN"/>
    <s v="Eixo Principal"/>
    <s v="-"/>
    <s v="226BRN0195"/>
    <s v="INÍCIO TRECHO DUPLICADO (CURRAIS NOVOS)*TRECHO URBANO*"/>
    <s v="ENTR BR-427(A) (FIM TRECHO DUP) (CURRAIS NOVOS)*TRECHO URBANO*"/>
    <n v="175.5"/>
    <n v="177"/>
    <n v="1.5"/>
    <x v="0"/>
    <m/>
    <m/>
    <s v="Federal"/>
    <m/>
    <m/>
    <m/>
    <s v="Federal"/>
    <s v="PAV"/>
    <s v="Currais Novos"/>
  </r>
  <r>
    <x v="0"/>
    <s v="226BRN0200"/>
    <n v="0"/>
    <x v="181"/>
    <s v="0200"/>
    <n v="-36.522661620337402"/>
    <n v="-6.2686827203312401"/>
    <n v="-36.522409720232297"/>
    <n v="-6.2775763597611496"/>
    <s v="226"/>
    <s v="RN"/>
    <s v="Eixo Principal"/>
    <s v="-"/>
    <s v="226BRN0200"/>
    <s v="ENTR BR-427(A) (FIM TRECHO DUP) (CURRAIS NOVOS)*TRECHO URBANO*"/>
    <s v="ENTR BR-427(B) (P/ACARI)"/>
    <n v="177"/>
    <n v="178.1"/>
    <n v="1.1000000000000001"/>
    <x v="2"/>
    <m/>
    <s v="427BRN0020"/>
    <s v="Federal"/>
    <m/>
    <m/>
    <m/>
    <s v="Federal"/>
    <s v="PAV"/>
    <s v="Currais Novos"/>
  </r>
  <r>
    <x v="0"/>
    <s v="226BRN0210"/>
    <n v="0"/>
    <x v="181"/>
    <s v="0210"/>
    <n v="-36.522409720232297"/>
    <n v="-6.2775763597611496"/>
    <n v="-36.6802294303439"/>
    <n v="-6.2211950503112803"/>
    <s v="226"/>
    <s v="RN"/>
    <s v="Eixo Principal"/>
    <s v="-"/>
    <s v="226BRN0210"/>
    <s v="ENTR BR-427(B) (P/ACARI)"/>
    <s v="ENTR RN-088 (P/CRUZETA)"/>
    <n v="178.1"/>
    <n v="212.7"/>
    <n v="34.6"/>
    <x v="1"/>
    <m/>
    <m/>
    <s v="Estadual"/>
    <m/>
    <s v="RNT-226"/>
    <s v="PAV"/>
    <s v="Estadual"/>
    <s v="PLA"/>
    <s v="Currais Novos"/>
  </r>
  <r>
    <x v="0"/>
    <s v="226BRN0220"/>
    <n v="0"/>
    <x v="181"/>
    <s v="0220"/>
    <n v="-36.6802294303439"/>
    <n v="-6.2211950503112803"/>
    <n v="-36.820208819581197"/>
    <n v="-6.1292920803651896"/>
    <s v="226"/>
    <s v="RN"/>
    <s v="Eixo Principal"/>
    <s v="-"/>
    <s v="226BRN0220"/>
    <s v="ENTR RN-088 (P/CRUZETA)"/>
    <s v="ENTR RN-087 (FLORÂNIA) (P/TEN.LAURENTINO CRUZ)"/>
    <n v="212.7"/>
    <n v="218.7"/>
    <n v="6"/>
    <x v="1"/>
    <m/>
    <m/>
    <s v="Estadual"/>
    <m/>
    <s v="RNT-226"/>
    <s v="PAV"/>
    <s v="Estadual"/>
    <s v="PLA"/>
    <s v="Currais Novos"/>
  </r>
  <r>
    <x v="0"/>
    <s v="226BRN0250"/>
    <n v="0"/>
    <x v="181"/>
    <s v="0250"/>
    <n v="-36.820208819581197"/>
    <n v="-6.1292920803651896"/>
    <n v="-36.973249240060298"/>
    <n v="-6.0664314496516401"/>
    <s v="226"/>
    <s v="RN"/>
    <s v="Eixo Principal"/>
    <s v="-"/>
    <s v="226BRN0250"/>
    <s v="ENTR RN-087 (FLORÂNIA) (P/TEN.LAURENTINO CRUZ)"/>
    <s v="ENTR RN-118(A) (P/SÃO RAFAEL)"/>
    <n v="218.7"/>
    <n v="238.9"/>
    <n v="20.2"/>
    <x v="2"/>
    <m/>
    <m/>
    <s v="Federal"/>
    <m/>
    <m/>
    <m/>
    <s v="Federal"/>
    <s v="PAV"/>
    <s v="Currais Novos"/>
  </r>
  <r>
    <x v="0"/>
    <s v="226BRN0270"/>
    <n v="0"/>
    <x v="181"/>
    <s v="0270"/>
    <n v="-36.973249240060298"/>
    <n v="-6.0664314496516401"/>
    <n v="-37.015939050346802"/>
    <n v="-6.0316296595810801"/>
    <s v="226"/>
    <s v="RN"/>
    <s v="Eixo Principal"/>
    <s v="-"/>
    <s v="226BRN0270"/>
    <s v="ENTR RN-118(A) (P/SÃO RAFAEL)"/>
    <s v="ENTR RN-118(B) (JUCURUTÚ) (P/CAICÓ)"/>
    <n v="238.9"/>
    <n v="245.3"/>
    <n v="6.4"/>
    <x v="2"/>
    <m/>
    <m/>
    <s v="Federal"/>
    <m/>
    <m/>
    <m/>
    <s v="Federal"/>
    <s v="PAV"/>
    <s v="Currais Novos"/>
  </r>
  <r>
    <x v="0"/>
    <s v="226BRN0290"/>
    <n v="0"/>
    <x v="181"/>
    <s v="0290"/>
    <n v="-37.015939050346802"/>
    <n v="-6.0316296595810801"/>
    <n v="-37.196358680308798"/>
    <n v="-5.8592616203274499"/>
    <s v="226"/>
    <s v="RN"/>
    <s v="Eixo Principal"/>
    <s v="-"/>
    <s v="226BRN0290"/>
    <s v="ENTR RN-118(B) (JUCURUTÚ) (P/CAICÓ)"/>
    <s v="ENTR RN-233(A) (TRIUNFO POTIGUAR) (P/PARAU)"/>
    <n v="245.3"/>
    <n v="276.10000000000002"/>
    <n v="30.8"/>
    <x v="2"/>
    <m/>
    <m/>
    <s v="Federal"/>
    <m/>
    <m/>
    <m/>
    <s v="Federal"/>
    <s v="PAV"/>
    <s v="Currais Novos"/>
  </r>
  <r>
    <x v="0"/>
    <s v="226BRN0300"/>
    <n v="0"/>
    <x v="181"/>
    <s v="0300"/>
    <n v="-37.196358680308798"/>
    <n v="-5.8592616203274499"/>
    <n v="-37.316443310410399"/>
    <n v="-5.8704956095846796"/>
    <s v="226"/>
    <s v="RN"/>
    <s v="Eixo Principal"/>
    <s v="-"/>
    <s v="226BRN0300"/>
    <s v="ENTR RN-233(A) (TRIUNFO POTIGUAR) (P/PARAU)"/>
    <s v="ENTR BR-110(A)/RN-233 (CAMPO GRANDE)"/>
    <n v="276.10000000000002"/>
    <n v="290.3"/>
    <n v="14.2"/>
    <x v="2"/>
    <m/>
    <m/>
    <s v="Federal"/>
    <m/>
    <m/>
    <m/>
    <s v="Federal"/>
    <s v="PAV"/>
    <s v="Currais Novos"/>
  </r>
  <r>
    <x v="0"/>
    <s v="226BRN0305"/>
    <n v="0"/>
    <x v="181"/>
    <s v="0305"/>
    <n v="-37.316443310410399"/>
    <n v="-5.8704956095846796"/>
    <n v="-37.407943320228"/>
    <n v="-6.0181242904036401"/>
    <s v="226"/>
    <s v="RN"/>
    <s v="Eixo Principal"/>
    <s v="Coinc"/>
    <s v="226BRN0305"/>
    <s v="ENTR BR-110(B)/RN-233 (CAMPO GRANDE)"/>
    <s v="ENTR BR-110(A) (JANDUÍS)"/>
    <n v="290.3"/>
    <n v="309.89999999999998"/>
    <n v="19.600000000000001"/>
    <x v="2"/>
    <m/>
    <s v="110BRN0070"/>
    <s v="Federal"/>
    <m/>
    <m/>
    <m/>
    <s v="Federal"/>
    <s v="PAV"/>
    <s v="Pau dos Ferros"/>
  </r>
  <r>
    <x v="0"/>
    <s v="226BRN0310"/>
    <n v="0"/>
    <x v="181"/>
    <s v="0310"/>
    <n v="-37.407943320228"/>
    <n v="-6.0181242904036401"/>
    <n v="-37.511626999786102"/>
    <n v="-6.0743045501148396"/>
    <s v="226"/>
    <s v="RN"/>
    <s v="Eixo Principal"/>
    <s v="-"/>
    <s v="226BRN0310"/>
    <s v="ENTR BR-110(A) (JANDUÍS)"/>
    <s v="MESSIAS TARGINO"/>
    <n v="309.89999999999998"/>
    <n v="323"/>
    <n v="13.1"/>
    <x v="2"/>
    <m/>
    <m/>
    <s v="Federal"/>
    <m/>
    <m/>
    <m/>
    <s v="Federal"/>
    <s v="PAV"/>
    <s v="Pau dos Ferros"/>
  </r>
  <r>
    <x v="0"/>
    <s v="226BRN0315"/>
    <n v="0"/>
    <x v="181"/>
    <s v="0315"/>
    <n v="-37.511626999786102"/>
    <n v="-6.0743045501148396"/>
    <n v="-37.614249220325199"/>
    <n v="-6.09679163022951"/>
    <s v="226"/>
    <s v="RN"/>
    <s v="Eixo Principal"/>
    <s v="-"/>
    <s v="226BRN0315"/>
    <s v="MESSIAS TARGINO"/>
    <s v="ENTR RN-501"/>
    <n v="323"/>
    <n v="334.9"/>
    <n v="11.9"/>
    <x v="2"/>
    <m/>
    <m/>
    <s v="Federal"/>
    <m/>
    <m/>
    <m/>
    <s v="Federal"/>
    <s v="PAV"/>
    <s v="Pau dos Ferros"/>
  </r>
  <r>
    <x v="0"/>
    <s v="226BRN0325"/>
    <n v="0"/>
    <x v="181"/>
    <s v="0325"/>
    <n v="-37.614249220325199"/>
    <n v="-6.09679163022951"/>
    <n v="-37.640396700347402"/>
    <n v="-6.0912747202521"/>
    <s v="226"/>
    <s v="RN"/>
    <s v="Eixo Principal"/>
    <s v="-"/>
    <s v="226BRN0325"/>
    <s v="ENTR RN-501"/>
    <s v="ENTR RN-078(A) (PATU)"/>
    <n v="334.9"/>
    <n v="337.9"/>
    <n v="3"/>
    <x v="2"/>
    <m/>
    <m/>
    <s v="Federal"/>
    <m/>
    <m/>
    <m/>
    <s v="Federal"/>
    <s v="PAV"/>
    <s v="Pau dos Ferros"/>
  </r>
  <r>
    <x v="0"/>
    <s v="226BRN0350"/>
    <n v="0"/>
    <x v="181"/>
    <s v="0350"/>
    <n v="-37.640396700347402"/>
    <n v="-6.0912747202521"/>
    <n v="-37.654291379743299"/>
    <n v="-6.11710277007671"/>
    <s v="226"/>
    <s v="RN"/>
    <s v="Eixo Principal"/>
    <s v="-"/>
    <s v="226BRN0350"/>
    <s v="ENTR RN-078(A) (PATU)"/>
    <s v="ENTR RN-078(B)"/>
    <n v="337.9"/>
    <n v="341.3"/>
    <n v="3.4"/>
    <x v="2"/>
    <m/>
    <m/>
    <s v="Federal"/>
    <m/>
    <m/>
    <m/>
    <s v="Federal"/>
    <s v="PAV"/>
    <s v="Pau dos Ferros"/>
  </r>
  <r>
    <x v="0"/>
    <s v="226BRN0355"/>
    <n v="0"/>
    <x v="181"/>
    <s v="0355"/>
    <n v="-37.654291379743299"/>
    <n v="-6.11710277007671"/>
    <n v="-37.747089579820198"/>
    <n v="-6.1470109001328899"/>
    <s v="226"/>
    <s v="RN"/>
    <s v="Eixo Principal"/>
    <s v="-"/>
    <s v="226BRN0355"/>
    <s v="ENTR RN-078(B)"/>
    <s v="ENTR RN-074(A) (P/ RAFAEL GODEIRO)"/>
    <n v="341.3"/>
    <n v="352.3"/>
    <n v="11"/>
    <x v="2"/>
    <m/>
    <m/>
    <s v="Federal"/>
    <m/>
    <m/>
    <m/>
    <s v="Federal"/>
    <s v="PAV"/>
    <s v="Pau dos Ferros"/>
  </r>
  <r>
    <x v="0"/>
    <s v="226BRN0360"/>
    <n v="0"/>
    <x v="181"/>
    <s v="0360"/>
    <n v="-37.747089579820198"/>
    <n v="-6.1470109001328899"/>
    <n v="-37.753799820005597"/>
    <n v="-6.1486961298224898"/>
    <s v="226"/>
    <s v="RN"/>
    <s v="Eixo Principal"/>
    <s v="-"/>
    <s v="226BRN0360"/>
    <s v="ENTR RN-074 (A) (P/ RAFAEL GODEIRO)"/>
    <s v="ENTR RN-074(B) (ALMINO AFONSO)"/>
    <n v="352.3"/>
    <n v="353.2"/>
    <n v="0.9"/>
    <x v="2"/>
    <m/>
    <m/>
    <s v="Federal"/>
    <m/>
    <m/>
    <m/>
    <s v="Federal"/>
    <s v="PAV"/>
    <s v="Pau dos Ferros"/>
  </r>
  <r>
    <x v="0"/>
    <s v="226BRN0363"/>
    <n v="0"/>
    <x v="181"/>
    <s v="0363"/>
    <n v="-37.753799820005597"/>
    <n v="-6.1486961298224898"/>
    <n v="-37.7934421498353"/>
    <n v="-6.1559741201095299"/>
    <s v="226"/>
    <s v="RN"/>
    <s v="Eixo Principal"/>
    <s v="-"/>
    <s v="226BRN0363"/>
    <s v="ENTR RN-074(B) (ALMINO AFONSO)"/>
    <s v="ENTR RN-072 (P/ LUCRÉCIA)"/>
    <n v="353.2"/>
    <n v="357.9"/>
    <n v="4.7"/>
    <x v="2"/>
    <m/>
    <m/>
    <s v="Federal"/>
    <m/>
    <m/>
    <m/>
    <s v="Federal"/>
    <s v="PAV"/>
    <s v="Pau dos Ferros"/>
  </r>
  <r>
    <x v="0"/>
    <s v="226BRN0366"/>
    <n v="0"/>
    <x v="181"/>
    <s v="0366"/>
    <n v="-37.7934421498353"/>
    <n v="-6.1559741201095299"/>
    <n v="-37.837450449878297"/>
    <n v="-6.16390435000568"/>
    <s v="226"/>
    <s v="RN"/>
    <s v="Eixo Principal"/>
    <s v="-"/>
    <s v="226BRN0366"/>
    <s v="ENTR RN-072 (P/ LUCRÉCIA)"/>
    <s v="ACESSO P/ FRUTUOSO GOMES"/>
    <n v="357.9"/>
    <n v="362.9"/>
    <n v="5"/>
    <x v="2"/>
    <m/>
    <m/>
    <s v="Federal"/>
    <m/>
    <m/>
    <m/>
    <s v="Federal"/>
    <s v="PAV"/>
    <s v="Pau dos Ferros"/>
  </r>
  <r>
    <x v="0"/>
    <s v="226BRN0370"/>
    <n v="0"/>
    <x v="181"/>
    <s v="0370"/>
    <n v="-37.837450449878297"/>
    <n v="-6.16390435000568"/>
    <n v="-37.887536530186601"/>
    <n v="-6.2049876401674098"/>
    <s v="226"/>
    <s v="RN"/>
    <s v="Eixo Principal"/>
    <s v="-"/>
    <s v="226BRN0370"/>
    <s v="ACESSO P/ FRUTUOSO GOMES"/>
    <s v="INÍCIO DUPLICAÇÃO"/>
    <n v="362.9"/>
    <n v="370.8"/>
    <n v="7.9"/>
    <x v="2"/>
    <m/>
    <m/>
    <s v="Federal"/>
    <m/>
    <m/>
    <m/>
    <s v="Federal"/>
    <s v="PAV"/>
    <s v="Pau dos Ferros"/>
  </r>
  <r>
    <x v="0"/>
    <s v="226BRN0375"/>
    <n v="0"/>
    <x v="181"/>
    <s v="0375"/>
    <n v="-37.887536530186601"/>
    <n v="-6.2049876401674098"/>
    <n v="-37.891451529964101"/>
    <n v="-6.2024665302061504"/>
    <s v="226"/>
    <s v="RN"/>
    <s v="Eixo Principal"/>
    <s v="-"/>
    <s v="226BRN0375"/>
    <s v="INÍCIO DUPLICAÇÃO"/>
    <s v="FIM DUPLICAÇÃO"/>
    <n v="370.8"/>
    <n v="371.4"/>
    <n v="0.6"/>
    <x v="0"/>
    <m/>
    <m/>
    <s v="Federal"/>
    <m/>
    <m/>
    <m/>
    <s v="Federal"/>
    <s v="PAV"/>
    <s v="Pau dos Ferros"/>
  </r>
  <r>
    <x v="0"/>
    <s v="226BRN0377"/>
    <n v="0"/>
    <x v="181"/>
    <s v="0377"/>
    <n v="-37.891451529964101"/>
    <n v="-6.2024665302061504"/>
    <n v="-37.9761082898656"/>
    <n v="-6.1942290496309003"/>
    <s v="226"/>
    <s v="RN"/>
    <s v="Eixo Principal"/>
    <s v="-"/>
    <s v="226BRN0377"/>
    <s v="FIM DUPLICAÇÃO"/>
    <s v="ENTR RN-075/117(B) (P/PILÕES)"/>
    <n v="371.4"/>
    <n v="381.3"/>
    <n v="9.9"/>
    <x v="2"/>
    <m/>
    <m/>
    <s v="Federal"/>
    <m/>
    <m/>
    <m/>
    <s v="Federal"/>
    <s v="PAV"/>
    <s v="Pau dos Ferros"/>
  </r>
  <r>
    <x v="0"/>
    <s v="226BRN0380"/>
    <n v="0"/>
    <x v="181"/>
    <s v="0380"/>
    <n v="-37.9761082898656"/>
    <n v="-6.1942290496309003"/>
    <n v="-38.2088281903686"/>
    <n v="-6.0828286698072098"/>
    <s v="226"/>
    <s v="RN"/>
    <s v="Eixo Principal"/>
    <s v="-"/>
    <s v="226BRN0380"/>
    <s v="ENTR RN-075/117(B) (P/PILÕES)"/>
    <s v="ENTR BR-405 (P/PAUS DOS FERROS)"/>
    <n v="381.3"/>
    <n v="411"/>
    <n v="29.7"/>
    <x v="2"/>
    <m/>
    <m/>
    <s v="Federal"/>
    <m/>
    <m/>
    <m/>
    <s v="Federal"/>
    <s v="PAV"/>
    <s v="Pau dos Ferros"/>
  </r>
  <r>
    <x v="0"/>
    <s v="226BRN0400"/>
    <n v="0"/>
    <x v="181"/>
    <s v="0400"/>
    <n v="-38.2088281903686"/>
    <n v="-6.0828286698072098"/>
    <n v="-38.271986180117999"/>
    <n v="-6.0641888804124697"/>
    <s v="226"/>
    <s v="RN"/>
    <s v="Eixo Principal"/>
    <s v="-"/>
    <s v="226BRN0400"/>
    <s v="ENTR BR-405 (P/PAUS DOS FERROS)"/>
    <s v="DIV RN/CE"/>
    <n v="411"/>
    <n v="421"/>
    <n v="10"/>
    <x v="2"/>
    <m/>
    <m/>
    <s v="Federal"/>
    <m/>
    <m/>
    <m/>
    <s v="Federal"/>
    <s v="PAV"/>
    <s v="Pau dos Ferros"/>
  </r>
  <r>
    <x v="0"/>
    <s v="226BTO0950"/>
    <n v="0"/>
    <x v="182"/>
    <s v="0950"/>
    <n v="-47.460316420366397"/>
    <n v="-6.56020490972878"/>
    <n v="-47.472389460005502"/>
    <n v="-6.5629843796253899"/>
    <s v="226"/>
    <s v="TO"/>
    <s v="Eixo Principal"/>
    <s v="-"/>
    <s v="226BTO0950"/>
    <s v="DIV MA/TO (ESTREITO)"/>
    <s v="ENTR BR-230/TO-126"/>
    <n v="0"/>
    <n v="1.7"/>
    <n v="1.7"/>
    <x v="2"/>
    <m/>
    <s v="230BTO1090"/>
    <s v="Federal"/>
    <m/>
    <m/>
    <m/>
    <s v="Federal"/>
    <s v="PAV"/>
    <s v="Araguaína"/>
  </r>
  <r>
    <x v="0"/>
    <s v="226BTO0952"/>
    <n v="0"/>
    <x v="182"/>
    <s v="0952"/>
    <n v="-47.472389460005502"/>
    <n v="-6.5629843796253899"/>
    <n v="-47.545608259913102"/>
    <n v="-6.6140721203320201"/>
    <s v="226"/>
    <s v="TO"/>
    <s v="Eixo Principal"/>
    <s v="-"/>
    <s v="226BTO0952"/>
    <s v="ENTR BR-230/TO-126"/>
    <s v="ENTR TO-415 (PALMEIRAS)"/>
    <n v="1.7"/>
    <n v="12"/>
    <n v="10.3"/>
    <x v="2"/>
    <m/>
    <m/>
    <s v="Federal"/>
    <m/>
    <m/>
    <m/>
    <s v="Federal"/>
    <s v="PAV"/>
    <s v="Araguaína"/>
  </r>
  <r>
    <x v="0"/>
    <s v="226BTO0970"/>
    <n v="0"/>
    <x v="182"/>
    <s v="0970"/>
    <n v="-47.545608259913102"/>
    <n v="-6.6140721203320201"/>
    <n v="-47.756430649754599"/>
    <n v="-6.71085336019439"/>
    <s v="226"/>
    <s v="TO"/>
    <s v="Eixo Principal"/>
    <s v="-"/>
    <s v="226BTO0970"/>
    <s v="ENTR TO-415 (PALMEIRAS)"/>
    <s v="ENTR TO-134 (P/DARCINÓPOLIS)"/>
    <n v="12"/>
    <n v="39.700000000000003"/>
    <n v="27.7"/>
    <x v="2"/>
    <m/>
    <m/>
    <s v="Federal"/>
    <m/>
    <m/>
    <m/>
    <s v="Federal"/>
    <s v="PAV"/>
    <s v="Araguaína"/>
  </r>
  <r>
    <x v="0"/>
    <s v="226BTO0972"/>
    <n v="0"/>
    <x v="182"/>
    <s v="0972"/>
    <n v="-47.756430649754599"/>
    <n v="-6.71085336019439"/>
    <n v="-47.971762670211"/>
    <n v="-6.8538550102005003"/>
    <s v="226"/>
    <s v="TO"/>
    <s v="Eixo Principal"/>
    <s v="-"/>
    <s v="226BTO0972"/>
    <s v="ENTR TO-134 (P/DARCINÓPOLIS)"/>
    <s v="ENTR BR-153/TO-010 (WANDERLÂNDIA)"/>
    <n v="39.700000000000003"/>
    <n v="71.3"/>
    <n v="31.6"/>
    <x v="2"/>
    <m/>
    <m/>
    <s v="Federal"/>
    <m/>
    <m/>
    <m/>
    <s v="Federal"/>
    <s v="PAV"/>
    <s v="Araguaína"/>
  </r>
  <r>
    <x v="0"/>
    <s v="230ACE1005"/>
    <n v="0"/>
    <x v="183"/>
    <s v="1005"/>
    <n v="-39.388448320133797"/>
    <n v="-6.8304723096493296"/>
    <n v="-39.375056990387698"/>
    <n v="-6.8725372098243103"/>
    <s v="230"/>
    <s v="CE"/>
    <s v="Acesso"/>
    <s v="-"/>
    <s v="230ACE1005"/>
    <s v="ENTR BR-230 (KM 87,1)"/>
    <s v="DISTRITO DE RIACHO VERDE"/>
    <n v="0"/>
    <n v="5.9"/>
    <n v="5.9"/>
    <x v="1"/>
    <m/>
    <m/>
    <s v="Federal"/>
    <m/>
    <m/>
    <m/>
    <s v="Federal"/>
    <s v="PLA"/>
    <s v="Icó"/>
  </r>
  <r>
    <x v="0"/>
    <s v="230APA1005"/>
    <n v="0"/>
    <x v="184"/>
    <s v="1005"/>
    <n v="-55.957403180012697"/>
    <n v="-4.3157842101730903"/>
    <n v="-55.957043200283401"/>
    <n v="-4.2857289995936299"/>
    <s v="230"/>
    <s v="PA"/>
    <s v="Acesso"/>
    <s v="-"/>
    <s v="230APA1005"/>
    <s v="ENTR BR-230"/>
    <s v="PORTO DE MIRITITUBA - ACESSO"/>
    <n v="0"/>
    <n v="8.3000000000000007"/>
    <n v="8.3000000000000007"/>
    <x v="1"/>
    <m/>
    <m/>
    <s v="Federal"/>
    <m/>
    <m/>
    <m/>
    <s v="Federal"/>
    <s v="PLA"/>
    <s v="Itaituba"/>
  </r>
  <r>
    <x v="0"/>
    <s v="230APB1005"/>
    <n v="0"/>
    <x v="185"/>
    <s v="1005"/>
    <n v="-35.951443380407603"/>
    <n v="-7.2043087300638096"/>
    <n v="-35.924597200000697"/>
    <n v="-7.2140487700346503"/>
    <s v="230"/>
    <s v="PB"/>
    <s v="Acesso"/>
    <s v="-"/>
    <s v="230APB1005"/>
    <s v="ENTR BR-230"/>
    <s v="CAMPINA GRANDE (ACESSO OESTE)"/>
    <n v="0"/>
    <n v="3.2"/>
    <n v="3.2"/>
    <x v="2"/>
    <m/>
    <m/>
    <s v="Federal"/>
    <m/>
    <m/>
    <m/>
    <s v="Federal"/>
    <s v="PAV"/>
    <s v="Campina Grande"/>
  </r>
  <r>
    <x v="0"/>
    <s v="230APB2005"/>
    <n v="0"/>
    <x v="185"/>
    <s v="2005"/>
    <n v="-37.298628100406397"/>
    <n v="-7.00635902015261"/>
    <n v="-37.286946929557097"/>
    <n v="-7.0132954299401096"/>
    <s v="230"/>
    <s v="PB"/>
    <s v="Acesso"/>
    <s v="-"/>
    <s v="230APB2005"/>
    <s v="ENTR BR-230"/>
    <s v="PATOS (ACESSO OESTE)"/>
    <n v="0"/>
    <n v="1.7"/>
    <n v="1.7"/>
    <x v="2"/>
    <m/>
    <m/>
    <s v="Federal"/>
    <m/>
    <m/>
    <m/>
    <s v="Federal"/>
    <s v="PAV"/>
    <s v="Patos"/>
  </r>
  <r>
    <x v="0"/>
    <s v="230BAM1810"/>
    <n v="0"/>
    <x v="186"/>
    <s v="1810"/>
    <n v="-58.237025099928303"/>
    <n v="-6.4194058298151599"/>
    <n v="-58.391345431046702"/>
    <n v="-6.4864112964441398"/>
    <s v="230"/>
    <s v="AM"/>
    <s v="Eixo Principal"/>
    <s v="-"/>
    <s v="230BAM1810"/>
    <s v="DIV PA/AM (IGARAPÉ PALMARES)"/>
    <s v="IGARAPÉ BORRACHUDO"/>
    <n v="0"/>
    <n v="21.5"/>
    <n v="21.5"/>
    <x v="5"/>
    <m/>
    <m/>
    <s v="Federal"/>
    <m/>
    <m/>
    <m/>
    <s v="Federal"/>
    <s v="N_PAV"/>
    <s v="Humaitá"/>
  </r>
  <r>
    <x v="0"/>
    <s v="230BAM1815"/>
    <n v="0"/>
    <x v="186"/>
    <s v="1815"/>
    <n v="-58.391345431046702"/>
    <n v="-6.4864112964441398"/>
    <n v="-58.427379587297999"/>
    <n v="-6.5058852052379699"/>
    <s v="230"/>
    <s v="AM"/>
    <s v="Eixo Principal"/>
    <s v="-"/>
    <s v="230BAM1815"/>
    <s v="IGARAPÉ BORRACHUDO"/>
    <s v="ACESSO AO RIO TAPAJÓS"/>
    <n v="21.5"/>
    <n v="26.1"/>
    <n v="4.5999999999999996"/>
    <x v="5"/>
    <m/>
    <m/>
    <s v="Federal"/>
    <m/>
    <m/>
    <m/>
    <s v="Federal"/>
    <s v="N_PAV"/>
    <s v="Humaitá"/>
  </r>
  <r>
    <x v="0"/>
    <s v="230BAM1820"/>
    <n v="0"/>
    <x v="186"/>
    <s v="1820"/>
    <n v="-58.427379587297999"/>
    <n v="-6.5058852052379699"/>
    <n v="-58.564473738272298"/>
    <n v="-6.5451731850943702"/>
    <s v="230"/>
    <s v="AM"/>
    <s v="Eixo Principal"/>
    <s v="-"/>
    <s v="230BAM1820"/>
    <s v="ACESSO AO RIO TAPAJÓS"/>
    <s v="IGARAPÉ PIUM"/>
    <n v="26.1"/>
    <n v="42.6"/>
    <n v="16.5"/>
    <x v="5"/>
    <m/>
    <m/>
    <s v="Federal"/>
    <m/>
    <m/>
    <m/>
    <s v="Federal"/>
    <s v="N_PAV"/>
    <s v="Humaitá"/>
  </r>
  <r>
    <x v="0"/>
    <s v="230BAM1825"/>
    <n v="0"/>
    <x v="186"/>
    <s v="1825"/>
    <n v="-58.564473738272298"/>
    <n v="-6.5451731850943702"/>
    <n v="-58.603612839860602"/>
    <n v="-6.5860381081720902"/>
    <s v="230"/>
    <s v="AM"/>
    <s v="Eixo Principal"/>
    <s v="-"/>
    <s v="230BAM1825"/>
    <s v="IGARAPÉ PIUM"/>
    <s v="IGARAPÉ PALOMITA"/>
    <n v="42.6"/>
    <n v="48.9"/>
    <n v="6.3"/>
    <x v="5"/>
    <m/>
    <m/>
    <s v="Federal"/>
    <m/>
    <m/>
    <m/>
    <s v="Federal"/>
    <s v="N_PAV"/>
    <s v="Humaitá"/>
  </r>
  <r>
    <x v="0"/>
    <s v="230BAM1830"/>
    <n v="0"/>
    <x v="186"/>
    <s v="1830"/>
    <n v="-58.603612839860602"/>
    <n v="-6.5860381081720902"/>
    <n v="-58.888852862769298"/>
    <n v="-6.7054992463930603"/>
    <s v="230"/>
    <s v="AM"/>
    <s v="Eixo Principal"/>
    <s v="-"/>
    <s v="230BAM1830"/>
    <s v="IGARAPÉ PALOMITA"/>
    <s v="IGARAPÉ DO ABACAXI"/>
    <n v="48.9"/>
    <n v="84.2"/>
    <n v="35.299999999999997"/>
    <x v="5"/>
    <m/>
    <m/>
    <s v="Federal"/>
    <m/>
    <m/>
    <m/>
    <s v="Federal"/>
    <s v="N_PAV"/>
    <s v="Humaitá"/>
  </r>
  <r>
    <x v="0"/>
    <s v="230BAM1835"/>
    <n v="0"/>
    <x v="186"/>
    <s v="1835"/>
    <n v="-58.888852862769298"/>
    <n v="-6.7054992463930603"/>
    <n v="-59.058693246795798"/>
    <n v="-6.8027883918707603"/>
    <s v="230"/>
    <s v="AM"/>
    <s v="Eixo Principal"/>
    <s v="-"/>
    <s v="230BAM1835"/>
    <s v="IGARAPÉ DO ABACAXI"/>
    <s v="INÍCIO TRV RIO SUCUNDURI"/>
    <n v="84.2"/>
    <n v="106.6"/>
    <n v="22.4"/>
    <x v="5"/>
    <m/>
    <m/>
    <s v="Federal"/>
    <m/>
    <m/>
    <m/>
    <s v="Federal"/>
    <s v="N_PAV"/>
    <s v="Humaitá"/>
  </r>
  <r>
    <x v="0"/>
    <s v="230BAM1840"/>
    <n v="0"/>
    <x v="186"/>
    <s v="1840"/>
    <n v="-59.058693246795798"/>
    <n v="-6.8027883918707603"/>
    <n v="-59.061052940141003"/>
    <n v="-6.8040931912477101"/>
    <s v="230"/>
    <s v="AM"/>
    <s v="Eixo Principal"/>
    <s v="-"/>
    <s v="230BAM1840"/>
    <s v="INÍCIO TRV RIO SUCUNDURI"/>
    <s v="FIM TRAV R SUCUNDURI (VILA SUCUNDURI)"/>
    <n v="106.6"/>
    <n v="106.9"/>
    <n v="0.3"/>
    <x v="4"/>
    <m/>
    <m/>
    <s v="Federal"/>
    <m/>
    <m/>
    <m/>
    <s v="Federal"/>
    <s v="N_PAV"/>
    <s v="Humaitá"/>
  </r>
  <r>
    <x v="0"/>
    <s v="230BAM1845"/>
    <n v="0"/>
    <x v="186"/>
    <s v="1845"/>
    <n v="-59.061052940141003"/>
    <n v="-6.8040931912477101"/>
    <n v="-59.330436470166902"/>
    <n v="-6.9345419791289897"/>
    <s v="230"/>
    <s v="AM"/>
    <s v="Eixo Principal"/>
    <s v="-"/>
    <s v="230BAM1845"/>
    <s v="FIM TRAV R SUCUNDURI (VILA SUCUNDURI)"/>
    <s v="IGARAPÉ CAMAIÚ"/>
    <n v="106.9"/>
    <n v="141.4"/>
    <n v="34.5"/>
    <x v="5"/>
    <m/>
    <m/>
    <s v="Federal"/>
    <m/>
    <m/>
    <m/>
    <s v="Federal"/>
    <s v="N_PAV"/>
    <s v="Humaitá"/>
  </r>
  <r>
    <x v="0"/>
    <s v="230BAM1850"/>
    <n v="0"/>
    <x v="186"/>
    <s v="1850"/>
    <n v="-59.330436470166902"/>
    <n v="-6.9345419791289897"/>
    <n v="-59.643824289259399"/>
    <n v="-7.0877529056719997"/>
    <s v="230"/>
    <s v="AM"/>
    <s v="Eixo Principal"/>
    <s v="-"/>
    <s v="230BAM1850"/>
    <s v="IGARAPÉ CAMAIÚ"/>
    <s v="IGARAPÉ ANDORINHA"/>
    <n v="141.4"/>
    <n v="182.7"/>
    <n v="41.3"/>
    <x v="5"/>
    <m/>
    <m/>
    <s v="Federal"/>
    <m/>
    <m/>
    <m/>
    <s v="Federal"/>
    <s v="N_PAV"/>
    <s v="Humaitá"/>
  </r>
  <r>
    <x v="0"/>
    <s v="230BAM1855"/>
    <n v="0"/>
    <x v="186"/>
    <s v="1855"/>
    <n v="-59.643824289259399"/>
    <n v="-7.0877529056719997"/>
    <n v="-59.688648958782302"/>
    <n v="-7.10193729177257"/>
    <s v="230"/>
    <s v="AM"/>
    <s v="Eixo Principal"/>
    <s v="-"/>
    <s v="230BAM1855"/>
    <s v="IGARAPÉ ANDORINHA"/>
    <s v="RIO ACARÍ"/>
    <n v="182.7"/>
    <n v="188"/>
    <n v="5.3"/>
    <x v="5"/>
    <m/>
    <m/>
    <s v="Federal"/>
    <m/>
    <m/>
    <m/>
    <s v="Federal"/>
    <s v="N_PAV"/>
    <s v="Humaitá"/>
  </r>
  <r>
    <x v="0"/>
    <s v="230BAM1860"/>
    <n v="0"/>
    <x v="186"/>
    <s v="1860"/>
    <n v="-59.688648958782302"/>
    <n v="-7.10193729177257"/>
    <n v="-59.705306115384801"/>
    <n v="-7.1047603203324403"/>
    <s v="230"/>
    <s v="AM"/>
    <s v="Eixo Principal"/>
    <s v="-"/>
    <s v="230BAM1860"/>
    <s v="RIO ACARÍ"/>
    <s v="RIO QUEIXADA"/>
    <n v="188"/>
    <n v="190"/>
    <n v="2"/>
    <x v="5"/>
    <m/>
    <m/>
    <s v="Federal"/>
    <m/>
    <m/>
    <m/>
    <s v="Federal"/>
    <s v="N_PAV"/>
    <s v="Humaitá"/>
  </r>
  <r>
    <x v="0"/>
    <s v="230BAM1865"/>
    <n v="0"/>
    <x v="186"/>
    <s v="1865"/>
    <n v="-59.705306115384801"/>
    <n v="-7.1047603203324403"/>
    <n v="-59.882841169884003"/>
    <n v="-7.1927691799536397"/>
    <s v="230"/>
    <s v="AM"/>
    <s v="Eixo Principal"/>
    <s v="-"/>
    <s v="230BAM1865"/>
    <s v="RIO QUEIXADA"/>
    <s v="APUÍ"/>
    <n v="190"/>
    <n v="213.2"/>
    <n v="23.2"/>
    <x v="5"/>
    <m/>
    <m/>
    <s v="Federal"/>
    <m/>
    <m/>
    <m/>
    <s v="Federal"/>
    <s v="N_PAV"/>
    <s v="Humaitá"/>
  </r>
  <r>
    <x v="0"/>
    <s v="230BAM1870"/>
    <n v="0"/>
    <x v="186"/>
    <s v="1870"/>
    <n v="-59.882841169884003"/>
    <n v="-7.1927691799536397"/>
    <n v="-59.921466774771702"/>
    <n v="-7.2169636481537998"/>
    <s v="230"/>
    <s v="AM"/>
    <s v="Eixo Principal"/>
    <s v="-"/>
    <s v="230BAM1870"/>
    <s v="APUÍ"/>
    <s v="RIO JUMA"/>
    <n v="213.2"/>
    <n v="218.4"/>
    <n v="5.2"/>
    <x v="5"/>
    <m/>
    <m/>
    <s v="Federal"/>
    <m/>
    <m/>
    <m/>
    <s v="Federal"/>
    <s v="N_PAV"/>
    <s v="Humaitá"/>
  </r>
  <r>
    <x v="0"/>
    <s v="230BAM1875"/>
    <n v="0"/>
    <x v="186"/>
    <s v="1875"/>
    <n v="-59.921466774771702"/>
    <n v="-7.2169636481537998"/>
    <n v="-60.052317984087601"/>
    <n v="-7.2754656732022296"/>
    <s v="230"/>
    <s v="AM"/>
    <s v="Eixo Principal"/>
    <s v="-"/>
    <s v="230BAM1875"/>
    <s v="RIO JUMA"/>
    <s v="RIO DAS POMBAS"/>
    <n v="218.4"/>
    <n v="237"/>
    <n v="18.600000000000001"/>
    <x v="5"/>
    <m/>
    <m/>
    <s v="Federal"/>
    <m/>
    <m/>
    <m/>
    <s v="Federal"/>
    <s v="N_PAV"/>
    <s v="Humaitá"/>
  </r>
  <r>
    <x v="0"/>
    <s v="230BAM1880"/>
    <n v="0"/>
    <x v="186"/>
    <s v="1880"/>
    <n v="-60.052317984087601"/>
    <n v="-7.2754656732022296"/>
    <n v="-60.504291672222799"/>
    <n v="-7.4637809082622599"/>
    <s v="230"/>
    <s v="AM"/>
    <s v="Eixo Principal"/>
    <s v="-"/>
    <s v="230BAM1880"/>
    <s v="RIO DAS POMBAS"/>
    <s v="IGARAPÉ JATUARANA"/>
    <n v="237"/>
    <n v="293.89999999999998"/>
    <n v="56.9"/>
    <x v="5"/>
    <m/>
    <m/>
    <s v="Federal"/>
    <m/>
    <m/>
    <m/>
    <s v="Federal"/>
    <s v="N_PAV"/>
    <s v="Humaitá"/>
  </r>
  <r>
    <x v="0"/>
    <s v="230BAM1890"/>
    <n v="0"/>
    <x v="186"/>
    <s v="1890"/>
    <n v="-60.504291672222799"/>
    <n v="-7.4637809082622599"/>
    <n v="-60.599634000408699"/>
    <n v="-7.50538388965475"/>
    <s v="230"/>
    <s v="AM"/>
    <s v="Eixo Principal"/>
    <s v="-"/>
    <s v="230BAM1890"/>
    <s v="IGARAPÉ JATUARANA"/>
    <s v="ENTR BR-174"/>
    <n v="293.89999999999998"/>
    <n v="306"/>
    <n v="12.1"/>
    <x v="5"/>
    <m/>
    <m/>
    <s v="Federal"/>
    <m/>
    <m/>
    <m/>
    <s v="Federal"/>
    <s v="N_PAV"/>
    <s v="Humaitá"/>
  </r>
  <r>
    <x v="0"/>
    <s v="230BAM1900"/>
    <n v="0"/>
    <x v="186"/>
    <s v="1900"/>
    <n v="-60.599634000408699"/>
    <n v="-7.50538388965475"/>
    <n v="-60.645310392660399"/>
    <n v="-7.5207088571279996"/>
    <s v="230"/>
    <s v="AM"/>
    <s v="Eixo Principal"/>
    <s v="-"/>
    <s v="230BAM1900"/>
    <s v="ENTR BR-174"/>
    <s v="IGARAPÉ DO PEIXE"/>
    <n v="306"/>
    <n v="311.39999999999998"/>
    <n v="5.4"/>
    <x v="5"/>
    <m/>
    <m/>
    <s v="Federal"/>
    <m/>
    <m/>
    <m/>
    <s v="Federal"/>
    <s v="N_PAV"/>
    <s v="Humaitá"/>
  </r>
  <r>
    <x v="0"/>
    <s v="230BAM1905"/>
    <n v="0"/>
    <x v="186"/>
    <s v="1905"/>
    <n v="-60.645310392660399"/>
    <n v="-7.5207088571279996"/>
    <n v="-60.670337160031799"/>
    <n v="-7.5236741296572998"/>
    <s v="230"/>
    <s v="AM"/>
    <s v="Eixo Principal"/>
    <s v="-"/>
    <s v="230BAM1905"/>
    <s v="IGARAPÉ DO PEIXE"/>
    <s v="INÍCIO TRAVESSIA RIO ARIPUANÃ"/>
    <n v="311.39999999999998"/>
    <n v="314.39999999999998"/>
    <n v="3"/>
    <x v="5"/>
    <m/>
    <m/>
    <s v="Federal"/>
    <m/>
    <m/>
    <m/>
    <s v="Federal"/>
    <s v="N_PAV"/>
    <s v="Humaitá"/>
  </r>
  <r>
    <x v="0"/>
    <s v="230BAM1910"/>
    <n v="0"/>
    <x v="186"/>
    <s v="1910"/>
    <n v="-60.670337160031799"/>
    <n v="-7.5236741296572998"/>
    <n v="-60.671890299997301"/>
    <n v="-7.5208245800902702"/>
    <s v="230"/>
    <s v="AM"/>
    <s v="Eixo Principal"/>
    <s v="-"/>
    <s v="230BAM1910"/>
    <s v="INÍCIO TRAVESSIA RIO ARIPUANÃ"/>
    <s v="FIM TRAVESSIA RIO ARIPUANÃ"/>
    <n v="314.39999999999998"/>
    <n v="314.8"/>
    <n v="0.4"/>
    <x v="4"/>
    <m/>
    <m/>
    <s v="Federal"/>
    <m/>
    <m/>
    <m/>
    <s v="Federal"/>
    <s v="N_PAV"/>
    <s v="Humaitá"/>
  </r>
  <r>
    <x v="0"/>
    <s v="230BAM1925"/>
    <n v="0"/>
    <x v="186"/>
    <s v="1925"/>
    <n v="-60.671890299997301"/>
    <n v="-7.5208245800902702"/>
    <n v="-60.7562302692115"/>
    <n v="-7.5939191098789802"/>
    <s v="230"/>
    <s v="AM"/>
    <s v="Eixo Principal"/>
    <s v="-"/>
    <s v="230BAM1925"/>
    <s v="FIM TRAVESSIA RIO ARIPUANÃ"/>
    <s v="IGARAPÉ OURO VERDE"/>
    <n v="314.8"/>
    <n v="327.3"/>
    <n v="12.5"/>
    <x v="5"/>
    <m/>
    <m/>
    <s v="Federal"/>
    <m/>
    <m/>
    <m/>
    <s v="Federal"/>
    <s v="N_PAV"/>
    <s v="Humaitá"/>
  </r>
  <r>
    <x v="0"/>
    <s v="230BAM1930"/>
    <n v="0"/>
    <x v="186"/>
    <s v="1930"/>
    <n v="-60.7562302692115"/>
    <n v="-7.5939191098789802"/>
    <n v="-60.8900903519881"/>
    <n v="-7.6671626897063403"/>
    <s v="230"/>
    <s v="AM"/>
    <s v="Eixo Principal"/>
    <s v="-"/>
    <s v="230BAM1930"/>
    <s v="IGARAPÉ OURO VERDE"/>
    <s v="ACESSO AO RIO ROOSEVELT"/>
    <n v="327.3"/>
    <n v="344.9"/>
    <n v="17.600000000000001"/>
    <x v="5"/>
    <m/>
    <m/>
    <s v="Federal"/>
    <m/>
    <m/>
    <m/>
    <s v="Federal"/>
    <s v="N_PAV"/>
    <s v="Humaitá"/>
  </r>
  <r>
    <x v="0"/>
    <s v="230BAM1935"/>
    <n v="0"/>
    <x v="186"/>
    <s v="1935"/>
    <n v="-60.8900903519881"/>
    <n v="-7.6671626897063403"/>
    <n v="-60.948121831956897"/>
    <n v="-7.6866045529577001"/>
    <s v="230"/>
    <s v="AM"/>
    <s v="Eixo Principal"/>
    <s v="-"/>
    <s v="230BAM1935"/>
    <s v="ACESSO AO RIO ROOSEVELT"/>
    <s v="IGARAPÉ DO WANDO"/>
    <n v="344.9"/>
    <n v="352"/>
    <n v="7.1"/>
    <x v="5"/>
    <m/>
    <m/>
    <s v="Federal"/>
    <m/>
    <m/>
    <m/>
    <s v="Federal"/>
    <s v="N_PAV"/>
    <s v="Humaitá"/>
  </r>
  <r>
    <x v="0"/>
    <s v="230BAM1940"/>
    <n v="0"/>
    <x v="186"/>
    <s v="1940"/>
    <n v="-60.948121831956897"/>
    <n v="-7.6866045529577001"/>
    <n v="-61.162865432293799"/>
    <n v="-7.7742269370234496"/>
    <s v="230"/>
    <s v="AM"/>
    <s v="Eixo Principal"/>
    <s v="-"/>
    <s v="230BAM1940"/>
    <s v="IGARAPÉ DO WANDO"/>
    <s v="IGARAPÉ JATUARANINHA"/>
    <n v="352"/>
    <n v="378.8"/>
    <n v="26.8"/>
    <x v="5"/>
    <m/>
    <m/>
    <s v="Federal"/>
    <m/>
    <m/>
    <m/>
    <s v="Federal"/>
    <s v="N_PAV"/>
    <s v="Humaitá"/>
  </r>
  <r>
    <x v="0"/>
    <s v="230BAM1945"/>
    <n v="0"/>
    <x v="186"/>
    <s v="1945"/>
    <n v="-61.162865432293799"/>
    <n v="-7.7742269370234496"/>
    <n v="-61.340119586249799"/>
    <n v="-7.8560256721469797"/>
    <s v="230"/>
    <s v="AM"/>
    <s v="Eixo Principal"/>
    <s v="-"/>
    <s v="230BAM1945"/>
    <s v="IGARAPÉ JATUARANINHA"/>
    <s v="RIO MANICORÉ"/>
    <n v="378.8"/>
    <n v="400.6"/>
    <n v="21.8"/>
    <x v="5"/>
    <m/>
    <m/>
    <s v="Federal"/>
    <m/>
    <m/>
    <m/>
    <s v="Federal"/>
    <s v="N_PAV"/>
    <s v="Humaitá"/>
  </r>
  <r>
    <x v="0"/>
    <s v="230BAM1950"/>
    <n v="0"/>
    <x v="186"/>
    <s v="1950"/>
    <n v="-61.340119586249799"/>
    <n v="-7.8560256721469797"/>
    <n v="-61.548888969550198"/>
    <n v="-7.9155904584328596"/>
    <s v="230"/>
    <s v="AM"/>
    <s v="Eixo Principal"/>
    <s v="-"/>
    <s v="230BAM1950"/>
    <s v="RIO MANICORÉ"/>
    <s v="RIO MATUPI"/>
    <n v="400.6"/>
    <n v="424.7"/>
    <n v="24.1"/>
    <x v="5"/>
    <m/>
    <m/>
    <s v="Federal"/>
    <m/>
    <m/>
    <m/>
    <s v="Federal"/>
    <s v="N_PAV"/>
    <s v="Humaitá"/>
  </r>
  <r>
    <x v="0"/>
    <s v="230BAM1952"/>
    <n v="0"/>
    <x v="186"/>
    <s v="1952"/>
    <n v="-61.548888969550198"/>
    <n v="-7.9155904584328596"/>
    <n v="-61.569803857561901"/>
    <n v="-7.92828247175862"/>
    <s v="230"/>
    <s v="AM"/>
    <s v="Eixo Principal"/>
    <s v="-"/>
    <s v="230BAM1952"/>
    <s v="RIO MATUPI"/>
    <s v="VILA DO SANTO ANTÔNIO DO MATUPI"/>
    <n v="424.7"/>
    <n v="427.4"/>
    <n v="2.7"/>
    <x v="5"/>
    <m/>
    <m/>
    <s v="Federal"/>
    <m/>
    <m/>
    <m/>
    <s v="Federal"/>
    <s v="N_PAV"/>
    <s v="Humaitá"/>
  </r>
  <r>
    <x v="0"/>
    <s v="230BAM1955"/>
    <n v="0"/>
    <x v="186"/>
    <s v="1955"/>
    <n v="-61.569803857561901"/>
    <n v="-7.92828247175862"/>
    <n v="-61.6692915801422"/>
    <n v="-7.9692842113971603"/>
    <s v="230"/>
    <s v="AM"/>
    <s v="Eixo Principal"/>
    <s v="-"/>
    <s v="230BAM1955"/>
    <s v="VILA DO SANTO ANTÔNIO DO MATUPI"/>
    <s v="RIO BRANCO"/>
    <n v="427.4"/>
    <n v="439.7"/>
    <n v="12.3"/>
    <x v="5"/>
    <m/>
    <m/>
    <s v="Federal"/>
    <m/>
    <m/>
    <m/>
    <s v="Federal"/>
    <s v="N_PAV"/>
    <s v="Humaitá"/>
  </r>
  <r>
    <x v="0"/>
    <s v="230BAM1960"/>
    <n v="0"/>
    <x v="186"/>
    <s v="1960"/>
    <n v="-61.6692915801422"/>
    <n v="-7.9692842113971603"/>
    <n v="-61.686735071566197"/>
    <n v="-7.9860021243984498"/>
    <s v="230"/>
    <s v="AM"/>
    <s v="Eixo Principal"/>
    <s v="-"/>
    <s v="230BAM1960"/>
    <s v="RIO BRANCO"/>
    <s v="IGARAPÉ DO INFERNO"/>
    <n v="439.7"/>
    <n v="442.5"/>
    <n v="2.8"/>
    <x v="5"/>
    <m/>
    <m/>
    <s v="Federal"/>
    <m/>
    <m/>
    <m/>
    <s v="Federal"/>
    <s v="N_PAV"/>
    <s v="Humaitá"/>
  </r>
  <r>
    <x v="0"/>
    <s v="230BAM1965"/>
    <n v="0"/>
    <x v="186"/>
    <s v="1965"/>
    <n v="-61.686735071566197"/>
    <n v="-7.9860021243984498"/>
    <n v="-61.826802240930597"/>
    <n v="-8.0150612845505904"/>
    <s v="230"/>
    <s v="AM"/>
    <s v="Eixo Principal"/>
    <s v="-"/>
    <s v="230BAM1965"/>
    <s v="IGARAPÉ DO INFERNO"/>
    <s v="INÍCIO DA ÁREA INDÍGENA TENHARIM"/>
    <n v="442.5"/>
    <n v="458.7"/>
    <n v="16.2"/>
    <x v="5"/>
    <m/>
    <m/>
    <s v="Federal"/>
    <m/>
    <m/>
    <m/>
    <s v="Federal"/>
    <s v="N_PAV"/>
    <s v="Humaitá"/>
  </r>
  <r>
    <x v="0"/>
    <s v="230BAM1970"/>
    <n v="0"/>
    <x v="186"/>
    <s v="1970"/>
    <n v="-61.826802240930597"/>
    <n v="-8.0150612845505904"/>
    <n v="-61.853889496303097"/>
    <n v="-8.0147204711727795"/>
    <s v="230"/>
    <s v="AM"/>
    <s v="Eixo Principal"/>
    <s v="-"/>
    <s v="230BAM1970"/>
    <s v="INÍCIO DA ÁREA INDÍGENA TENHARIM"/>
    <s v="IGARAPÉ MAFUÍ"/>
    <n v="458.7"/>
    <n v="461.7"/>
    <n v="3"/>
    <x v="5"/>
    <m/>
    <m/>
    <s v="Federal"/>
    <m/>
    <m/>
    <m/>
    <s v="Federal"/>
    <s v="N_PAV"/>
    <s v="Humaitá"/>
  </r>
  <r>
    <x v="0"/>
    <s v="230BAM1975"/>
    <n v="0"/>
    <x v="186"/>
    <s v="1975"/>
    <n v="-61.853889496303097"/>
    <n v="-8.0147204711727795"/>
    <n v="-61.863867941152499"/>
    <n v="-8.0225069444398898"/>
    <s v="230"/>
    <s v="AM"/>
    <s v="Eixo Principal"/>
    <s v="-"/>
    <s v="230BAM1975"/>
    <s v="IGARAPÉ MAFUÍ"/>
    <s v="ACESSO A RODOVIA DO ESTANHO"/>
    <n v="461.7"/>
    <n v="463.1"/>
    <n v="1.4"/>
    <x v="5"/>
    <m/>
    <m/>
    <s v="Federal"/>
    <m/>
    <m/>
    <m/>
    <s v="Federal"/>
    <s v="N_PAV"/>
    <s v="Humaitá"/>
  </r>
  <r>
    <x v="0"/>
    <s v="230BAM1980"/>
    <n v="0"/>
    <x v="186"/>
    <s v="1980"/>
    <n v="-61.863867941152499"/>
    <n v="-8.0225069444398898"/>
    <n v="-62.047688856555403"/>
    <n v="-7.9612044656135401"/>
    <s v="230"/>
    <s v="AM"/>
    <s v="Eixo Principal"/>
    <s v="-"/>
    <s v="230BAM1980"/>
    <s v="ACESSO A RODOVIA DO ESTANHO"/>
    <s v="RIO DOS MARMELOS"/>
    <n v="463.1"/>
    <n v="486"/>
    <n v="22.9"/>
    <x v="5"/>
    <m/>
    <m/>
    <s v="Federal"/>
    <m/>
    <m/>
    <m/>
    <s v="Federal"/>
    <s v="N_PAV"/>
    <s v="Humaitá"/>
  </r>
  <r>
    <x v="0"/>
    <s v="230BAM1985"/>
    <n v="0"/>
    <x v="186"/>
    <s v="1985"/>
    <n v="-62.047688856555403"/>
    <n v="-7.9612044656135401"/>
    <n v="-62.292237244053503"/>
    <n v="-7.8396084402772299"/>
    <s v="230"/>
    <s v="AM"/>
    <s v="Eixo Principal"/>
    <s v="-"/>
    <s v="230BAM1985"/>
    <s v="RIO DOS MARMELOS"/>
    <s v="RIO AMAZONÍA (FIM ÁREA IND TENHARIM)"/>
    <n v="486"/>
    <n v="516.29999999999995"/>
    <n v="30.3"/>
    <x v="5"/>
    <m/>
    <m/>
    <s v="Federal"/>
    <m/>
    <m/>
    <m/>
    <s v="Federal"/>
    <s v="N_PAV"/>
    <s v="Humaitá"/>
  </r>
  <r>
    <x v="0"/>
    <s v="230BAM1990"/>
    <n v="0"/>
    <x v="186"/>
    <s v="1990"/>
    <n v="-62.292237244053503"/>
    <n v="-7.8396084402772299"/>
    <n v="-62.338215275214701"/>
    <n v="-7.8120888511195403"/>
    <s v="230"/>
    <s v="AM"/>
    <s v="Eixo Principal"/>
    <s v="-"/>
    <s v="230BAM1990"/>
    <s v="RIO AMAZONÍA (FIM ÁREA IND TENHARIM)"/>
    <s v="RIO MAICÍ"/>
    <n v="516.29999999999995"/>
    <n v="522.5"/>
    <n v="6.2"/>
    <x v="5"/>
    <m/>
    <m/>
    <s v="Federal"/>
    <m/>
    <m/>
    <m/>
    <s v="Federal"/>
    <s v="N_PAV"/>
    <s v="Humaitá"/>
  </r>
  <r>
    <x v="0"/>
    <s v="230BAM1995"/>
    <n v="0"/>
    <x v="186"/>
    <s v="1995"/>
    <n v="-62.338215275214701"/>
    <n v="-7.8120888511195403"/>
    <n v="-62.485332893797903"/>
    <n v="-7.7360088527263402"/>
    <s v="230"/>
    <s v="AM"/>
    <s v="Eixo Principal"/>
    <s v="-"/>
    <s v="230BAM1995"/>
    <s v="RIO MAICÍ"/>
    <s v="IGARAPÉ 9 DE JANEIRO"/>
    <n v="522.5"/>
    <n v="541.1"/>
    <n v="18.600000000000001"/>
    <x v="5"/>
    <m/>
    <m/>
    <s v="Federal"/>
    <m/>
    <m/>
    <m/>
    <s v="Federal"/>
    <s v="N_PAV"/>
    <s v="Humaitá"/>
  </r>
  <r>
    <x v="0"/>
    <s v="230BAM2000"/>
    <n v="0"/>
    <x v="186"/>
    <s v="2000"/>
    <n v="-62.485332893797903"/>
    <n v="-7.7360088527263402"/>
    <n v="-62.652970368687498"/>
    <n v="-7.6363946908622298"/>
    <s v="230"/>
    <s v="AM"/>
    <s v="Eixo Principal"/>
    <s v="-"/>
    <s v="230BAM2000"/>
    <s v="IGARAPÉ 9 DE JANEIRO"/>
    <s v="RIO MAICÍ MIRIM"/>
    <n v="541.1"/>
    <n v="562.70000000000005"/>
    <n v="21.6"/>
    <x v="5"/>
    <m/>
    <m/>
    <s v="Federal"/>
    <m/>
    <m/>
    <m/>
    <s v="Federal"/>
    <s v="N_PAV"/>
    <s v="Humaitá"/>
  </r>
  <r>
    <x v="0"/>
    <s v="230BAM2005"/>
    <n v="0"/>
    <x v="186"/>
    <s v="2005"/>
    <n v="-62.652970368687498"/>
    <n v="-7.6363946908622298"/>
    <n v="-62.736365808735002"/>
    <n v="-7.5954057179994203"/>
    <s v="230"/>
    <s v="AM"/>
    <s v="Eixo Principal"/>
    <s v="-"/>
    <s v="230BAM2005"/>
    <s v="RIO MAICÍ MIRIM"/>
    <s v="IGARAPÉ TRAÍRA"/>
    <n v="562.70000000000005"/>
    <n v="573"/>
    <n v="10.3"/>
    <x v="5"/>
    <m/>
    <m/>
    <s v="Federal"/>
    <m/>
    <m/>
    <m/>
    <s v="Federal"/>
    <s v="N_PAV"/>
    <s v="Humaitá"/>
  </r>
  <r>
    <x v="0"/>
    <s v="230BAM2010"/>
    <n v="0"/>
    <x v="186"/>
    <s v="2010"/>
    <n v="-62.736365808735002"/>
    <n v="-7.5954057179994203"/>
    <n v="-62.858025867599601"/>
    <n v="-7.5608617878411897"/>
    <s v="230"/>
    <s v="AM"/>
    <s v="Eixo Principal"/>
    <s v="-"/>
    <s v="230BAM2010"/>
    <s v="IGARAPÉ TRAÍRA"/>
    <s v="IGARAPÉ BOIÚÇU"/>
    <n v="573"/>
    <n v="587.20000000000005"/>
    <n v="14.2"/>
    <x v="5"/>
    <m/>
    <m/>
    <s v="Federal"/>
    <m/>
    <m/>
    <m/>
    <s v="Federal"/>
    <s v="N_PAV"/>
    <s v="Humaitá"/>
  </r>
  <r>
    <x v="0"/>
    <s v="230BAM2015"/>
    <n v="0"/>
    <x v="186"/>
    <s v="2015"/>
    <n v="-62.858025867599601"/>
    <n v="-7.5608617878411897"/>
    <n v="-62.958240860227399"/>
    <n v="-7.4870915002724701"/>
    <s v="230"/>
    <s v="AM"/>
    <s v="Eixo Principal"/>
    <s v="-"/>
    <s v="230BAM2015"/>
    <s v="IGARAPÉ BOIÚÇU"/>
    <s v="IGARAPÉ CHICANGA"/>
    <n v="587.20000000000005"/>
    <n v="603.29999999999995"/>
    <n v="16.100000000000001"/>
    <x v="5"/>
    <m/>
    <m/>
    <s v="Federal"/>
    <m/>
    <m/>
    <m/>
    <s v="Federal"/>
    <s v="N_PAV"/>
    <s v="Humaitá"/>
  </r>
  <r>
    <x v="0"/>
    <s v="230BAM2020"/>
    <n v="0"/>
    <x v="186"/>
    <s v="2020"/>
    <n v="-62.958240860227399"/>
    <n v="-7.4870915002724701"/>
    <n v="-62.9809018413468"/>
    <n v="-7.4884028368214199"/>
    <s v="230"/>
    <s v="AM"/>
    <s v="Eixo Principal"/>
    <s v="-"/>
    <s v="230BAM2020"/>
    <s v="IGARAPÉ CHICANGA"/>
    <s v="IGARAPÉ JOARÍ"/>
    <n v="603.29999999999995"/>
    <n v="605.79999999999995"/>
    <n v="2.5"/>
    <x v="5"/>
    <m/>
    <m/>
    <s v="Federal"/>
    <m/>
    <m/>
    <m/>
    <s v="Federal"/>
    <s v="N_PAV"/>
    <s v="Humaitá"/>
  </r>
  <r>
    <x v="0"/>
    <s v="230BAM2025"/>
    <n v="0"/>
    <x v="186"/>
    <s v="2025"/>
    <n v="-62.9809018413468"/>
    <n v="-7.4884028368214199"/>
    <n v="-63.011635690234797"/>
    <n v="-7.4863077797801898"/>
    <s v="230"/>
    <s v="AM"/>
    <s v="Eixo Principal"/>
    <s v="-"/>
    <s v="230BAM2025"/>
    <s v="IGARAPÉ JOARÍ"/>
    <s v="INÍCIO TRAVESSIA RIO MADEIRA"/>
    <n v="605.79999999999995"/>
    <n v="609.20000000000005"/>
    <n v="3.4"/>
    <x v="5"/>
    <m/>
    <m/>
    <s v="Federal"/>
    <m/>
    <m/>
    <m/>
    <s v="Federal"/>
    <s v="N_PAV"/>
    <s v="Humaitá"/>
  </r>
  <r>
    <x v="0"/>
    <s v="230BAM2030"/>
    <n v="0"/>
    <x v="186"/>
    <s v="2030"/>
    <n v="-63.011635690234797"/>
    <n v="-7.4863077797801898"/>
    <n v="-63.022476770186699"/>
    <n v="-7.4952912695763896"/>
    <s v="230"/>
    <s v="AM"/>
    <s v="Eixo Principal"/>
    <s v="-"/>
    <s v="230BAM2030"/>
    <s v="INÍCIO TRAVESSIA RIO MADEIRA"/>
    <s v="FIM TRAVESSIA RIO MADEIRA (CRATO)"/>
    <n v="609.20000000000005"/>
    <n v="610.4"/>
    <n v="1.2"/>
    <x v="4"/>
    <m/>
    <m/>
    <s v="Federal"/>
    <m/>
    <m/>
    <m/>
    <s v="Federal"/>
    <s v="N_PAV"/>
    <s v="Humaitá"/>
  </r>
  <r>
    <x v="0"/>
    <s v="230BAM2035"/>
    <n v="0"/>
    <x v="186"/>
    <s v="2035"/>
    <n v="-63.022476770186699"/>
    <n v="-7.4952912695763896"/>
    <n v="-63.030119039861702"/>
    <n v="-7.5168917503539197"/>
    <s v="230"/>
    <s v="AM"/>
    <s v="Eixo Principal"/>
    <s v="-"/>
    <s v="230BAM2035"/>
    <s v="FIM TRAVESSIA RIO MADEIRA (CRATO)"/>
    <s v="HUMAITÁ"/>
    <n v="610.4"/>
    <n v="613.20000000000005"/>
    <n v="2.8"/>
    <x v="0"/>
    <m/>
    <m/>
    <s v="Federal"/>
    <m/>
    <m/>
    <m/>
    <s v="Federal"/>
    <s v="PAV"/>
    <s v="Humaitá"/>
  </r>
  <r>
    <x v="0"/>
    <s v="230BAM2040"/>
    <n v="0"/>
    <x v="186"/>
    <s v="2040"/>
    <n v="-63.030119039861702"/>
    <n v="-7.5168917503539197"/>
    <n v="-63.077513659727501"/>
    <n v="-7.5508836298755497"/>
    <s v="230"/>
    <s v="AM"/>
    <s v="Eixo Principal"/>
    <s v="-"/>
    <s v="230BAM2040"/>
    <s v="HUMAITÁ"/>
    <s v="ENTR BR-319(A) (P/PORTO VELHO)"/>
    <n v="613.20000000000005"/>
    <n v="619.70000000000005"/>
    <n v="6.5"/>
    <x v="2"/>
    <m/>
    <m/>
    <s v="Federal"/>
    <m/>
    <m/>
    <m/>
    <s v="Federal"/>
    <s v="PAV"/>
    <s v="Humaitá"/>
  </r>
  <r>
    <x v="0"/>
    <s v="230BAM2045"/>
    <n v="0"/>
    <x v="186"/>
    <s v="2045"/>
    <n v="-63.077513659727501"/>
    <n v="-7.5508836298755497"/>
    <n v="-63.111403889777598"/>
    <n v="-7.5736108271778999"/>
    <s v="230"/>
    <s v="AM"/>
    <s v="Eixo Principal"/>
    <s v="-"/>
    <s v="230BAM2045"/>
    <s v="ENTR BR-319(A) (P/PORTO VELHO)"/>
    <s v="IGARAPÉ BOM FUTURO"/>
    <n v="619.70000000000005"/>
    <n v="624.20000000000005"/>
    <n v="4.5"/>
    <x v="2"/>
    <m/>
    <s v="319BAM0205"/>
    <s v="Federal"/>
    <m/>
    <m/>
    <m/>
    <s v="Federal"/>
    <s v="PAV"/>
    <s v="Humaitá"/>
  </r>
  <r>
    <x v="0"/>
    <s v="230BAM2050"/>
    <n v="0"/>
    <x v="186"/>
    <s v="2050"/>
    <n v="-63.111403889777598"/>
    <n v="-7.5736108271778999"/>
    <n v="-63.174998199107499"/>
    <n v="-7.5938092406039397"/>
    <s v="230"/>
    <s v="AM"/>
    <s v="Eixo Principal"/>
    <s v="-"/>
    <s v="230BAM2050"/>
    <s v="IGARAPÉ BOM FUTURO"/>
    <s v="IGARAPÉ DO RETIRO"/>
    <n v="624.20000000000005"/>
    <n v="631.5"/>
    <n v="7.3"/>
    <x v="2"/>
    <m/>
    <s v="319BAM0200"/>
    <s v="Federal"/>
    <m/>
    <m/>
    <m/>
    <s v="Federal"/>
    <s v="PAV"/>
    <s v="Humaitá"/>
  </r>
  <r>
    <x v="0"/>
    <s v="230BAM2055"/>
    <n v="0"/>
    <x v="186"/>
    <s v="2055"/>
    <n v="-63.174998199107499"/>
    <n v="-7.5938092406039397"/>
    <n v="-63.269332960147899"/>
    <n v="-7.5639056503254603"/>
    <s v="230"/>
    <s v="AM"/>
    <s v="Eixo Principal"/>
    <s v="-"/>
    <s v="230BAM2055"/>
    <s v="IGARAPÉ DO RETIRO"/>
    <s v="ENTR BR-319(B) (P/MANAUS)"/>
    <n v="631.5"/>
    <n v="642.6"/>
    <n v="11.1"/>
    <x v="2"/>
    <m/>
    <s v="319BAM0195"/>
    <s v="Federal"/>
    <m/>
    <m/>
    <m/>
    <s v="Federal"/>
    <s v="PAV"/>
    <s v="Humaitá"/>
  </r>
  <r>
    <x v="0"/>
    <s v="230BAM2060"/>
    <n v="0"/>
    <x v="186"/>
    <s v="2060"/>
    <n v="-63.269332960147899"/>
    <n v="-7.5639056503254603"/>
    <n v="-63.273425845825997"/>
    <n v="-7.561676727399"/>
    <s v="230"/>
    <s v="AM"/>
    <s v="Eixo Principal"/>
    <s v="-"/>
    <s v="230BAM2060"/>
    <s v="ENTR BR-319(B) (P/MANAUS)"/>
    <s v="IGARAPÉ SANTO ANTÔNIO DE PÁDUA"/>
    <n v="642.6"/>
    <n v="643.1"/>
    <n v="0.5"/>
    <x v="5"/>
    <m/>
    <m/>
    <s v="Federal"/>
    <m/>
    <m/>
    <m/>
    <s v="Federal"/>
    <s v="N_PAV"/>
    <s v="Humaitá"/>
  </r>
  <r>
    <x v="0"/>
    <s v="230BAM2065"/>
    <n v="0"/>
    <x v="186"/>
    <s v="2065"/>
    <n v="-63.273425845825997"/>
    <n v="-7.561676727399"/>
    <n v="-63.346076970275902"/>
    <n v="-7.5222414601752199"/>
    <s v="230"/>
    <s v="AM"/>
    <s v="Eixo Principal"/>
    <s v="-"/>
    <s v="230BAM2065"/>
    <s v="IGARAPÉ SANTO ANTÔNIO DE PÁDUA"/>
    <s v="INÍCIO TRAVESSIA IGARAPÉ IPIXUNA"/>
    <n v="643.1"/>
    <n v="652"/>
    <n v="8.9"/>
    <x v="5"/>
    <m/>
    <m/>
    <s v="Federal"/>
    <m/>
    <m/>
    <m/>
    <s v="Federal"/>
    <s v="N_PAV"/>
    <s v="Humaitá"/>
  </r>
  <r>
    <x v="0"/>
    <s v="230BAM2070"/>
    <n v="0"/>
    <x v="186"/>
    <s v="2070"/>
    <n v="-63.346076970275902"/>
    <n v="-7.5222414601752199"/>
    <n v="-63.347143639966902"/>
    <n v="-7.5214109803323996"/>
    <s v="230"/>
    <s v="AM"/>
    <s v="Eixo Principal"/>
    <s v="-"/>
    <s v="230BAM2070"/>
    <s v="INÍCIO TRAVESSIA IGARAPÉ IPIXUNA"/>
    <s v="FIM TRAV IG IPIXUNA (PONTE MADEIRA)"/>
    <n v="652"/>
    <n v="652.1"/>
    <n v="0.1"/>
    <x v="5"/>
    <m/>
    <m/>
    <s v="Federal"/>
    <m/>
    <m/>
    <m/>
    <s v="Federal"/>
    <s v="N_PAV"/>
    <s v="Humaitá"/>
  </r>
  <r>
    <x v="0"/>
    <s v="230BAM2075"/>
    <n v="0"/>
    <x v="186"/>
    <s v="2075"/>
    <n v="-63.347143639966902"/>
    <n v="-7.5214109803323996"/>
    <n v="-63.6085567098242"/>
    <n v="-7.4968944181428503"/>
    <s v="230"/>
    <s v="AM"/>
    <s v="Eixo Principal"/>
    <s v="-"/>
    <s v="230BAM2075"/>
    <s v="FIM TRAV IG IPIXUNA (PONTE MADEIRA)"/>
    <s v="IGARAPÉ PRETO"/>
    <n v="652.1"/>
    <n v="681.9"/>
    <n v="29.8"/>
    <x v="5"/>
    <m/>
    <m/>
    <s v="Federal"/>
    <m/>
    <m/>
    <m/>
    <s v="Federal"/>
    <s v="N_PAV"/>
    <s v="Humaitá"/>
  </r>
  <r>
    <x v="0"/>
    <s v="230BAM2080"/>
    <n v="0"/>
    <x v="186"/>
    <s v="2080"/>
    <n v="-63.6085567098242"/>
    <n v="-7.4968944181428503"/>
    <n v="-63.683287267393403"/>
    <n v="-7.4968606153250903"/>
    <s v="230"/>
    <s v="AM"/>
    <s v="Eixo Principal"/>
    <s v="-"/>
    <s v="230BAM2080"/>
    <s v="IGARAPÉ PRETO"/>
    <s v="IGARAPÉ DO RIOZINHO"/>
    <n v="681.9"/>
    <n v="690.3"/>
    <n v="8.4"/>
    <x v="5"/>
    <m/>
    <m/>
    <s v="Federal"/>
    <m/>
    <m/>
    <m/>
    <s v="Federal"/>
    <s v="N_PAV"/>
    <s v="Humaitá"/>
  </r>
  <r>
    <x v="0"/>
    <s v="230BAM2085"/>
    <n v="0"/>
    <x v="186"/>
    <s v="2085"/>
    <n v="-63.683287267393403"/>
    <n v="-7.4968606153250903"/>
    <n v="-63.783019065077703"/>
    <n v="-7.48493818784703"/>
    <s v="230"/>
    <s v="AM"/>
    <s v="Eixo Principal"/>
    <s v="-"/>
    <s v="230BAM2085"/>
    <s v="IGARAPÉ DO RIOZINHO"/>
    <s v="IGARAPÉ ITAPARANÁ"/>
    <n v="690.3"/>
    <n v="701.5"/>
    <n v="11.2"/>
    <x v="5"/>
    <m/>
    <m/>
    <s v="Federal"/>
    <m/>
    <m/>
    <m/>
    <s v="Federal"/>
    <s v="N_PAV"/>
    <s v="Humaitá"/>
  </r>
  <r>
    <x v="0"/>
    <s v="230BAM2090"/>
    <n v="0"/>
    <x v="186"/>
    <s v="2090"/>
    <n v="-63.783019065077703"/>
    <n v="-7.48493818784703"/>
    <n v="-63.849263096414703"/>
    <n v="-7.4826085984080297"/>
    <s v="230"/>
    <s v="AM"/>
    <s v="Eixo Principal"/>
    <s v="-"/>
    <s v="230BAM2090"/>
    <s v="IGARAPÉ ITAPARANÁ"/>
    <s v="IGARAPÉ ITAPARANAZINHO"/>
    <n v="701.5"/>
    <n v="708.9"/>
    <n v="7.4"/>
    <x v="5"/>
    <m/>
    <m/>
    <s v="Federal"/>
    <m/>
    <m/>
    <m/>
    <s v="Federal"/>
    <s v="N_PAV"/>
    <s v="Humaitá"/>
  </r>
  <r>
    <x v="0"/>
    <s v="230BAM2100"/>
    <n v="0"/>
    <x v="186"/>
    <s v="2100"/>
    <n v="-63.849263096414703"/>
    <n v="-7.4826085984080297"/>
    <n v="-64.068067740133998"/>
    <n v="-7.47603260362171"/>
    <s v="230"/>
    <s v="AM"/>
    <s v="Eixo Principal"/>
    <s v="-"/>
    <s v="230BAM2100"/>
    <s v="IGARAPÉ ITAPARANAZINHO"/>
    <s v="RIO ASSUÃ"/>
    <n v="708.9"/>
    <n v="733.2"/>
    <n v="24.3"/>
    <x v="5"/>
    <m/>
    <m/>
    <s v="Federal"/>
    <m/>
    <m/>
    <m/>
    <s v="Federal"/>
    <s v="N_PAV"/>
    <s v="Humaitá"/>
  </r>
  <r>
    <x v="0"/>
    <s v="230BAM2110"/>
    <n v="0"/>
    <x v="186"/>
    <s v="2110"/>
    <n v="-64.068067740133998"/>
    <n v="-7.47603260362171"/>
    <n v="-64.241824079917293"/>
    <n v="-7.4647561501761199"/>
    <s v="230"/>
    <s v="AM"/>
    <s v="Eixo Principal"/>
    <s v="-"/>
    <s v="230BAM2110"/>
    <s v="RIO ASSUÃ"/>
    <s v="INÍCIO TRAVESSIA RIO MUCUIM"/>
    <n v="733.2"/>
    <n v="752.8"/>
    <n v="19.600000000000001"/>
    <x v="5"/>
    <m/>
    <m/>
    <s v="Federal"/>
    <m/>
    <m/>
    <m/>
    <s v="Federal"/>
    <s v="N_PAV"/>
    <s v="Humaitá"/>
  </r>
  <r>
    <x v="0"/>
    <s v="230BAM2115"/>
    <n v="0"/>
    <x v="186"/>
    <s v="2115"/>
    <n v="-64.241824079917293"/>
    <n v="-7.4647561501761199"/>
    <n v="-64.2432182404294"/>
    <n v="-7.4653473402075203"/>
    <s v="230"/>
    <s v="AM"/>
    <s v="Eixo Principal"/>
    <s v="-"/>
    <s v="230BAM2115"/>
    <s v="INÍCIO TRAVESSIA RIO MUCUIM"/>
    <s v="FIM TRAV R MUCUIM (INI FLONA BALATA T.)"/>
    <n v="752.8"/>
    <n v="753"/>
    <n v="0.2"/>
    <x v="4"/>
    <m/>
    <m/>
    <s v="Federal"/>
    <m/>
    <m/>
    <m/>
    <s v="Federal"/>
    <s v="N_PAV"/>
    <s v="Humaitá"/>
  </r>
  <r>
    <x v="0"/>
    <s v="230BAM2120"/>
    <n v="0"/>
    <x v="186"/>
    <s v="2120"/>
    <n v="-64.2432182404294"/>
    <n v="-7.4653473402075203"/>
    <n v="-64.476140580123598"/>
    <n v="-7.4626910648407199"/>
    <s v="230"/>
    <s v="AM"/>
    <s v="Eixo Principal"/>
    <s v="-"/>
    <s v="230BAM2120"/>
    <s v="FIM TRAV R MUCUIM (INI FLONA BALATA T.)"/>
    <s v="RIO PUNAINÃ"/>
    <n v="753"/>
    <n v="780.2"/>
    <n v="27.2"/>
    <x v="5"/>
    <m/>
    <m/>
    <s v="Federal"/>
    <m/>
    <m/>
    <m/>
    <s v="Federal"/>
    <s v="N_PAV"/>
    <s v="Humaitá"/>
  </r>
  <r>
    <x v="0"/>
    <s v="230BAM2125"/>
    <n v="0"/>
    <x v="186"/>
    <s v="2125"/>
    <n v="-64.476140580123598"/>
    <n v="-7.4626910648407199"/>
    <n v="-64.516725968728394"/>
    <n v="-7.46646800609357"/>
    <s v="230"/>
    <s v="AM"/>
    <s v="Eixo Principal"/>
    <s v="-"/>
    <s v="230BAM2125"/>
    <s v="RIO PUNAINÃ"/>
    <s v="RIO SANTO ANTÔNIO"/>
    <n v="780.2"/>
    <n v="785"/>
    <n v="4.8"/>
    <x v="5"/>
    <m/>
    <m/>
    <s v="Federal"/>
    <m/>
    <m/>
    <m/>
    <s v="Federal"/>
    <s v="N_PAV"/>
    <s v="Humaitá"/>
  </r>
  <r>
    <x v="0"/>
    <s v="230BAM2130"/>
    <n v="0"/>
    <x v="186"/>
    <s v="2130"/>
    <n v="-64.516725968728394"/>
    <n v="-7.46646800609357"/>
    <n v="-64.5598796223466"/>
    <n v="-7.46119074565632"/>
    <s v="230"/>
    <s v="AM"/>
    <s v="Eixo Principal"/>
    <s v="-"/>
    <s v="230BAM2130"/>
    <s v="RIO SANTO ANTÔNIO"/>
    <s v="RIO UMARÍ"/>
    <n v="785"/>
    <n v="790"/>
    <n v="5"/>
    <x v="5"/>
    <m/>
    <m/>
    <s v="Federal"/>
    <m/>
    <m/>
    <m/>
    <s v="Federal"/>
    <s v="N_PAV"/>
    <s v="Humaitá"/>
  </r>
  <r>
    <x v="0"/>
    <s v="230BAM2150"/>
    <n v="0"/>
    <x v="186"/>
    <s v="2150"/>
    <n v="-64.5598796223466"/>
    <n v="-7.46119074565632"/>
    <n v="-64.624114150047902"/>
    <n v="-7.4603260852805402"/>
    <s v="230"/>
    <s v="AM"/>
    <s v="Eixo Principal"/>
    <s v="-"/>
    <s v="230BAM2150"/>
    <s v="RIO UMARÍ"/>
    <s v="RIO PACIÁ (FIM FLONA BALATA T.)"/>
    <n v="790"/>
    <n v="797.5"/>
    <n v="7.5"/>
    <x v="5"/>
    <m/>
    <m/>
    <s v="Federal"/>
    <m/>
    <m/>
    <m/>
    <s v="Federal"/>
    <s v="N_PAV"/>
    <s v="Humaitá"/>
  </r>
  <r>
    <x v="0"/>
    <s v="230BAM2165"/>
    <n v="0"/>
    <x v="186"/>
    <s v="2165"/>
    <n v="-64.624114150047902"/>
    <n v="-7.4603260852805402"/>
    <n v="-64.702042900059695"/>
    <n v="-7.4317420540525001"/>
    <s v="230"/>
    <s v="AM"/>
    <s v="Eixo Principal"/>
    <s v="-"/>
    <s v="230BAM2165"/>
    <s v="RIO PACIÁ (FIM FLONA BALATA T.)"/>
    <s v="IGARAPÉ BOA ÁGUA"/>
    <n v="797.5"/>
    <n v="807.3"/>
    <n v="9.8000000000000007"/>
    <x v="5"/>
    <m/>
    <m/>
    <s v="Federal"/>
    <m/>
    <m/>
    <m/>
    <s v="Federal"/>
    <s v="N_PAV"/>
    <s v="Humaitá"/>
  </r>
  <r>
    <x v="0"/>
    <s v="230BAM2170"/>
    <n v="0"/>
    <x v="186"/>
    <s v="2170"/>
    <n v="-64.702042900059695"/>
    <n v="-7.4317420540525001"/>
    <n v="-64.737210879678202"/>
    <n v="-7.3790229395569904"/>
    <s v="230"/>
    <s v="AM"/>
    <s v="Eixo Principal"/>
    <s v="-"/>
    <s v="230BAM2170"/>
    <s v="IGARAPÉ BOA ÁGUA"/>
    <s v="INÍCIO PAVIMENTAÇÃO"/>
    <n v="807.3"/>
    <n v="815.4"/>
    <n v="8.1"/>
    <x v="5"/>
    <m/>
    <m/>
    <s v="Federal"/>
    <m/>
    <m/>
    <m/>
    <s v="Federal"/>
    <s v="N_PAV"/>
    <s v="Humaitá"/>
  </r>
  <r>
    <x v="0"/>
    <s v="230BAM2175"/>
    <n v="0"/>
    <x v="186"/>
    <s v="2175"/>
    <n v="-64.737210879678202"/>
    <n v="-7.3790229395569904"/>
    <n v="-64.793708109941207"/>
    <n v="-7.2663960598302397"/>
    <s v="230"/>
    <s v="AM"/>
    <s v="Eixo Principal"/>
    <s v="-"/>
    <s v="230BAM2175"/>
    <s v="INÍCIO PAVIMENTAÇÃO"/>
    <s v="ENTR BR-317 (LÁBREA)"/>
    <n v="815.4"/>
    <n v="831.4"/>
    <n v="16"/>
    <x v="2"/>
    <m/>
    <m/>
    <s v="Federal"/>
    <m/>
    <m/>
    <m/>
    <s v="Federal"/>
    <s v="PAV"/>
    <s v="Humaitá"/>
  </r>
  <r>
    <x v="0"/>
    <s v="230BAM2180"/>
    <n v="0"/>
    <x v="186"/>
    <s v="2180"/>
    <n v="-64.793708109941207"/>
    <n v="-7.2663960598302397"/>
    <n v="-64.799716549778907"/>
    <n v="-7.2608998198707502"/>
    <s v="230"/>
    <s v="AM"/>
    <s v="Eixo Principal"/>
    <s v="-"/>
    <s v="230BAM2180"/>
    <s v="ENTR BR-317 (LÁBREA)"/>
    <s v="FIM DA PAVIMENTAÇÃO"/>
    <n v="831.4"/>
    <n v="832.3"/>
    <n v="0.9"/>
    <x v="2"/>
    <m/>
    <m/>
    <s v="Federal"/>
    <m/>
    <m/>
    <m/>
    <s v="Federal"/>
    <s v="PAV"/>
    <s v="Humaitá"/>
  </r>
  <r>
    <x v="0"/>
    <s v="230BAM2182"/>
    <n v="0"/>
    <x v="186"/>
    <s v="2182"/>
    <n v="-64.799716549778907"/>
    <n v="-7.2608998198707502"/>
    <n v="-64.802805599598599"/>
    <n v="-7.2567727401697599"/>
    <s v="230"/>
    <s v="AM"/>
    <s v="Eixo Principal"/>
    <s v="-"/>
    <s v="230BAM2182"/>
    <s v="FIM DA PAVIMENTAÇÃO"/>
    <s v="RIO PINHUÃ"/>
    <n v="832.3"/>
    <n v="832.9"/>
    <n v="0.6"/>
    <x v="1"/>
    <m/>
    <m/>
    <s v="Federal"/>
    <m/>
    <m/>
    <m/>
    <s v="Federal"/>
    <s v="PLA"/>
    <s v="Humaitá"/>
  </r>
  <r>
    <x v="0"/>
    <s v="230BAM2185"/>
    <n v="0"/>
    <x v="186"/>
    <s v="2185"/>
    <n v="-64.802805599598599"/>
    <n v="-7.2567727401697599"/>
    <n v="-66.047418718299099"/>
    <n v="-6.4007045987381703"/>
    <s v="230"/>
    <s v="AM"/>
    <s v="Eixo Principal"/>
    <s v="-"/>
    <s v="230BAM2185"/>
    <s v="RIO PINHUÃ"/>
    <s v="BOA VISTA"/>
    <n v="832.9"/>
    <n v="1006.4"/>
    <n v="173.5"/>
    <x v="1"/>
    <m/>
    <m/>
    <s v="Federal"/>
    <m/>
    <m/>
    <m/>
    <s v="Federal"/>
    <s v="PLA"/>
    <s v="Humaitá"/>
  </r>
  <r>
    <x v="0"/>
    <s v="230BAM2190"/>
    <n v="0"/>
    <x v="186"/>
    <s v="2190"/>
    <n v="-66.047418718299099"/>
    <n v="-6.4007045987381703"/>
    <n v="-66.7487013102172"/>
    <n v="-6.0495440953836201"/>
    <s v="230"/>
    <s v="AM"/>
    <s v="Eixo Principal"/>
    <s v="-"/>
    <s v="230BAM2190"/>
    <s v="BOA VISTA"/>
    <s v="RIO BRANCO"/>
    <n v="1006.4"/>
    <n v="1096.4000000000001"/>
    <n v="90"/>
    <x v="1"/>
    <m/>
    <m/>
    <s v="Federal"/>
    <m/>
    <m/>
    <m/>
    <s v="Federal"/>
    <s v="PLA"/>
    <s v="Humaitá"/>
  </r>
  <r>
    <x v="0"/>
    <s v="230BAM2195"/>
    <n v="0"/>
    <x v="186"/>
    <s v="2195"/>
    <n v="-66.7487013102172"/>
    <n v="-6.0495440953836201"/>
    <n v="-67.137889622008402"/>
    <n v="-5.8536291627556203"/>
    <s v="230"/>
    <s v="AM"/>
    <s v="Eixo Principal"/>
    <s v="-"/>
    <s v="230BAM2195"/>
    <s v="RIO BRANCO"/>
    <s v="RIO TAPAUÁ"/>
    <n v="1096.4000000000001"/>
    <n v="1146.4000000000001"/>
    <n v="50"/>
    <x v="1"/>
    <m/>
    <m/>
    <s v="Federal"/>
    <m/>
    <m/>
    <m/>
    <s v="Federal"/>
    <s v="PLA"/>
    <s v="Humaitá"/>
  </r>
  <r>
    <x v="0"/>
    <s v="230BAM2200"/>
    <n v="0"/>
    <x v="186"/>
    <s v="2200"/>
    <n v="-67.137889622008402"/>
    <n v="-5.8536291627556203"/>
    <n v="-67.682753891278907"/>
    <n v="-5.5793479446518797"/>
    <s v="230"/>
    <s v="AM"/>
    <s v="Eixo Principal"/>
    <s v="-"/>
    <s v="230BAM2200"/>
    <s v="RIO TAPAUÁ"/>
    <s v="ENTR AM-333"/>
    <n v="1146.4000000000001"/>
    <n v="1216.4000000000001"/>
    <n v="70"/>
    <x v="1"/>
    <m/>
    <m/>
    <s v="Federal"/>
    <m/>
    <m/>
    <m/>
    <s v="Federal"/>
    <s v="PLA"/>
    <s v="Humaitá"/>
  </r>
  <r>
    <x v="0"/>
    <s v="230BAM2205"/>
    <n v="0"/>
    <x v="186"/>
    <s v="2205"/>
    <n v="-67.682753891278907"/>
    <n v="-5.5793479446518797"/>
    <n v="-68.126429024080096"/>
    <n v="-5.3560046950605598"/>
    <s v="230"/>
    <s v="AM"/>
    <s v="Eixo Principal"/>
    <s v="-"/>
    <s v="230BAM2205"/>
    <s v="ENTR AM-333"/>
    <s v="RIO MUTUM"/>
    <n v="1216.4000000000001"/>
    <n v="1273.4000000000001"/>
    <n v="57"/>
    <x v="1"/>
    <m/>
    <m/>
    <s v="Federal"/>
    <m/>
    <m/>
    <m/>
    <s v="Federal"/>
    <s v="PLA"/>
    <s v="Humaitá"/>
  </r>
  <r>
    <x v="0"/>
    <s v="230BAM2210"/>
    <n v="0"/>
    <x v="186"/>
    <s v="2210"/>
    <n v="-68.126429024080096"/>
    <n v="-5.3560046950605598"/>
    <n v="-68.710511545171599"/>
    <n v="-5.0627306434044499"/>
    <s v="230"/>
    <s v="AM"/>
    <s v="Eixo Principal"/>
    <s v="-"/>
    <s v="230BAM2210"/>
    <s v="RIO MUTUM"/>
    <s v="RIO JUTAÍ"/>
    <n v="1273.4000000000001"/>
    <n v="1348.4"/>
    <n v="75"/>
    <x v="1"/>
    <m/>
    <m/>
    <s v="Federal"/>
    <m/>
    <m/>
    <m/>
    <s v="Federal"/>
    <s v="PLA"/>
    <s v="Humaitá"/>
  </r>
  <r>
    <x v="0"/>
    <s v="230BAM2230"/>
    <n v="0"/>
    <x v="186"/>
    <s v="2230"/>
    <n v="-68.710511545171599"/>
    <n v="-5.0627306434044499"/>
    <n v="-69.334271415693195"/>
    <n v="-4.7513766357230898"/>
    <s v="230"/>
    <s v="AM"/>
    <s v="Eixo Principal"/>
    <s v="-"/>
    <s v="230BAM2230"/>
    <s v="RIO JUTAÍ"/>
    <s v="IGARAPÉ BOA VISTA"/>
    <n v="1348.4"/>
    <n v="1428.4"/>
    <n v="80"/>
    <x v="1"/>
    <m/>
    <m/>
    <s v="Federal"/>
    <m/>
    <m/>
    <m/>
    <s v="Federal"/>
    <s v="PLA"/>
    <s v="Humaitá"/>
  </r>
  <r>
    <x v="0"/>
    <s v="230BAM2250"/>
    <n v="0"/>
    <x v="186"/>
    <s v="2250"/>
    <n v="-69.334271415693195"/>
    <n v="-4.7513766357230898"/>
    <n v="-70.030680719939198"/>
    <n v="-4.3906428500874304"/>
    <s v="230"/>
    <s v="AM"/>
    <s v="Eixo Principal"/>
    <s v="-"/>
    <s v="230BAM2250"/>
    <s v="IGARAPÉ BOA VISTA"/>
    <s v="ENTR BR-307 (BENJAMIN CONSTANT)"/>
    <n v="1428.4"/>
    <n v="1518.4"/>
    <n v="90"/>
    <x v="1"/>
    <m/>
    <m/>
    <s v="Federal"/>
    <m/>
    <m/>
    <m/>
    <s v="Federal"/>
    <s v="PLA"/>
    <s v="Humaitá"/>
  </r>
  <r>
    <x v="0"/>
    <s v="230BCE0530"/>
    <n v="0"/>
    <x v="187"/>
    <s v="0530"/>
    <n v="-38.682432949720798"/>
    <n v="-6.8571511199281696"/>
    <n v="-38.737556509625101"/>
    <n v="-6.8415951696812796"/>
    <s v="230"/>
    <s v="CE"/>
    <s v="Eixo Principal"/>
    <s v="-"/>
    <s v="230BCE0530"/>
    <s v="DIV PB/CE"/>
    <s v="ENTR BR-116(A) (FELIZARDO)"/>
    <n v="0"/>
    <n v="6.7"/>
    <n v="6.7"/>
    <x v="2"/>
    <m/>
    <m/>
    <s v="Federal"/>
    <m/>
    <m/>
    <m/>
    <s v="Federal"/>
    <s v="PAV"/>
    <s v="Icó"/>
  </r>
  <r>
    <x v="0"/>
    <s v="230BCE0550"/>
    <n v="0"/>
    <x v="187"/>
    <s v="0550"/>
    <n v="-38.737556509625101"/>
    <n v="-6.8415951696812796"/>
    <n v="-38.755295699936497"/>
    <n v="-6.8090147095611497"/>
    <s v="230"/>
    <s v="CE"/>
    <s v="Eixo Principal"/>
    <s v="Coinc"/>
    <s v="230BCE0550"/>
    <s v="ENTR BR-116(A) (FELIZARDO)"/>
    <s v="ENTR CE-286 (P/IPAUMIRIM)"/>
    <n v="6.7"/>
    <n v="10.9"/>
    <n v="4.2"/>
    <x v="2"/>
    <m/>
    <s v="116BCE0295"/>
    <s v="Federal"/>
    <m/>
    <m/>
    <m/>
    <s v="Federal"/>
    <s v="PAV"/>
    <s v="Icó"/>
  </r>
  <r>
    <x v="0"/>
    <s v="230BCE0560"/>
    <n v="0"/>
    <x v="187"/>
    <s v="0560"/>
    <n v="-38.755295699936497"/>
    <n v="-6.8090147095611497"/>
    <n v="-38.793270630035501"/>
    <n v="-6.74058434988779"/>
    <s v="230"/>
    <s v="CE"/>
    <s v="Eixo Principal"/>
    <s v="Coinc"/>
    <s v="230BCE0560"/>
    <s v="ENTR CE-286 (P/IPAUMIRIM)"/>
    <s v="ENTR BR-116(B)"/>
    <n v="10.9"/>
    <n v="19.8"/>
    <n v="8.9"/>
    <x v="2"/>
    <m/>
    <s v="116BCE0290"/>
    <s v="Federal"/>
    <m/>
    <m/>
    <m/>
    <s v="Federal"/>
    <s v="PAV"/>
    <s v="Icó"/>
  </r>
  <r>
    <x v="0"/>
    <s v="230BCE0570"/>
    <n v="0"/>
    <x v="187"/>
    <s v="0570"/>
    <n v="-38.793270630035501"/>
    <n v="-6.74058434988779"/>
    <n v="-38.963543499832603"/>
    <n v="-6.7517807501814104"/>
    <s v="230"/>
    <s v="CE"/>
    <s v="Eixo Principal"/>
    <s v="-"/>
    <s v="230BCE0570"/>
    <s v="ENTR BR-116(B)"/>
    <s v="ENTR CE-153 (LAVRAS DA MANGABEIRA)"/>
    <n v="19.8"/>
    <n v="39.5"/>
    <n v="19.7"/>
    <x v="2"/>
    <m/>
    <m/>
    <s v="Federal"/>
    <m/>
    <m/>
    <m/>
    <s v="Federal"/>
    <s v="PAV"/>
    <s v="Icó"/>
  </r>
  <r>
    <x v="0"/>
    <s v="230BCE0590"/>
    <n v="0"/>
    <x v="187"/>
    <s v="0590"/>
    <n v="-38.963543499832603"/>
    <n v="-6.7517807501814104"/>
    <n v="-39.0336111202569"/>
    <n v="-6.7674602304052698"/>
    <s v="230"/>
    <s v="CE"/>
    <s v="Eixo Principal"/>
    <s v="-"/>
    <s v="230BCE0590"/>
    <s v="ENTR CE-153 (LAVRAS DA MANGABEIRA)"/>
    <s v="ENTR CE-385"/>
    <n v="39.5"/>
    <n v="48.4"/>
    <n v="8.9"/>
    <x v="2"/>
    <m/>
    <m/>
    <s v="Federal"/>
    <m/>
    <m/>
    <m/>
    <s v="Federal"/>
    <s v="PAV"/>
    <s v="Icó"/>
  </r>
  <r>
    <x v="0"/>
    <s v="230BCE0600"/>
    <n v="0"/>
    <x v="187"/>
    <s v="0600"/>
    <n v="-39.0336111202569"/>
    <n v="-6.7674602304052698"/>
    <n v="-39.120373380127297"/>
    <n v="-6.7581231397710404"/>
    <s v="230"/>
    <s v="CE"/>
    <s v="Eixo Principal"/>
    <s v="-"/>
    <s v="230BCE0600"/>
    <s v="ENTR CE-385"/>
    <s v="ENTR CE-153 (MANGABEIRA)"/>
    <n v="48.4"/>
    <n v="58.5"/>
    <n v="10.1"/>
    <x v="2"/>
    <m/>
    <m/>
    <s v="Federal"/>
    <m/>
    <m/>
    <m/>
    <s v="Federal"/>
    <s v="PAV"/>
    <s v="Icó"/>
  </r>
  <r>
    <x v="0"/>
    <s v="230BCE0610"/>
    <n v="0"/>
    <x v="187"/>
    <s v="0610"/>
    <n v="-39.120373380127297"/>
    <n v="-6.7581231397710404"/>
    <n v="-39.285549249598098"/>
    <n v="-6.7923708899045803"/>
    <s v="230"/>
    <s v="CE"/>
    <s v="Eixo Principal"/>
    <s v="-"/>
    <s v="230BCE0610"/>
    <s v="ENTR CE-153 (MANGABEIRA)"/>
    <s v="INÍCIO DA DUPLICAÇÃO"/>
    <n v="58.5"/>
    <n v="78.5"/>
    <n v="20"/>
    <x v="2"/>
    <m/>
    <m/>
    <s v="Federal"/>
    <m/>
    <m/>
    <m/>
    <s v="Federal"/>
    <s v="PAV"/>
    <s v="Icó"/>
  </r>
  <r>
    <x v="0"/>
    <s v="230BCE0620"/>
    <n v="0"/>
    <x v="187"/>
    <s v="0620"/>
    <n v="-39.285549249598098"/>
    <n v="-6.7923708899045803"/>
    <n v="-39.307800010362101"/>
    <n v="-6.7923285803996096"/>
    <s v="230"/>
    <s v="CE"/>
    <s v="Eixo Principal"/>
    <s v="-"/>
    <s v="230BCE0620"/>
    <s v="INÍCIO DA DUPLICAÇÃO"/>
    <s v="FINAL DA DUPLICAÇÃO"/>
    <n v="78.5"/>
    <n v="80.5"/>
    <n v="2"/>
    <x v="0"/>
    <m/>
    <m/>
    <s v="Federal"/>
    <m/>
    <m/>
    <m/>
    <s v="Federal"/>
    <s v="PAV"/>
    <s v="Icó"/>
  </r>
  <r>
    <x v="0"/>
    <s v="230BCE0625"/>
    <n v="0"/>
    <x v="187"/>
    <s v="0625"/>
    <n v="-39.307800010362101"/>
    <n v="-6.7923285803996096"/>
    <n v="-39.308120599785802"/>
    <n v="-6.7921635898777"/>
    <s v="230"/>
    <s v="CE"/>
    <s v="Eixo Principal"/>
    <s v="-"/>
    <s v="230BCE0625"/>
    <s v="FINAL DA DUPLICAÇÃO"/>
    <s v="ENTR BR-122 (VÁRZEA ALEGRE)"/>
    <n v="80.5"/>
    <n v="81.599999999999994"/>
    <n v="1.1000000000000001"/>
    <x v="2"/>
    <m/>
    <m/>
    <s v="Federal"/>
    <m/>
    <m/>
    <m/>
    <s v="Federal"/>
    <s v="PAV"/>
    <s v="Icó"/>
  </r>
  <r>
    <x v="0"/>
    <s v="230BCE0630"/>
    <n v="0"/>
    <x v="187"/>
    <s v="0630"/>
    <n v="-39.308120599785802"/>
    <n v="-6.7921635898777"/>
    <n v="-39.573749400014698"/>
    <n v="-6.9301473996827099"/>
    <s v="230"/>
    <s v="CE"/>
    <s v="Eixo Principal"/>
    <s v="-"/>
    <s v="230BCE0630"/>
    <s v="ENTR BR-122 (VÁRZEA ALEGRE)"/>
    <s v="ENTR CE-166/386/489 (FARIAS BRITO)"/>
    <n v="81.599999999999994"/>
    <n v="116"/>
    <n v="34.4"/>
    <x v="2"/>
    <m/>
    <m/>
    <s v="Federal"/>
    <m/>
    <m/>
    <m/>
    <s v="Federal"/>
    <s v="PAV"/>
    <s v="Icó"/>
  </r>
  <r>
    <x v="0"/>
    <s v="230BCE0650"/>
    <n v="0"/>
    <x v="187"/>
    <s v="0650"/>
    <n v="-39.573749400014698"/>
    <n v="-6.9301473996827099"/>
    <n v="-39.8688754201644"/>
    <n v="-6.86703086957891"/>
    <s v="230"/>
    <s v="CE"/>
    <s v="Eixo Principal"/>
    <s v="-"/>
    <s v="230BCE0650"/>
    <s v="ENTR CE-166/386/489 (FARIAS BRITO)"/>
    <s v="ENTR CE-176/375/388 (ASSARÉ)"/>
    <n v="116"/>
    <n v="151"/>
    <n v="35"/>
    <x v="1"/>
    <m/>
    <m/>
    <s v="Federal"/>
    <m/>
    <m/>
    <m/>
    <s v="Federal"/>
    <s v="PLA"/>
    <s v="Icó"/>
  </r>
  <r>
    <x v="0"/>
    <s v="230BCE0670"/>
    <n v="0"/>
    <x v="187"/>
    <s v="0670"/>
    <n v="-39.8688754201644"/>
    <n v="-6.86703086957891"/>
    <n v="-40.1608170596595"/>
    <n v="-6.8944681401924797"/>
    <s v="230"/>
    <s v="CE"/>
    <s v="Eixo Principal"/>
    <s v="-"/>
    <s v="230BCE0670"/>
    <s v="ENTR CE-176/375/388 (ASSARÉ)"/>
    <s v="ENTR CE-373 (CARMELÓPOLIS)"/>
    <n v="151"/>
    <n v="201"/>
    <n v="50"/>
    <x v="1"/>
    <m/>
    <m/>
    <s v="Federal"/>
    <m/>
    <m/>
    <m/>
    <s v="Federal"/>
    <s v="PLA"/>
    <s v="Icó"/>
  </r>
  <r>
    <x v="0"/>
    <s v="230BCE0690"/>
    <n v="0"/>
    <x v="187"/>
    <s v="0690"/>
    <n v="-40.1608170596595"/>
    <n v="-6.8944681401924797"/>
    <n v="-40.372392899712501"/>
    <n v="-7.0749995396969299"/>
    <s v="230"/>
    <s v="CE"/>
    <s v="Eixo Principal"/>
    <s v="-"/>
    <s v="230BCE0690"/>
    <s v="ENTR CE-373 (CARMELÓPOLIS)"/>
    <s v="ENTR CE-187/292 (A)(CAMPOS SALES)"/>
    <n v="201"/>
    <n v="232.9"/>
    <n v="31.9"/>
    <x v="1"/>
    <m/>
    <m/>
    <s v="Estadual"/>
    <m/>
    <s v="CE-371"/>
    <s v="PAV"/>
    <s v="Estadual"/>
    <s v="PLA"/>
    <s v="Icó"/>
  </r>
  <r>
    <x v="0"/>
    <s v="230BCE0710"/>
    <n v="0"/>
    <x v="187"/>
    <s v="0710"/>
    <n v="-40.372392899712501"/>
    <n v="-7.0749995396969299"/>
    <n v="-40.458400390065798"/>
    <n v="-7.0784741495622798"/>
    <s v="230"/>
    <s v="CE"/>
    <s v="Eixo Principal"/>
    <s v="-"/>
    <s v="230BCE0710"/>
    <s v="ENTR CE-187/292 (A)(CAMPOS SALES)"/>
    <s v="ENTR CE-292(B) (DIV CE/PI)"/>
    <n v="232.9"/>
    <n v="243"/>
    <n v="10.1"/>
    <x v="1"/>
    <m/>
    <m/>
    <s v="Estadual"/>
    <m/>
    <s v="CE-292"/>
    <s v="PAV"/>
    <s v="Estadual"/>
    <s v="PLA"/>
    <s v="Icó"/>
  </r>
  <r>
    <x v="0"/>
    <s v="230BMA0910"/>
    <n v="0"/>
    <x v="188"/>
    <s v="0910"/>
    <n v="-43.0109079700267"/>
    <n v="-6.7615369698552197"/>
    <n v="-43.181835549870598"/>
    <n v="-6.7054745501103499"/>
    <s v="230"/>
    <s v="MA"/>
    <s v="Eixo Principal"/>
    <s v="-"/>
    <s v="230BMA0910"/>
    <s v="ENTR BR-343 (DIV PI/MA) (BARÃO DO GRAJAÚ)"/>
    <s v="ENTR MA-040"/>
    <n v="0"/>
    <n v="20.9"/>
    <n v="20.9"/>
    <x v="2"/>
    <m/>
    <m/>
    <s v="Federal"/>
    <m/>
    <m/>
    <m/>
    <s v="Federal"/>
    <s v="PAV"/>
    <s v="Barão de Grajaú"/>
  </r>
  <r>
    <x v="0"/>
    <s v="230BMA0930"/>
    <n v="0"/>
    <x v="188"/>
    <s v="0930"/>
    <n v="-43.181835549870598"/>
    <n v="-6.7054745501103499"/>
    <n v="-43.462424450028301"/>
    <n v="-6.5941795195691304"/>
    <s v="230"/>
    <s v="MA"/>
    <s v="Eixo Principal"/>
    <s v="-"/>
    <s v="230BMA0930"/>
    <s v="ENTR MA-040"/>
    <s v="ENTR BR-135(A)/MA-364 (DOIS IRMÃOS)"/>
    <n v="20.9"/>
    <n v="57.5"/>
    <n v="36.6"/>
    <x v="2"/>
    <m/>
    <m/>
    <s v="Federal"/>
    <m/>
    <m/>
    <m/>
    <s v="Federal"/>
    <s v="PAV"/>
    <s v="Barão de Grajaú"/>
  </r>
  <r>
    <x v="0"/>
    <s v="230BMA0950"/>
    <n v="0"/>
    <x v="188"/>
    <s v="0950"/>
    <n v="-43.462424450028301"/>
    <n v="-6.5941795195691304"/>
    <n v="-43.6910256399212"/>
    <n v="-6.4960767997044897"/>
    <s v="230"/>
    <s v="MA"/>
    <s v="Eixo Principal"/>
    <s v="Coinc"/>
    <s v="230BMA0950"/>
    <s v="ENTR BR-135(A)/MA-364 (DOIS IRMÃOS)"/>
    <s v="INÍCIO DUPLICAÇÃO"/>
    <n v="57.5"/>
    <n v="90.7"/>
    <n v="33.200000000000003"/>
    <x v="0"/>
    <m/>
    <s v="135BMA0340"/>
    <s v="Federal"/>
    <m/>
    <m/>
    <m/>
    <s v="Federal"/>
    <s v="PAV"/>
    <s v="Barão de Grajaú"/>
  </r>
  <r>
    <x v="0"/>
    <s v="230BMA0960"/>
    <n v="0"/>
    <x v="188"/>
    <s v="0960"/>
    <n v="-43.6910256399212"/>
    <n v="-6.4960767997044897"/>
    <n v="-43.713452989763603"/>
    <n v="-6.4921629600524904"/>
    <s v="230"/>
    <s v="MA"/>
    <s v="Eixo Principal"/>
    <s v="Coinc"/>
    <s v="230BMA0960"/>
    <s v="INÍCIO DUPLICAÇÃO"/>
    <s v="ENTR MA-034 (SÃO JOÃO DOS PATOS)"/>
    <n v="90.7"/>
    <n v="93.3"/>
    <n v="2.6"/>
    <x v="0"/>
    <m/>
    <s v="135BMA0330"/>
    <s v="Federal"/>
    <m/>
    <m/>
    <m/>
    <s v="Federal"/>
    <s v="PAV"/>
    <s v="Barão de Grajaú"/>
  </r>
  <r>
    <x v="0"/>
    <s v="230BMA0970"/>
    <n v="0"/>
    <x v="188"/>
    <s v="0970"/>
    <n v="-43.713452989763603"/>
    <n v="-6.4921629600524904"/>
    <n v="-43.720070509846003"/>
    <n v="-6.4897403402444498"/>
    <s v="230"/>
    <s v="MA"/>
    <s v="Eixo Principal"/>
    <s v="Coinc"/>
    <s v="230BMA0970"/>
    <s v="ENTR MA-034 (SÃO JOÃO DOS PATOS)"/>
    <s v="FIM DUPLICAÇÃO"/>
    <n v="93.3"/>
    <n v="94.1"/>
    <n v="0.8"/>
    <x v="0"/>
    <m/>
    <s v="135BMA0320"/>
    <s v="Federal"/>
    <m/>
    <m/>
    <m/>
    <s v="Federal"/>
    <s v="PAV"/>
    <s v="Barão de Grajaú"/>
  </r>
  <r>
    <x v="0"/>
    <s v="230BMA0975"/>
    <n v="0"/>
    <x v="188"/>
    <s v="0975"/>
    <n v="-43.720070509846003"/>
    <n v="-6.4897403402444498"/>
    <n v="-43.877827069563502"/>
    <n v="-6.51471834997181"/>
    <s v="230"/>
    <s v="MA"/>
    <s v="Eixo Principal"/>
    <s v="Coinc"/>
    <s v="230BMA0975"/>
    <s v="FIM DUPLICAÇÃO"/>
    <s v="ENTR BR-135(B)/MA-368 (OROSIMBO)"/>
    <n v="94.1"/>
    <n v="114.8"/>
    <n v="20.7"/>
    <x v="2"/>
    <m/>
    <s v="135BMA0310"/>
    <s v="Federal"/>
    <m/>
    <m/>
    <m/>
    <s v="Federal"/>
    <s v="PAV"/>
    <s v="Barão de Grajaú"/>
  </r>
  <r>
    <x v="0"/>
    <s v="230BMA0980"/>
    <n v="0"/>
    <x v="188"/>
    <s v="0980"/>
    <n v="-43.877827069563502"/>
    <n v="-6.51471834997181"/>
    <n v="-44.079019109744003"/>
    <n v="-6.5922400101682603"/>
    <s v="230"/>
    <s v="MA"/>
    <s v="Eixo Principal"/>
    <s v="-"/>
    <s v="230BMA0980"/>
    <s v="ENTR BR-135(B)/MA-368 (OROSIMBO)"/>
    <s v="INÍCIO DUPLICAÇÃO"/>
    <n v="114.8"/>
    <n v="141.4"/>
    <n v="26.6"/>
    <x v="2"/>
    <m/>
    <m/>
    <s v="Federal"/>
    <m/>
    <m/>
    <m/>
    <s v="Federal"/>
    <s v="PAV"/>
    <s v="Barão de Grajaú"/>
  </r>
  <r>
    <x v="0"/>
    <s v="230BMA0985"/>
    <n v="0"/>
    <x v="188"/>
    <s v="0985"/>
    <n v="-44.079019109744003"/>
    <n v="-6.5922400101682603"/>
    <n v="-44.086863910341101"/>
    <n v="-6.5993636102423903"/>
    <s v="230"/>
    <s v="MA"/>
    <s v="Eixo Principal"/>
    <s v="-"/>
    <s v="230BMA0985"/>
    <s v="INÍCIO DUPLICAÇÃO"/>
    <s v="ENTR MA-270/369 (PASTOS BONS)"/>
    <n v="141.4"/>
    <n v="142.69999999999999"/>
    <n v="1.3"/>
    <x v="0"/>
    <m/>
    <m/>
    <s v="Federal"/>
    <m/>
    <m/>
    <m/>
    <s v="Federal"/>
    <s v="PAV"/>
    <s v="Barão de Grajaú"/>
  </r>
  <r>
    <x v="0"/>
    <s v="230BMA0990"/>
    <n v="0"/>
    <x v="188"/>
    <s v="0990"/>
    <n v="-44.086863910341101"/>
    <n v="-6.5993636102423903"/>
    <n v="-44.089136089758703"/>
    <n v="-6.6014928604071201"/>
    <s v="230"/>
    <s v="MA"/>
    <s v="Eixo Principal"/>
    <s v="-"/>
    <s v="230BMA0990"/>
    <s v="ENTR MA-270/369 (PASTOS BONS)"/>
    <s v="FIM DUPLICAÇÃO"/>
    <n v="142.69999999999999"/>
    <n v="143"/>
    <n v="0.3"/>
    <x v="0"/>
    <m/>
    <m/>
    <s v="Federal"/>
    <m/>
    <m/>
    <m/>
    <s v="Federal"/>
    <s v="PAV"/>
    <s v="Barão de Grajaú"/>
  </r>
  <r>
    <x v="0"/>
    <s v="230BMA0991"/>
    <n v="0"/>
    <x v="188"/>
    <s v="0991"/>
    <n v="-44.089136089758703"/>
    <n v="-6.6014928604071201"/>
    <n v="-44.655652340383099"/>
    <n v="-6.8242235502765896"/>
    <s v="230"/>
    <s v="MA"/>
    <s v="Eixo Principal"/>
    <s v="-"/>
    <s v="230BMA0991"/>
    <s v="FIM DUPLICAÇÃO"/>
    <s v="ENTR MA-371 (SÃO  DOMINGOS DO AZEITÃO)"/>
    <n v="143"/>
    <n v="214.9"/>
    <n v="71.900000000000006"/>
    <x v="2"/>
    <m/>
    <m/>
    <s v="Federal"/>
    <m/>
    <m/>
    <m/>
    <s v="Federal"/>
    <s v="PAV"/>
    <s v="Barão de Grajaú"/>
  </r>
  <r>
    <x v="0"/>
    <s v="230BMA0992"/>
    <n v="0"/>
    <x v="188"/>
    <s v="0992"/>
    <n v="-44.655652340383099"/>
    <n v="-6.8242235502765896"/>
    <n v="-44.845924840159199"/>
    <n v="-6.8204774800516299"/>
    <s v="230"/>
    <s v="MA"/>
    <s v="Eixo Principal"/>
    <s v="-"/>
    <s v="230BMA0992"/>
    <s v="ENTR MA-371 (SÃO  DOMINGOS DO AZEITÃO)"/>
    <s v="ENTR MA-373 (SANTA TEREZA)"/>
    <n v="214.9"/>
    <n v="237.7"/>
    <n v="22.8"/>
    <x v="2"/>
    <m/>
    <m/>
    <s v="Federal"/>
    <m/>
    <m/>
    <m/>
    <s v="Federal"/>
    <s v="PAV"/>
    <s v="Barão de Grajaú"/>
  </r>
  <r>
    <x v="0"/>
    <s v="230BMA1000"/>
    <n v="0"/>
    <x v="188"/>
    <s v="1000"/>
    <n v="-44.845924840159199"/>
    <n v="-6.8204774800516299"/>
    <n v="-45.168779110167698"/>
    <n v="-6.8545119199890703"/>
    <s v="230"/>
    <s v="MA"/>
    <s v="Eixo Principal"/>
    <s v="-"/>
    <s v="230BMA1000"/>
    <s v="ENTR MA-373 (SANTA TEREZA)"/>
    <s v="ENTR MA-374 (P/LORETO)"/>
    <n v="237.7"/>
    <n v="274.5"/>
    <n v="36.799999999999997"/>
    <x v="2"/>
    <m/>
    <m/>
    <s v="Federal"/>
    <m/>
    <m/>
    <m/>
    <s v="Federal"/>
    <s v="PAV"/>
    <s v="Barão de Grajaú"/>
  </r>
  <r>
    <x v="0"/>
    <s v="230BMA1002"/>
    <n v="0"/>
    <x v="188"/>
    <s v="1002"/>
    <n v="-45.168779110167698"/>
    <n v="-6.8545119199890703"/>
    <n v="-45.475110469872199"/>
    <n v="-7.0183830197604999"/>
    <s v="230"/>
    <s v="MA"/>
    <s v="Eixo Principal"/>
    <s v="-"/>
    <s v="230BMA1002"/>
    <s v="ENTR MA-374 (P/LORETO)"/>
    <s v="ENTR MA-012/375 (SÃO RAIMUNDO DAS MANGABEIRAS)"/>
    <n v="274.5"/>
    <n v="314.2"/>
    <n v="39.700000000000003"/>
    <x v="2"/>
    <m/>
    <m/>
    <s v="Federal"/>
    <m/>
    <m/>
    <m/>
    <s v="Federal"/>
    <s v="PAV"/>
    <s v="Barão de Grajaú"/>
  </r>
  <r>
    <x v="0"/>
    <s v="230BMA1010"/>
    <n v="0"/>
    <x v="188"/>
    <s v="1010"/>
    <n v="-45.475110469872199"/>
    <n v="-7.0183830197604999"/>
    <n v="-45.8869905798513"/>
    <n v="-7.2303709804363603"/>
    <s v="230"/>
    <s v="MA"/>
    <s v="Eixo Principal"/>
    <s v="-"/>
    <s v="230BMA1010"/>
    <s v="ENTR MA-012/375 (SÃO RAIMUNDO DAS MANGABEIRAS)"/>
    <s v="ENTR MA-006(A)"/>
    <n v="314.2"/>
    <n v="366.8"/>
    <n v="52.6"/>
    <x v="2"/>
    <m/>
    <m/>
    <s v="Federal"/>
    <m/>
    <m/>
    <m/>
    <s v="Federal"/>
    <s v="PAV"/>
    <s v="Barão de Grajaú"/>
  </r>
  <r>
    <x v="0"/>
    <s v="230BMA1030"/>
    <n v="0"/>
    <x v="188"/>
    <s v="1030"/>
    <n v="-45.8869905798513"/>
    <n v="-7.2303709804363603"/>
    <n v="-46.050537890411199"/>
    <n v="-7.5210073403164301"/>
    <s v="230"/>
    <s v="MA"/>
    <s v="Eixo Principal"/>
    <s v="-"/>
    <s v="230BMA1030"/>
    <s v="ENTR MA-006(A)"/>
    <s v="ENTR BR-324/330/MA-006(B) (BALSAS)"/>
    <n v="366.8"/>
    <n v="405.1"/>
    <n v="38.299999999999997"/>
    <x v="2"/>
    <m/>
    <m/>
    <s v="Federal"/>
    <m/>
    <m/>
    <m/>
    <s v="Federal"/>
    <s v="PAV"/>
    <s v="Barão de Grajaú"/>
  </r>
  <r>
    <x v="0"/>
    <s v="230BMA1050"/>
    <n v="0"/>
    <x v="188"/>
    <s v="1050"/>
    <n v="-46.050537890411199"/>
    <n v="-7.5210073403164301"/>
    <n v="-46.667774559947901"/>
    <n v="-7.4227677796092699"/>
    <s v="230"/>
    <s v="MA"/>
    <s v="Eixo Principal"/>
    <s v="-"/>
    <s v="230BMA1050"/>
    <s v="ENTR BR-324/330/MA-006(B) (BALSAS)"/>
    <s v="ENTR MA-132 (RIACHÃO)"/>
    <n v="405.1"/>
    <n v="481.1"/>
    <n v="76"/>
    <x v="2"/>
    <m/>
    <m/>
    <s v="Federal"/>
    <m/>
    <m/>
    <m/>
    <s v="Federal"/>
    <s v="PAV"/>
    <s v="Barão de Grajaú"/>
  </r>
  <r>
    <x v="0"/>
    <s v="230BMA1060"/>
    <n v="0"/>
    <x v="188"/>
    <s v="1060"/>
    <n v="-46.667774559947901"/>
    <n v="-7.4227677796092699"/>
    <n v="-47.453672390068697"/>
    <n v="-7.3403322903029098"/>
    <s v="230"/>
    <s v="MA"/>
    <s v="Eixo Principal"/>
    <s v="-"/>
    <s v="230BMA1060"/>
    <s v="ENTR MA-132 (RIACHÃO)"/>
    <s v="ENTR BR-010(A) (CAROLINA)"/>
    <n v="481.1"/>
    <n v="572.5"/>
    <n v="91.4"/>
    <x v="2"/>
    <m/>
    <m/>
    <s v="Federal"/>
    <m/>
    <m/>
    <m/>
    <s v="Federal"/>
    <s v="PAV"/>
    <s v="Imperatriz"/>
  </r>
  <r>
    <x v="0"/>
    <s v="230BMA1070"/>
    <n v="0"/>
    <x v="188"/>
    <s v="1070"/>
    <n v="-47.453672390068697"/>
    <n v="-7.3403322903029098"/>
    <n v="-47.450543029936803"/>
    <n v="-6.5579729902612396"/>
    <s v="230"/>
    <s v="MA"/>
    <s v="Eixo Principal"/>
    <s v="Coinc"/>
    <s v="230BMA1070"/>
    <s v="ENTR BR-010(A) (CAROLINA)"/>
    <s v="ENTR BR-010(B)/226(A)/MA-138 (ESTREITO)"/>
    <n v="572.5"/>
    <n v="667.3"/>
    <n v="94.8"/>
    <x v="2"/>
    <m/>
    <s v="010BMA0370"/>
    <s v="Federal"/>
    <m/>
    <m/>
    <m/>
    <s v="Federal"/>
    <s v="PAV"/>
    <s v="Imperatriz"/>
  </r>
  <r>
    <x v="0"/>
    <s v="230BMA1075"/>
    <n v="0"/>
    <x v="188"/>
    <s v="1075"/>
    <n v="-47.450543029936803"/>
    <n v="-6.5579729902612396"/>
    <n v="-47.460316420366397"/>
    <n v="-6.56020490972878"/>
    <s v="230"/>
    <s v="MA"/>
    <s v="Eixo Principal"/>
    <s v="Coinc"/>
    <s v="230BMA1075"/>
    <s v="ENTR BR-010(B)/226(A)/MA-138 (ESTREITO)"/>
    <s v="DIV MA/TO"/>
    <n v="667.3"/>
    <n v="668.1"/>
    <n v="0.8"/>
    <x v="2"/>
    <m/>
    <s v="226BMA0940"/>
    <s v="Federal"/>
    <m/>
    <m/>
    <m/>
    <s v="Federal"/>
    <s v="PAV"/>
    <s v="Imperatriz"/>
  </r>
  <r>
    <x v="0"/>
    <s v="230BPA1190"/>
    <n v="0"/>
    <x v="189"/>
    <s v="1190"/>
    <n v="-48.170011330058699"/>
    <n v="-5.7117909998547098"/>
    <n v="-48.175875700303202"/>
    <n v="-5.7058801400563599"/>
    <s v="230"/>
    <s v="PA"/>
    <s v="Eixo Principal"/>
    <s v="-"/>
    <s v="230BPA1190"/>
    <s v="DIV TO/PA (INÍCIO PONTE S/RIO ARAGUAIA)"/>
    <s v="FIM PONTE S/RIO ARAGUAIA"/>
    <n v="0"/>
    <n v="0.7"/>
    <n v="0.7"/>
    <x v="2"/>
    <m/>
    <m/>
    <s v="Federal"/>
    <m/>
    <m/>
    <m/>
    <s v="Federal"/>
    <s v="PAV"/>
    <s v="Marabá"/>
  </r>
  <r>
    <x v="0"/>
    <s v="230BPA1200"/>
    <n v="0"/>
    <x v="189"/>
    <s v="1200"/>
    <n v="-48.175875700303202"/>
    <n v="-5.7058801400563599"/>
    <n v="-48.269152929663903"/>
    <n v="-5.67985962991792"/>
    <s v="230"/>
    <s v="PA"/>
    <s v="Eixo Principal"/>
    <s v="-"/>
    <s v="230BPA1200"/>
    <s v="FIM PONTE S/RIO ARAGUAIA"/>
    <s v="INÍCIO PAVIMENTAÇÃO"/>
    <n v="0.7"/>
    <n v="12.1"/>
    <n v="11.4"/>
    <x v="5"/>
    <m/>
    <m/>
    <s v="Federal"/>
    <m/>
    <m/>
    <m/>
    <s v="Federal"/>
    <s v="N_PAV"/>
    <s v="Marabá"/>
  </r>
  <r>
    <x v="0"/>
    <s v="230BPA1220"/>
    <n v="0"/>
    <x v="189"/>
    <s v="1220"/>
    <n v="-48.269152929663903"/>
    <n v="-5.67985962991792"/>
    <n v="-48.301589369653598"/>
    <n v="-5.6875307003814397"/>
    <s v="230"/>
    <s v="PA"/>
    <s v="Eixo Principal"/>
    <s v="-"/>
    <s v="230BPA1220"/>
    <s v="INÍCIO PAVIMENTAÇÃO"/>
    <s v="FIM DA PAVIMENTAÇÃO"/>
    <n v="12.1"/>
    <n v="16"/>
    <n v="3.9"/>
    <x v="2"/>
    <m/>
    <m/>
    <s v="Federal"/>
    <m/>
    <m/>
    <m/>
    <s v="Federal"/>
    <s v="PAV"/>
    <s v="Marabá"/>
  </r>
  <r>
    <x v="0"/>
    <s v="230BPA1226"/>
    <n v="0"/>
    <x v="189"/>
    <s v="1226"/>
    <n v="-48.301589369653598"/>
    <n v="-5.6875307003814397"/>
    <n v="-48.341830450115097"/>
    <n v="-5.6962052101023302"/>
    <s v="230"/>
    <s v="PA"/>
    <s v="Eixo Principal"/>
    <s v="-"/>
    <s v="230BPA1226"/>
    <s v="FIM DA PAVIMENTAÇÃO"/>
    <s v="INÍCIO PAVIMENTAÇÃO"/>
    <n v="16"/>
    <n v="20.5"/>
    <n v="4.5"/>
    <x v="2"/>
    <m/>
    <m/>
    <s v="Federal"/>
    <m/>
    <m/>
    <m/>
    <s v="Federal"/>
    <s v="PAV"/>
    <s v="Marabá"/>
  </r>
  <r>
    <x v="0"/>
    <s v="230BPA1232"/>
    <n v="0"/>
    <x v="189"/>
    <s v="1232"/>
    <n v="-48.341830450115097"/>
    <n v="-5.6962052101023302"/>
    <n v="-48.377534389700202"/>
    <n v="-5.68413491969073"/>
    <s v="230"/>
    <s v="PA"/>
    <s v="Eixo Principal"/>
    <s v="-"/>
    <s v="230BPA1232"/>
    <s v="INÍCIO PAVIMENTAÇÃO"/>
    <s v="ENTR PA-459 (P/BREJO GRANDE DO ARAGUAIA)"/>
    <n v="20.5"/>
    <n v="25.2"/>
    <n v="4.7"/>
    <x v="2"/>
    <m/>
    <m/>
    <s v="Federal"/>
    <m/>
    <m/>
    <m/>
    <s v="Federal"/>
    <s v="PAV"/>
    <s v="Marabá"/>
  </r>
  <r>
    <x v="0"/>
    <s v="230BPA1245"/>
    <n v="0"/>
    <x v="189"/>
    <s v="1245"/>
    <n v="-48.377534389700202"/>
    <n v="-5.68413491969073"/>
    <n v="-48.739672460415598"/>
    <n v="-5.4878228500444299"/>
    <s v="230"/>
    <s v="PA"/>
    <s v="Eixo Principal"/>
    <s v="-"/>
    <s v="230BPA1245"/>
    <s v="ENTR PA-459 (P/BREJO GRANDE DO ARAGUAIA)"/>
    <s v="ENTR BR-153(A)"/>
    <n v="25.2"/>
    <n v="73.7"/>
    <n v="48.5"/>
    <x v="2"/>
    <m/>
    <m/>
    <s v="Federal"/>
    <m/>
    <m/>
    <m/>
    <s v="Federal"/>
    <s v="PAV"/>
    <s v="Marabá"/>
  </r>
  <r>
    <x v="0"/>
    <s v="230BPA1250"/>
    <n v="0"/>
    <x v="189"/>
    <s v="1250"/>
    <n v="-48.739672460415598"/>
    <n v="-5.4878228500444299"/>
    <n v="-48.800194469798797"/>
    <n v="-5.4728901398680101"/>
    <s v="230"/>
    <s v="PA"/>
    <s v="Eixo Principal"/>
    <s v="Coinc"/>
    <s v="230BPA1250"/>
    <s v="ENTR BR-153(A)"/>
    <s v="ENTR PA-405"/>
    <n v="73.7"/>
    <n v="80.5"/>
    <n v="6.8"/>
    <x v="2"/>
    <m/>
    <s v="153BPA0030"/>
    <s v="Federal"/>
    <m/>
    <m/>
    <m/>
    <s v="Federal"/>
    <s v="PAV"/>
    <s v="Marabá"/>
  </r>
  <r>
    <x v="0"/>
    <s v="230BPA1270"/>
    <n v="0"/>
    <x v="189"/>
    <s v="1270"/>
    <n v="-48.800194469798797"/>
    <n v="-5.4728901398680101"/>
    <n v="-49.078453970274403"/>
    <n v="-5.3615281601963698"/>
    <s v="230"/>
    <s v="PA"/>
    <s v="Eixo Principal"/>
    <s v="Coinc"/>
    <s v="230BPA1270"/>
    <s v="ENTR PA-405"/>
    <s v="ENTR BR-153(B)/155/222 (MARABÁ)"/>
    <n v="80.5"/>
    <n v="115.4"/>
    <n v="34.9"/>
    <x v="2"/>
    <m/>
    <s v="153BPA0010"/>
    <s v="Federal"/>
    <m/>
    <m/>
    <m/>
    <s v="Federal"/>
    <s v="PAV"/>
    <s v="Marabá"/>
  </r>
  <r>
    <x v="0"/>
    <s v="230BPA1290"/>
    <n v="0"/>
    <x v="189"/>
    <s v="1290"/>
    <n v="-49.078453970274403"/>
    <n v="-5.3615281601963698"/>
    <n v="-49.122284059761498"/>
    <n v="-5.3562158801586799"/>
    <s v="230"/>
    <s v="PA"/>
    <s v="Eixo Principal"/>
    <s v="-"/>
    <s v="230BPA1290"/>
    <s v="ENTR BR-153(B)/155/222 (MARABÁ)"/>
    <s v="RIO ITACAIÚNAS"/>
    <n v="115.4"/>
    <n v="121.4"/>
    <n v="6"/>
    <x v="2"/>
    <m/>
    <m/>
    <s v="Federal"/>
    <m/>
    <m/>
    <m/>
    <s v="Federal"/>
    <s v="PAV"/>
    <s v="Marabá"/>
  </r>
  <r>
    <x v="0"/>
    <s v="230BPA1300"/>
    <n v="0"/>
    <x v="189"/>
    <s v="1300"/>
    <n v="-49.122284059761498"/>
    <n v="-5.3562158801586799"/>
    <n v="-49.138650399895901"/>
    <n v="-5.3761586199242899"/>
    <s v="230"/>
    <s v="PA"/>
    <s v="Eixo Principal"/>
    <s v="-"/>
    <s v="230BPA1300"/>
    <s v="RIO ITACAIÚNAS"/>
    <s v="PERÍMETRO URBANO CIDADE NOVA"/>
    <n v="121.4"/>
    <n v="124.4"/>
    <n v="3"/>
    <x v="0"/>
    <m/>
    <m/>
    <s v="Federal"/>
    <m/>
    <m/>
    <m/>
    <s v="Federal"/>
    <s v="PAV"/>
    <s v="Marabá"/>
  </r>
  <r>
    <x v="0"/>
    <s v="230BPA1305"/>
    <n v="0"/>
    <x v="189"/>
    <s v="1305"/>
    <n v="-49.138650399895901"/>
    <n v="-5.3761586199242899"/>
    <n v="-49.388887479573398"/>
    <n v="-5.1506309197810598"/>
    <s v="230"/>
    <s v="PA"/>
    <s v="Eixo Principal"/>
    <s v="-"/>
    <s v="230BPA1305"/>
    <s v="PERÍMETRO URBANO CIDADE NOVA"/>
    <s v="ENTR PA-268 (P/ITUPIRANGA)"/>
    <n v="124.4"/>
    <n v="168.4"/>
    <n v="44"/>
    <x v="2"/>
    <m/>
    <m/>
    <s v="Federal"/>
    <m/>
    <m/>
    <m/>
    <s v="Federal"/>
    <s v="PAV"/>
    <s v="Marabá"/>
  </r>
  <r>
    <x v="0"/>
    <s v="230BPA1330"/>
    <n v="0"/>
    <x v="189"/>
    <s v="1330"/>
    <n v="-49.388887479573398"/>
    <n v="-5.1506309197810598"/>
    <n v="-49.451691300113303"/>
    <n v="-4.96159543028483"/>
    <s v="230"/>
    <s v="PA"/>
    <s v="Eixo Principal"/>
    <s v="-"/>
    <s v="230BPA1330"/>
    <s v="ENTR PA-268 (P/ITUPIRANGA)"/>
    <s v="RIO CAJAZEIRAS"/>
    <n v="168.4"/>
    <n v="194.4"/>
    <n v="26"/>
    <x v="2"/>
    <m/>
    <m/>
    <s v="Federal"/>
    <m/>
    <m/>
    <m/>
    <s v="Federal"/>
    <s v="PAV"/>
    <s v="Marabá"/>
  </r>
  <r>
    <x v="0"/>
    <s v="230BPA1360"/>
    <n v="0"/>
    <x v="189"/>
    <s v="1360"/>
    <n v="-49.451691300113303"/>
    <n v="-4.96159543028483"/>
    <n v="-49.678069240003303"/>
    <n v="-4.6984901304151601"/>
    <s v="230"/>
    <s v="PA"/>
    <s v="Eixo Principal"/>
    <s v="-"/>
    <s v="230BPA1360"/>
    <s v="RIO CAJAZEIRAS"/>
    <s v="DIVINÓPOLIS"/>
    <n v="194.4"/>
    <n v="240"/>
    <n v="45.6"/>
    <x v="2"/>
    <m/>
    <m/>
    <s v="Federal"/>
    <m/>
    <m/>
    <m/>
    <s v="Federal"/>
    <s v="PAV"/>
    <s v="Marabá"/>
  </r>
  <r>
    <x v="0"/>
    <s v="230BPA1375"/>
    <n v="0"/>
    <x v="189"/>
    <s v="1375"/>
    <n v="-49.678069240003303"/>
    <n v="-4.6984901304151601"/>
    <n v="-49.927735070317198"/>
    <n v="-4.4322267496647196"/>
    <s v="230"/>
    <s v="PA"/>
    <s v="Eixo Principal"/>
    <s v="-"/>
    <s v="230BPA1375"/>
    <s v="DIVINÓPOLIS"/>
    <s v="RIO PUCURUÍ"/>
    <n v="240"/>
    <n v="285.7"/>
    <n v="45.7"/>
    <x v="5"/>
    <s v="EOP"/>
    <m/>
    <s v="Federal"/>
    <m/>
    <m/>
    <m/>
    <s v="Federal"/>
    <s v="N_PAV"/>
    <s v="Marabá"/>
  </r>
  <r>
    <x v="0"/>
    <s v="230BPA1390"/>
    <n v="0"/>
    <x v="189"/>
    <s v="1390"/>
    <n v="-49.927735070317198"/>
    <n v="-4.4322267496647196"/>
    <n v="-49.943909979861601"/>
    <n v="-4.2535856297729397"/>
    <s v="230"/>
    <s v="PA"/>
    <s v="Eixo Principal"/>
    <s v="-"/>
    <s v="230BPA1390"/>
    <s v="RIO PUCURUÍ"/>
    <s v="ENTR BR-422 (NOVO REPARTIMENTO)"/>
    <n v="285.7"/>
    <n v="308.39999999999998"/>
    <n v="22.7"/>
    <x v="5"/>
    <s v="EOP"/>
    <m/>
    <s v="Federal"/>
    <m/>
    <m/>
    <m/>
    <s v="Federal"/>
    <s v="N_PAV"/>
    <s v="Marabá"/>
  </r>
  <r>
    <x v="0"/>
    <s v="230BPA1400"/>
    <n v="0"/>
    <x v="189"/>
    <s v="1400"/>
    <n v="-49.943909979861601"/>
    <n v="-4.2535856297729397"/>
    <n v="-50.445220849562503"/>
    <n v="-3.8612899903406999"/>
    <s v="230"/>
    <s v="PA"/>
    <s v="Eixo Principal"/>
    <s v="-"/>
    <s v="230BPA1400"/>
    <s v="ENTR BR-422 (NOVO REPARTIMENTO)"/>
    <s v="RIO ARATAÚ"/>
    <n v="308.39999999999998"/>
    <n v="390.7"/>
    <n v="82.3"/>
    <x v="5"/>
    <s v="EOP"/>
    <m/>
    <s v="Federal"/>
    <m/>
    <m/>
    <m/>
    <s v="Federal"/>
    <s v="N_PAV"/>
    <s v="Marabá"/>
  </r>
  <r>
    <x v="0"/>
    <s v="230BPA1405"/>
    <n v="0"/>
    <x v="189"/>
    <s v="1405"/>
    <n v="-50.445220849562503"/>
    <n v="-3.8612899903406999"/>
    <n v="-50.488217750448698"/>
    <n v="-3.8532661697978399"/>
    <s v="230"/>
    <s v="PA"/>
    <s v="Eixo Principal"/>
    <s v="-"/>
    <s v="230BPA1405"/>
    <s v="RIO ARATAÚ"/>
    <s v="INÍCIO TRECHO PAVIMENTADO"/>
    <n v="390.7"/>
    <n v="395.7"/>
    <n v="5"/>
    <x v="5"/>
    <s v="EOP"/>
    <m/>
    <s v="Federal"/>
    <m/>
    <m/>
    <m/>
    <s v="Federal"/>
    <s v="N_PAV"/>
    <s v="Altamira"/>
  </r>
  <r>
    <x v="0"/>
    <s v="230BPA1410"/>
    <n v="0"/>
    <x v="189"/>
    <s v="1410"/>
    <n v="-50.488217750448698"/>
    <n v="-3.8532661697978399"/>
    <n v="-50.632484789741198"/>
    <n v="-3.8355106100265699"/>
    <s v="230"/>
    <s v="PA"/>
    <s v="Eixo Principal"/>
    <s v="-"/>
    <s v="230BPA1410"/>
    <s v="INÍCIO TRECHO PAVIMENTADO"/>
    <s v="RIO PACAJÁ (PACAJÁ)"/>
    <n v="395.7"/>
    <n v="414"/>
    <n v="18.3"/>
    <x v="2"/>
    <m/>
    <m/>
    <s v="Federal"/>
    <m/>
    <m/>
    <m/>
    <s v="Federal"/>
    <s v="PAV"/>
    <s v="Altamira"/>
  </r>
  <r>
    <x v="0"/>
    <s v="230BPA1420"/>
    <n v="0"/>
    <x v="189"/>
    <s v="1420"/>
    <n v="-50.632484789741198"/>
    <n v="-3.8355106100265699"/>
    <n v="-51.196053759673198"/>
    <n v="-3.4748963595792999"/>
    <s v="230"/>
    <s v="PA"/>
    <s v="Eixo Principal"/>
    <s v="-"/>
    <s v="230BPA1420"/>
    <s v="RIO PACAJÁ (PACAJÁ)"/>
    <s v="RIO ANAPÚ (ANAPÚ)"/>
    <n v="414"/>
    <n v="495.6"/>
    <n v="81.599999999999994"/>
    <x v="2"/>
    <m/>
    <m/>
    <s v="Federal"/>
    <m/>
    <m/>
    <m/>
    <s v="Federal"/>
    <s v="PAV"/>
    <s v="Altamira"/>
  </r>
  <r>
    <x v="0"/>
    <s v="230BPA1440"/>
    <n v="0"/>
    <x v="189"/>
    <s v="1440"/>
    <n v="-51.196053759673198"/>
    <n v="-3.4748963595792999"/>
    <n v="-51.634407540075799"/>
    <n v="-3.1090259099177602"/>
    <s v="230"/>
    <s v="PA"/>
    <s v="Eixo Principal"/>
    <s v="-"/>
    <s v="230BPA1440"/>
    <s v="RIO ANAPÚ (ANAPÚ)"/>
    <s v="ENTR PA-167(A)/258 (P/ SENADOR JOSÉ PORFÍRIO)"/>
    <n v="495.6"/>
    <n v="562.4"/>
    <n v="66.8"/>
    <x v="2"/>
    <m/>
    <m/>
    <s v="Federal"/>
    <m/>
    <m/>
    <m/>
    <s v="Federal"/>
    <s v="PAV"/>
    <s v="Altamira"/>
  </r>
  <r>
    <x v="0"/>
    <s v="230BPA1460"/>
    <n v="0"/>
    <x v="189"/>
    <s v="1460"/>
    <n v="-51.634407540075799"/>
    <n v="-3.1090259099177602"/>
    <n v="-51.699681950261699"/>
    <n v="-3.1221134702603801"/>
    <s v="230"/>
    <s v="PA"/>
    <s v="Eixo Principal"/>
    <s v="-"/>
    <s v="230BPA1460"/>
    <s v="ENTR PA-167(A)/258 (P/ SENADOR JOSÉ PORFÍRIO)"/>
    <s v="INÍCIO TRAVESSIA RIO XINGÚ (BELO MONTE)"/>
    <n v="562.4"/>
    <n v="570.79999999999995"/>
    <n v="8.4"/>
    <x v="2"/>
    <m/>
    <m/>
    <s v="Federal"/>
    <m/>
    <m/>
    <m/>
    <s v="Federal"/>
    <s v="PAV"/>
    <s v="Altamira"/>
  </r>
  <r>
    <x v="0"/>
    <s v="230BPA1470"/>
    <n v="0"/>
    <x v="189"/>
    <s v="1470"/>
    <n v="-51.699681950261699"/>
    <n v="-3.1221134702603801"/>
    <n v="-51.700978680021997"/>
    <n v="-3.1260393203582999"/>
    <s v="230"/>
    <s v="PA"/>
    <s v="Eixo Principal"/>
    <s v="-"/>
    <s v="230BPA1470"/>
    <s v="INÍCIO TRAVESSIA RIO XINGÚ (BELO MONTE)"/>
    <s v="FIM TRAVESSIA RIO XINGÚ"/>
    <n v="570.79999999999995"/>
    <n v="571.20000000000005"/>
    <n v="0.4"/>
    <x v="4"/>
    <m/>
    <m/>
    <s v="Federal"/>
    <m/>
    <m/>
    <m/>
    <s v="Federal"/>
    <s v="N_PAV"/>
    <s v="Altamira"/>
  </r>
  <r>
    <x v="0"/>
    <s v="230BPA1480"/>
    <n v="0"/>
    <x v="189"/>
    <s v="1480"/>
    <n v="-51.700978680021997"/>
    <n v="-3.1260393203582999"/>
    <n v="-51.7737308001362"/>
    <n v="-3.1216909498773999"/>
    <s v="230"/>
    <s v="PA"/>
    <s v="Eixo Principal"/>
    <s v="-"/>
    <s v="230BPA1480"/>
    <s v="FIM TRAVESSIA RIO XINGÚ"/>
    <s v="INÍCIO DA PONTE SOBRE O CANAL DE FUGA DA UHE BELO MONTE"/>
    <n v="571.20000000000005"/>
    <n v="580.5"/>
    <n v="9.3000000000000007"/>
    <x v="2"/>
    <m/>
    <m/>
    <s v="Federal"/>
    <m/>
    <m/>
    <m/>
    <s v="Federal"/>
    <s v="PAV"/>
    <s v="Altamira"/>
  </r>
  <r>
    <x v="0"/>
    <s v="230BPA1482"/>
    <n v="0"/>
    <x v="189"/>
    <s v="1482"/>
    <n v="-51.7737308001362"/>
    <n v="-3.1216909498773999"/>
    <n v="-51.778991860186103"/>
    <n v="-3.1234403398997301"/>
    <s v="230"/>
    <s v="PA"/>
    <s v="Eixo Principal"/>
    <s v="-"/>
    <s v="230BPA1482"/>
    <s v="INÍCIO DA PONTE SOBRE O CANAL DE FUGA DA UHE BELO MONTE"/>
    <s v="FINAL DA PONTE SOBRE O CANAL DE FUGA DA UHE BELO MONTE"/>
    <n v="580.5"/>
    <n v="581.1"/>
    <n v="0.6"/>
    <x v="2"/>
    <m/>
    <m/>
    <s v="Federal"/>
    <m/>
    <m/>
    <m/>
    <s v="Federal"/>
    <s v="PAV"/>
    <s v="Altamira"/>
  </r>
  <r>
    <x v="0"/>
    <s v="230BPA1485"/>
    <n v="0"/>
    <x v="189"/>
    <s v="1485"/>
    <n v="-51.778991860186103"/>
    <n v="-3.1234403398997301"/>
    <n v="-52.179405589795998"/>
    <n v="-3.1737346699190399"/>
    <s v="230"/>
    <s v="PA"/>
    <s v="Eixo Principal"/>
    <s v="-"/>
    <s v="230BPA1485"/>
    <s v="FINAL DA PONTE SOBRE O CANAL DE FUGA DA UHE BELO MONTE"/>
    <s v="ENTR BR-158/PA-415(A) (FIM DA PAVIMENTAÇÃO)"/>
    <n v="581.1"/>
    <n v="631.79999999999995"/>
    <n v="50.7"/>
    <x v="2"/>
    <m/>
    <m/>
    <s v="Federal"/>
    <m/>
    <m/>
    <m/>
    <s v="Federal"/>
    <s v="PAV"/>
    <s v="Altamira"/>
  </r>
  <r>
    <x v="0"/>
    <s v="230BPA1495"/>
    <n v="0"/>
    <x v="189"/>
    <s v="1495"/>
    <n v="-52.179405589795998"/>
    <n v="-3.1737346699190399"/>
    <n v="-52.185730959715897"/>
    <n v="-3.18219055984639"/>
    <s v="230"/>
    <s v="PA"/>
    <s v="Eixo Principal"/>
    <s v="-"/>
    <s v="230BPA1495"/>
    <s v="ENTR BR-158/PA-415(A) (FIM DA PAVIMENTAÇÃO)"/>
    <s v="ENTR PA-415(B) (P/VITÓRIA DO XINGU)"/>
    <n v="631.79999999999995"/>
    <n v="633.9"/>
    <n v="2.1"/>
    <x v="1"/>
    <m/>
    <m/>
    <s v="Estadual"/>
    <m/>
    <s v="PA-415"/>
    <s v="PAV"/>
    <s v="Estadual"/>
    <s v="PLA"/>
    <s v="Altamira"/>
  </r>
  <r>
    <x v="0"/>
    <s v="230BPA1496"/>
    <n v="0"/>
    <x v="189"/>
    <s v="1496"/>
    <n v="-52.185730959715897"/>
    <n v="-3.18219055984639"/>
    <n v="-52.2107019799124"/>
    <n v="-3.1899473797677098"/>
    <s v="230"/>
    <s v="PA"/>
    <s v="Eixo Principal"/>
    <s v="-"/>
    <s v="230BPA1496"/>
    <s v="ENTR PA-415(B) (P/VITÓRIA DO XINGU)"/>
    <s v="TRECHO URBANO"/>
    <n v="633.9"/>
    <n v="637.1"/>
    <n v="3.2"/>
    <x v="1"/>
    <m/>
    <m/>
    <s v="Estadual"/>
    <m/>
    <s v="PA-230"/>
    <s v="PAV"/>
    <s v="Estadual"/>
    <s v="PLA"/>
    <s v="Altamira"/>
  </r>
  <r>
    <x v="0"/>
    <s v="230BPA1497"/>
    <n v="0"/>
    <x v="189"/>
    <s v="1497"/>
    <n v="-52.2107019799124"/>
    <n v="-3.1899473797677098"/>
    <n v="-52.242206240225698"/>
    <n v="-3.2162862499104601"/>
    <s v="230"/>
    <s v="PA"/>
    <s v="Eixo Principal"/>
    <s v="-"/>
    <s v="230BPA1497"/>
    <s v="TRECHO URBANO"/>
    <s v="INÍCIO DA PAVIMENTAÇÃO/ENTR ACESSO ALTAMIRA"/>
    <n v="637.1"/>
    <n v="644.1"/>
    <n v="7"/>
    <x v="1"/>
    <m/>
    <m/>
    <s v="Federal"/>
    <m/>
    <m/>
    <m/>
    <s v="Federal"/>
    <s v="PLA"/>
    <s v="Altamira"/>
  </r>
  <r>
    <x v="0"/>
    <s v="230BPA1500"/>
    <n v="0"/>
    <x v="189"/>
    <s v="1500"/>
    <n v="-52.242206240225698"/>
    <n v="-3.2162862499104601"/>
    <n v="-52.536414719863302"/>
    <n v="-3.30751479037525"/>
    <s v="230"/>
    <s v="PA"/>
    <s v="Eixo Principal"/>
    <s v="-"/>
    <s v="230BPA1500"/>
    <s v="INÍCIO DA PAVIMENTAÇÃO/ENTR ACESSO ALTAMIRA"/>
    <s v=" BRASIL NOVO"/>
    <n v="644.1"/>
    <n v="699.5"/>
    <n v="55.4"/>
    <x v="2"/>
    <m/>
    <m/>
    <s v="Federal"/>
    <m/>
    <m/>
    <m/>
    <s v="Federal"/>
    <s v="PAV"/>
    <s v="Altamira"/>
  </r>
  <r>
    <x v="0"/>
    <s v="230BPA1520"/>
    <n v="0"/>
    <x v="189"/>
    <s v="1520"/>
    <n v="-52.536414719863302"/>
    <n v="-3.30751479037525"/>
    <n v="-52.893912689918601"/>
    <n v="-3.4444016197389198"/>
    <s v="230"/>
    <s v="PA"/>
    <s v="Eixo Principal"/>
    <s v="-"/>
    <s v="230BPA1520"/>
    <s v=" BRASIL NOVO"/>
    <s v="FIM DA PAVIMENTAÇÃO"/>
    <n v="699.5"/>
    <n v="745.5"/>
    <n v="46"/>
    <x v="2"/>
    <m/>
    <m/>
    <s v="Federal"/>
    <m/>
    <m/>
    <m/>
    <s v="Federal"/>
    <s v="PAV"/>
    <s v="Altamira"/>
  </r>
  <r>
    <x v="0"/>
    <s v="230BPA1530"/>
    <n v="0"/>
    <x v="189"/>
    <s v="1530"/>
    <n v="-52.893912689918601"/>
    <n v="-3.4444016197389198"/>
    <n v="-53.198584570221598"/>
    <n v="-3.5633776303732798"/>
    <s v="230"/>
    <s v="PA"/>
    <s v="Eixo Principal"/>
    <s v="-"/>
    <s v="230BPA1530"/>
    <s v="FIM DA PAVIMENTAÇÃO"/>
    <s v="ENTR PA-370"/>
    <n v="745.5"/>
    <n v="778.5"/>
    <n v="33"/>
    <x v="5"/>
    <m/>
    <m/>
    <s v="Federal"/>
    <m/>
    <m/>
    <m/>
    <s v="Federal"/>
    <s v="N_PAV"/>
    <s v="Altamira"/>
  </r>
  <r>
    <x v="0"/>
    <s v="230BPA1540"/>
    <n v="0"/>
    <x v="189"/>
    <s v="1540"/>
    <n v="-53.198584570221598"/>
    <n v="-3.5633776303732798"/>
    <n v="-53.727196039665401"/>
    <n v="-3.71245999962923"/>
    <s v="230"/>
    <s v="PA"/>
    <s v="Eixo Principal"/>
    <s v="-"/>
    <s v="230BPA1540"/>
    <s v="ENTR PA-370"/>
    <s v="URUARÁ"/>
    <n v="778.5"/>
    <n v="850.5"/>
    <n v="72"/>
    <x v="5"/>
    <m/>
    <m/>
    <s v="Federal"/>
    <m/>
    <m/>
    <m/>
    <s v="Federal"/>
    <s v="N_PAV"/>
    <s v="Altamira"/>
  </r>
  <r>
    <x v="0"/>
    <s v="230BPA1550"/>
    <n v="0"/>
    <x v="189"/>
    <s v="1550"/>
    <n v="-53.727196039665401"/>
    <n v="-3.71245999962923"/>
    <n v="-54.213143280038302"/>
    <n v="-3.8674070098255702"/>
    <s v="230"/>
    <s v="PA"/>
    <s v="Eixo Principal"/>
    <s v="-"/>
    <s v="230BPA1550"/>
    <s v="URUARÁ"/>
    <s v="PLACAS"/>
    <n v="850.5"/>
    <n v="911.5"/>
    <n v="61"/>
    <x v="5"/>
    <m/>
    <m/>
    <s v="Federal"/>
    <m/>
    <m/>
    <m/>
    <s v="Federal"/>
    <s v="N_PAV"/>
    <s v="Altamira"/>
  </r>
  <r>
    <x v="0"/>
    <s v="230BPA1580"/>
    <n v="0"/>
    <x v="189"/>
    <s v="1580"/>
    <n v="-54.213143280038302"/>
    <n v="-3.8674070098255702"/>
    <n v="-54.911788059671103"/>
    <n v="-4.0937284300229599"/>
    <s v="230"/>
    <s v="PA"/>
    <s v="Eixo Principal"/>
    <s v="-"/>
    <s v="230BPA1580"/>
    <s v="PLACAS"/>
    <s v="ENTR BR-163(A) (RURÓPOLIS)"/>
    <n v="911.5"/>
    <n v="1001.5"/>
    <n v="90"/>
    <x v="5"/>
    <m/>
    <m/>
    <s v="Federal"/>
    <m/>
    <m/>
    <m/>
    <s v="Federal"/>
    <s v="N_PAV"/>
    <s v="Altamira"/>
  </r>
  <r>
    <x v="0"/>
    <s v="230BPA1590"/>
    <n v="0"/>
    <x v="189"/>
    <s v="1590"/>
    <n v="-54.911788059671103"/>
    <n v="-4.0937284300229599"/>
    <n v="-55.352941810016397"/>
    <n v="-4.1732913003531804"/>
    <s v="230"/>
    <s v="PA"/>
    <s v="Eixo Principal"/>
    <s v="Coinc"/>
    <s v="230BPA1590"/>
    <s v="ENTR BR-163(A) (RURÓPOLIS)"/>
    <s v="VILA ÁGUA AZUL"/>
    <n v="1001.5"/>
    <n v="1059.2"/>
    <n v="57.7"/>
    <x v="5"/>
    <s v="EOP"/>
    <s v="163BPA1140"/>
    <s v="Federal"/>
    <m/>
    <m/>
    <m/>
    <s v="Federal"/>
    <s v="N_PAV"/>
    <s v="Itaituba"/>
  </r>
  <r>
    <x v="0"/>
    <s v="230BPA1600"/>
    <n v="0"/>
    <x v="189"/>
    <s v="1600"/>
    <n v="-55.352941810016397"/>
    <n v="-4.1732913003531804"/>
    <n v="-55.424472130084602"/>
    <n v="-4.1740107301110303"/>
    <s v="230"/>
    <s v="PA"/>
    <s v="Eixo Principal"/>
    <s v="Coinc"/>
    <s v="230BPA1600"/>
    <s v="VILA ÁGUA AZUL"/>
    <s v="RIO CUPARÍ"/>
    <n v="1059.2"/>
    <n v="1067.5999999999999"/>
    <n v="8.4"/>
    <x v="5"/>
    <s v="EOP"/>
    <s v="163BPA1130"/>
    <s v="Federal"/>
    <m/>
    <m/>
    <m/>
    <s v="Federal"/>
    <s v="N_PAV"/>
    <s v="Itaituba"/>
  </r>
  <r>
    <x v="0"/>
    <s v="230BPA1610"/>
    <n v="0"/>
    <x v="189"/>
    <s v="1610"/>
    <n v="-55.424472130084602"/>
    <n v="-4.1740107301110303"/>
    <n v="-55.487523169758397"/>
    <n v="-4.1945560003590501"/>
    <s v="230"/>
    <s v="PA"/>
    <s v="Eixo Principal"/>
    <s v="Coinc"/>
    <s v="230BPA1610"/>
    <s v="RIO CUPARÍ"/>
    <s v="VILA DIVINÓPOLIS"/>
    <n v="1067.5999999999999"/>
    <n v="1075"/>
    <n v="7.4"/>
    <x v="5"/>
    <s v="EOP"/>
    <s v="163BPA1120"/>
    <s v="Federal"/>
    <m/>
    <m/>
    <m/>
    <s v="Federal"/>
    <s v="N_PAV"/>
    <s v="Itaituba"/>
  </r>
  <r>
    <x v="0"/>
    <s v="230BPA1620"/>
    <n v="0"/>
    <x v="189"/>
    <s v="1620"/>
    <n v="-55.487523169758397"/>
    <n v="-4.1945560003590501"/>
    <n v="-55.726620044179597"/>
    <n v="-4.3103005508296999"/>
    <s v="230"/>
    <s v="PA"/>
    <s v="Eixo Principal"/>
    <s v="Coinc"/>
    <s v="230BPA1620"/>
    <s v="VILA DIVINÓPOLIS"/>
    <s v="IG SÃO JOAQUIM (DIV RURÓPOLIS/ITAITUBA)"/>
    <n v="1075"/>
    <n v="1105.5999999999999"/>
    <n v="30.6"/>
    <x v="5"/>
    <s v="EOP"/>
    <s v="163BPA1110"/>
    <s v="Federal"/>
    <m/>
    <m/>
    <m/>
    <s v="Federal"/>
    <s v="N_PAV"/>
    <s v="Itaituba"/>
  </r>
  <r>
    <x v="0"/>
    <s v="230BPA1630"/>
    <n v="0"/>
    <x v="189"/>
    <s v="1630"/>
    <n v="-55.726620044179597"/>
    <n v="-4.3103005508296999"/>
    <n v="-55.785725609649099"/>
    <n v="-4.3467486101602004"/>
    <s v="230"/>
    <s v="PA"/>
    <s v="Eixo Principal"/>
    <s v="Coinc"/>
    <s v="230BPA1630"/>
    <s v="IG SÃO JOAQUIM (DIV RURÓPOLIS/ITAITUBA)"/>
    <s v="ENTR BR-163(B) (CAMPO VERDE)"/>
    <n v="1105.5999999999999"/>
    <n v="1113.4000000000001"/>
    <n v="7.8"/>
    <x v="5"/>
    <s v="EOP"/>
    <s v="163BPA1100"/>
    <s v="Federal"/>
    <m/>
    <m/>
    <m/>
    <s v="Federal"/>
    <s v="N_PAV"/>
    <s v="Itaituba"/>
  </r>
  <r>
    <x v="0"/>
    <s v="230BPA1640"/>
    <n v="0"/>
    <x v="189"/>
    <s v="1640"/>
    <n v="-55.785725609649099"/>
    <n v="-4.3467486101602004"/>
    <n v="-55.962964969757401"/>
    <n v="-4.2925554097043301"/>
    <s v="230"/>
    <s v="PA"/>
    <s v="Eixo Principal"/>
    <s v="-"/>
    <s v="230BPA1640"/>
    <s v="ENTR BR-163(B) (CAMPO VERDE)"/>
    <s v="INÍCIO TRAVESSIA R. TAPAJÓS (MIRITITUBA)"/>
    <n v="1113.4000000000001"/>
    <n v="1146.4000000000001"/>
    <n v="33"/>
    <x v="2"/>
    <m/>
    <m/>
    <s v="Federal"/>
    <m/>
    <m/>
    <m/>
    <s v="Federal"/>
    <s v="PAV"/>
    <s v="Itaituba"/>
  </r>
  <r>
    <x v="0"/>
    <s v="230BPA1670"/>
    <n v="0"/>
    <x v="189"/>
    <s v="1670"/>
    <n v="-55.962964969757401"/>
    <n v="-4.2925554097043301"/>
    <n v="-55.986581619945703"/>
    <n v="-4.2739316300406296"/>
    <s v="230"/>
    <s v="PA"/>
    <s v="Eixo Principal"/>
    <s v="-"/>
    <s v="230BPA1670"/>
    <s v="INÍCIO TRAVESSIA R. TAPAJÓS (MIRITITUBA)"/>
    <s v="FIM TRAVESSIA RIO TAPAJÓS) (ITAITUBA)"/>
    <n v="1146.4000000000001"/>
    <n v="1149.2"/>
    <n v="2.8"/>
    <x v="4"/>
    <m/>
    <m/>
    <s v="Federal"/>
    <m/>
    <m/>
    <m/>
    <s v="Federal"/>
    <s v="N_PAV"/>
    <s v="Itaituba"/>
  </r>
  <r>
    <x v="0"/>
    <s v="230BPA1680"/>
    <n v="0"/>
    <x v="189"/>
    <s v="1680"/>
    <n v="-55.986581619945703"/>
    <n v="-4.2739316300406296"/>
    <n v="-56.026855649768301"/>
    <n v="-4.2475523299759699"/>
    <s v="230"/>
    <s v="PA"/>
    <s v="Eixo Principal"/>
    <s v="-"/>
    <s v="230BPA1680"/>
    <s v="FIM TRAVESSIA RIO TAPAJÓS) (ITAITUBA)"/>
    <s v="ENTR PA-192/265"/>
    <n v="1149.2"/>
    <n v="1156.2"/>
    <n v="7"/>
    <x v="5"/>
    <m/>
    <m/>
    <s v="Federal"/>
    <m/>
    <m/>
    <m/>
    <s v="Federal"/>
    <s v="N_PAV"/>
    <s v="Itaituba"/>
  </r>
  <r>
    <x v="0"/>
    <s v="230BPA1690"/>
    <n v="0"/>
    <x v="189"/>
    <s v="1690"/>
    <n v="-56.026855649768301"/>
    <n v="-4.2475523299759699"/>
    <n v="-56.381818636920499"/>
    <n v="-4.6253702964020196"/>
    <s v="230"/>
    <s v="PA"/>
    <s v="Eixo Principal"/>
    <s v="-"/>
    <s v="230BPA1690"/>
    <s v="ENTR PA-192/265"/>
    <s v="IGARAPÉ NAMBUAÍ"/>
    <n v="1156.2"/>
    <n v="1229.2"/>
    <n v="73"/>
    <x v="5"/>
    <m/>
    <m/>
    <s v="Federal"/>
    <m/>
    <m/>
    <m/>
    <s v="Federal"/>
    <s v="N_PAV"/>
    <s v="Itaituba"/>
  </r>
  <r>
    <x v="0"/>
    <s v="230BPA1710"/>
    <n v="0"/>
    <x v="189"/>
    <s v="1710"/>
    <n v="-56.381818636920499"/>
    <n v="-4.6253702964020196"/>
    <n v="-56.865423912283603"/>
    <n v="-4.9311710408108498"/>
    <s v="230"/>
    <s v="PA"/>
    <s v="Eixo Principal"/>
    <s v="-"/>
    <s v="230BPA1710"/>
    <s v="IGARAPÉ NAMBUAÍ"/>
    <s v="IGARAPÉ MONTANHA"/>
    <n v="1229.2"/>
    <n v="1314"/>
    <n v="84.8"/>
    <x v="5"/>
    <m/>
    <m/>
    <s v="Federal"/>
    <m/>
    <m/>
    <m/>
    <s v="Federal"/>
    <s v="N_PAV"/>
    <s v="Itaituba"/>
  </r>
  <r>
    <x v="0"/>
    <s v="230BPA1730"/>
    <n v="0"/>
    <x v="189"/>
    <s v="1730"/>
    <n v="-56.865423912283603"/>
    <n v="-4.9311710408108498"/>
    <n v="-57.1380189393225"/>
    <n v="-5.3595243321821604"/>
    <s v="230"/>
    <s v="PA"/>
    <s v="Eixo Principal"/>
    <s v="-"/>
    <s v="230BPA1730"/>
    <s v="IGARAPÉ MONTANHA"/>
    <s v="IGARAPÉ MISSÃO"/>
    <n v="1314"/>
    <n v="1384.2"/>
    <n v="70.2"/>
    <x v="5"/>
    <m/>
    <m/>
    <s v="Federal"/>
    <m/>
    <m/>
    <m/>
    <s v="Federal"/>
    <s v="N_PAV"/>
    <s v="Itaituba"/>
  </r>
  <r>
    <x v="0"/>
    <s v="230BPA1750"/>
    <n v="0"/>
    <x v="189"/>
    <s v="1750"/>
    <n v="-57.1380189393225"/>
    <n v="-5.3595243321821604"/>
    <n v="-57.359049688392297"/>
    <n v="-5.6194324261654698"/>
    <s v="230"/>
    <s v="PA"/>
    <s v="Eixo Principal"/>
    <s v="-"/>
    <s v="230BPA1750"/>
    <s v="IGARAPÉ MISSÃO"/>
    <s v="IG QUATÁ (DIV ITAITUBA/JACAREACANGA)"/>
    <n v="1384.2"/>
    <n v="1428.8"/>
    <n v="44.6"/>
    <x v="5"/>
    <m/>
    <m/>
    <s v="Federal"/>
    <m/>
    <m/>
    <m/>
    <s v="Federal"/>
    <s v="N_PAV"/>
    <s v="Itaituba"/>
  </r>
  <r>
    <x v="0"/>
    <s v="230BPA1760"/>
    <n v="0"/>
    <x v="189"/>
    <s v="1760"/>
    <n v="-57.359049688392297"/>
    <n v="-5.6194324261654698"/>
    <n v="-57.692237398037399"/>
    <n v="-5.9035672470307601"/>
    <s v="230"/>
    <s v="PA"/>
    <s v="Eixo Principal"/>
    <s v="-"/>
    <s v="230BPA1760"/>
    <s v="IG QUATÁ (DIV ITAITUBA/JACAREACANGA)"/>
    <s v="IGARAPÉ PRETO"/>
    <n v="1428.8"/>
    <n v="1490.4"/>
    <n v="61.6"/>
    <x v="5"/>
    <m/>
    <m/>
    <s v="Federal"/>
    <m/>
    <m/>
    <m/>
    <s v="Federal"/>
    <s v="N_PAV"/>
    <s v="Itaituba"/>
  </r>
  <r>
    <x v="0"/>
    <s v="230BPA1770"/>
    <n v="0"/>
    <x v="189"/>
    <s v="1770"/>
    <n v="-57.692237398037399"/>
    <n v="-5.9035672470307601"/>
    <n v="-57.829200190436303"/>
    <n v="-6.2178411195719701"/>
    <s v="230"/>
    <s v="PA"/>
    <s v="Eixo Principal"/>
    <s v="-"/>
    <s v="230BPA1770"/>
    <s v="IGARAPÉ PRETO"/>
    <s v="JACAREACANGA"/>
    <n v="1490.4"/>
    <n v="1532.9"/>
    <n v="42.5"/>
    <x v="5"/>
    <m/>
    <m/>
    <s v="Federal"/>
    <m/>
    <m/>
    <m/>
    <s v="Federal"/>
    <s v="N_PAV"/>
    <s v="Itaituba"/>
  </r>
  <r>
    <x v="0"/>
    <s v="230BPA1790"/>
    <n v="0"/>
    <x v="189"/>
    <s v="1790"/>
    <n v="-57.829200190436303"/>
    <n v="-6.2178411195719701"/>
    <n v="-58.237025099928303"/>
    <n v="-6.4194058298151599"/>
    <s v="230"/>
    <s v="PA"/>
    <s v="Eixo Principal"/>
    <s v="-"/>
    <s v="230BPA1790"/>
    <s v="ACESSO A JACAREACANGA "/>
    <s v="DIV PA/AM (IGARAPÉ PALMARES)"/>
    <n v="1532.9"/>
    <n v="1586.4"/>
    <n v="53.5"/>
    <x v="5"/>
    <m/>
    <m/>
    <s v="Federal"/>
    <m/>
    <m/>
    <m/>
    <s v="Federal"/>
    <s v="N_PAV"/>
    <s v="Itaituba"/>
  </r>
  <r>
    <x v="0"/>
    <s v="230BPB0010"/>
    <n v="0"/>
    <x v="190"/>
    <s v="0010"/>
    <n v="-34.8381648997902"/>
    <n v="-6.9711459197483201"/>
    <n v="-34.829353110357701"/>
    <n v="-6.9835934901474204"/>
    <s v="230"/>
    <s v="PB"/>
    <s v="Eixo Principal"/>
    <s v="-"/>
    <s v="230BPB0010"/>
    <s v="PORTO (CABEDELO)"/>
    <s v="INÍCIO DUPLICAÇÃO (CABEDELO)"/>
    <n v="0"/>
    <n v="1.8"/>
    <n v="1.8"/>
    <x v="2"/>
    <m/>
    <m/>
    <s v="Federal"/>
    <m/>
    <m/>
    <m/>
    <s v="Federal"/>
    <s v="PAV"/>
    <s v="Santa Rita"/>
  </r>
  <r>
    <x v="0"/>
    <s v="230BPB0020"/>
    <n v="0"/>
    <x v="190"/>
    <s v="0020"/>
    <n v="-34.829353110357701"/>
    <n v="-6.9835934901474204"/>
    <n v="-34.847653000085799"/>
    <n v="-7.0996620303783402"/>
    <s v="230"/>
    <s v="PB"/>
    <s v="Eixo Principal"/>
    <s v="-"/>
    <s v="230BPB0020"/>
    <s v="INÍCIO DUPLICAÇÃO (CABEDELO)"/>
    <s v="RIO JAGUARIBE (DIV. CABEDELO/JOÃO PESSOA)"/>
    <n v="1.8"/>
    <n v="15"/>
    <n v="13.2"/>
    <x v="0"/>
    <m/>
    <m/>
    <s v="Federal"/>
    <m/>
    <m/>
    <m/>
    <s v="Federal"/>
    <s v="PAV"/>
    <s v="Santa Rita"/>
  </r>
  <r>
    <x v="0"/>
    <s v="230BPB0030"/>
    <n v="0"/>
    <x v="190"/>
    <s v="0030"/>
    <n v="-34.847653000085799"/>
    <n v="-7.0996620303783402"/>
    <n v="-34.866347440382"/>
    <n v="-7.17046033018004"/>
    <s v="230"/>
    <s v="PB"/>
    <s v="Eixo Principal"/>
    <s v="-"/>
    <s v="230BPB0030"/>
    <s v="RIO JAGUARIBE (DIV. CABEDELO/JOÃO PESSOA)"/>
    <s v="INÍCIO CONVÊNIO DE ADMIN"/>
    <n v="15"/>
    <n v="24.7"/>
    <n v="9.6999999999999993"/>
    <x v="0"/>
    <m/>
    <m/>
    <s v="Federal"/>
    <m/>
    <m/>
    <m/>
    <s v="Federal"/>
    <s v="PAV"/>
    <s v="Santa Rita"/>
  </r>
  <r>
    <x v="0"/>
    <s v="230BPB0040"/>
    <n v="0"/>
    <x v="190"/>
    <s v="0040"/>
    <n v="-34.866347440382"/>
    <n v="-7.17046033018004"/>
    <n v="-34.896682670169"/>
    <n v="-7.165777439777"/>
    <s v="230"/>
    <s v="PB"/>
    <s v="Eixo Principal"/>
    <s v="-"/>
    <s v="230BPB0040"/>
    <s v="INÍCIO CONVÊNIO DE ADMIN"/>
    <s v="ENTR BR-101(A)"/>
    <n v="24.7"/>
    <n v="28.2"/>
    <n v="3.5"/>
    <x v="0"/>
    <m/>
    <m/>
    <s v="Convênio de Administração"/>
    <m/>
    <m/>
    <m/>
    <s v="Federal"/>
    <s v="PAV"/>
    <s v="Santa Rita"/>
  </r>
  <r>
    <x v="0"/>
    <s v="230BPB0050"/>
    <n v="0"/>
    <x v="190"/>
    <s v="0050"/>
    <n v="-34.896682670169"/>
    <n v="-7.165777439777"/>
    <n v="-34.932438800110504"/>
    <n v="-7.1316965498558602"/>
    <s v="230"/>
    <s v="PB"/>
    <s v="Eixo Principal"/>
    <s v="Coinc"/>
    <s v="230BPB0050"/>
    <s v="ENTR BR-101(A)"/>
    <s v="ACESSO AEROPORTO"/>
    <n v="28.2"/>
    <n v="34"/>
    <n v="5.8"/>
    <x v="0"/>
    <m/>
    <s v="101BPB0320"/>
    <s v="Federal"/>
    <m/>
    <m/>
    <m/>
    <s v="Federal"/>
    <s v="PAV"/>
    <s v="Santa Rita"/>
  </r>
  <r>
    <x v="0"/>
    <s v="230BPB0060"/>
    <n v="0"/>
    <x v="190"/>
    <s v="0060"/>
    <n v="-34.932438800110504"/>
    <n v="-7.1316965498558602"/>
    <n v="-34.946590170299999"/>
    <n v="-7.1240474399373204"/>
    <s v="230"/>
    <s v="PB"/>
    <s v="Eixo Principal"/>
    <s v="Coinc"/>
    <s v="230BPB0060"/>
    <s v="ACESSO AEROPORTO"/>
    <s v="ENTR BR-101(B)"/>
    <n v="34"/>
    <n v="35.799999999999997"/>
    <n v="1.8"/>
    <x v="0"/>
    <m/>
    <s v="101BPB0310"/>
    <s v="Federal"/>
    <m/>
    <m/>
    <m/>
    <s v="Federal"/>
    <s v="PAV"/>
    <s v="Santa Rita"/>
  </r>
  <r>
    <x v="0"/>
    <s v="230BPB0070"/>
    <n v="0"/>
    <x v="190"/>
    <s v="0070"/>
    <n v="-34.946590170299999"/>
    <n v="-7.1240474399373204"/>
    <n v="-34.9931023600858"/>
    <n v="-7.1420992004177002"/>
    <s v="230"/>
    <s v="PB"/>
    <s v="Eixo Principal"/>
    <s v="-"/>
    <s v="230BPB0070"/>
    <s v="ENTR BR-101(B)"/>
    <s v="ACESSO SANTA RITA"/>
    <n v="35.799999999999997"/>
    <n v="42"/>
    <n v="6.2"/>
    <x v="0"/>
    <m/>
    <m/>
    <s v="Federal"/>
    <m/>
    <m/>
    <m/>
    <s v="Federal"/>
    <s v="PAV"/>
    <s v="Santa Rita"/>
  </r>
  <r>
    <x v="0"/>
    <s v="230BPB0090"/>
    <n v="0"/>
    <x v="190"/>
    <s v="0090"/>
    <n v="-34.9931023600858"/>
    <n v="-7.1420992004177002"/>
    <n v="-35.042831899672301"/>
    <n v="-7.1765014900516899"/>
    <s v="230"/>
    <s v="PB"/>
    <s v="Eixo Principal"/>
    <s v="-"/>
    <s v="230BPB0090"/>
    <s v="ACESSO SANTA RITA"/>
    <s v="ENTR PB-016"/>
    <n v="42"/>
    <n v="48.6"/>
    <n v="6.6"/>
    <x v="0"/>
    <m/>
    <m/>
    <s v="Federal"/>
    <m/>
    <m/>
    <m/>
    <s v="Federal"/>
    <s v="PAV"/>
    <s v="Santa Rita"/>
  </r>
  <r>
    <x v="0"/>
    <s v="230BPB0100"/>
    <n v="0"/>
    <x v="190"/>
    <s v="0100"/>
    <n v="-35.042831899672301"/>
    <n v="-7.1765014900516899"/>
    <n v="-35.076420630207799"/>
    <n v="-7.2000645100690104"/>
    <s v="230"/>
    <s v="PB"/>
    <s v="Eixo Principal"/>
    <s v="-"/>
    <s v="230BPB0100"/>
    <s v="ENTR PB-016"/>
    <s v="ENTR PB-030"/>
    <n v="48.6"/>
    <n v="53.2"/>
    <n v="4.5999999999999996"/>
    <x v="0"/>
    <m/>
    <m/>
    <s v="Federal"/>
    <m/>
    <m/>
    <m/>
    <s v="Federal"/>
    <s v="PAV"/>
    <s v="Santa Rita"/>
  </r>
  <r>
    <x v="0"/>
    <s v="230BPB0110"/>
    <n v="0"/>
    <x v="190"/>
    <s v="0110"/>
    <n v="-35.076420630207799"/>
    <n v="-7.2000645100690104"/>
    <n v="-35.148107739880203"/>
    <n v="-7.2057262396741599"/>
    <s v="230"/>
    <s v="PB"/>
    <s v="Eixo Principal"/>
    <s v="-"/>
    <s v="230BPB0110"/>
    <s v="ENTR PB-030"/>
    <s v="ENTR PB-082"/>
    <n v="53.2"/>
    <n v="61.2"/>
    <n v="8"/>
    <x v="0"/>
    <m/>
    <m/>
    <s v="Federal"/>
    <m/>
    <m/>
    <m/>
    <s v="Federal"/>
    <s v="PAV"/>
    <s v="Santa Rita"/>
  </r>
  <r>
    <x v="0"/>
    <s v="230BPB0120"/>
    <n v="0"/>
    <x v="190"/>
    <s v="0120"/>
    <n v="-35.148107739880203"/>
    <n v="-7.2057262396741599"/>
    <n v="-35.226456260148197"/>
    <n v="-7.1920021400866201"/>
    <s v="230"/>
    <s v="PB"/>
    <s v="Eixo Principal"/>
    <s v="-"/>
    <s v="230BPB0120"/>
    <s v="ENTR PB-082"/>
    <s v="ENTR PB-048"/>
    <n v="61.2"/>
    <n v="70.5"/>
    <n v="9.3000000000000007"/>
    <x v="0"/>
    <m/>
    <m/>
    <s v="Federal"/>
    <m/>
    <m/>
    <m/>
    <s v="Federal"/>
    <s v="PAV"/>
    <s v="Santa Rita"/>
  </r>
  <r>
    <x v="0"/>
    <s v="230BPB0130"/>
    <n v="0"/>
    <x v="190"/>
    <s v="0130"/>
    <n v="-35.226456260148197"/>
    <n v="-7.1920021400866201"/>
    <n v="-35.231105200244698"/>
    <n v="-7.19164648969371"/>
    <s v="230"/>
    <s v="PB"/>
    <s v="Eixo Principal"/>
    <s v="-"/>
    <s v="230BPB0130"/>
    <s v="ENTR PB-048"/>
    <s v="ENTR PB-073"/>
    <n v="70.5"/>
    <n v="71"/>
    <n v="0.5"/>
    <x v="0"/>
    <m/>
    <m/>
    <s v="Federal"/>
    <m/>
    <m/>
    <m/>
    <s v="Federal"/>
    <s v="PAV"/>
    <s v="Santa Rita"/>
  </r>
  <r>
    <x v="0"/>
    <s v="230BPB0140"/>
    <n v="0"/>
    <x v="190"/>
    <s v="0140"/>
    <n v="-35.231105200244698"/>
    <n v="-7.19164648969371"/>
    <n v="-35.322442330249302"/>
    <n v="-7.1784896096077597"/>
    <s v="230"/>
    <s v="PB"/>
    <s v="Eixo Principal"/>
    <s v="-"/>
    <s v="230BPB0140"/>
    <s v="ENTR PB-073"/>
    <s v="ENTR INÍCIO DA VARIANTE DE CAJÁ"/>
    <n v="71"/>
    <n v="80.400000000000006"/>
    <n v="9.4"/>
    <x v="0"/>
    <m/>
    <m/>
    <s v="Federal"/>
    <m/>
    <m/>
    <m/>
    <s v="Federal"/>
    <s v="PAV"/>
    <s v="Santa Rita"/>
  </r>
  <r>
    <x v="0"/>
    <s v="230BPB0145"/>
    <n v="0"/>
    <x v="190"/>
    <s v="0145"/>
    <n v="-35.322442330249302"/>
    <n v="-7.1784896096077597"/>
    <n v="-35.362171100216003"/>
    <n v="-7.1668821004285501"/>
    <s v="230"/>
    <s v="PB"/>
    <s v="Eixo Principal"/>
    <s v="-"/>
    <s v="230BPB0145"/>
    <s v="ENTR INÍCIO DA VARIANTE DE CAJÁ"/>
    <s v="ENTR PB-051 (CAJÁ)"/>
    <n v="80.400000000000006"/>
    <n v="85.1"/>
    <n v="4.7"/>
    <x v="0"/>
    <m/>
    <m/>
    <s v="Federal"/>
    <m/>
    <m/>
    <m/>
    <s v="Federal"/>
    <s v="PAV"/>
    <s v="Santa Rita"/>
  </r>
  <r>
    <x v="0"/>
    <s v="230BPB0150"/>
    <n v="0"/>
    <x v="190"/>
    <s v="0150"/>
    <n v="-35.362171100216003"/>
    <n v="-7.1668821004285501"/>
    <n v="-35.383141960233203"/>
    <n v="-7.1710426304130097"/>
    <s v="230"/>
    <s v="PB"/>
    <s v="Eixo Principal"/>
    <s v="-"/>
    <s v="230BPB0150"/>
    <s v="ENTR PB-051 (CAJÁ)"/>
    <s v="ENTR PB-063"/>
    <n v="85.1"/>
    <n v="87.5"/>
    <n v="2.4"/>
    <x v="0"/>
    <m/>
    <m/>
    <s v="Federal"/>
    <m/>
    <m/>
    <m/>
    <s v="Federal"/>
    <s v="PAV"/>
    <s v="Campina Grande"/>
  </r>
  <r>
    <x v="0"/>
    <s v="230BPB0160"/>
    <n v="0"/>
    <x v="190"/>
    <s v="0160"/>
    <n v="-35.383141960233203"/>
    <n v="-7.1710426304130097"/>
    <n v="-35.392510949820398"/>
    <n v="-7.1729591504443899"/>
    <s v="230"/>
    <s v="PB"/>
    <s v="Eixo Principal"/>
    <s v="-"/>
    <s v="230BPB0160"/>
    <s v="ENTR PB-063"/>
    <s v="ENTR PB-054"/>
    <n v="87.5"/>
    <n v="89.3"/>
    <n v="1.8"/>
    <x v="0"/>
    <m/>
    <m/>
    <s v="Federal"/>
    <m/>
    <m/>
    <m/>
    <s v="Federal"/>
    <s v="PAV"/>
    <s v="Campina Grande"/>
  </r>
  <r>
    <x v="0"/>
    <s v="230BPB0170"/>
    <n v="0"/>
    <x v="190"/>
    <s v="0170"/>
    <n v="-35.392510949820398"/>
    <n v="-7.1729591504443899"/>
    <n v="-35.592704589645002"/>
    <n v="-7.2158185602782998"/>
    <s v="230"/>
    <s v="PB"/>
    <s v="Eixo Principal"/>
    <s v="-"/>
    <s v="230BPB0170"/>
    <s v="ENTR PB-054"/>
    <s v="ENTR PB-079 (P/JUAREZ TÁVORA)"/>
    <n v="89.3"/>
    <n v="112.4"/>
    <n v="23.1"/>
    <x v="0"/>
    <m/>
    <m/>
    <s v="Federal"/>
    <m/>
    <m/>
    <m/>
    <s v="Federal"/>
    <s v="PAV"/>
    <s v="Campina Grande"/>
  </r>
  <r>
    <x v="0"/>
    <s v="230BPB0190"/>
    <n v="0"/>
    <x v="190"/>
    <s v="0190"/>
    <n v="-35.592704589645002"/>
    <n v="-7.2158185602782998"/>
    <n v="-35.622349780417998"/>
    <n v="-7.24103375990006"/>
    <s v="230"/>
    <s v="PB"/>
    <s v="Eixo Principal"/>
    <s v="-"/>
    <s v="230BPB0190"/>
    <s v="ENTR PB-079 (P/JUAREZ TÁVORA)"/>
    <s v="ENTR BR-408(A)/PB-090/095"/>
    <n v="112.4"/>
    <n v="117.2"/>
    <n v="4.8"/>
    <x v="0"/>
    <m/>
    <m/>
    <s v="Federal"/>
    <m/>
    <m/>
    <m/>
    <s v="Federal"/>
    <s v="PAV"/>
    <s v="Campina Grande"/>
  </r>
  <r>
    <x v="0"/>
    <s v="230BPB0210"/>
    <n v="0"/>
    <x v="190"/>
    <s v="0210"/>
    <n v="-35.622349780417998"/>
    <n v="-7.24103375990006"/>
    <n v="-35.770154210348402"/>
    <n v="-7.2811585796047202"/>
    <s v="230"/>
    <s v="PB"/>
    <s v="Eixo Principal"/>
    <s v="-"/>
    <s v="230BPB0210"/>
    <s v="ENTR BR-408(A)/PB-090/095"/>
    <s v="ENTR PB-100 (P/GALANTE)"/>
    <n v="117.2"/>
    <n v="135.80000000000001"/>
    <n v="18.600000000000001"/>
    <x v="0"/>
    <m/>
    <s v="408BPB0020"/>
    <s v="Federal"/>
    <m/>
    <m/>
    <m/>
    <s v="Federal"/>
    <s v="PAV"/>
    <s v="Campina Grande"/>
  </r>
  <r>
    <x v="0"/>
    <s v="230BPB0215"/>
    <n v="0"/>
    <x v="190"/>
    <s v="0215"/>
    <n v="-35.770154210348402"/>
    <n v="-7.2811585796047202"/>
    <n v="-35.867801959592697"/>
    <n v="-7.2371725503728603"/>
    <s v="230"/>
    <s v="PB"/>
    <s v="Eixo Principal"/>
    <s v="-"/>
    <s v="230BPB0215"/>
    <s v="ENTR PB-100 (P/GALANTE)"/>
    <s v="ENTR BR-104(A)/408(B)/PB-095 (CAMPINA GRANDE)"/>
    <n v="135.80000000000001"/>
    <n v="148.1"/>
    <n v="12.3"/>
    <x v="0"/>
    <m/>
    <s v="408BPB0010"/>
    <s v="Federal"/>
    <m/>
    <m/>
    <m/>
    <s v="Federal"/>
    <s v="PAV"/>
    <s v="Campina Grande"/>
  </r>
  <r>
    <x v="0"/>
    <s v="230BPB0220"/>
    <n v="0"/>
    <x v="190"/>
    <s v="0220"/>
    <n v="-35.867801959592697"/>
    <n v="-7.2371725503728603"/>
    <n v="-35.878393390442497"/>
    <n v="-7.2594747298748503"/>
    <s v="230"/>
    <s v="PB"/>
    <s v="Eixo Principal"/>
    <s v="Coinc"/>
    <s v="230BPB0220"/>
    <s v="ENTR BR-104(A)/408(B)/PB-095 (CAMPINA GRANDE)"/>
    <s v="FIM DA DUPLICAÇÃO"/>
    <n v="148.1"/>
    <n v="151"/>
    <n v="2.9"/>
    <x v="2"/>
    <s v="EOD"/>
    <s v="104BPB0290"/>
    <s v="Federal"/>
    <m/>
    <m/>
    <m/>
    <s v="Federal"/>
    <s v="PAV"/>
    <s v="Campina Grande"/>
  </r>
  <r>
    <x v="0"/>
    <s v="230BPB0225"/>
    <n v="0"/>
    <x v="190"/>
    <s v="0225"/>
    <n v="-35.878393390442497"/>
    <n v="-7.2594747298748503"/>
    <n v="-35.888687910118897"/>
    <n v="-7.2786110196827796"/>
    <s v="230"/>
    <s v="PB"/>
    <s v="Eixo Principal"/>
    <s v="Coinc"/>
    <s v="230BPB0225"/>
    <s v="FIM DA DUPLICAÇÃO"/>
    <s v="ENTR BR-104(B)"/>
    <n v="151"/>
    <n v="153.30000000000001"/>
    <n v="2.2999999999999998"/>
    <x v="2"/>
    <m/>
    <s v="104BPB0295"/>
    <s v="Federal"/>
    <m/>
    <m/>
    <m/>
    <s v="Federal"/>
    <s v="PAV"/>
    <s v="Campina Grande"/>
  </r>
  <r>
    <x v="0"/>
    <s v="230BPB0230"/>
    <n v="0"/>
    <x v="190"/>
    <s v="0230"/>
    <n v="-35.888687910118897"/>
    <n v="-7.2786110196827796"/>
    <n v="-35.984562799733297"/>
    <n v="-7.1822785900848203"/>
    <s v="230"/>
    <s v="PB"/>
    <s v="Eixo Principal"/>
    <s v="-"/>
    <s v="230BPB0230"/>
    <s v="ENTR BR-104(B)"/>
    <s v="ENTR PB-115 (P/PUXINANA)"/>
    <n v="153.30000000000001"/>
    <n v="170.1"/>
    <n v="16.8"/>
    <x v="2"/>
    <m/>
    <m/>
    <s v="Federal"/>
    <m/>
    <m/>
    <m/>
    <s v="Federal"/>
    <s v="PAV"/>
    <s v="Campina Grande"/>
  </r>
  <r>
    <x v="0"/>
    <s v="230BPB0235"/>
    <n v="0"/>
    <x v="190"/>
    <s v="0235"/>
    <n v="-35.984562799733297"/>
    <n v="-7.1822785900848203"/>
    <n v="-36.044455479736499"/>
    <n v="-7.16597014020976"/>
    <s v="230"/>
    <s v="PB"/>
    <s v="Eixo Principal"/>
    <s v="-"/>
    <s v="230BPB0235"/>
    <s v="ENTR PB-115 (P/PUXINANA)"/>
    <s v="ENTR PB-121 (P/POCINHOS)"/>
    <n v="170.1"/>
    <n v="177.2"/>
    <n v="7.1"/>
    <x v="2"/>
    <m/>
    <m/>
    <s v="Federal"/>
    <m/>
    <m/>
    <m/>
    <s v="Federal"/>
    <s v="PAV"/>
    <s v="Campina Grande"/>
  </r>
  <r>
    <x v="0"/>
    <s v="230BPB0240"/>
    <n v="0"/>
    <x v="190"/>
    <s v="0240"/>
    <n v="-36.044455479736499"/>
    <n v="-7.16597014020976"/>
    <n v="-36.108207659655697"/>
    <n v="-7.15192620033383"/>
    <s v="230"/>
    <s v="PB"/>
    <s v="Eixo Principal"/>
    <s v="-"/>
    <s v="230BPB0240"/>
    <s v="ENTR PB-121 (P/POCINHOS)"/>
    <s v="ENTR BR-412 (FARINHA)"/>
    <n v="177.2"/>
    <n v="184.6"/>
    <n v="7.4"/>
    <x v="2"/>
    <m/>
    <m/>
    <s v="Federal"/>
    <m/>
    <m/>
    <m/>
    <s v="Federal"/>
    <s v="PAV"/>
    <s v="Campina Grande"/>
  </r>
  <r>
    <x v="0"/>
    <s v="230BPB0250"/>
    <n v="0"/>
    <x v="190"/>
    <s v="0250"/>
    <n v="-36.108207659655697"/>
    <n v="-7.15192620033383"/>
    <n v="-36.366708509789802"/>
    <n v="-7.0568908098629199"/>
    <s v="230"/>
    <s v="PB"/>
    <s v="Eixo Principal"/>
    <s v="-"/>
    <s v="230BPB0250"/>
    <s v="ENTR BR-412 (FARINHA)"/>
    <s v="ENTR PB-177 (SOLEDADE)"/>
    <n v="184.6"/>
    <n v="215.5"/>
    <n v="30.9"/>
    <x v="2"/>
    <m/>
    <m/>
    <s v="Federal"/>
    <m/>
    <m/>
    <m/>
    <s v="Federal"/>
    <s v="PAV"/>
    <s v="Campina Grande"/>
  </r>
  <r>
    <x v="0"/>
    <s v="230BPB0270"/>
    <n v="0"/>
    <x v="190"/>
    <s v="0270"/>
    <n v="-36.366708509789802"/>
    <n v="-7.0568908098629199"/>
    <n v="-36.5843996201463"/>
    <n v="-7.0691640997433698"/>
    <s v="230"/>
    <s v="PB"/>
    <s v="Eixo Principal"/>
    <s v="-"/>
    <s v="230BPB0270"/>
    <s v="ENTR PB-177 (SOLEDADE)"/>
    <s v="ENTR PB-195 (JUAZEIRINHO)"/>
    <n v="215.5"/>
    <n v="241"/>
    <n v="25.5"/>
    <x v="2"/>
    <m/>
    <m/>
    <s v="Federal"/>
    <m/>
    <m/>
    <m/>
    <s v="Federal"/>
    <s v="PAV"/>
    <s v="Campina Grande"/>
  </r>
  <r>
    <x v="0"/>
    <s v="230BPB0280"/>
    <n v="0"/>
    <x v="190"/>
    <s v="0280"/>
    <n v="-36.5843996201463"/>
    <n v="-7.0691640997433698"/>
    <n v="-36.651651369714799"/>
    <n v="-7.0601761196321604"/>
    <s v="230"/>
    <s v="PB"/>
    <s v="Eixo Principal"/>
    <s v="-"/>
    <s v="230BPB0280"/>
    <s v="ENTR PB-195 (JUAZEIRINHO)"/>
    <s v="ENTR PB-228 (P/ASSUNÇÃO)"/>
    <n v="241"/>
    <n v="248.8"/>
    <n v="7.8"/>
    <x v="2"/>
    <m/>
    <m/>
    <s v="Federal"/>
    <m/>
    <m/>
    <m/>
    <s v="Federal"/>
    <s v="PAV"/>
    <s v="Campina Grande"/>
  </r>
  <r>
    <x v="0"/>
    <s v="230BPB0290"/>
    <n v="0"/>
    <x v="190"/>
    <s v="0290"/>
    <n v="-36.651651369714799"/>
    <n v="-7.0601761196321604"/>
    <n v="-36.714472840349202"/>
    <n v="-6.9920585900318297"/>
    <s v="230"/>
    <s v="PB"/>
    <s v="Eixo Principal"/>
    <s v="-"/>
    <s v="230BPB0290"/>
    <s v="ENTR PB-228 (P/ASSUNÇÃO)"/>
    <s v="JUNCO DO SERIDÓ"/>
    <n v="248.8"/>
    <n v="259.8"/>
    <n v="11"/>
    <x v="2"/>
    <m/>
    <m/>
    <s v="Federal"/>
    <m/>
    <m/>
    <m/>
    <s v="Federal"/>
    <s v="PAV"/>
    <s v="Campina Grande"/>
  </r>
  <r>
    <x v="0"/>
    <s v="230BPB0295"/>
    <n v="0"/>
    <x v="190"/>
    <s v="0295"/>
    <n v="-36.714472840349202"/>
    <n v="-6.9920585900318297"/>
    <n v="-36.911699720165899"/>
    <n v="-6.8713670902189898"/>
    <s v="230"/>
    <s v="PB"/>
    <s v="Eixo Principal"/>
    <s v="-"/>
    <s v="230BPB0295"/>
    <s v="JUNCO DO SERIDÓ"/>
    <s v="ENTR PB-221 (SANTA LUZIA)"/>
    <n v="259.8"/>
    <n v="288.89999999999998"/>
    <n v="29.1"/>
    <x v="2"/>
    <m/>
    <m/>
    <s v="Federal"/>
    <m/>
    <m/>
    <m/>
    <s v="Federal"/>
    <s v="PAV"/>
    <s v="Campina Grande"/>
  </r>
  <r>
    <x v="0"/>
    <s v="230BPB0300"/>
    <n v="0"/>
    <x v="190"/>
    <s v="0300"/>
    <n v="-36.911699720165899"/>
    <n v="-6.8713670902189898"/>
    <n v="-36.929616020262998"/>
    <n v="-6.8749040096122904"/>
    <s v="230"/>
    <s v="PB"/>
    <s v="Eixo Principal"/>
    <s v="-"/>
    <s v="230BPB0300"/>
    <s v="ENTR PB-221 (SANTA LUZIA)"/>
    <s v="ENTR PB-233 (P/VÁRZEA)"/>
    <n v="288.89999999999998"/>
    <n v="291.2"/>
    <n v="2.2999999999999998"/>
    <x v="2"/>
    <m/>
    <m/>
    <s v="Federal"/>
    <m/>
    <m/>
    <m/>
    <s v="Federal"/>
    <s v="PAV"/>
    <s v="Patos"/>
  </r>
  <r>
    <x v="0"/>
    <s v="230BPB0310"/>
    <n v="0"/>
    <x v="190"/>
    <s v="0310"/>
    <n v="-36.929616020262998"/>
    <n v="-6.8749040096122904"/>
    <n v="-37.094852989673697"/>
    <n v="-6.9371149098251896"/>
    <s v="230"/>
    <s v="PB"/>
    <s v="Eixo Principal"/>
    <s v="-"/>
    <s v="230BPB0310"/>
    <s v="ENTR PB-233 (P/VÁRZEA)"/>
    <s v="ENTR PB-251 (P/SÃO MAMEDE)"/>
    <n v="291.2"/>
    <n v="311"/>
    <n v="19.8"/>
    <x v="2"/>
    <m/>
    <m/>
    <s v="Federal"/>
    <m/>
    <m/>
    <m/>
    <s v="Federal"/>
    <s v="PAV"/>
    <s v="Patos"/>
  </r>
  <r>
    <x v="0"/>
    <s v="230BPB0315"/>
    <n v="0"/>
    <x v="190"/>
    <s v="0315"/>
    <n v="-37.094852989673697"/>
    <n v="-6.9371149098251896"/>
    <n v="-37.221868909722303"/>
    <n v="-7.0154766096577497"/>
    <s v="230"/>
    <s v="PB"/>
    <s v="Eixo Principal"/>
    <s v="-"/>
    <s v="230BPB0315"/>
    <s v="ENTR PB-251 (P/SÃO MAMEDE)"/>
    <s v="ENTR PB-228 (P/QUIXABA)"/>
    <n v="311"/>
    <n v="327.60000000000002"/>
    <n v="16.600000000000001"/>
    <x v="2"/>
    <m/>
    <m/>
    <s v="Federal"/>
    <m/>
    <m/>
    <m/>
    <s v="Federal"/>
    <s v="PAV"/>
    <s v="Patos"/>
  </r>
  <r>
    <x v="0"/>
    <s v="230BPB0320"/>
    <n v="0"/>
    <x v="190"/>
    <s v="0320"/>
    <n v="-37.221868909722303"/>
    <n v="-7.0154766096577497"/>
    <n v="-37.259195850408098"/>
    <n v="-7.0181584302672997"/>
    <s v="230"/>
    <s v="PB"/>
    <s v="Eixo Principal"/>
    <s v="-"/>
    <s v="230BPB0320"/>
    <s v="ENTR PB-228 (P/QUIXABA)"/>
    <s v="ENTR BR-110(A)/361 (PATOS)"/>
    <n v="327.60000000000002"/>
    <n v="332"/>
    <n v="4.4000000000000004"/>
    <x v="2"/>
    <m/>
    <m/>
    <s v="Federal"/>
    <m/>
    <m/>
    <m/>
    <s v="Federal"/>
    <s v="PAV"/>
    <s v="Patos"/>
  </r>
  <r>
    <x v="0"/>
    <s v="230BPB0325"/>
    <n v="0"/>
    <x v="190"/>
    <s v="0325"/>
    <n v="-37.259195850408098"/>
    <n v="-7.0181584302672997"/>
    <n v="-37.266059460075901"/>
    <n v="-7.0123619903135301"/>
    <s v="230"/>
    <s v="PB"/>
    <s v="Eixo Principal"/>
    <s v="-"/>
    <s v="230BPB0325"/>
    <s v="ENTR BR-110(A)/361 (PATOS)"/>
    <s v="ENTR PB-275 (P/SÃO JOSE DE ESPINHARAS)"/>
    <n v="332"/>
    <n v="333"/>
    <n v="1"/>
    <x v="2"/>
    <m/>
    <m/>
    <s v="Federal"/>
    <m/>
    <m/>
    <m/>
    <s v="Federal"/>
    <s v="PAV"/>
    <s v="Patos"/>
  </r>
  <r>
    <x v="0"/>
    <s v="230BPB0330"/>
    <n v="0"/>
    <x v="190"/>
    <s v="0330"/>
    <n v="-37.266059460075901"/>
    <n v="-7.0123619903135301"/>
    <n v="-37.298628100406397"/>
    <n v="-7.00635902015261"/>
    <s v="230"/>
    <s v="PB"/>
    <s v="Eixo Principal"/>
    <s v="Coinc"/>
    <s v="230BPB0330"/>
    <s v="ENTR PB-275 (P/SÃO JOSE DE ESPINHARAS)"/>
    <s v="ACESSO A PATOS"/>
    <n v="333"/>
    <n v="336.6"/>
    <n v="3.6"/>
    <x v="2"/>
    <m/>
    <s v="110BPB0215"/>
    <s v="Federal"/>
    <m/>
    <m/>
    <m/>
    <s v="Federal"/>
    <s v="PAV"/>
    <s v="Patos"/>
  </r>
  <r>
    <x v="0"/>
    <s v="230BPB0335"/>
    <n v="0"/>
    <x v="190"/>
    <s v="0335"/>
    <n v="-37.298628100406397"/>
    <n v="-7.00635902015261"/>
    <n v="-37.304156810388399"/>
    <n v="-7.0026790698831203"/>
    <s v="230"/>
    <s v="PB"/>
    <s v="Eixo Principal"/>
    <s v="Coinc"/>
    <s v="230BPB0335"/>
    <s v="ACESSO A PATOS"/>
    <s v="FIM DUPLICAÇÃO"/>
    <n v="336.6"/>
    <n v="337.4"/>
    <n v="0.8"/>
    <x v="0"/>
    <m/>
    <s v="110BPB0212"/>
    <s v="Federal"/>
    <m/>
    <m/>
    <m/>
    <s v="Federal"/>
    <s v="PAV"/>
    <s v="Patos"/>
  </r>
  <r>
    <x v="0"/>
    <s v="230BPB0340"/>
    <n v="0"/>
    <x v="190"/>
    <s v="0340"/>
    <n v="-37.304156810388399"/>
    <n v="-7.0026790698831203"/>
    <n v="-37.406799780085699"/>
    <n v="-6.9404486399926597"/>
    <s v="230"/>
    <s v="PB"/>
    <s v="Eixo Principal"/>
    <s v="Coinc"/>
    <s v="230BPB0340"/>
    <s v="FIM DUPLICAÇÃO"/>
    <s v="ENTR BR-110(B)"/>
    <n v="337.4"/>
    <n v="350.9"/>
    <n v="13.5"/>
    <x v="2"/>
    <m/>
    <s v="110BPB0208"/>
    <s v="Federal"/>
    <m/>
    <m/>
    <m/>
    <s v="Federal"/>
    <s v="PAV"/>
    <s v="Patos"/>
  </r>
  <r>
    <x v="0"/>
    <s v="230BPB0350"/>
    <n v="0"/>
    <x v="190"/>
    <s v="0350"/>
    <n v="-37.406799780085699"/>
    <n v="-6.9404486399926597"/>
    <n v="-37.526811530027999"/>
    <n v="-6.9049770996133999"/>
    <s v="230"/>
    <s v="PB"/>
    <s v="Eixo Principal"/>
    <s v="-"/>
    <s v="230BPB0350"/>
    <s v="ENTR BR-110(B)"/>
    <s v="ENTR PB-299 (MALTA)"/>
    <n v="350.9"/>
    <n v="365.2"/>
    <n v="14.3"/>
    <x v="2"/>
    <m/>
    <m/>
    <s v="Federal"/>
    <m/>
    <m/>
    <m/>
    <s v="Federal"/>
    <s v="PAV"/>
    <s v="Patos"/>
  </r>
  <r>
    <x v="0"/>
    <s v="230BPB0360"/>
    <n v="0"/>
    <x v="190"/>
    <s v="0360"/>
    <n v="-37.526811530027999"/>
    <n v="-6.9049770996133999"/>
    <n v="-37.598897239915601"/>
    <n v="-6.9101185696162499"/>
    <s v="230"/>
    <s v="PB"/>
    <s v="Eixo Principal"/>
    <s v="-"/>
    <s v="230BPB0360"/>
    <s v="ENTR PB-299 (MALTA)"/>
    <s v="CONDADO"/>
    <n v="365.2"/>
    <n v="373.3"/>
    <n v="8.1"/>
    <x v="2"/>
    <m/>
    <m/>
    <s v="Federal"/>
    <m/>
    <m/>
    <m/>
    <s v="Federal"/>
    <s v="PAV"/>
    <s v="Patos"/>
  </r>
  <r>
    <x v="0"/>
    <s v="230BPB0365"/>
    <n v="0"/>
    <x v="190"/>
    <s v="0365"/>
    <n v="-37.598897239915601"/>
    <n v="-6.9101185696162499"/>
    <n v="-37.729118639613397"/>
    <n v="-6.88922322027536"/>
    <s v="230"/>
    <s v="PB"/>
    <s v="Eixo Principal"/>
    <s v="-"/>
    <s v="230BPB0365"/>
    <s v="CONDADO"/>
    <s v="ENTR BR-426 (SÃO BENTINHO)"/>
    <n v="373.3"/>
    <n v="388.1"/>
    <n v="14.8"/>
    <x v="2"/>
    <m/>
    <m/>
    <s v="Federal"/>
    <m/>
    <m/>
    <m/>
    <s v="Federal"/>
    <s v="PAV"/>
    <s v="Patos"/>
  </r>
  <r>
    <x v="0"/>
    <s v="230BPB0370"/>
    <n v="0"/>
    <x v="190"/>
    <s v="0370"/>
    <n v="-37.729118639613397"/>
    <n v="-6.88922322027536"/>
    <n v="-37.796031309697099"/>
    <n v="-6.7695506901122204"/>
    <s v="230"/>
    <s v="PB"/>
    <s v="Eixo Principal"/>
    <s v="-"/>
    <s v="230BPB0370"/>
    <s v="ENTR BR-426 (SÃO BENTINHO)"/>
    <s v="ENTR BR-427 (POMBAL)"/>
    <n v="388.1"/>
    <n v="404.2"/>
    <n v="16.100000000000001"/>
    <x v="2"/>
    <m/>
    <m/>
    <s v="Federal"/>
    <m/>
    <m/>
    <m/>
    <s v="Federal"/>
    <s v="PAV"/>
    <s v="Patos"/>
  </r>
  <r>
    <x v="0"/>
    <s v="230BPB0390"/>
    <n v="0"/>
    <x v="190"/>
    <s v="0390"/>
    <n v="-37.796031309697099"/>
    <n v="-6.7695506901122204"/>
    <n v="-37.8355197700213"/>
    <n v="-6.71545624960617"/>
    <s v="230"/>
    <s v="PB"/>
    <s v="Eixo Principal"/>
    <s v="-"/>
    <s v="230BPB0390"/>
    <s v="ENTR BR-427 (POMBAL)"/>
    <s v="ENTR PB-325 (P/CATOLÉ DO ROCHA)"/>
    <n v="404.2"/>
    <n v="414.2"/>
    <n v="10"/>
    <x v="2"/>
    <m/>
    <m/>
    <s v="Federal"/>
    <m/>
    <m/>
    <m/>
    <s v="Federal"/>
    <s v="PAV"/>
    <s v="Patos"/>
  </r>
  <r>
    <x v="0"/>
    <s v="230BPB0410"/>
    <n v="0"/>
    <x v="190"/>
    <s v="0410"/>
    <n v="-37.8355197700213"/>
    <n v="-6.71545624960617"/>
    <n v="-38.083517949693601"/>
    <n v="-6.7864046399621403"/>
    <s v="230"/>
    <s v="PB"/>
    <s v="Eixo Principal"/>
    <s v="-"/>
    <s v="230BPB0410"/>
    <s v="ENTR PB-325 (P/CATOLÉ DO ROCHA)"/>
    <s v="ENTR PB-359 (APARECIDA)"/>
    <n v="414.2"/>
    <n v="443.2"/>
    <n v="29"/>
    <x v="2"/>
    <m/>
    <m/>
    <s v="Federal"/>
    <m/>
    <m/>
    <m/>
    <s v="Federal"/>
    <s v="PAV"/>
    <s v="Patos"/>
  </r>
  <r>
    <x v="0"/>
    <s v="230BPB0430"/>
    <n v="0"/>
    <x v="190"/>
    <s v="0430"/>
    <n v="-38.083517949693601"/>
    <n v="-6.7864046399621403"/>
    <n v="-38.243536729736199"/>
    <n v="-6.7790270902279897"/>
    <s v="230"/>
    <s v="PB"/>
    <s v="Eixo Principal"/>
    <s v="-"/>
    <s v="230BPB0430"/>
    <s v="ENTR PB-359 (APARECIDA)"/>
    <s v="ENTR PB-383/391 (SOUSA)"/>
    <n v="443.2"/>
    <n v="461.1"/>
    <n v="17.899999999999999"/>
    <x v="2"/>
    <m/>
    <m/>
    <s v="Federal"/>
    <m/>
    <m/>
    <m/>
    <s v="Federal"/>
    <s v="PAV"/>
    <s v="Patos"/>
  </r>
  <r>
    <x v="0"/>
    <s v="230BPB0450"/>
    <n v="0"/>
    <x v="190"/>
    <s v="0450"/>
    <n v="-38.243536729736199"/>
    <n v="-6.7790270902279897"/>
    <n v="-38.3151893603006"/>
    <n v="-6.8355297802750599"/>
    <s v="230"/>
    <s v="PB"/>
    <s v="Eixo Principal"/>
    <s v="-"/>
    <s v="230BPB0450"/>
    <s v="ENTR PB-383/391 (SOUSA)"/>
    <s v="ENTR PB-348/384 (P/SÃO GONÇALO)"/>
    <n v="461.1"/>
    <n v="472.6"/>
    <n v="11.5"/>
    <x v="2"/>
    <m/>
    <m/>
    <s v="Federal"/>
    <m/>
    <m/>
    <m/>
    <s v="Federal"/>
    <s v="PAV"/>
    <s v="Patos"/>
  </r>
  <r>
    <x v="0"/>
    <s v="230BPB0460"/>
    <n v="0"/>
    <x v="190"/>
    <s v="0460"/>
    <n v="-38.3151893603006"/>
    <n v="-6.8355297802750599"/>
    <n v="-38.357931590270603"/>
    <n v="-6.8476722601666298"/>
    <s v="230"/>
    <s v="PB"/>
    <s v="Eixo Principal"/>
    <s v="-"/>
    <s v="230BPB0460"/>
    <s v="ENTR PB-348/384 (P/SÃO GONÇALO)"/>
    <s v="ENTR BR-405 (MARIZÓPOLIS)"/>
    <n v="472.6"/>
    <n v="477.2"/>
    <n v="4.5999999999999996"/>
    <x v="2"/>
    <m/>
    <m/>
    <s v="Federal"/>
    <m/>
    <m/>
    <m/>
    <s v="Federal"/>
    <s v="PAV"/>
    <s v="Patos"/>
  </r>
  <r>
    <x v="0"/>
    <s v="230BPB0465"/>
    <n v="0"/>
    <x v="190"/>
    <s v="0465"/>
    <n v="-38.357931590270603"/>
    <n v="-6.8476722601666298"/>
    <n v="-38.4840925203534"/>
    <n v="-6.8926389101575296"/>
    <s v="230"/>
    <s v="PB"/>
    <s v="Eixo Principal"/>
    <s v="-"/>
    <s v="230BPB0465"/>
    <s v="ENTR BR-405 (MARIZÓPOLIS)"/>
    <s v="ENTR PB-394 (P/ENGENHEIRO ÁVIDOS)"/>
    <n v="477.2"/>
    <n v="493.3"/>
    <n v="16.100000000000001"/>
    <x v="2"/>
    <m/>
    <m/>
    <s v="Federal"/>
    <m/>
    <m/>
    <m/>
    <s v="Federal"/>
    <s v="PAV"/>
    <s v="Patos"/>
  </r>
  <r>
    <x v="0"/>
    <s v="230BPB0470"/>
    <n v="0"/>
    <x v="190"/>
    <s v="0470"/>
    <n v="-38.4840925203534"/>
    <n v="-6.8926389101575296"/>
    <n v="-38.541379390446401"/>
    <n v="-6.8941251801329004"/>
    <s v="230"/>
    <s v="PB"/>
    <s v="Eixo Principal"/>
    <s v="-"/>
    <s v="230BPB0470"/>
    <s v="ENTR PB-394 (P/ENGENHEIRO ÁVIDOS)"/>
    <s v="ENTR PB-393 (CAJAZEIRAS)"/>
    <n v="493.3"/>
    <n v="499.9"/>
    <n v="6.6"/>
    <x v="2"/>
    <m/>
    <m/>
    <s v="Federal"/>
    <m/>
    <m/>
    <m/>
    <s v="Federal"/>
    <s v="PAV"/>
    <s v="Patos"/>
  </r>
  <r>
    <x v="0"/>
    <s v="230BPB0490"/>
    <n v="0"/>
    <x v="190"/>
    <s v="0490"/>
    <n v="-38.541379390446401"/>
    <n v="-6.8941251801329004"/>
    <n v="-38.569690009786001"/>
    <n v="-6.90062033036389"/>
    <s v="230"/>
    <s v="PB"/>
    <s v="Eixo Principal"/>
    <s v="-"/>
    <s v="230BPB0490"/>
    <s v="ENTR PB-393 (CAJAZEIRAS)"/>
    <s v="ENTR PB-400 (P/SÃO JOSÉ DAS PIRANHAS)"/>
    <n v="499.9"/>
    <n v="503.3"/>
    <n v="3.4"/>
    <x v="2"/>
    <m/>
    <m/>
    <s v="Federal"/>
    <m/>
    <m/>
    <m/>
    <s v="Federal"/>
    <s v="PAV"/>
    <s v="Patos"/>
  </r>
  <r>
    <x v="0"/>
    <s v="230BPB0510"/>
    <n v="0"/>
    <x v="190"/>
    <s v="0510"/>
    <n v="-38.569690009786001"/>
    <n v="-6.90062033036389"/>
    <n v="-38.646611150384203"/>
    <n v="-6.8713648697928402"/>
    <s v="230"/>
    <s v="PB"/>
    <s v="Eixo Principal"/>
    <s v="-"/>
    <s v="230BPB0510"/>
    <s v="ENTR PB-400 (P/SÃO JOSÉ DAS PIRANHAS)"/>
    <s v="ENTR PB-420 (P/CACHOEIRA DOS ÍNDIOS)"/>
    <n v="503.3"/>
    <n v="512.6"/>
    <n v="9.3000000000000007"/>
    <x v="2"/>
    <m/>
    <m/>
    <s v="Federal"/>
    <m/>
    <m/>
    <m/>
    <s v="Federal"/>
    <s v="PAV"/>
    <s v="Patos"/>
  </r>
  <r>
    <x v="0"/>
    <s v="230BPB0520"/>
    <n v="0"/>
    <x v="190"/>
    <s v="0520"/>
    <n v="-38.646611150384203"/>
    <n v="-6.8713648697928402"/>
    <n v="-38.6689652504459"/>
    <n v="-6.8590097398076102"/>
    <s v="230"/>
    <s v="PB"/>
    <s v="Eixo Principal"/>
    <s v="-"/>
    <s v="230BPB0520"/>
    <s v="ENTR PB-420 (P/CACHOEIRA DOS ÍNDIOS)"/>
    <s v="ENTR PB-417 (P/BOM JESUS)"/>
    <n v="512.6"/>
    <n v="515.5"/>
    <n v="2.9"/>
    <x v="2"/>
    <m/>
    <m/>
    <s v="Federal"/>
    <m/>
    <m/>
    <m/>
    <s v="Federal"/>
    <s v="PAV"/>
    <s v="Patos"/>
  </r>
  <r>
    <x v="0"/>
    <s v="230BPB0525"/>
    <n v="0"/>
    <x v="190"/>
    <s v="0525"/>
    <n v="-38.6689652504459"/>
    <n v="-6.8590097398076102"/>
    <n v="-38.682432949720798"/>
    <n v="-6.8571511199281696"/>
    <s v="230"/>
    <s v="PB"/>
    <s v="Eixo Principal"/>
    <s v="-"/>
    <s v="230BPB0525"/>
    <s v="ENTR PB-417 (P/BOM JESUS)"/>
    <s v="DIV PB/CE"/>
    <n v="515.5"/>
    <n v="517"/>
    <n v="1.5"/>
    <x v="2"/>
    <m/>
    <m/>
    <s v="Federal"/>
    <m/>
    <m/>
    <m/>
    <s v="Federal"/>
    <s v="PAV"/>
    <s v="Patos"/>
  </r>
  <r>
    <x v="0"/>
    <s v="230BPI0730"/>
    <n v="0"/>
    <x v="191"/>
    <s v="0730"/>
    <n v="-40.458400390065798"/>
    <n v="-7.0784741495622798"/>
    <n v="-40.6142990601534"/>
    <n v="-7.0886040402442001"/>
    <s v="230"/>
    <s v="PI"/>
    <s v="Eixo Principal"/>
    <s v="-"/>
    <s v="230BPI0730"/>
    <s v="DIV CE/PI"/>
    <s v="INÍCIO PISTA DUPLA (FRONTEIRAS)"/>
    <n v="0"/>
    <n v="17.7"/>
    <n v="17.7"/>
    <x v="2"/>
    <m/>
    <m/>
    <s v="Federal"/>
    <m/>
    <m/>
    <m/>
    <s v="Federal"/>
    <s v="PAV"/>
    <s v="Picos"/>
  </r>
  <r>
    <x v="0"/>
    <s v="230BPI0740"/>
    <n v="0"/>
    <x v="191"/>
    <s v="0740"/>
    <n v="-40.6142990601534"/>
    <n v="-7.0886040402442001"/>
    <n v="-40.618527800117803"/>
    <n v="-7.08922130971564"/>
    <s v="230"/>
    <s v="PI"/>
    <s v="Eixo Principal"/>
    <s v="-"/>
    <s v="230BPI0740"/>
    <s v="INÍCIO PISTA DUPLA (FRONTEIRAS)"/>
    <s v="FIM PISTA DUPLA (FRONTEIRAS)"/>
    <n v="17.7"/>
    <n v="18.100000000000001"/>
    <n v="0.4"/>
    <x v="0"/>
    <m/>
    <m/>
    <s v="Federal"/>
    <m/>
    <m/>
    <m/>
    <s v="Federal"/>
    <s v="PAV"/>
    <s v="Picos"/>
  </r>
  <r>
    <x v="0"/>
    <s v="230BPI0750"/>
    <n v="0"/>
    <x v="191"/>
    <s v="0750"/>
    <n v="-40.618527800117803"/>
    <n v="-7.08922130971564"/>
    <n v="-40.821739349791102"/>
    <n v="-7.1204578103795999"/>
    <s v="230"/>
    <s v="PI"/>
    <s v="Eixo Principal"/>
    <s v="-"/>
    <s v="230BPI0750"/>
    <s v="FIM PISTA DUPLA (FRONTEIRAS)"/>
    <s v="ENTR PI-455"/>
    <n v="18.100000000000001"/>
    <n v="41.1"/>
    <n v="23"/>
    <x v="2"/>
    <m/>
    <m/>
    <s v="Federal"/>
    <m/>
    <m/>
    <m/>
    <s v="Federal"/>
    <s v="PAV"/>
    <s v="Picos"/>
  </r>
  <r>
    <x v="0"/>
    <s v="230BPI0755"/>
    <n v="0"/>
    <x v="191"/>
    <s v="0755"/>
    <n v="-40.821739349791102"/>
    <n v="-7.1204578103795999"/>
    <n v="-40.9210011096134"/>
    <n v="-7.1469166302982199"/>
    <s v="230"/>
    <s v="PI"/>
    <s v="Eixo Principal"/>
    <s v="-"/>
    <s v="230BPI0755"/>
    <s v="ENTR PI-455"/>
    <s v="ENTR BR-316(A)"/>
    <n v="41.1"/>
    <n v="52.5"/>
    <n v="11.4"/>
    <x v="2"/>
    <m/>
    <m/>
    <s v="Federal"/>
    <m/>
    <m/>
    <m/>
    <s v="Federal"/>
    <s v="PAV"/>
    <s v="Picos"/>
  </r>
  <r>
    <x v="0"/>
    <s v="230BPI0770"/>
    <n v="0"/>
    <x v="191"/>
    <s v="0770"/>
    <n v="-40.9210011096134"/>
    <n v="-7.1469166302982199"/>
    <n v="-41.037991859636499"/>
    <n v="-7.13242021991715"/>
    <s v="230"/>
    <s v="PI"/>
    <s v="Eixo Principal"/>
    <s v="-"/>
    <s v="230BPI0770"/>
    <s v="ENTR BR-316(A)"/>
    <s v="ENTR PI-229"/>
    <n v="52.5"/>
    <n v="65.599999999999994"/>
    <n v="13.1"/>
    <x v="2"/>
    <m/>
    <s v="316BPI0540"/>
    <s v="Federal"/>
    <m/>
    <m/>
    <m/>
    <s v="Federal"/>
    <s v="PAV"/>
    <s v="Picos"/>
  </r>
  <r>
    <x v="0"/>
    <s v="230BPI0775"/>
    <n v="0"/>
    <x v="191"/>
    <s v="0775"/>
    <n v="-41.037991859636499"/>
    <n v="-7.13242021991715"/>
    <n v="-41.147386200013102"/>
    <n v="-7.1204232098631897"/>
    <s v="230"/>
    <s v="PI"/>
    <s v="Eixo Principal"/>
    <s v="-"/>
    <s v="230BPI0775"/>
    <s v="ENTR PI-229"/>
    <s v="ENTR PI-228"/>
    <n v="65.599999999999994"/>
    <n v="77.7"/>
    <n v="12.1"/>
    <x v="2"/>
    <m/>
    <s v="316BPI0535"/>
    <s v="Federal"/>
    <m/>
    <m/>
    <m/>
    <s v="Federal"/>
    <s v="PAV"/>
    <s v="Picos"/>
  </r>
  <r>
    <x v="0"/>
    <s v="230BPI0780"/>
    <n v="0"/>
    <x v="191"/>
    <s v="0780"/>
    <n v="-41.147386200013102"/>
    <n v="-7.1204232098631897"/>
    <n v="-41.270149409567502"/>
    <n v="-7.1068711703681497"/>
    <s v="230"/>
    <s v="PI"/>
    <s v="Eixo Principal"/>
    <s v="-"/>
    <s v="230BPI0780"/>
    <s v="ENTR PI-228"/>
    <s v="ENTR BR-020"/>
    <n v="77.7"/>
    <n v="91.4"/>
    <n v="13.7"/>
    <x v="2"/>
    <m/>
    <s v="316BPI0530"/>
    <s v="Federal"/>
    <m/>
    <m/>
    <m/>
    <s v="Federal"/>
    <s v="PAV"/>
    <s v="Picos"/>
  </r>
  <r>
    <x v="0"/>
    <s v="230BPI0790"/>
    <n v="0"/>
    <x v="191"/>
    <s v="0790"/>
    <n v="-41.270149409567502"/>
    <n v="-7.1068711703681497"/>
    <n v="-41.433255510033703"/>
    <n v="-7.0793327799837504"/>
    <s v="230"/>
    <s v="PI"/>
    <s v="Eixo Principal"/>
    <s v="-"/>
    <s v="230BPI0790"/>
    <s v="ENTR BR-020"/>
    <s v="ENTR BR-407(A)/PI-245(A)"/>
    <n v="91.4"/>
    <n v="109.7"/>
    <n v="18.3"/>
    <x v="2"/>
    <m/>
    <s v="316BPI0510"/>
    <s v="Federal"/>
    <m/>
    <m/>
    <m/>
    <s v="Federal"/>
    <s v="PAV"/>
    <s v="Picos"/>
  </r>
  <r>
    <x v="0"/>
    <s v="230BPI0810"/>
    <n v="0"/>
    <x v="191"/>
    <s v="0810"/>
    <n v="-41.433255510033703"/>
    <n v="-7.0793327799837504"/>
    <n v="-41.467607079702901"/>
    <n v="-7.07566095958554"/>
    <s v="230"/>
    <s v="PI"/>
    <s v="Eixo Principal"/>
    <s v="-"/>
    <s v="230BPI0810"/>
    <s v="ENTR BR-407(A)/PI-245(A)"/>
    <s v="ENTR BR-407(B)/PI-238/245(B) (PICOS)"/>
    <n v="109.7"/>
    <n v="113.8"/>
    <n v="4.0999999999999996"/>
    <x v="2"/>
    <m/>
    <s v="407BPI0130;316BPI0490"/>
    <s v="Federal"/>
    <m/>
    <m/>
    <m/>
    <s v="Federal"/>
    <s v="PAV"/>
    <s v="Picos"/>
  </r>
  <r>
    <x v="0"/>
    <s v="230BPI0830"/>
    <n v="0"/>
    <x v="191"/>
    <s v="0830"/>
    <n v="-41.467607079702901"/>
    <n v="-7.07566095958554"/>
    <n v="-41.7175581803657"/>
    <n v="-6.9559908602899396"/>
    <s v="230"/>
    <s v="PI"/>
    <s v="Eixo Principal"/>
    <s v="-"/>
    <s v="230BPI0830"/>
    <s v="ENTR BR-407(B)/PI-238/245(B) (PICOS)"/>
    <s v="ENTR PI-242"/>
    <n v="113.8"/>
    <n v="148.4"/>
    <n v="34.6"/>
    <x v="2"/>
    <m/>
    <s v="316BPI0480"/>
    <s v="Federal"/>
    <m/>
    <m/>
    <m/>
    <s v="Federal"/>
    <s v="PAV"/>
    <s v="Picos"/>
  </r>
  <r>
    <x v="0"/>
    <s v="230BPI0840"/>
    <n v="0"/>
    <x v="191"/>
    <s v="0840"/>
    <n v="-41.7175581803657"/>
    <n v="-6.9559908602899396"/>
    <n v="-41.743040500218797"/>
    <n v="-6.9403069895758396"/>
    <s v="230"/>
    <s v="PI"/>
    <s v="Eixo Principal"/>
    <s v="-"/>
    <s v="230BPI0840"/>
    <s v="ENTR PI-242"/>
    <s v="ENTR BR-316(B) (GATURIANO)"/>
    <n v="148.4"/>
    <n v="151.9"/>
    <n v="3.5"/>
    <x v="2"/>
    <m/>
    <s v="316BPI0475"/>
    <s v="Federal"/>
    <m/>
    <m/>
    <m/>
    <s v="Federal"/>
    <s v="PAV"/>
    <s v="Picos"/>
  </r>
  <r>
    <x v="0"/>
    <s v="230BPI0850"/>
    <n v="0"/>
    <x v="191"/>
    <s v="0850"/>
    <n v="-41.743040500218797"/>
    <n v="-6.9403069895758396"/>
    <n v="-41.862590510343701"/>
    <n v="-6.9284162703945"/>
    <s v="230"/>
    <s v="PI"/>
    <s v="Eixo Principal"/>
    <s v="-"/>
    <s v="230BPI0850"/>
    <s v="ENTR BR-316(B) (GATURIANO)"/>
    <s v="SÃO JOÃO DA VARJOTA"/>
    <n v="151.9"/>
    <n v="165.4"/>
    <n v="13.5"/>
    <x v="2"/>
    <m/>
    <m/>
    <s v="Federal"/>
    <m/>
    <m/>
    <m/>
    <s v="Federal"/>
    <s v="PAV"/>
    <s v="Floriano"/>
  </r>
  <r>
    <x v="0"/>
    <s v="230BPI0852"/>
    <n v="0"/>
    <x v="191"/>
    <s v="0852"/>
    <n v="-41.862590510343701"/>
    <n v="-6.9284162703945"/>
    <n v="-42.065931219749899"/>
    <n v="-6.9827999499576601"/>
    <s v="230"/>
    <s v="PI"/>
    <s v="Eixo Principal"/>
    <s v="-"/>
    <s v="230BPI0852"/>
    <s v="SÃO JOÃO DA VARJOTA"/>
    <s v="ENTR PI-236 (TANQUE DO PIAUÍ)"/>
    <n v="165.4"/>
    <n v="189.3"/>
    <n v="23.9"/>
    <x v="2"/>
    <m/>
    <m/>
    <s v="Federal"/>
    <m/>
    <m/>
    <m/>
    <s v="Federal"/>
    <s v="PAV"/>
    <s v="Floriano"/>
  </r>
  <r>
    <x v="0"/>
    <s v="230BPI0855"/>
    <n v="0"/>
    <x v="191"/>
    <s v="0855"/>
    <n v="-42.065931219749899"/>
    <n v="-6.9827999499576601"/>
    <n v="-42.122632570036998"/>
    <n v="-7.0073372604061799"/>
    <s v="230"/>
    <s v="PI"/>
    <s v="Eixo Principal"/>
    <s v="-"/>
    <s v="230BPI0855"/>
    <s v="ENTR PI-236 (TANQUE DO PIAUÍ)"/>
    <s v="INÍCIO PISTA DUPLA (OEIRAS)"/>
    <n v="189.3"/>
    <n v="196.5"/>
    <n v="7.2"/>
    <x v="2"/>
    <m/>
    <m/>
    <s v="Federal"/>
    <m/>
    <m/>
    <m/>
    <s v="Federal"/>
    <s v="PAV"/>
    <s v="Floriano"/>
  </r>
  <r>
    <x v="0"/>
    <s v="230BPI0860"/>
    <n v="0"/>
    <x v="191"/>
    <s v="0860"/>
    <n v="-42.122632570036998"/>
    <n v="-7.0073372604061799"/>
    <n v="-42.1347987101922"/>
    <n v="-7.0133756395740603"/>
    <s v="230"/>
    <s v="PI"/>
    <s v="Eixo Principal"/>
    <s v="-"/>
    <s v="230BPI0860"/>
    <s v="INÍCIO PISTA DUPLA (OEIRAS)"/>
    <s v="FIM PISTA DUPLA (OEIRAS)"/>
    <n v="196.5"/>
    <n v="197.9"/>
    <n v="1.4"/>
    <x v="0"/>
    <m/>
    <m/>
    <s v="Federal"/>
    <m/>
    <m/>
    <m/>
    <s v="Federal"/>
    <s v="PAV"/>
    <s v="Floriano"/>
  </r>
  <r>
    <x v="0"/>
    <s v="230BPI0870"/>
    <n v="0"/>
    <x v="191"/>
    <s v="0870"/>
    <n v="-42.1347987101922"/>
    <n v="-7.0133756395740603"/>
    <n v="-42.5771544503176"/>
    <n v="-6.9924451204458897"/>
    <s v="230"/>
    <s v="PI"/>
    <s v="Eixo Principal"/>
    <s v="-"/>
    <s v="230BPI0870"/>
    <s v="FIM PISTA DUPLA (OEIRAS)"/>
    <s v="ENTR PI-217"/>
    <n v="197.9"/>
    <n v="253.8"/>
    <n v="55.9"/>
    <x v="2"/>
    <m/>
    <m/>
    <s v="Federal"/>
    <m/>
    <m/>
    <m/>
    <s v="Federal"/>
    <s v="PAV"/>
    <s v="Floriano"/>
  </r>
  <r>
    <x v="0"/>
    <s v="230BPI0875"/>
    <n v="0"/>
    <x v="191"/>
    <s v="0875"/>
    <n v="-42.5771544503176"/>
    <n v="-6.9924451204458897"/>
    <n v="-42.669102579720203"/>
    <n v="-6.9730510300809101"/>
    <s v="230"/>
    <s v="PI"/>
    <s v="Eixo Principal"/>
    <s v="-"/>
    <s v="230BPI0875"/>
    <s v="ENTR PI-217"/>
    <s v="NAZARÉ DO PIAUÍ"/>
    <n v="253.8"/>
    <n v="265.10000000000002"/>
    <n v="11.3"/>
    <x v="2"/>
    <m/>
    <m/>
    <s v="Federal"/>
    <m/>
    <m/>
    <m/>
    <s v="Federal"/>
    <s v="PAV"/>
    <s v="Floriano"/>
  </r>
  <r>
    <x v="0"/>
    <s v="230BPI0880"/>
    <n v="0"/>
    <x v="191"/>
    <s v="0880"/>
    <n v="-42.669102579720203"/>
    <n v="-6.9730510300809101"/>
    <n v="-42.8004620004209"/>
    <n v="-6.91422449006813"/>
    <s v="230"/>
    <s v="PI"/>
    <s v="Eixo Principal"/>
    <s v="-"/>
    <s v="230BPI0880"/>
    <s v="NAZARÉ DO PIAUÍ"/>
    <s v="ENTR PI-244"/>
    <n v="265.10000000000002"/>
    <n v="281.3"/>
    <n v="16.2"/>
    <x v="2"/>
    <m/>
    <m/>
    <s v="Federal"/>
    <m/>
    <m/>
    <m/>
    <s v="Federal"/>
    <s v="PAV"/>
    <s v="Floriano"/>
  </r>
  <r>
    <x v="0"/>
    <s v="230BPI0890"/>
    <n v="0"/>
    <x v="191"/>
    <s v="0890"/>
    <n v="-42.8004620004209"/>
    <n v="-6.91422449006813"/>
    <n v="-42.940906269908297"/>
    <n v="-6.8147554796815903"/>
    <s v="230"/>
    <s v="PI"/>
    <s v="Eixo Principal"/>
    <s v="-"/>
    <s v="230BPI0890"/>
    <s v="ENTR PI-244"/>
    <s v="ENTR BR-343(A)"/>
    <n v="281.3"/>
    <n v="300.39999999999998"/>
    <n v="19.100000000000001"/>
    <x v="2"/>
    <m/>
    <m/>
    <s v="Federal"/>
    <m/>
    <m/>
    <m/>
    <s v="Federal"/>
    <s v="PAV"/>
    <s v="Floriano"/>
  </r>
  <r>
    <x v="0"/>
    <s v="230BPI0895"/>
    <n v="0"/>
    <x v="191"/>
    <s v="0895"/>
    <n v="-42.940906269908297"/>
    <n v="-6.8147554796815903"/>
    <n v="-43.004596800401899"/>
    <n v="-6.77851005019863"/>
    <s v="230"/>
    <s v="PI"/>
    <s v="Eixo Principal"/>
    <s v="-"/>
    <s v="230BPI0895"/>
    <s v="ENTR BR-343(A)"/>
    <s v="ENTR BR-343(B)"/>
    <n v="300.39999999999998"/>
    <n v="308.5"/>
    <n v="8.1"/>
    <x v="2"/>
    <m/>
    <s v="343BPI0312"/>
    <s v="Federal"/>
    <m/>
    <m/>
    <m/>
    <s v="Federal"/>
    <s v="PAV"/>
    <s v="Floriano"/>
  </r>
  <r>
    <x v="0"/>
    <s v="230BPI0900"/>
    <n v="0"/>
    <x v="191"/>
    <s v="0900"/>
    <n v="-43.004596800401899"/>
    <n v="-6.77851005019863"/>
    <n v="-43.0109079700267"/>
    <n v="-6.7615369698552197"/>
    <s v="230"/>
    <s v="PI"/>
    <s v="Eixo Principal"/>
    <s v="-"/>
    <s v="230BPI0900"/>
    <s v="ENTR BR-343(B)"/>
    <s v="DIV PI/MA (FLORIANO)"/>
    <n v="308.5"/>
    <n v="310.5"/>
    <n v="2"/>
    <x v="2"/>
    <m/>
    <m/>
    <s v="Federal"/>
    <m/>
    <m/>
    <m/>
    <s v="Federal"/>
    <s v="PAV"/>
    <s v="Floriano"/>
  </r>
  <r>
    <x v="0"/>
    <s v="230BTO1090"/>
    <n v="0"/>
    <x v="192"/>
    <s v="1090"/>
    <n v="-47.460316420366397"/>
    <n v="-6.56020490972878"/>
    <n v="-47.472389460005502"/>
    <n v="-6.5629843796253899"/>
    <s v="230"/>
    <s v="TO"/>
    <s v="Eixo Principal"/>
    <s v="Coinc"/>
    <s v="230BTO1090"/>
    <s v="ENTR BR-226(A) (DIV MA/TO) (ESTREITO)"/>
    <s v="ENTR BR-226(B)/TO-126(A)"/>
    <n v="0"/>
    <n v="1.7"/>
    <n v="1.7"/>
    <x v="2"/>
    <m/>
    <s v="226BTO0950"/>
    <s v="Federal"/>
    <m/>
    <m/>
    <m/>
    <s v="Federal"/>
    <s v="PAV"/>
    <s v="Araguaína"/>
  </r>
  <r>
    <x v="0"/>
    <s v="230BTO1092"/>
    <n v="0"/>
    <x v="192"/>
    <s v="1092"/>
    <n v="-47.472389460005502"/>
    <n v="-6.5629843796253899"/>
    <n v="-47.485384269668202"/>
    <n v="-6.5421592997118401"/>
    <s v="230"/>
    <s v="TO"/>
    <s v="Eixo Principal"/>
    <s v="-"/>
    <s v="230BTO1092"/>
    <s v="ENTR BR-226(B)/TO-126(A)"/>
    <s v="ENTR TO-126(B)"/>
    <n v="1.7"/>
    <n v="4.2"/>
    <n v="2.5"/>
    <x v="2"/>
    <m/>
    <m/>
    <s v="Federal"/>
    <m/>
    <m/>
    <m/>
    <s v="Federal"/>
    <s v="PAV"/>
    <s v="Araguaína"/>
  </r>
  <r>
    <x v="0"/>
    <s v="230BTO1095"/>
    <n v="0"/>
    <x v="192"/>
    <s v="1095"/>
    <n v="-47.485384269668202"/>
    <n v="-6.5421592997118401"/>
    <n v="-47.539313730444199"/>
    <n v="-6.4264954103348897"/>
    <s v="230"/>
    <s v="TO"/>
    <s v="Eixo Principal"/>
    <s v="-"/>
    <s v="230BTO1095"/>
    <s v="ENTR TO-126(B)"/>
    <s v="ACESSO PRATA"/>
    <n v="4.2"/>
    <n v="20.9"/>
    <n v="16.7"/>
    <x v="2"/>
    <m/>
    <m/>
    <s v="Federal"/>
    <m/>
    <m/>
    <m/>
    <s v="Federal"/>
    <s v="PAV"/>
    <s v="Araguaína"/>
  </r>
  <r>
    <x v="0"/>
    <s v="230BTO1110"/>
    <n v="0"/>
    <x v="192"/>
    <s v="1110"/>
    <n v="-47.539313730444199"/>
    <n v="-6.4264954103348897"/>
    <n v="-47.663941519685302"/>
    <n v="-6.3991080296118499"/>
    <s v="230"/>
    <s v="TO"/>
    <s v="Eixo Principal"/>
    <s v="-"/>
    <s v="230BTO1110"/>
    <s v="ACESSO PRATA"/>
    <s v="ENTR TO-415 (NAZARÉ)"/>
    <n v="20.9"/>
    <n v="35.200000000000003"/>
    <n v="14.3"/>
    <x v="2"/>
    <m/>
    <m/>
    <s v="Federal"/>
    <m/>
    <m/>
    <m/>
    <s v="Federal"/>
    <s v="PAV"/>
    <s v="Araguaína"/>
  </r>
  <r>
    <x v="0"/>
    <s v="230BTO1115"/>
    <n v="0"/>
    <x v="192"/>
    <s v="1115"/>
    <n v="-47.663941519685302"/>
    <n v="-6.3991080296118499"/>
    <n v="-47.862028719749503"/>
    <n v="-6.1942045601922402"/>
    <s v="230"/>
    <s v="TO"/>
    <s v="Eixo Principal"/>
    <s v="-"/>
    <s v="230BTO1115"/>
    <s v="ENTR TO-415 (NAZARÉ)"/>
    <s v="ENTR TO-134(A) (LUZINÓPOLIS)"/>
    <n v="35.200000000000003"/>
    <n v="69.3"/>
    <n v="34.1"/>
    <x v="2"/>
    <m/>
    <m/>
    <s v="Federal"/>
    <m/>
    <m/>
    <m/>
    <s v="Federal"/>
    <s v="PAV"/>
    <s v="Araguaína"/>
  </r>
  <r>
    <x v="0"/>
    <s v="230BTO1120"/>
    <n v="0"/>
    <x v="192"/>
    <s v="1120"/>
    <n v="-47.862028719749503"/>
    <n v="-6.1942045601922402"/>
    <n v="-47.908622579668197"/>
    <n v="-6.0992873100612401"/>
    <s v="230"/>
    <s v="TO"/>
    <s v="Eixo Principal"/>
    <s v="-"/>
    <s v="230BTO1120"/>
    <s v="ENTR TO-134(A) (LUZINÓPOLIS)"/>
    <s v="ENTR TO-414 (CACHOEIRINHA)"/>
    <n v="69.3"/>
    <n v="82.7"/>
    <n v="13.4"/>
    <x v="2"/>
    <m/>
    <m/>
    <s v="Federal"/>
    <m/>
    <m/>
    <m/>
    <s v="Federal"/>
    <s v="PAV"/>
    <s v="Araguaína"/>
  </r>
  <r>
    <x v="0"/>
    <s v="230BTO1122"/>
    <n v="0"/>
    <x v="192"/>
    <s v="1122"/>
    <n v="-47.908622579668197"/>
    <n v="-6.0992873100612401"/>
    <n v="-47.920606580129501"/>
    <n v="-6.0295958499684703"/>
    <s v="230"/>
    <s v="TO"/>
    <s v="Eixo Principal"/>
    <s v="-"/>
    <s v="230BTO1122"/>
    <s v="ENTR TO-414 (CACHOEIRINHA)"/>
    <s v="SÃO BENTO DO TOCANTINS"/>
    <n v="82.7"/>
    <n v="92.2"/>
    <n v="9.5"/>
    <x v="2"/>
    <m/>
    <m/>
    <s v="Federal"/>
    <m/>
    <m/>
    <m/>
    <s v="Federal"/>
    <s v="PAV"/>
    <s v="Araguaína"/>
  </r>
  <r>
    <x v="0"/>
    <s v="230BTO1125"/>
    <n v="0"/>
    <x v="192"/>
    <s v="1125"/>
    <n v="-47.920606580129501"/>
    <n v="-6.0295958499684703"/>
    <n v="-47.875035549750798"/>
    <n v="-5.9790276404132197"/>
    <s v="230"/>
    <s v="TO"/>
    <s v="Eixo Principal"/>
    <s v="-"/>
    <s v="230BTO1125"/>
    <s v="SÃO BENTO DO TOCANTINS"/>
    <s v="VEREDÃO"/>
    <n v="92.2"/>
    <n v="99.9"/>
    <n v="7.7"/>
    <x v="2"/>
    <m/>
    <m/>
    <s v="Federal"/>
    <m/>
    <m/>
    <m/>
    <s v="Federal"/>
    <s v="PAV"/>
    <s v="Araguaína"/>
  </r>
  <r>
    <x v="0"/>
    <s v="230BTO1127"/>
    <n v="0"/>
    <x v="192"/>
    <s v="1127"/>
    <n v="-47.875035549750798"/>
    <n v="-5.9790276404132197"/>
    <n v="-47.8814027804139"/>
    <n v="-5.96848096972092"/>
    <s v="230"/>
    <s v="TO"/>
    <s v="Eixo Principal"/>
    <s v="-"/>
    <s v="230BTO1127"/>
    <s v="VEREDÃO"/>
    <s v="ENTR TO-134(B)"/>
    <n v="99.9"/>
    <n v="101.3"/>
    <n v="1.4"/>
    <x v="2"/>
    <m/>
    <m/>
    <s v="Federal"/>
    <m/>
    <m/>
    <m/>
    <s v="Federal"/>
    <s v="PAV"/>
    <s v="Araguaína"/>
  </r>
  <r>
    <x v="0"/>
    <s v="230BTO1130"/>
    <n v="0"/>
    <x v="192"/>
    <s v="1130"/>
    <n v="-47.8814027804139"/>
    <n v="-5.96848096972092"/>
    <n v="-48.147665570309698"/>
    <n v="-5.7200030601930498"/>
    <s v="230"/>
    <s v="TO"/>
    <s v="Eixo Principal"/>
    <s v="-"/>
    <s v="230BTO1130"/>
    <s v="ENTR TO-134(B)"/>
    <s v="ENTR TO-010 (P/ARAGUATINS)"/>
    <n v="101.3"/>
    <n v="143.80000000000001"/>
    <n v="42.5"/>
    <x v="2"/>
    <m/>
    <m/>
    <s v="Federal"/>
    <m/>
    <m/>
    <m/>
    <s v="Federal"/>
    <s v="PAV"/>
    <s v="Araguaína"/>
  </r>
  <r>
    <x v="0"/>
    <s v="230BTO1132"/>
    <n v="0"/>
    <x v="192"/>
    <s v="1132"/>
    <n v="-48.147665570309698"/>
    <n v="-5.7200030601930498"/>
    <n v="-48.170011330058699"/>
    <n v="-5.7117909998547098"/>
    <s v="230"/>
    <s v="TO"/>
    <s v="Eixo Principal"/>
    <s v="-"/>
    <s v="230BTO1132"/>
    <s v="ENTR TO-010 (P/ARAGUATINS)"/>
    <s v="DIV TO/PA (INÍCIO TRAVESSIA RIO ARAGUAIA)"/>
    <n v="143.80000000000001"/>
    <n v="146.4"/>
    <n v="2.6"/>
    <x v="2"/>
    <m/>
    <m/>
    <s v="Federal"/>
    <m/>
    <m/>
    <m/>
    <s v="Federal"/>
    <s v="PAV"/>
    <s v="Araguaína"/>
  </r>
  <r>
    <x v="0"/>
    <s v="230CMA1005"/>
    <n v="0"/>
    <x v="193"/>
    <s v="1005"/>
    <n v="-46.024324980213599"/>
    <n v="-7.4923127797109697"/>
    <n v="-46.093227959702503"/>
    <n v="-7.5099541597566004"/>
    <s v="230"/>
    <s v="MA"/>
    <s v="Contorno"/>
    <s v="-"/>
    <s v="230CMA1005"/>
    <s v="ENTR BR-230(KM 400)"/>
    <s v="ENTR BR-230(KM 410)"/>
    <n v="0"/>
    <n v="10.5"/>
    <n v="10.5"/>
    <x v="1"/>
    <m/>
    <m/>
    <s v="Federal"/>
    <m/>
    <m/>
    <m/>
    <s v="Federal"/>
    <s v="PLA"/>
    <m/>
  </r>
  <r>
    <x v="0"/>
    <s v="230CPA1005"/>
    <n v="0"/>
    <x v="194"/>
    <s v="1005"/>
    <n v="-49.037009919771897"/>
    <n v="-5.3721573203040398"/>
    <n v="-48.936186839750803"/>
    <n v="-5.4196524600928901"/>
    <s v="230"/>
    <s v="PA"/>
    <s v="Contorno"/>
    <s v="-"/>
    <s v="230CPA1005"/>
    <s v="ENTR BR-230 (KM 97,95)"/>
    <s v="ENTR BR-230 (KM 111,22) (CONTORNO DA ALPA)"/>
    <n v="0"/>
    <n v="9.8000000000000007"/>
    <n v="9.8000000000000007"/>
    <x v="1"/>
    <m/>
    <m/>
    <s v="Federal"/>
    <m/>
    <m/>
    <m/>
    <s v="Federal"/>
    <s v="PLA"/>
    <s v="Marabá"/>
  </r>
  <r>
    <x v="0"/>
    <s v="230CPB1005"/>
    <n v="0"/>
    <x v="195"/>
    <s v="1005"/>
    <n v="-36.553125790422797"/>
    <n v="-7.0585144296971398"/>
    <n v="-36.618834539882002"/>
    <n v="-7.0727057100004904"/>
    <s v="230"/>
    <s v="PB"/>
    <s v="Contorno"/>
    <s v="-"/>
    <s v="230CPB1005"/>
    <s v="ENTR BR-230 (KM 236,1)"/>
    <s v="ENTR BR-230 (KM 244,1 - CONTORNO DE JUAZEIRINHO)"/>
    <n v="0"/>
    <n v="8"/>
    <n v="8"/>
    <x v="1"/>
    <m/>
    <m/>
    <s v="Federal"/>
    <m/>
    <m/>
    <m/>
    <s v="Federal"/>
    <s v="PLA"/>
    <s v="Patos"/>
  </r>
  <r>
    <x v="0"/>
    <s v="230CPI1005"/>
    <n v="0"/>
    <x v="196"/>
    <s v="1005"/>
    <n v="-42.118450729717303"/>
    <n v="-7.0054316698356702"/>
    <n v="-42.133499519886797"/>
    <n v="-7.0293275802036401"/>
    <s v="230"/>
    <s v="PI"/>
    <s v="Contorno"/>
    <s v="-"/>
    <s v="230CPI1005"/>
    <s v="ENTR BR-230 (KM 195,8 - INÍCIO CONTORNO DE OEIRAS)"/>
    <s v="ENTR PI-143"/>
    <n v="0"/>
    <n v="4.7"/>
    <n v="4.7"/>
    <x v="2"/>
    <m/>
    <m/>
    <s v="Federal"/>
    <m/>
    <m/>
    <m/>
    <s v="Federal"/>
    <s v="PAV"/>
    <s v="Floriano"/>
  </r>
  <r>
    <x v="0"/>
    <s v="230CPI1010"/>
    <n v="0"/>
    <x v="196"/>
    <s v="1010"/>
    <n v="-42.133499519886797"/>
    <n v="-7.0293275802036401"/>
    <n v="-42.145652299713802"/>
    <n v="-7.0199382596429096"/>
    <s v="230"/>
    <s v="PI"/>
    <s v="Contorno"/>
    <s v="-"/>
    <s v="230CPI1010"/>
    <s v="ENTR PI-143"/>
    <s v="ENTR BR-230 (FIM DO CONTORNO DE OEIRAS)"/>
    <n v="4.7"/>
    <n v="6.5"/>
    <n v="1.8"/>
    <x v="1"/>
    <m/>
    <m/>
    <s v="Federal"/>
    <m/>
    <m/>
    <m/>
    <s v="Federal"/>
    <s v="PLA"/>
    <s v="Floriano"/>
  </r>
  <r>
    <x v="0"/>
    <s v="230UPA1005"/>
    <n v="0"/>
    <x v="197"/>
    <s v="1005"/>
    <n v="-52.185730959715897"/>
    <n v="-3.18219055984639"/>
    <n v="-52.242206240225698"/>
    <n v="-3.2162862499104601"/>
    <s v="230"/>
    <s v="PA"/>
    <s v="Travessia Urbana"/>
    <s v="-"/>
    <s v="230UPA1005"/>
    <s v="ENTR BR-158/230/PA-415(P/VIÓRIA DO XINGU)"/>
    <s v="ENTR BR-230 - TRAVESSIA DE ALTAMIRA"/>
    <n v="0"/>
    <n v="12.4"/>
    <n v="12.4"/>
    <x v="2"/>
    <m/>
    <m/>
    <s v="Federal"/>
    <m/>
    <m/>
    <m/>
    <s v="Federal"/>
    <s v="PAV"/>
    <s v="Altamira"/>
  </r>
  <r>
    <x v="0"/>
    <s v="232APE1005"/>
    <n v="0"/>
    <x v="198"/>
    <s v="1005"/>
    <n v="-38.292187549615598"/>
    <n v="-7.9817662096428403"/>
    <n v="-38.297157849854798"/>
    <n v="-7.9556239303999998"/>
    <s v="232"/>
    <s v="PE"/>
    <s v="Acesso"/>
    <s v="-"/>
    <s v="232APE1005"/>
    <s v="ENTR BR-232 (KM 412,4)"/>
    <s v="ESTAÇÃO EXPERIMENTAL DR LAURO BEZERRA"/>
    <n v="0"/>
    <n v="3.6"/>
    <n v="3.6"/>
    <x v="2"/>
    <m/>
    <m/>
    <s v="Federal"/>
    <m/>
    <m/>
    <m/>
    <s v="Federal"/>
    <s v="PAV"/>
    <s v="Salgueiro"/>
  </r>
  <r>
    <x v="0"/>
    <s v="232BPE0010"/>
    <n v="0"/>
    <x v="199"/>
    <s v="0010"/>
    <n v="-34.900313260248701"/>
    <n v="-8.0619576404326896"/>
    <n v="-34.942968460126203"/>
    <n v="-8.0669278696254292"/>
    <s v="232"/>
    <s v="PE"/>
    <s v="Eixo Principal"/>
    <s v="-"/>
    <s v="232BPE0010"/>
    <s v="PONTE LIMA CASTRO (RECIFE)"/>
    <s v="ENTR BR-101 (RECIFE)"/>
    <n v="0"/>
    <n v="4.7"/>
    <n v="4.7"/>
    <x v="0"/>
    <m/>
    <m/>
    <s v="Federal"/>
    <m/>
    <m/>
    <m/>
    <s v="Federal"/>
    <s v="PAV"/>
    <s v="Recife"/>
  </r>
  <r>
    <x v="0"/>
    <s v="232BPE0015"/>
    <n v="0"/>
    <x v="199"/>
    <s v="0015"/>
    <n v="-34.942968460126203"/>
    <n v="-8.0669278696254292"/>
    <n v="-34.990616449589403"/>
    <n v="-8.0797355600479897"/>
    <s v="232"/>
    <s v="PE"/>
    <s v="Eixo Principal"/>
    <s v="-"/>
    <s v="232BPE0015"/>
    <s v="ENTR BR-101 (RECIFE)"/>
    <s v="ENTR BR-408 (VIADUTO DE ITAPACURA)"/>
    <n v="4.7"/>
    <n v="10.4"/>
    <n v="5.7"/>
    <x v="0"/>
    <m/>
    <m/>
    <s v="Convênio de Administração"/>
    <m/>
    <m/>
    <m/>
    <s v="Federal"/>
    <s v="PAV"/>
    <s v="Recife"/>
  </r>
  <r>
    <x v="0"/>
    <s v="232BPE0017"/>
    <n v="0"/>
    <x v="199"/>
    <s v="0017"/>
    <n v="-34.990616449589403"/>
    <n v="-8.0797355600479897"/>
    <n v="-35.024092620078299"/>
    <n v="-8.0902907104478992"/>
    <s v="232"/>
    <s v="PE"/>
    <s v="Eixo Principal"/>
    <s v="-"/>
    <s v="232BPE0017"/>
    <s v="ENTR BR-408 (VIADUTO DE ITAPACURA)"/>
    <s v="ENTR PE-020 (P/JABOATÃO)"/>
    <n v="10.4"/>
    <n v="14.4"/>
    <n v="4"/>
    <x v="0"/>
    <m/>
    <m/>
    <s v="Convênio de Administração"/>
    <m/>
    <m/>
    <m/>
    <s v="Federal"/>
    <s v="PAV"/>
    <s v="Recife"/>
  </r>
  <r>
    <x v="0"/>
    <s v="232BPE0020"/>
    <n v="0"/>
    <x v="199"/>
    <s v="0020"/>
    <n v="-35.024092620078299"/>
    <n v="-8.0902907104478992"/>
    <n v="-35.124805700422698"/>
    <n v="-8.1141210296617601"/>
    <s v="232"/>
    <s v="PE"/>
    <s v="Eixo Principal"/>
    <s v="-"/>
    <s v="232BPE0020"/>
    <s v="ENTR PE-020 (P/JABOATÃO)"/>
    <s v="ENTR PE-007 (P/MORENO)"/>
    <n v="14.4"/>
    <n v="26.9"/>
    <n v="12.5"/>
    <x v="0"/>
    <m/>
    <m/>
    <s v="Convênio de Administração"/>
    <m/>
    <m/>
    <m/>
    <s v="Federal"/>
    <s v="PAV"/>
    <s v="Recife"/>
  </r>
  <r>
    <x v="0"/>
    <s v="232BPE0030"/>
    <n v="0"/>
    <x v="199"/>
    <s v="0030"/>
    <n v="-35.124805700422698"/>
    <n v="-8.1141210296617601"/>
    <n v="-35.259829600355701"/>
    <n v="-8.1170385796666498"/>
    <s v="232"/>
    <s v="PE"/>
    <s v="Eixo Principal"/>
    <s v="-"/>
    <s v="232BPE0030"/>
    <s v="ENTR PE-007 (P/MORENO)"/>
    <s v="ENTR PE-050"/>
    <n v="26.9"/>
    <n v="42.9"/>
    <n v="16"/>
    <x v="0"/>
    <m/>
    <m/>
    <s v="Convênio de Administração"/>
    <m/>
    <m/>
    <m/>
    <s v="Federal"/>
    <s v="PAV"/>
    <s v="Recife"/>
  </r>
  <r>
    <x v="0"/>
    <s v="232BPE0050"/>
    <n v="0"/>
    <x v="199"/>
    <s v="0050"/>
    <n v="-35.259829600355701"/>
    <n v="-8.1170385796666498"/>
    <n v="-35.281676540340001"/>
    <n v="-8.1281815899084204"/>
    <s v="232"/>
    <s v="PE"/>
    <s v="Eixo Principal"/>
    <s v="-"/>
    <s v="232BPE0050"/>
    <s v="ENTR PE-050"/>
    <s v="ENTR PE-045 (VITÓRIA DE SANTO ANTÃO)"/>
    <n v="42.9"/>
    <n v="45"/>
    <n v="2.1"/>
    <x v="0"/>
    <m/>
    <m/>
    <s v="Convênio de Administração"/>
    <m/>
    <m/>
    <m/>
    <s v="Federal"/>
    <s v="PAV"/>
    <s v="Recife"/>
  </r>
  <r>
    <x v="0"/>
    <s v="232BPE0060"/>
    <n v="0"/>
    <x v="199"/>
    <s v="0060"/>
    <n v="-35.281676540340001"/>
    <n v="-8.1281815899084204"/>
    <n v="-35.394598150384198"/>
    <n v="-8.1463735501991401"/>
    <s v="232"/>
    <s v="PE"/>
    <s v="Eixo Principal"/>
    <s v="-"/>
    <s v="232BPE0060"/>
    <s v="ENTR PE-045 (VITÓRIA DE SANTO ANTÃO)"/>
    <s v="ENTR PE-058"/>
    <n v="45"/>
    <n v="58.5"/>
    <n v="13.5"/>
    <x v="0"/>
    <m/>
    <m/>
    <s v="Convênio de Administração"/>
    <m/>
    <m/>
    <m/>
    <s v="Federal"/>
    <s v="PAV"/>
    <s v="Recife"/>
  </r>
  <r>
    <x v="0"/>
    <s v="232BPE0070"/>
    <n v="0"/>
    <x v="199"/>
    <s v="0070"/>
    <n v="-35.394598150384198"/>
    <n v="-8.1463735501991401"/>
    <n v="-35.497033700444803"/>
    <n v="-8.1851355696507504"/>
    <s v="232"/>
    <s v="PE"/>
    <s v="Eixo Principal"/>
    <s v="-"/>
    <s v="232BPE0070"/>
    <s v="ENTR PE-058"/>
    <s v="ENTR PE-071 (P/CHÃ GRANDE)"/>
    <n v="58.5"/>
    <n v="71.5"/>
    <n v="13"/>
    <x v="0"/>
    <m/>
    <m/>
    <s v="Convênio de Administração"/>
    <m/>
    <m/>
    <m/>
    <s v="Federal"/>
    <s v="PAV"/>
    <s v="Recife"/>
  </r>
  <r>
    <x v="0"/>
    <s v="232BPE0090"/>
    <n v="0"/>
    <x v="199"/>
    <s v="0090"/>
    <n v="-35.497033700444803"/>
    <n v="-8.1851355696507504"/>
    <n v="-35.544764160437602"/>
    <n v="-8.1930779997498409"/>
    <s v="232"/>
    <s v="PE"/>
    <s v="Eixo Principal"/>
    <s v="-"/>
    <s v="232BPE0090"/>
    <s v="ENTR PE-071 (P/CHÃ GRANDE)"/>
    <s v="ENTR PE-078"/>
    <n v="71.5"/>
    <n v="77.2"/>
    <n v="5.7"/>
    <x v="0"/>
    <m/>
    <m/>
    <s v="Convênio de Administração"/>
    <m/>
    <m/>
    <m/>
    <s v="Federal"/>
    <s v="PAV"/>
    <s v="Recife"/>
  </r>
  <r>
    <x v="0"/>
    <s v="232BPE0110"/>
    <n v="0"/>
    <x v="199"/>
    <s v="0110"/>
    <n v="-35.544764160437602"/>
    <n v="-8.1930779997498409"/>
    <n v="-35.641373559641998"/>
    <n v="-8.2155965498408801"/>
    <s v="232"/>
    <s v="PE"/>
    <s v="Eixo Principal"/>
    <s v="-"/>
    <s v="232BPE0110"/>
    <s v="ENTR PE-078"/>
    <s v="ENTR PE-087 (GRAVATÁ)"/>
    <n v="77.2"/>
    <n v="88.4"/>
    <n v="11.2"/>
    <x v="0"/>
    <m/>
    <m/>
    <s v="Convênio de Administração"/>
    <m/>
    <m/>
    <m/>
    <s v="Federal"/>
    <s v="PAV"/>
    <s v="Recife"/>
  </r>
  <r>
    <x v="0"/>
    <s v="232BPE0120"/>
    <n v="0"/>
    <x v="199"/>
    <s v="0120"/>
    <n v="-35.641373559641998"/>
    <n v="-8.2155965498408801"/>
    <n v="-35.742076769926904"/>
    <n v="-8.2377851800419499"/>
    <s v="232"/>
    <s v="PE"/>
    <s v="Eixo Principal"/>
    <s v="-"/>
    <s v="232BPE0120"/>
    <s v="ENTR PE-087 (GRAVATÁ)"/>
    <s v="ENTR PE-097 (BEZERROS)"/>
    <n v="88.4"/>
    <n v="99.9"/>
    <n v="11.5"/>
    <x v="0"/>
    <m/>
    <m/>
    <s v="Convênio de Administração"/>
    <m/>
    <m/>
    <m/>
    <s v="Federal"/>
    <s v="PAV"/>
    <s v="Recife"/>
  </r>
  <r>
    <x v="0"/>
    <s v="232BPE0130"/>
    <n v="0"/>
    <x v="199"/>
    <s v="0130"/>
    <n v="-35.742076769926904"/>
    <n v="-8.2377851800419499"/>
    <n v="-35.759213800276498"/>
    <n v="-8.2475809797783199"/>
    <s v="232"/>
    <s v="PE"/>
    <s v="Eixo Principal"/>
    <s v="-"/>
    <s v="232BPE0130"/>
    <s v="ENTR PE-097 (BEZERROS)"/>
    <s v="ENTR PE-103 (P/BONITO)"/>
    <n v="99.9"/>
    <n v="102.1"/>
    <n v="2.2000000000000002"/>
    <x v="0"/>
    <m/>
    <m/>
    <s v="Convênio de Administração"/>
    <m/>
    <m/>
    <m/>
    <s v="Federal"/>
    <s v="PAV"/>
    <s v="Caruaru"/>
  </r>
  <r>
    <x v="0"/>
    <s v="232BPE0140"/>
    <n v="0"/>
    <x v="199"/>
    <s v="0140"/>
    <n v="-35.759213800276498"/>
    <n v="-8.2475809797783199"/>
    <n v="-35.988773959750397"/>
    <n v="-8.3000104298374104"/>
    <s v="232"/>
    <s v="PE"/>
    <s v="Eixo Principal"/>
    <s v="-"/>
    <s v="232BPE0140"/>
    <s v="ENTR PE-103 (P/BONITO)"/>
    <s v="ENTR BR-104/423(A) (CARUARÚ)"/>
    <n v="102.1"/>
    <n v="129.9"/>
    <n v="27.8"/>
    <x v="0"/>
    <m/>
    <m/>
    <s v="Convênio de Administração"/>
    <m/>
    <m/>
    <m/>
    <s v="Federal"/>
    <s v="PAV"/>
    <s v="Caruaru"/>
  </r>
  <r>
    <x v="0"/>
    <s v="232BPE0150"/>
    <n v="0"/>
    <x v="199"/>
    <s v="0150"/>
    <n v="-35.988773959750397"/>
    <n v="-8.3000104298374104"/>
    <n v="-36.146265650239499"/>
    <n v="-8.3294562903754397"/>
    <s v="232"/>
    <s v="PE"/>
    <s v="Eixo Principal"/>
    <s v="-"/>
    <s v="232BPE0150"/>
    <s v="ENTR BR-104/423(A) (CARUARÚ)"/>
    <s v="ENTR BR-423(B) (SÃO CAETANO)"/>
    <n v="129.9"/>
    <n v="148.1"/>
    <n v="18.2"/>
    <x v="0"/>
    <m/>
    <s v="423BPE0010"/>
    <s v="Federal"/>
    <m/>
    <m/>
    <m/>
    <s v="Federal"/>
    <s v="PAV"/>
    <s v="Caruaru"/>
  </r>
  <r>
    <x v="0"/>
    <s v="232BPE0170"/>
    <n v="0"/>
    <x v="199"/>
    <s v="0170"/>
    <n v="-36.146265650239499"/>
    <n v="-8.3294562903754397"/>
    <n v="-36.154368040052901"/>
    <n v="-8.3275132799138802"/>
    <s v="232"/>
    <s v="PE"/>
    <s v="Eixo Principal"/>
    <s v="-"/>
    <s v="232BPE0170"/>
    <s v="ENTR BR-423(B) (SÃO CAETANO)"/>
    <s v="FIM DUPLICAÇÃO"/>
    <n v="148.1"/>
    <n v="149.1"/>
    <n v="1"/>
    <x v="0"/>
    <m/>
    <m/>
    <s v="Federal"/>
    <m/>
    <m/>
    <m/>
    <s v="Federal"/>
    <s v="PAV"/>
    <s v="Caruaru"/>
  </r>
  <r>
    <x v="0"/>
    <s v="232BPE0180"/>
    <n v="0"/>
    <x v="199"/>
    <s v="0180"/>
    <n v="-36.154368040052901"/>
    <n v="-8.3275132799138802"/>
    <n v="-36.2831416796447"/>
    <n v="-8.3343852703638905"/>
    <s v="232"/>
    <s v="PE"/>
    <s v="Eixo Principal"/>
    <s v="-"/>
    <s v="232BPE0180"/>
    <s v="FIM DUPLICAÇÃO"/>
    <s v="ENTR PE-144 (P/TACAIMBÓ)"/>
    <n v="149.1"/>
    <n v="163.30000000000001"/>
    <n v="14.2"/>
    <x v="2"/>
    <m/>
    <m/>
    <s v="Federal"/>
    <m/>
    <m/>
    <m/>
    <s v="Federal"/>
    <s v="PAV"/>
    <s v="Caruaru"/>
  </r>
  <r>
    <x v="0"/>
    <s v="232BPE0190"/>
    <n v="0"/>
    <x v="199"/>
    <s v="0190"/>
    <n v="-36.2831416796447"/>
    <n v="-8.3343852703638905"/>
    <n v="-36.443098130374302"/>
    <n v="-8.3473136902745093"/>
    <s v="232"/>
    <s v="PE"/>
    <s v="Eixo Principal"/>
    <s v="-"/>
    <s v="232BPE0190"/>
    <s v="ENTR PE-144 (P/TACAIMBÓ)"/>
    <s v="ENTR PE-180 (BELO JARDIM)"/>
    <n v="163.30000000000001"/>
    <n v="181.6"/>
    <n v="18.3"/>
    <x v="2"/>
    <m/>
    <m/>
    <s v="Federal"/>
    <m/>
    <m/>
    <m/>
    <s v="Federal"/>
    <s v="PAV"/>
    <s v="Caruaru"/>
  </r>
  <r>
    <x v="0"/>
    <s v="232BPE0210"/>
    <n v="0"/>
    <x v="199"/>
    <s v="0210"/>
    <n v="-36.443098130374302"/>
    <n v="-8.3473136902745093"/>
    <n v="-36.717949040215998"/>
    <n v="-8.3750334298488802"/>
    <s v="232"/>
    <s v="PE"/>
    <s v="Eixo Principal"/>
    <s v="-"/>
    <s v="232BPE0210"/>
    <s v="ENTR PE-180 (BELO JARDIM)"/>
    <s v="ENTR PE-217 (PESQUEIRA)"/>
    <n v="181.6"/>
    <n v="212.5"/>
    <n v="30.9"/>
    <x v="2"/>
    <m/>
    <m/>
    <s v="Federal"/>
    <m/>
    <m/>
    <m/>
    <s v="Federal"/>
    <s v="PAV"/>
    <s v="Caruaru"/>
  </r>
  <r>
    <x v="0"/>
    <s v="232BPE0230"/>
    <n v="0"/>
    <x v="199"/>
    <s v="0230"/>
    <n v="-36.717949040215998"/>
    <n v="-8.3750334298488802"/>
    <n v="-37.062677970012203"/>
    <n v="-8.4303216502239504"/>
    <s v="232"/>
    <s v="PE"/>
    <s v="Eixo Principal"/>
    <s v="-"/>
    <s v="232BPE0230"/>
    <s v="ENTR PE-217 (PESQUEIRA)"/>
    <s v="ENTR BR-424 (ARCOVERDE)"/>
    <n v="212.5"/>
    <n v="251.3"/>
    <n v="38.799999999999997"/>
    <x v="2"/>
    <m/>
    <m/>
    <s v="Federal"/>
    <m/>
    <m/>
    <m/>
    <s v="Federal"/>
    <s v="PAV"/>
    <s v="Arcoverde"/>
  </r>
  <r>
    <x v="0"/>
    <s v="232BPE0250"/>
    <n v="0"/>
    <x v="199"/>
    <s v="0250"/>
    <n v="-37.062677970012203"/>
    <n v="-8.4303216502239504"/>
    <n v="-37.065359799615003"/>
    <n v="-8.4308593800562903"/>
    <s v="232"/>
    <s v="PE"/>
    <s v="Eixo Principal"/>
    <s v="-"/>
    <s v="232BPE0250"/>
    <s v="ENTR BR-424 (ARCOVERDE)"/>
    <s v="ENTR PE-270 (P/BUÍQUE)"/>
    <n v="251.3"/>
    <n v="252"/>
    <n v="0.7"/>
    <x v="2"/>
    <m/>
    <m/>
    <s v="Federal"/>
    <m/>
    <m/>
    <m/>
    <s v="Federal"/>
    <s v="PAV"/>
    <s v="Arcoverde"/>
  </r>
  <r>
    <x v="0"/>
    <s v="232BPE0260"/>
    <n v="0"/>
    <x v="199"/>
    <s v="0260"/>
    <n v="-37.065359799615003"/>
    <n v="-8.4308593800562903"/>
    <n v="-37.2732735697194"/>
    <n v="-8.3598847402884608"/>
    <s v="232"/>
    <s v="PE"/>
    <s v="Eixo Principal"/>
    <s v="-"/>
    <s v="232BPE0260"/>
    <s v="ENTR PE-270 (P/BUÍQUE)"/>
    <s v="ENTR BR-110 (CRUZEIRO DO NORDESTE)"/>
    <n v="252"/>
    <n v="277.8"/>
    <n v="25.8"/>
    <x v="2"/>
    <m/>
    <m/>
    <s v="Federal"/>
    <m/>
    <m/>
    <m/>
    <s v="Federal"/>
    <s v="PAV"/>
    <s v="Arcoverde"/>
  </r>
  <r>
    <x v="0"/>
    <s v="232BPE0270"/>
    <n v="0"/>
    <x v="199"/>
    <s v="0270"/>
    <n v="-37.2732735697194"/>
    <n v="-8.3598847402884608"/>
    <n v="-37.572202740064299"/>
    <n v="-8.0943665395840796"/>
    <s v="232"/>
    <s v="PE"/>
    <s v="Eixo Principal"/>
    <s v="-"/>
    <s v="232BPE0270"/>
    <s v="ENTR BR-110 (CRUZEIRO DO NORDESTE)"/>
    <s v="ENTR PE-280 (P/SERTÂNIA)"/>
    <n v="277.8"/>
    <n v="324.39999999999998"/>
    <n v="46.6"/>
    <x v="2"/>
    <m/>
    <m/>
    <s v="Federal"/>
    <m/>
    <m/>
    <m/>
    <s v="Federal"/>
    <s v="PAV"/>
    <s v="Arcoverde"/>
  </r>
  <r>
    <x v="0"/>
    <s v="232BPE0290"/>
    <n v="0"/>
    <x v="199"/>
    <s v="0290"/>
    <n v="-37.572202740064299"/>
    <n v="-8.0943665395840796"/>
    <n v="-37.631249310007597"/>
    <n v="-8.0884619102888493"/>
    <s v="232"/>
    <s v="PE"/>
    <s v="Eixo Principal"/>
    <s v="-"/>
    <s v="232BPE0290"/>
    <s v="ENTR PE-280 (P/SERTÂNIA)"/>
    <s v="ENTR PE-310/312 (CUSTÓDIA)"/>
    <n v="324.39999999999998"/>
    <n v="333.5"/>
    <n v="9.1"/>
    <x v="2"/>
    <m/>
    <m/>
    <s v="Federal"/>
    <m/>
    <m/>
    <m/>
    <s v="Federal"/>
    <s v="PAV"/>
    <s v="Arcoverde"/>
  </r>
  <r>
    <x v="0"/>
    <s v="232BPE0300"/>
    <n v="0"/>
    <x v="199"/>
    <s v="0300"/>
    <n v="-37.631249310007597"/>
    <n v="-8.0884619102888493"/>
    <n v="-37.843162109843398"/>
    <n v="-8.0470513901095106"/>
    <s v="232"/>
    <s v="PE"/>
    <s v="Eixo Principal"/>
    <s v="-"/>
    <s v="232BPE0300"/>
    <s v="ENTR PE-310/312 (CUSTÓDIA)"/>
    <s v="ENTR BR-426/PE-340 (SÍTIO DOS NUNES)"/>
    <n v="333.5"/>
    <n v="356.3"/>
    <n v="22.8"/>
    <x v="2"/>
    <m/>
    <m/>
    <s v="Federal"/>
    <m/>
    <m/>
    <m/>
    <s v="Federal"/>
    <s v="PAV"/>
    <s v="Arcoverde"/>
  </r>
  <r>
    <x v="0"/>
    <s v="232BPE0310"/>
    <n v="0"/>
    <x v="199"/>
    <s v="0310"/>
    <n v="-37.843162109843398"/>
    <n v="-8.0470513901095106"/>
    <n v="-38.244347359742697"/>
    <n v="-8.0032476804360595"/>
    <s v="232"/>
    <s v="PE"/>
    <s v="Eixo Principal"/>
    <s v="-"/>
    <s v="232BPE0310"/>
    <s v="ENTR BR-426/PE-340 (SÍTIO DOS NUNES)"/>
    <s v="ENTR PE-390 (P/FLORESTA)"/>
    <n v="356.3"/>
    <n v="402.8"/>
    <n v="46.5"/>
    <x v="2"/>
    <m/>
    <m/>
    <s v="Federal"/>
    <m/>
    <m/>
    <m/>
    <s v="Federal"/>
    <s v="PAV"/>
    <s v="Arcoverde"/>
  </r>
  <r>
    <x v="0"/>
    <s v="232BPE0330"/>
    <n v="0"/>
    <x v="199"/>
    <s v="0330"/>
    <n v="-38.244347359742697"/>
    <n v="-8.0032476804360595"/>
    <n v="-38.255293129774003"/>
    <n v="-7.9885721601770001"/>
    <s v="232"/>
    <s v="PE"/>
    <s v="Eixo Principal"/>
    <s v="-"/>
    <s v="232BPE0330"/>
    <s v="ENTR PE-390 (P/FLORESTA)"/>
    <s v="ENTR PE-320 (P/FLÔRES)"/>
    <n v="402.8"/>
    <n v="405.2"/>
    <n v="2.4"/>
    <x v="2"/>
    <m/>
    <m/>
    <s v="Federal"/>
    <m/>
    <m/>
    <m/>
    <s v="Federal"/>
    <s v="PAV"/>
    <s v="Arcoverde"/>
  </r>
  <r>
    <x v="0"/>
    <s v="232BPE0350"/>
    <n v="0"/>
    <x v="199"/>
    <s v="0350"/>
    <n v="-38.255293129774003"/>
    <n v="-7.9885721601770001"/>
    <n v="-38.289468110364901"/>
    <n v="-7.98194425022694"/>
    <s v="232"/>
    <s v="PE"/>
    <s v="Eixo Principal"/>
    <s v="-"/>
    <s v="232BPE0350"/>
    <s v="ENTR PE-320 (P/FLÔRES)"/>
    <s v="ENTR PE-365 (SERRA TALHADA)"/>
    <n v="405.2"/>
    <n v="409"/>
    <n v="3.8"/>
    <x v="2"/>
    <m/>
    <m/>
    <s v="Federal"/>
    <m/>
    <m/>
    <m/>
    <s v="Federal"/>
    <s v="PAV"/>
    <s v="Arcoverde"/>
  </r>
  <r>
    <x v="0"/>
    <s v="232BPE0360"/>
    <n v="0"/>
    <x v="199"/>
    <s v="0360"/>
    <n v="-38.289468110364901"/>
    <n v="-7.98194425022694"/>
    <n v="-38.326680320040602"/>
    <n v="-7.9869211595838001"/>
    <s v="232"/>
    <s v="PE"/>
    <s v="Eixo Principal"/>
    <s v="-"/>
    <s v="232BPE0360"/>
    <s v="ENTR PE-365 (SERRA TALHADA)"/>
    <s v="ENTR PE-418"/>
    <n v="409"/>
    <n v="412.6"/>
    <n v="3.6"/>
    <x v="2"/>
    <m/>
    <m/>
    <s v="Federal"/>
    <m/>
    <m/>
    <m/>
    <s v="Federal"/>
    <s v="PAV"/>
    <s v="Salgueiro"/>
  </r>
  <r>
    <x v="0"/>
    <s v="232BPE0370"/>
    <n v="0"/>
    <x v="199"/>
    <s v="0370"/>
    <n v="-38.326680320040602"/>
    <n v="-7.9869211595838001"/>
    <n v="-38.4312549597485"/>
    <n v="-8.00132945978668"/>
    <s v="232"/>
    <s v="PE"/>
    <s v="Eixo Principal"/>
    <s v="-"/>
    <s v="232BPE0370"/>
    <s v="ENTR PE-418"/>
    <s v="ENTR PE-414"/>
    <n v="412.6"/>
    <n v="425.2"/>
    <n v="12.6"/>
    <x v="2"/>
    <m/>
    <m/>
    <s v="Federal"/>
    <m/>
    <m/>
    <m/>
    <s v="Federal"/>
    <s v="PAV"/>
    <s v="Salgueiro"/>
  </r>
  <r>
    <x v="0"/>
    <s v="232BPE0390"/>
    <n v="0"/>
    <x v="199"/>
    <s v="0390"/>
    <n v="-38.4312549597485"/>
    <n v="-8.00132945978668"/>
    <n v="-38.636422710239799"/>
    <n v="-7.9828097298851004"/>
    <s v="232"/>
    <s v="PE"/>
    <s v="Eixo Principal"/>
    <s v="-"/>
    <s v="232BPE0390"/>
    <s v="ENTR PE-414"/>
    <s v="ENTR PE-430 (BOM NOME)"/>
    <n v="425.2"/>
    <n v="450.2"/>
    <n v="25"/>
    <x v="2"/>
    <m/>
    <m/>
    <s v="Federal"/>
    <m/>
    <m/>
    <m/>
    <s v="Federal"/>
    <s v="PAV"/>
    <s v="Salgueiro"/>
  </r>
  <r>
    <x v="0"/>
    <s v="232BPE0400"/>
    <n v="0"/>
    <x v="199"/>
    <s v="0400"/>
    <n v="-38.636422710239799"/>
    <n v="-7.9828097298851004"/>
    <n v="-38.710682229900897"/>
    <n v="-8.0213482003591103"/>
    <s v="232"/>
    <s v="PE"/>
    <s v="Eixo Principal"/>
    <s v="-"/>
    <s v="232BPE0400"/>
    <s v="ENTR PE-430 (BOM NOME)"/>
    <s v="ENTR PE-423 (P/MIRANDIBA)"/>
    <n v="450.2"/>
    <n v="459.5"/>
    <n v="9.3000000000000007"/>
    <x v="2"/>
    <m/>
    <m/>
    <s v="Federal"/>
    <m/>
    <m/>
    <m/>
    <s v="Federal"/>
    <s v="PAV"/>
    <s v="Salgueiro"/>
  </r>
  <r>
    <x v="0"/>
    <s v="232BPE0410"/>
    <n v="0"/>
    <x v="199"/>
    <s v="0410"/>
    <n v="-38.710682229900897"/>
    <n v="-8.0213482003591103"/>
    <n v="-38.9789076004053"/>
    <n v="-8.0064995803912709"/>
    <s v="232"/>
    <s v="PE"/>
    <s v="Eixo Principal"/>
    <s v="-"/>
    <s v="232BPE0410"/>
    <s v="ENTR PE-423 (P/MIRANDIBA)"/>
    <s v="ENTR PE-450 (P/VERDEJANTE)"/>
    <n v="459.5"/>
    <n v="490.7"/>
    <n v="31.2"/>
    <x v="2"/>
    <m/>
    <m/>
    <s v="Federal"/>
    <m/>
    <m/>
    <m/>
    <s v="Federal"/>
    <s v="PAV"/>
    <s v="Salgueiro"/>
  </r>
  <r>
    <x v="0"/>
    <s v="232BPE0420"/>
    <n v="0"/>
    <x v="199"/>
    <s v="0420"/>
    <n v="-38.9789076004053"/>
    <n v="-8.0064995803912709"/>
    <n v="-39.134551739870801"/>
    <n v="-8.0673825200871594"/>
    <s v="232"/>
    <s v="PE"/>
    <s v="Eixo Principal"/>
    <s v="-"/>
    <s v="232BPE0420"/>
    <s v="ENTR PE-450 (P/VERDEJANTE)"/>
    <s v="ENTR BR-116/361 (SALGUEIRO)"/>
    <n v="490.7"/>
    <n v="509.6"/>
    <n v="18.899999999999999"/>
    <x v="2"/>
    <m/>
    <m/>
    <s v="Federal"/>
    <m/>
    <m/>
    <m/>
    <s v="Federal"/>
    <s v="PAV"/>
    <s v="Salgueiro"/>
  </r>
  <r>
    <x v="0"/>
    <s v="232BPE0430"/>
    <n v="0"/>
    <x v="199"/>
    <s v="0430"/>
    <n v="-39.134551739870801"/>
    <n v="-8.0673825200871594"/>
    <n v="-39.214046300396298"/>
    <n v="-8.0626963003938901"/>
    <s v="232"/>
    <s v="PE"/>
    <s v="Eixo Principal"/>
    <s v="-"/>
    <s v="232BPE0430"/>
    <s v="ENTR BR-116/361 (SALGUEIRO)"/>
    <s v="ENTR PE-507 (P/SERRITA)"/>
    <n v="509.6"/>
    <n v="518.9"/>
    <n v="9.3000000000000007"/>
    <x v="2"/>
    <m/>
    <m/>
    <s v="Federal"/>
    <m/>
    <m/>
    <m/>
    <s v="Federal"/>
    <s v="PAV"/>
    <s v="Salgueiro"/>
  </r>
  <r>
    <x v="0"/>
    <s v="232BPE0435"/>
    <n v="0"/>
    <x v="199"/>
    <s v="0435"/>
    <n v="-39.214046300396298"/>
    <n v="-8.0626963003938901"/>
    <n v="-39.269080119651697"/>
    <n v="-8.0697486597727508"/>
    <s v="232"/>
    <s v="PE"/>
    <s v="Eixo Principal"/>
    <s v="-"/>
    <s v="232BPE0435"/>
    <s v="ENTR PE-507 (P/SERRITA)"/>
    <s v="ENTR PE-483 (P/UMÃS)"/>
    <n v="518.9"/>
    <n v="525.1"/>
    <n v="6.2"/>
    <x v="2"/>
    <m/>
    <m/>
    <s v="Federal"/>
    <m/>
    <m/>
    <m/>
    <s v="Federal"/>
    <s v="PAV"/>
    <s v="Salgueiro"/>
  </r>
  <r>
    <x v="0"/>
    <s v="232BPE0440"/>
    <n v="0"/>
    <x v="199"/>
    <s v="0440"/>
    <n v="-39.269080119651697"/>
    <n v="-8.0697486597727508"/>
    <n v="-39.440293069669302"/>
    <n v="-8.0864213395731195"/>
    <s v="232"/>
    <s v="PE"/>
    <s v="Eixo Principal"/>
    <s v="-"/>
    <s v="232BPE0440"/>
    <s v="ENTR PE-483 (P/UMÃS)"/>
    <s v="ENTR PE-499 (P/TERRA NOVA)"/>
    <n v="525.1"/>
    <n v="544.1"/>
    <n v="19"/>
    <x v="2"/>
    <m/>
    <m/>
    <s v="Federal"/>
    <m/>
    <m/>
    <m/>
    <s v="Federal"/>
    <s v="PAV"/>
    <s v="Salgueiro"/>
  </r>
  <r>
    <x v="0"/>
    <s v="232BPE0450"/>
    <n v="0"/>
    <x v="199"/>
    <s v="0450"/>
    <n v="-39.440293069669302"/>
    <n v="-8.0864213395731195"/>
    <n v="-39.576830679692002"/>
    <n v="-8.0948180999752708"/>
    <s v="232"/>
    <s v="PE"/>
    <s v="Eixo Principal"/>
    <s v="-"/>
    <s v="232BPE0450"/>
    <s v="ENTR PE-499 (P/TERRA NOVA)"/>
    <s v="ENTR BR-316 (PARNAMIRIM)"/>
    <n v="544.1"/>
    <n v="560.1"/>
    <n v="16"/>
    <x v="2"/>
    <m/>
    <m/>
    <s v="Federal"/>
    <m/>
    <m/>
    <m/>
    <s v="Federal"/>
    <s v="PAV"/>
    <s v="Salgueiro"/>
  </r>
  <r>
    <x v="0"/>
    <s v="235ABA1005"/>
    <n v="0"/>
    <x v="200"/>
    <s v="1005"/>
    <n v="-38.901362029933601"/>
    <n v="-9.8753997099286099"/>
    <n v="-38.905498080371999"/>
    <n v="-9.8718950896865696"/>
    <s v="235"/>
    <s v="BA"/>
    <s v="Acesso"/>
    <s v="-"/>
    <s v="235ABA1005"/>
    <s v="ENTR BR-235 (KM 153)"/>
    <s v="CANCHE (ACESSO I)"/>
    <n v="0"/>
    <n v="0.6"/>
    <n v="0.6"/>
    <x v="2"/>
    <m/>
    <m/>
    <s v="Federal"/>
    <m/>
    <m/>
    <m/>
    <s v="Federal"/>
    <s v="PAV"/>
    <s v="Euclides da Cunha"/>
  </r>
  <r>
    <x v="0"/>
    <s v="235ABA1205"/>
    <n v="0"/>
    <x v="200"/>
    <s v="1205"/>
    <n v="-38.915155489733998"/>
    <n v="-9.8726843697878"/>
    <n v="-38.911393569857204"/>
    <n v="-9.8722770902154995"/>
    <s v="235"/>
    <s v="BA"/>
    <s v="Acesso"/>
    <s v="-"/>
    <s v="235ABA1205"/>
    <s v="ENTR BR-235 (KM 154,8)"/>
    <s v="CANCHE (ACESSO II)"/>
    <n v="0"/>
    <n v="0.4"/>
    <n v="0.4"/>
    <x v="2"/>
    <m/>
    <m/>
    <s v="Federal"/>
    <m/>
    <m/>
    <m/>
    <s v="Federal"/>
    <s v="PAV"/>
    <s v="Euclides da Cunha"/>
  </r>
  <r>
    <x v="0"/>
    <s v="235ABA2005"/>
    <n v="0"/>
    <x v="200"/>
    <s v="2005"/>
    <n v="-39.014886710053503"/>
    <n v="-9.8839597602346796"/>
    <n v="-39.025222399793797"/>
    <n v="-9.8928398495793299"/>
    <s v="235"/>
    <s v="BA"/>
    <s v="Acesso"/>
    <s v="-"/>
    <s v="235ABA2005"/>
    <s v="ENTR BR-235 (KM 166,7)"/>
    <s v="CANUDOS (ACESSO I)"/>
    <n v="0"/>
    <n v="1.5"/>
    <n v="1.5"/>
    <x v="2"/>
    <m/>
    <m/>
    <s v="Federal"/>
    <m/>
    <m/>
    <m/>
    <s v="Federal"/>
    <s v="PAV"/>
    <s v="Euclides da Cunha"/>
  </r>
  <r>
    <x v="0"/>
    <s v="235ABA2205"/>
    <n v="0"/>
    <x v="200"/>
    <s v="2205"/>
    <n v="-39.029004049896898"/>
    <n v="-9.9074877102895496"/>
    <n v="-39.030455759825401"/>
    <n v="-9.8972822297910099"/>
    <s v="235"/>
    <s v="BA"/>
    <s v="Acesso"/>
    <s v="-"/>
    <s v="235ABA2205"/>
    <s v="ENTR BR-235 (170,5)"/>
    <s v="CANUDOS (ACESSO II)"/>
    <n v="0"/>
    <n v="1.4"/>
    <n v="1.4"/>
    <x v="2"/>
    <m/>
    <m/>
    <s v="Federal"/>
    <m/>
    <m/>
    <m/>
    <s v="Federal"/>
    <s v="PAV"/>
    <s v="Euclides da Cunha"/>
  </r>
  <r>
    <x v="0"/>
    <s v="235ABA3005"/>
    <n v="0"/>
    <x v="200"/>
    <s v="3005"/>
    <n v="-39.470286700071"/>
    <n v="-9.8445439399508192"/>
    <n v="-39.474485149969603"/>
    <n v="-9.8416689998244298"/>
    <s v="235"/>
    <s v="BA"/>
    <s v="Acesso"/>
    <s v="-"/>
    <s v="235ABA3005"/>
    <s v="ENTR BR-235 (KM 225,8)"/>
    <s v="UAUÁ (ACESSO I)"/>
    <n v="0"/>
    <n v="0.4"/>
    <n v="0.4"/>
    <x v="2"/>
    <m/>
    <m/>
    <s v="Federal"/>
    <m/>
    <m/>
    <m/>
    <s v="Federal"/>
    <s v="PAV"/>
    <s v="Senhor do Bonfim"/>
  </r>
  <r>
    <x v="0"/>
    <s v="235ABA3205"/>
    <n v="0"/>
    <x v="200"/>
    <s v="3205"/>
    <n v="-39.4987137699245"/>
    <n v="-9.8312478502080491"/>
    <n v="-39.490728110314002"/>
    <n v="-9.8356799097999694"/>
    <s v="235"/>
    <s v="BA"/>
    <s v="Acesso"/>
    <s v="-"/>
    <s v="235ABA3205"/>
    <s v="ENTR BR-235 (KM 231,5)"/>
    <s v="UAUÁ (ACESSO II)"/>
    <n v="0"/>
    <n v="1"/>
    <n v="1"/>
    <x v="2"/>
    <m/>
    <m/>
    <s v="Federal"/>
    <m/>
    <m/>
    <m/>
    <s v="Federal"/>
    <s v="PAV"/>
    <s v="Senhor do Bonfim"/>
  </r>
  <r>
    <x v="0"/>
    <s v="235ATO1005"/>
    <n v="0"/>
    <x v="201"/>
    <s v="1005"/>
    <n v="-48.196838690353196"/>
    <n v="-8.9793072102594902"/>
    <n v="-48.182418609930799"/>
    <n v="-8.98365045010814"/>
    <s v="235"/>
    <s v="TO"/>
    <s v="Acesso"/>
    <s v="-"/>
    <s v="235ATO1005"/>
    <s v="ENTR BR-235"/>
    <s v="ANTIGO PORTO DE BALSAS (TUPIRAMA)"/>
    <n v="0"/>
    <n v="1.9"/>
    <n v="1.9"/>
    <x v="2"/>
    <m/>
    <m/>
    <s v="Federal"/>
    <m/>
    <m/>
    <m/>
    <s v="Federal"/>
    <s v="PAV"/>
    <s v="Paraíso de Tocantins"/>
  </r>
  <r>
    <x v="0"/>
    <s v="235BBA0190"/>
    <n v="0"/>
    <x v="202"/>
    <s v="0190"/>
    <n v="-37.740552739717103"/>
    <n v="-10.318297580269"/>
    <n v="-37.842601739578498"/>
    <n v="-10.224074960191199"/>
    <s v="235"/>
    <s v="BA"/>
    <s v="Eixo Principal"/>
    <s v="-"/>
    <s v="235BBA0190"/>
    <s v="DIV SE/BA"/>
    <s v="ENTR BA-084 (P/ CORONEL JOÃO SÁ)"/>
    <n v="0"/>
    <n v="16"/>
    <n v="16"/>
    <x v="2"/>
    <m/>
    <m/>
    <s v="Federal"/>
    <m/>
    <m/>
    <m/>
    <s v="Federal"/>
    <s v="PAV"/>
    <s v="Euclides da Cunha"/>
  </r>
  <r>
    <x v="0"/>
    <s v="235BBA0192"/>
    <n v="0"/>
    <x v="202"/>
    <s v="0192"/>
    <n v="-37.842601739578498"/>
    <n v="-10.224074960191199"/>
    <n v="-37.993416099673098"/>
    <n v="-10.115038520311399"/>
    <s v="235"/>
    <s v="BA"/>
    <s v="Eixo Principal"/>
    <s v="-"/>
    <s v="235BBA0192"/>
    <s v="ENTR BA-084 (P/ CORONEL JOÃO SÁ)"/>
    <s v="ENTR BA-386 (P/ PEDRO ALEXANDRE)"/>
    <n v="16"/>
    <n v="38.1"/>
    <n v="22.1"/>
    <x v="2"/>
    <m/>
    <m/>
    <s v="Federal"/>
    <m/>
    <m/>
    <m/>
    <s v="Federal"/>
    <s v="PAV"/>
    <s v="Euclides da Cunha"/>
  </r>
  <r>
    <x v="0"/>
    <s v="235BBA0194"/>
    <n v="0"/>
    <x v="202"/>
    <s v="0194"/>
    <n v="-37.993416099673098"/>
    <n v="-10.115038520311399"/>
    <n v="-38.320849769700999"/>
    <n v="-10.091031309847001"/>
    <s v="235"/>
    <s v="BA"/>
    <s v="Eixo Principal"/>
    <s v="-"/>
    <s v="235BBA0194"/>
    <s v="ENTR BA-386 (P/ PEDRO ALEXANDRE)"/>
    <s v="ENTR BR-110"/>
    <n v="38.1"/>
    <n v="75.7"/>
    <n v="37.6"/>
    <x v="2"/>
    <m/>
    <m/>
    <s v="Federal"/>
    <m/>
    <m/>
    <m/>
    <s v="Federal"/>
    <s v="PAV"/>
    <s v="Euclides da Cunha"/>
  </r>
  <r>
    <x v="0"/>
    <s v="235BBA0210"/>
    <n v="0"/>
    <x v="202"/>
    <s v="0210"/>
    <n v="-38.320849769700999"/>
    <n v="-10.091031309847001"/>
    <n v="-38.901362029933601"/>
    <n v="-9.8753997099286099"/>
    <s v="235"/>
    <s v="BA"/>
    <s v="Eixo Principal"/>
    <s v="-"/>
    <s v="235BBA0210"/>
    <s v="ENTR BR-110"/>
    <s v="CANCHÉ (ACESSO I)"/>
    <n v="75.7"/>
    <n v="153"/>
    <n v="77.3"/>
    <x v="5"/>
    <s v="EOP"/>
    <m/>
    <s v="Federal"/>
    <m/>
    <m/>
    <m/>
    <s v="Federal"/>
    <s v="N_PAV"/>
    <s v="Euclides da Cunha"/>
  </r>
  <r>
    <x v="0"/>
    <s v="235BBA0220"/>
    <n v="0"/>
    <x v="202"/>
    <s v="0220"/>
    <n v="-38.901362029933601"/>
    <n v="-9.8753997099286099"/>
    <n v="-39.014886710053503"/>
    <n v="-9.8839597602346796"/>
    <s v="235"/>
    <s v="BA"/>
    <s v="Eixo Principal"/>
    <s v="-"/>
    <s v="235BBA0220"/>
    <s v="CANCHÉ (ACESSO I)"/>
    <s v="CANUDOS (ACESSO NORTE)"/>
    <n v="153"/>
    <n v="166.7"/>
    <n v="13.7"/>
    <x v="2"/>
    <m/>
    <m/>
    <s v="Federal"/>
    <m/>
    <m/>
    <m/>
    <s v="Federal"/>
    <s v="PAV"/>
    <s v="Euclides da Cunha"/>
  </r>
  <r>
    <x v="0"/>
    <s v="235BBA0230"/>
    <n v="0"/>
    <x v="202"/>
    <s v="0230"/>
    <n v="-39.014886710053503"/>
    <n v="-9.8839597602346796"/>
    <n v="-39.163037959933803"/>
    <n v="-9.9644249896215307"/>
    <s v="235"/>
    <s v="BA"/>
    <s v="Eixo Principal"/>
    <s v="-"/>
    <s v="235BBA0230"/>
    <s v="CANUDOS (ACESSO NORTE)"/>
    <s v="ENTR BR-116 (BENDENGÓ)"/>
    <n v="166.7"/>
    <n v="188"/>
    <n v="21.3"/>
    <x v="2"/>
    <m/>
    <m/>
    <s v="Federal"/>
    <m/>
    <m/>
    <m/>
    <s v="Federal"/>
    <s v="PAV"/>
    <s v="Euclides da Cunha"/>
  </r>
  <r>
    <x v="0"/>
    <s v="235BBA0240"/>
    <n v="0"/>
    <x v="202"/>
    <s v="0240"/>
    <n v="-39.163037959933803"/>
    <n v="-9.9644249896215307"/>
    <n v="-39.470286700071"/>
    <n v="-9.8445439399508192"/>
    <s v="235"/>
    <s v="BA"/>
    <s v="Eixo Principal"/>
    <s v="-"/>
    <s v="235BBA0240"/>
    <s v="ENTR BR-116 (BENDENGÓ)"/>
    <s v="UAUÁ (ACESSO I)"/>
    <n v="188"/>
    <n v="225.8"/>
    <n v="37.799999999999997"/>
    <x v="2"/>
    <m/>
    <m/>
    <s v="Federal"/>
    <m/>
    <m/>
    <m/>
    <s v="Federal"/>
    <s v="PAV"/>
    <s v="Euclides da Cunha"/>
  </r>
  <r>
    <x v="0"/>
    <s v="235BBA0250"/>
    <n v="0"/>
    <x v="202"/>
    <s v="0250"/>
    <n v="-39.470286700071"/>
    <n v="-9.8445439399508192"/>
    <n v="-39.813186399832396"/>
    <n v="-9.6221303798131395"/>
    <s v="235"/>
    <s v="BA"/>
    <s v="Eixo Principal"/>
    <s v="-"/>
    <s v="235BBA0250"/>
    <s v="UAUÁ (ACESSO I)"/>
    <s v="ENTR BA-120 (P/POÇO DE FORA)"/>
    <n v="225.8"/>
    <n v="267.8"/>
    <n v="42"/>
    <x v="2"/>
    <m/>
    <m/>
    <s v="Federal"/>
    <m/>
    <m/>
    <m/>
    <s v="Federal"/>
    <s v="PAV"/>
    <s v="Senhor do Bonfim"/>
  </r>
  <r>
    <x v="0"/>
    <s v="235BBA0254"/>
    <n v="0"/>
    <x v="202"/>
    <s v="0254"/>
    <n v="-39.813186399832396"/>
    <n v="-9.6221303798131395"/>
    <n v="-39.889422890154201"/>
    <n v="-9.5794572195749694"/>
    <s v="235"/>
    <s v="BA"/>
    <s v="Eixo Principal"/>
    <s v="-"/>
    <s v="235BBA0254"/>
    <s v="ENTR BA-120 (P/POÇO DE FORA)"/>
    <s v="PINHÕES (INÍCIO PONTE)"/>
    <n v="267.8"/>
    <n v="276.8"/>
    <n v="9"/>
    <x v="2"/>
    <m/>
    <m/>
    <s v="Federal"/>
    <m/>
    <m/>
    <m/>
    <s v="Federal"/>
    <s v="PAV"/>
    <s v="Senhor do Bonfim"/>
  </r>
  <r>
    <x v="0"/>
    <s v="235BBA0260"/>
    <n v="0"/>
    <x v="202"/>
    <s v="0260"/>
    <n v="-39.889422890154201"/>
    <n v="-9.5794572195749694"/>
    <n v="-40.492775049828602"/>
    <n v="-9.4433415498725708"/>
    <s v="235"/>
    <s v="BA"/>
    <s v="Eixo Principal"/>
    <s v="-"/>
    <s v="235BBA0260"/>
    <s v="PINHÕES (INÍCIO PONTE)"/>
    <s v="ENTR BR-122(A)/407(A)/423 (MERCADO DO PRODUTOR/JUAZEIRO)"/>
    <n v="276.8"/>
    <n v="347.8"/>
    <n v="71"/>
    <x v="2"/>
    <m/>
    <m/>
    <s v="Federal"/>
    <m/>
    <m/>
    <m/>
    <s v="Federal"/>
    <s v="PAV"/>
    <s v="Senhor do Bonfim"/>
  </r>
  <r>
    <x v="0"/>
    <s v="235BBA0262"/>
    <n v="0"/>
    <x v="202"/>
    <s v="0262"/>
    <n v="-40.492775049828602"/>
    <n v="-9.4433415498725708"/>
    <n v="-40.505673230035399"/>
    <n v="-9.4249740500123291"/>
    <s v="235"/>
    <s v="BA"/>
    <s v="Eixo Principal"/>
    <s v="-"/>
    <s v="235BBA0262"/>
    <s v="ENTR BR-122(A)/407(A)/423 (MERCADO DO PRODUTOR/JUAZEIRO)"/>
    <s v="ENTR BR-122(B)/407(B) (JUAZEIRO)"/>
    <n v="347.8"/>
    <n v="350.4"/>
    <n v="2.6"/>
    <x v="2"/>
    <m/>
    <m/>
    <s v="Federal"/>
    <m/>
    <m/>
    <m/>
    <s v="Federal"/>
    <s v="PAV"/>
    <m/>
  </r>
  <r>
    <x v="0"/>
    <s v="235BBA0267"/>
    <n v="0"/>
    <x v="202"/>
    <s v="0267"/>
    <n v="-40.505673230035399"/>
    <n v="-9.4249740500123291"/>
    <n v="-40.505335540003102"/>
    <n v="-9.4095459896556601"/>
    <s v="235"/>
    <s v="BA"/>
    <s v="Eixo Principal"/>
    <s v="Coinc"/>
    <s v="235BBA0267"/>
    <s v="ENTR BR-122(B)/407(B) (JUAZEIRO)"/>
    <s v="ENTR BR-122(C)/407(C) (DIV BA/PE) (INÍCIO PONTE S/RIO S FRANCISCO - JUAZEIRO)"/>
    <n v="350.4"/>
    <n v="352.2"/>
    <n v="1.8"/>
    <x v="2"/>
    <m/>
    <s v="122BBA0381;407BBA0280"/>
    <s v="Federal"/>
    <m/>
    <m/>
    <m/>
    <s v="Federal"/>
    <s v="PAV"/>
    <s v="Senhor do Bonfim"/>
  </r>
  <r>
    <x v="0"/>
    <s v="235BBA0300"/>
    <n v="0"/>
    <x v="202"/>
    <s v="0300"/>
    <n v="-40.728993670121703"/>
    <n v="-9.3225207302474402"/>
    <n v="-40.973219620089303"/>
    <n v="-9.1692135303800892"/>
    <s v="235"/>
    <s v="BA"/>
    <s v="Eixo Principal"/>
    <s v="-"/>
    <s v="235BBA0300"/>
    <s v="DIV PE/BA"/>
    <s v="CASA NOVA"/>
    <n v="352.2"/>
    <n v="389.2"/>
    <n v="37"/>
    <x v="2"/>
    <m/>
    <m/>
    <s v="Federal"/>
    <m/>
    <m/>
    <m/>
    <s v="Federal"/>
    <s v="PAV"/>
    <s v="Senhor do Bonfim"/>
  </r>
  <r>
    <x v="0"/>
    <s v="235BBA0310"/>
    <n v="0"/>
    <x v="202"/>
    <s v="0310"/>
    <n v="-40.973219620089303"/>
    <n v="-9.1692135303800892"/>
    <n v="-41.624913310201002"/>
    <n v="-9.3034183196996292"/>
    <s v="235"/>
    <s v="BA"/>
    <s v="Eixo Principal"/>
    <s v="-"/>
    <s v="235BBA0310"/>
    <s v="CASA NOVA"/>
    <s v="ENTR BA-722 (P/ PAU-A-PIQUE)"/>
    <n v="389.2"/>
    <n v="465.9"/>
    <n v="76.7"/>
    <x v="2"/>
    <m/>
    <m/>
    <s v="Federal"/>
    <m/>
    <m/>
    <m/>
    <s v="Federal"/>
    <s v="PAV"/>
    <s v="Senhor do Bonfim"/>
  </r>
  <r>
    <x v="0"/>
    <s v="235BBA0320"/>
    <n v="0"/>
    <x v="202"/>
    <s v="0320"/>
    <n v="-41.624913310201002"/>
    <n v="-9.3034183196996292"/>
    <n v="-41.872108149771201"/>
    <n v="-9.4322890797771404"/>
    <s v="235"/>
    <s v="BA"/>
    <s v="Eixo Principal"/>
    <s v="-"/>
    <s v="235BBA0320"/>
    <s v="ENTR BA-722 (P/ PAU-A-PIQUE)"/>
    <s v="ENTR BA-723 (P/ BEM-BOM)"/>
    <n v="465.9"/>
    <n v="499.6"/>
    <n v="33.700000000000003"/>
    <x v="2"/>
    <m/>
    <m/>
    <s v="Federal"/>
    <m/>
    <m/>
    <m/>
    <s v="Federal"/>
    <s v="PAV"/>
    <s v="Senhor do Bonfim"/>
  </r>
  <r>
    <x v="0"/>
    <s v="235BBA0322"/>
    <n v="0"/>
    <x v="202"/>
    <s v="0322"/>
    <n v="-41.872108149771201"/>
    <n v="-9.4322890797771404"/>
    <n v="-42.086052789704397"/>
    <n v="-9.6256697498590107"/>
    <s v="235"/>
    <s v="BA"/>
    <s v="Eixo Principal"/>
    <s v="-"/>
    <s v="235BBA0322"/>
    <s v="ENTR BA-723 (P/ BEM-BOM)"/>
    <s v="ENTR BR-324(A) (REMANSO)"/>
    <n v="499.6"/>
    <n v="531.79999999999995"/>
    <n v="32.200000000000003"/>
    <x v="2"/>
    <m/>
    <m/>
    <s v="Federal"/>
    <m/>
    <m/>
    <m/>
    <s v="Federal"/>
    <s v="PAV"/>
    <s v="Senhor do Bonfim"/>
  </r>
  <r>
    <x v="0"/>
    <s v="235BBA0325"/>
    <n v="0"/>
    <x v="202"/>
    <s v="0325"/>
    <n v="-42.086052789704397"/>
    <n v="-9.6256697498590107"/>
    <n v="-42.095884959822897"/>
    <n v="-9.6096924096769296"/>
    <s v="235"/>
    <s v="BA"/>
    <s v="Eixo Principal"/>
    <s v="-"/>
    <s v="235BBA0325"/>
    <s v="ENTR BR-324(A) (REMANSO)"/>
    <s v="ENTR BR-324(B)"/>
    <n v="531.79999999999995"/>
    <n v="533.6"/>
    <n v="1.8"/>
    <x v="2"/>
    <m/>
    <s v="324BBA0155"/>
    <s v="Federal"/>
    <m/>
    <m/>
    <m/>
    <s v="Federal"/>
    <s v="PAV"/>
    <s v="Senhor do Bonfim"/>
  </r>
  <r>
    <x v="0"/>
    <s v="235BBA0330"/>
    <n v="0"/>
    <x v="202"/>
    <s v="0330"/>
    <n v="-42.095884959822897"/>
    <n v="-9.6096924096769296"/>
    <n v="-42.219936199995502"/>
    <n v="-9.6500488398820004"/>
    <s v="235"/>
    <s v="BA"/>
    <s v="Eixo Principal"/>
    <s v="-"/>
    <s v="235BBA0330"/>
    <s v="ENTR BR-324(B)"/>
    <s v="ENTR BA-161"/>
    <n v="533.6"/>
    <n v="548.79999999999995"/>
    <n v="15.2"/>
    <x v="2"/>
    <m/>
    <m/>
    <s v="Federal"/>
    <m/>
    <m/>
    <m/>
    <s v="Federal"/>
    <s v="PAV"/>
    <s v="Senhor do Bonfim"/>
  </r>
  <r>
    <x v="0"/>
    <s v="235BBA0340"/>
    <n v="0"/>
    <x v="202"/>
    <s v="0340"/>
    <n v="-42.219936199995502"/>
    <n v="-9.6500488398820004"/>
    <n v="-42.752064720110603"/>
    <n v="-9.6248182699471201"/>
    <s v="235"/>
    <s v="BA"/>
    <s v="Eixo Principal"/>
    <s v="-"/>
    <s v="235BBA0340"/>
    <s v="ENTR BA-161"/>
    <s v="DISTRITO DE ANGICO"/>
    <n v="548.79999999999995"/>
    <n v="608.79999999999995"/>
    <n v="60"/>
    <x v="5"/>
    <m/>
    <m/>
    <s v="Federal"/>
    <m/>
    <m/>
    <m/>
    <s v="Federal"/>
    <s v="N_PAV"/>
    <s v="Senhor do Bonfim"/>
  </r>
  <r>
    <x v="0"/>
    <s v="235BBA0345"/>
    <n v="0"/>
    <x v="202"/>
    <s v="0345"/>
    <n v="-42.752064720110603"/>
    <n v="-9.6248182699471201"/>
    <n v="-43.0068360502434"/>
    <n v="-9.5166221997546891"/>
    <s v="235"/>
    <s v="BA"/>
    <s v="Eixo Principal"/>
    <s v="-"/>
    <s v="235BBA0345"/>
    <s v="DISTRITO DE ANGICO"/>
    <s v="ENTR BR-020 (CAMPO ALEGRE DE LOURDES)"/>
    <n v="608.79999999999995"/>
    <n v="643.4"/>
    <n v="34.6"/>
    <x v="5"/>
    <m/>
    <m/>
    <s v="Federal"/>
    <m/>
    <m/>
    <m/>
    <s v="Federal"/>
    <s v="N_PAV"/>
    <s v="Senhor do Bonfim"/>
  </r>
  <r>
    <x v="0"/>
    <s v="235BBA0350"/>
    <n v="0"/>
    <x v="202"/>
    <s v="0350"/>
    <n v="-43.0068360502434"/>
    <n v="-9.5166221997546891"/>
    <n v="-43.0841936102468"/>
    <n v="-9.3900782996737409"/>
    <s v="235"/>
    <s v="BA"/>
    <s v="Eixo Principal"/>
    <s v="-"/>
    <s v="235BBA0350"/>
    <s v="ENTR BR-020 (CAMPO ALEGRE DE LOURDES)"/>
    <s v="DIV BA/PI"/>
    <n v="643.4"/>
    <n v="658.4"/>
    <n v="15"/>
    <x v="5"/>
    <m/>
    <m/>
    <s v="Federal"/>
    <m/>
    <m/>
    <m/>
    <s v="Federal"/>
    <s v="N_PAV"/>
    <s v="Senhor do Bonfim"/>
  </r>
  <r>
    <x v="0"/>
    <s v="235BMA0450"/>
    <n v="0"/>
    <x v="203"/>
    <s v="0450"/>
    <n v="-45.925813850328801"/>
    <n v="-9.1121383499048498"/>
    <n v="-46.7163520518057"/>
    <n v="-9.1370995369140307"/>
    <s v="235"/>
    <s v="MA"/>
    <s v="Eixo Principal"/>
    <s v="-"/>
    <s v="235BMA0450"/>
    <s v="DIV PI/MA (ALTO PARNAÍBA)"/>
    <s v="RIO DAS BALSAS"/>
    <n v="0"/>
    <n v="92"/>
    <n v="92"/>
    <x v="1"/>
    <m/>
    <m/>
    <s v="Federal"/>
    <m/>
    <m/>
    <m/>
    <s v="Federal"/>
    <s v="PLA"/>
    <s v="Barão de Grajaú"/>
  </r>
  <r>
    <x v="0"/>
    <s v="235BMA0455"/>
    <n v="0"/>
    <x v="203"/>
    <s v="0455"/>
    <n v="-46.7163520518057"/>
    <n v="-9.1370995369140307"/>
    <n v="-46.875126799661999"/>
    <n v="-9.1445562602631298"/>
    <s v="235"/>
    <s v="MA"/>
    <s v="Eixo Principal"/>
    <s v="-"/>
    <s v="235BMA0455"/>
    <s v="RIO DAS BALSAS"/>
    <s v="DIV MA/TO"/>
    <n v="92"/>
    <n v="110.5"/>
    <n v="18.5"/>
    <x v="1"/>
    <m/>
    <m/>
    <s v="Federal"/>
    <m/>
    <m/>
    <m/>
    <s v="Federal"/>
    <s v="PLA"/>
    <s v="Barão de Grajaú"/>
  </r>
  <r>
    <x v="0"/>
    <s v="235BPA0550"/>
    <n v="0"/>
    <x v="204"/>
    <s v="0550"/>
    <n v="-49.572627849895198"/>
    <n v="-8.8148965703203999"/>
    <n v="-49.5821521901713"/>
    <n v="-8.8106202796021709"/>
    <s v="235"/>
    <s v="PA"/>
    <s v="Eixo Principal"/>
    <s v="-"/>
    <s v="235BPA0550"/>
    <s v="DIV TO/PA (INÍCIO TRAVESSIA RIO ARAGUAIA)"/>
    <s v="FIM TRAVESSIA RIO ARAGUAIA"/>
    <n v="0"/>
    <n v="0.6"/>
    <n v="0.6"/>
    <x v="4"/>
    <m/>
    <m/>
    <s v="Federal"/>
    <m/>
    <m/>
    <m/>
    <s v="Federal"/>
    <s v="N_PAV"/>
    <s v="Redenção"/>
  </r>
  <r>
    <x v="0"/>
    <s v="235BPA0570"/>
    <n v="0"/>
    <x v="204"/>
    <s v="0570"/>
    <n v="-49.5821521901713"/>
    <n v="-8.8106202796021709"/>
    <n v="-49.734733799924797"/>
    <n v="-8.8478596398104994"/>
    <s v="235"/>
    <s v="PA"/>
    <s v="Eixo Principal"/>
    <s v="-"/>
    <s v="235BPA0570"/>
    <s v="FIM TRAVESSIA RIO ARAGUAIA"/>
    <s v="ENTR PA-327/463 (P/SANTA MARIA DAS BARREIRAS)"/>
    <n v="0.6"/>
    <n v="20.8"/>
    <n v="20.2"/>
    <x v="1"/>
    <m/>
    <m/>
    <s v="Estadual"/>
    <m/>
    <s v="PAT-235"/>
    <s v="PAV"/>
    <s v="Estadual"/>
    <s v="PLA"/>
    <s v="Redenção"/>
  </r>
  <r>
    <x v="0"/>
    <s v="235BPA0590"/>
    <n v="0"/>
    <x v="204"/>
    <s v="0590"/>
    <n v="-49.734733799924797"/>
    <n v="-8.8478596398104994"/>
    <n v="-50.469606580179502"/>
    <n v="-8.7787866596765394"/>
    <s v="235"/>
    <s v="PA"/>
    <s v="Eixo Principal"/>
    <s v="-"/>
    <s v="235BPA0590"/>
    <s v="ENTR PA-327/463 (P/SANTA MARIA DAS BARREIRAS)"/>
    <s v="ENTR BR-158 (CASA DE TÁBUA)"/>
    <n v="20.8"/>
    <n v="101.8"/>
    <n v="81"/>
    <x v="1"/>
    <m/>
    <m/>
    <s v="Federal"/>
    <m/>
    <m/>
    <m/>
    <s v="Federal"/>
    <s v="PLA"/>
    <s v="Redenção"/>
  </r>
  <r>
    <x v="0"/>
    <s v="235BPA0610"/>
    <n v="0"/>
    <x v="204"/>
    <s v="0610"/>
    <n v="-50.469606580179502"/>
    <n v="-8.7787866596765394"/>
    <n v="-50.966750090444201"/>
    <n v="-8.7407107851745405"/>
    <s v="235"/>
    <s v="PA"/>
    <s v="Eixo Principal"/>
    <s v="-"/>
    <s v="235BPA0610"/>
    <s v="ENTR BR-158 (CASA DE TÁBUA)"/>
    <s v="RIO CAMPO ALEGRE"/>
    <n v="101.8"/>
    <n v="159.80000000000001"/>
    <n v="58"/>
    <x v="1"/>
    <m/>
    <m/>
    <s v="Federal"/>
    <m/>
    <m/>
    <m/>
    <s v="Federal"/>
    <s v="PLA"/>
    <s v="Redenção"/>
  </r>
  <r>
    <x v="0"/>
    <s v="235BPA0630"/>
    <n v="0"/>
    <x v="204"/>
    <s v="0630"/>
    <n v="-50.966750090444201"/>
    <n v="-8.7407107851745405"/>
    <n v="-51.587515230243604"/>
    <n v="-8.8322086600015801"/>
    <s v="235"/>
    <s v="PA"/>
    <s v="Eixo Principal"/>
    <s v="-"/>
    <s v="235BPA0630"/>
    <s v="RIO CAMPO ALEGRE"/>
    <s v="RIO FRESCO"/>
    <n v="159.80000000000001"/>
    <n v="227.8"/>
    <n v="68"/>
    <x v="1"/>
    <m/>
    <m/>
    <s v="Federal"/>
    <m/>
    <m/>
    <m/>
    <s v="Federal"/>
    <s v="PLA"/>
    <s v="Redenção"/>
  </r>
  <r>
    <x v="0"/>
    <s v="235BPA0650"/>
    <n v="0"/>
    <x v="204"/>
    <s v="0650"/>
    <n v="-51.587515230243604"/>
    <n v="-8.8322086600015801"/>
    <n v="-52.107794579855899"/>
    <n v="-8.9093763299536004"/>
    <s v="235"/>
    <s v="PA"/>
    <s v="Eixo Principal"/>
    <s v="-"/>
    <s v="235BPA0650"/>
    <s v="RIO FRESCO"/>
    <s v="INÍCIO TRAVESSIA RIO XINGU"/>
    <n v="227.8"/>
    <n v="284.8"/>
    <n v="57"/>
    <x v="1"/>
    <m/>
    <m/>
    <s v="Federal"/>
    <m/>
    <m/>
    <m/>
    <s v="Federal"/>
    <s v="PLA"/>
    <s v="Redenção"/>
  </r>
  <r>
    <x v="0"/>
    <s v="235BPA0670"/>
    <n v="0"/>
    <x v="204"/>
    <s v="0670"/>
    <n v="-52.107794579855899"/>
    <n v="-8.9093763299536004"/>
    <n v="-52.138095299958003"/>
    <n v="-8.9138204296690393"/>
    <s v="235"/>
    <s v="PA"/>
    <s v="Eixo Principal"/>
    <s v="-"/>
    <s v="235BPA0670"/>
    <s v="INÍCIO TRAVESSIA RIO XINGU"/>
    <s v="FIM TRAVESSIA RIO XINGU"/>
    <n v="284.8"/>
    <n v="286"/>
    <n v="1.2"/>
    <x v="4"/>
    <m/>
    <m/>
    <s v="Federal"/>
    <m/>
    <m/>
    <m/>
    <s v="Federal"/>
    <s v="N_PAV"/>
    <s v="Redenção"/>
  </r>
  <r>
    <x v="0"/>
    <s v="235BPA0690"/>
    <n v="0"/>
    <x v="204"/>
    <s v="0690"/>
    <n v="-52.138095299958003"/>
    <n v="-8.9138204296690393"/>
    <n v="-53.044786236195797"/>
    <n v="-9.0507231149797391"/>
    <s v="235"/>
    <s v="PA"/>
    <s v="Eixo Principal"/>
    <s v="-"/>
    <s v="235BPA0690"/>
    <s v="FIM TRAVESSIA RIO XINGU"/>
    <s v="RIO PEPITA"/>
    <n v="286"/>
    <n v="376"/>
    <n v="90"/>
    <x v="1"/>
    <m/>
    <m/>
    <s v="Federal"/>
    <m/>
    <m/>
    <m/>
    <s v="Federal"/>
    <s v="PLA"/>
    <s v="Itaituba"/>
  </r>
  <r>
    <x v="0"/>
    <s v="235BPA0710"/>
    <n v="0"/>
    <x v="204"/>
    <s v="0710"/>
    <n v="-53.044786236195797"/>
    <n v="-9.0507231149797391"/>
    <n v="-53.730227540068803"/>
    <n v="-9.1515953600377795"/>
    <s v="235"/>
    <s v="PA"/>
    <s v="Eixo Principal"/>
    <s v="-"/>
    <s v="235BPA0710"/>
    <s v="RIO PEPITA"/>
    <s v="ENTR PA-167"/>
    <n v="376"/>
    <n v="444"/>
    <n v="68"/>
    <x v="1"/>
    <m/>
    <m/>
    <s v="Federal"/>
    <m/>
    <m/>
    <m/>
    <s v="Federal"/>
    <s v="PLA"/>
    <s v="Itaituba"/>
  </r>
  <r>
    <x v="0"/>
    <s v="235BPA0730"/>
    <n v="0"/>
    <x v="204"/>
    <s v="0730"/>
    <n v="-53.730227540068803"/>
    <n v="-9.1515953600377795"/>
    <n v="-54.379686966180401"/>
    <n v="-9.2473249309007794"/>
    <s v="235"/>
    <s v="PA"/>
    <s v="Eixo Principal"/>
    <s v="-"/>
    <s v="235BPA0730"/>
    <s v="ENTR PA-167"/>
    <s v="RIO IPIRANGA"/>
    <n v="444"/>
    <n v="534"/>
    <n v="90"/>
    <x v="1"/>
    <m/>
    <m/>
    <s v="Federal"/>
    <m/>
    <m/>
    <m/>
    <s v="Federal"/>
    <s v="PLA"/>
    <s v="Itaituba"/>
  </r>
  <r>
    <x v="0"/>
    <s v="235BPA0750"/>
    <n v="0"/>
    <x v="204"/>
    <s v="0750"/>
    <n v="-54.379686966180401"/>
    <n v="-9.2473249309007794"/>
    <n v="-54.858175410266902"/>
    <n v="-9.3728712696932899"/>
    <s v="235"/>
    <s v="PA"/>
    <s v="Eixo Principal"/>
    <s v="-"/>
    <s v="235BPA0750"/>
    <s v="RIO IPIRANGA"/>
    <s v="ENTR BR-163 (CACHIMBO)"/>
    <n v="534"/>
    <n v="602"/>
    <n v="68"/>
    <x v="1"/>
    <m/>
    <m/>
    <s v="Federal"/>
    <m/>
    <m/>
    <m/>
    <s v="Federal"/>
    <s v="PLA"/>
    <s v="Itaituba"/>
  </r>
  <r>
    <x v="0"/>
    <s v="235BPE0270"/>
    <n v="0"/>
    <x v="205"/>
    <s v="0270"/>
    <n v="-40.505335540003102"/>
    <n v="-9.4095459896556601"/>
    <n v="-40.503592699743201"/>
    <n v="-9.4021686000008309"/>
    <s v="235"/>
    <s v="PE"/>
    <s v="Eixo Principal"/>
    <s v="Coinc"/>
    <s v="235BPE0270"/>
    <s v="ENTR BR-122(A)/407(A)/428(A) (DIV BA/PE) (INÍCIO PONTE S/RIO S FRANCISCO)"/>
    <s v="FIM PONTE S/RIO SÃO FRANCISCO (PETROLINA)"/>
    <n v="0"/>
    <n v="0.8"/>
    <n v="0.8"/>
    <x v="2"/>
    <m/>
    <s v="407BPE0270;122BPE0370;428BPE0070"/>
    <s v="Federal"/>
    <m/>
    <m/>
    <m/>
    <s v="Federal"/>
    <s v="PAV"/>
    <s v="Petrolina"/>
  </r>
  <r>
    <x v="0"/>
    <s v="235BPE0275"/>
    <n v="0"/>
    <x v="205"/>
    <s v="0275"/>
    <n v="-40.503592699743201"/>
    <n v="-9.4021686000008309"/>
    <n v="-40.525928649687302"/>
    <n v="-9.3873367496911992"/>
    <s v="235"/>
    <s v="PE"/>
    <s v="Eixo Principal"/>
    <s v="Coinc"/>
    <s v="235BPE0275"/>
    <s v="FIM PONTE S/RIO SÃO FRANCISCO (PETROLINA)"/>
    <s v="ENTR BR-122(B)/428(B) (PETROLINA)"/>
    <n v="0.8"/>
    <n v="3.8"/>
    <n v="3"/>
    <x v="2"/>
    <m/>
    <s v="122BPE0365;407BPE0260;428BPE0065"/>
    <s v="Federal"/>
    <m/>
    <m/>
    <m/>
    <s v="Federal"/>
    <s v="PAV"/>
    <s v="Petrolina"/>
  </r>
  <r>
    <x v="0"/>
    <s v="235BPE0280"/>
    <n v="0"/>
    <x v="205"/>
    <s v="0280"/>
    <n v="-40.525928649687302"/>
    <n v="-9.3873367496911992"/>
    <n v="-40.538520269894398"/>
    <n v="-9.3739130101771995"/>
    <s v="235"/>
    <s v="PE"/>
    <s v="Eixo Principal"/>
    <s v="-"/>
    <s v="235BPE0280"/>
    <s v="ENTR BR-122(B)/428(B) (PETROLINA)"/>
    <s v="ENTR BR-407(B)"/>
    <n v="3.8"/>
    <n v="5.5"/>
    <n v="1.7"/>
    <x v="2"/>
    <m/>
    <s v="407BPE0255"/>
    <s v="Federal"/>
    <m/>
    <m/>
    <m/>
    <s v="Federal"/>
    <s v="PAV"/>
    <s v="Petrolina"/>
  </r>
  <r>
    <x v="0"/>
    <s v="235BPE0290"/>
    <n v="0"/>
    <x v="205"/>
    <s v="0290"/>
    <n v="-40.538520269894398"/>
    <n v="-9.3739130101771995"/>
    <n v="-40.728993670121703"/>
    <n v="-9.3225207302474402"/>
    <s v="235"/>
    <s v="PE"/>
    <s v="Eixo Principal"/>
    <s v="-"/>
    <s v="235BPE0290"/>
    <s v="ENTR BR-407(B)"/>
    <s v="DIV PE/BA"/>
    <n v="5.5"/>
    <n v="27.5"/>
    <n v="22"/>
    <x v="1"/>
    <m/>
    <m/>
    <s v="Estadual"/>
    <m/>
    <s v="PE-647"/>
    <s v="PAV"/>
    <s v="Estadual"/>
    <s v="PLA"/>
    <s v="Petrolina"/>
  </r>
  <r>
    <x v="0"/>
    <s v="235BPI0370"/>
    <n v="0"/>
    <x v="206"/>
    <s v="0370"/>
    <n v="-43.0841936102468"/>
    <n v="-9.3900782996737409"/>
    <n v="-43.330378420327797"/>
    <n v="-9.2855115101480106"/>
    <s v="235"/>
    <s v="PI"/>
    <s v="Eixo Principal"/>
    <s v="-"/>
    <s v="235BPI0370"/>
    <s v="DIV BA/PI"/>
    <s v="ENTR PI-144/251/256 (ACESSO A CARACOL)"/>
    <n v="0"/>
    <n v="19.8"/>
    <n v="19.8"/>
    <x v="1"/>
    <m/>
    <m/>
    <s v="Federal"/>
    <m/>
    <m/>
    <m/>
    <s v="Federal"/>
    <s v="PLA"/>
    <s v="Floriano"/>
  </r>
  <r>
    <x v="0"/>
    <s v="235BPI0390"/>
    <n v="0"/>
    <x v="206"/>
    <s v="0390"/>
    <n v="-43.330378420327797"/>
    <n v="-9.2855115101480106"/>
    <n v="-43.696224930036401"/>
    <n v="-9.3842690398842503"/>
    <s v="235"/>
    <s v="PI"/>
    <s v="Eixo Principal"/>
    <s v="-"/>
    <s v="235BPI0390"/>
    <s v="ENTR PI-144/251/256 (ACESSO A CARACOL)"/>
    <s v="ACESSSO A GUARIBAS"/>
    <n v="19.8"/>
    <n v="67.099999999999994"/>
    <n v="47.3"/>
    <x v="1"/>
    <m/>
    <m/>
    <s v="Federal"/>
    <m/>
    <m/>
    <m/>
    <s v="Federal"/>
    <s v="PLA"/>
    <s v="Floriano"/>
  </r>
  <r>
    <x v="0"/>
    <s v="235BPI0400"/>
    <n v="0"/>
    <x v="206"/>
    <s v="0400"/>
    <n v="-43.696224930036401"/>
    <n v="-9.3842690398842503"/>
    <n v="-44.360655290209401"/>
    <n v="-9.0784687100628503"/>
    <s v="235"/>
    <s v="PI"/>
    <s v="Eixo Principal"/>
    <s v="-"/>
    <s v="235BPI0400"/>
    <s v="ACESSSO A GUARIBAS"/>
    <s v="ENTR BR-135(A)/330(A) (BOM JESUS)"/>
    <n v="67.099999999999994"/>
    <n v="150.69999999999999"/>
    <n v="83.6"/>
    <x v="1"/>
    <m/>
    <m/>
    <s v="Federal"/>
    <m/>
    <m/>
    <m/>
    <s v="Federal"/>
    <s v="PLA"/>
    <s v="Floriano"/>
  </r>
  <r>
    <x v="0"/>
    <s v="235BPI0410"/>
    <n v="0"/>
    <x v="206"/>
    <s v="0410"/>
    <n v="-44.360655290209401"/>
    <n v="-9.0784687100628503"/>
    <n v="-44.602009409906302"/>
    <n v="-9.4712710500189097"/>
    <s v="235"/>
    <s v="PI"/>
    <s v="Eixo Principal"/>
    <s v="Coinc"/>
    <s v="235BPI0410"/>
    <s v="ENTR BR-135(A)/330(A) (BOM JESUS)"/>
    <s v="ENTR BR-330(B)/PI-257 (P/REDENÇÃO DO GURGÉIA)"/>
    <n v="150.69999999999999"/>
    <n v="206"/>
    <n v="55.3"/>
    <x v="2"/>
    <m/>
    <s v="135BPI0450;330BPI0070"/>
    <s v="Federal"/>
    <m/>
    <m/>
    <m/>
    <s v="Federal"/>
    <s v="PAV"/>
    <s v="Floriano"/>
  </r>
  <r>
    <x v="0"/>
    <s v="235BPI0412"/>
    <n v="0"/>
    <x v="206"/>
    <s v="0412"/>
    <n v="-44.602009409906302"/>
    <n v="-9.4712710500189097"/>
    <n v="-45.304642760155197"/>
    <n v="-9.7490576995531306"/>
    <s v="235"/>
    <s v="PI"/>
    <s v="Eixo Principal"/>
    <s v="Coinc"/>
    <s v="235BPI0412"/>
    <s v="ENTR BR-330(B)/PI-257 (P/REDENÇÃO DO GURGÉIA)"/>
    <s v="MONTE ALEGRE DO PIAUÍ"/>
    <n v="206"/>
    <n v="302.3"/>
    <n v="96.3"/>
    <x v="2"/>
    <m/>
    <s v="135BPI0470"/>
    <s v="Federal"/>
    <m/>
    <m/>
    <m/>
    <s v="Federal"/>
    <s v="PAV"/>
    <s v="Floriano"/>
  </r>
  <r>
    <x v="0"/>
    <s v="235BPI0415"/>
    <n v="0"/>
    <x v="206"/>
    <s v="0415"/>
    <n v="-45.304642760155197"/>
    <n v="-9.7490576995531306"/>
    <n v="-45.319018360109098"/>
    <n v="-9.7679984803455593"/>
    <s v="235"/>
    <s v="PI"/>
    <s v="Eixo Principal"/>
    <s v="Coinc"/>
    <s v="235BPI0415"/>
    <s v="MONTE ALEGRE DO PIAUÍ"/>
    <s v="ENTR BR-135(B)"/>
    <n v="302.3"/>
    <n v="305.10000000000002"/>
    <n v="2.8"/>
    <x v="2"/>
    <m/>
    <s v="135BPI0475"/>
    <s v="Federal"/>
    <m/>
    <m/>
    <m/>
    <s v="Federal"/>
    <s v="PAV"/>
    <s v="Floriano"/>
  </r>
  <r>
    <x v="0"/>
    <s v="235BPI0417"/>
    <n v="0"/>
    <x v="206"/>
    <s v="0417"/>
    <n v="-45.319018360109098"/>
    <n v="-9.7679984803455593"/>
    <n v="-45.419474850383999"/>
    <n v="-9.7322287103866003"/>
    <s v="235"/>
    <s v="PI"/>
    <s v="Eixo Principal"/>
    <s v="-"/>
    <s v="235BPI0417"/>
    <s v="ENTR BR-135(B)"/>
    <s v="ACESSO BOQUEIRÃO"/>
    <n v="305.10000000000002"/>
    <n v="318.10000000000002"/>
    <n v="13"/>
    <x v="2"/>
    <m/>
    <m/>
    <s v="Federal"/>
    <m/>
    <m/>
    <m/>
    <s v="Federal"/>
    <s v="PAV"/>
    <s v="Floriano"/>
  </r>
  <r>
    <x v="0"/>
    <s v="235BPI0419"/>
    <n v="0"/>
    <x v="206"/>
    <s v="0419"/>
    <n v="-45.419474850383999"/>
    <n v="-9.7322287103866003"/>
    <n v="-45.644627849795299"/>
    <n v="-9.2157696700342004"/>
    <s v="235"/>
    <s v="PI"/>
    <s v="Eixo Principal"/>
    <s v="-"/>
    <s v="235BPI0419"/>
    <s v="ACESSO BOQUEIRÃO"/>
    <s v="MATAS"/>
    <n v="318.10000000000002"/>
    <n v="395.6"/>
    <n v="77.5"/>
    <x v="2"/>
    <m/>
    <m/>
    <s v="Federal"/>
    <m/>
    <m/>
    <m/>
    <s v="Federal"/>
    <s v="PAV"/>
    <s v="Floriano"/>
  </r>
  <r>
    <x v="0"/>
    <s v="235BPI0420"/>
    <n v="0"/>
    <x v="206"/>
    <s v="0420"/>
    <n v="-45.644627849795299"/>
    <n v="-9.2157696700342004"/>
    <n v="-45.921592509986198"/>
    <n v="-9.1225593196568298"/>
    <s v="235"/>
    <s v="PI"/>
    <s v="Eixo Principal"/>
    <s v="-"/>
    <s v="235BPI0420"/>
    <s v="MATAS"/>
    <s v="ENTR PI-254(B) (SANTA FILOMENA)"/>
    <n v="395.6"/>
    <n v="432.3"/>
    <n v="36.700000000000003"/>
    <x v="2"/>
    <m/>
    <m/>
    <s v="Federal"/>
    <m/>
    <m/>
    <m/>
    <s v="Federal"/>
    <s v="PAV"/>
    <s v="Floriano"/>
  </r>
  <r>
    <x v="0"/>
    <s v="235BPI0430"/>
    <n v="0"/>
    <x v="206"/>
    <s v="0430"/>
    <n v="-45.921592509986198"/>
    <n v="-9.1225593196568298"/>
    <n v="-45.925813850328801"/>
    <n v="-9.1121383499048498"/>
    <s v="235"/>
    <s v="PI"/>
    <s v="Eixo Principal"/>
    <s v="-"/>
    <s v="235BPI0430"/>
    <s v="ENTR PI-254(B) (SANTA FILOMENA)"/>
    <s v="DIV PI/MA (ALTO PARNAIBA)"/>
    <n v="432.3"/>
    <n v="435.3"/>
    <n v="3"/>
    <x v="2"/>
    <m/>
    <m/>
    <s v="Federal"/>
    <m/>
    <m/>
    <m/>
    <s v="Federal"/>
    <s v="PAV"/>
    <s v="Floriano"/>
  </r>
  <r>
    <x v="0"/>
    <s v="235BSE0005"/>
    <n v="0"/>
    <x v="207"/>
    <s v="0005"/>
    <n v="-37.075472280321399"/>
    <n v="-10.909976949876199"/>
    <n v="-37.090904380432697"/>
    <n v="-10.907912559716801"/>
    <s v="235"/>
    <s v="SE"/>
    <s v="Eixo Principal"/>
    <s v="-"/>
    <s v="235BSE0005"/>
    <s v="LARGO LEITE NETO (ARACAJU)"/>
    <s v="ENTR BR-349(A) (ARACAJU) *TRECHO MUNICIPAL*"/>
    <n v="0"/>
    <n v="1.7"/>
    <n v="1.7"/>
    <x v="0"/>
    <m/>
    <m/>
    <s v="Convênio de Administração"/>
    <m/>
    <m/>
    <m/>
    <s v="Federal"/>
    <s v="PAV"/>
    <s v="Nossa Senhora do Socorro"/>
  </r>
  <r>
    <x v="0"/>
    <s v="235BSE0010"/>
    <n v="0"/>
    <x v="207"/>
    <s v="0010"/>
    <n v="-37.090904380432697"/>
    <n v="-10.907912559716801"/>
    <n v="-37.1318142300426"/>
    <n v="-10.9029715998594"/>
    <s v="235"/>
    <s v="SE"/>
    <s v="Eixo Principal"/>
    <s v="-"/>
    <s v="235BSE0010"/>
    <s v="ENTR BR-349(A) (ARACAJU)"/>
    <s v="ENTR BR-101(A)/349(B)"/>
    <n v="1.7"/>
    <n v="6.2"/>
    <n v="4.5"/>
    <x v="0"/>
    <m/>
    <s v="349BSE0010"/>
    <s v="Federal"/>
    <m/>
    <m/>
    <m/>
    <s v="Federal"/>
    <s v="PAV"/>
    <s v="Nossa Senhora do Socorro"/>
  </r>
  <r>
    <x v="0"/>
    <s v="235BSE0030"/>
    <n v="0"/>
    <x v="207"/>
    <s v="0030"/>
    <n v="-37.1318142300426"/>
    <n v="-10.9029715998594"/>
    <n v="-37.1331043102156"/>
    <n v="-10.8842450798464"/>
    <s v="235"/>
    <s v="SE"/>
    <s v="Eixo Principal"/>
    <s v="Coinc"/>
    <s v="235BSE0030"/>
    <s v="ENTR BR-101(A)/349(B)"/>
    <s v="ENTR BR-101(B)"/>
    <n v="6.2"/>
    <n v="8.3000000000000007"/>
    <n v="2.1"/>
    <x v="0"/>
    <m/>
    <s v="101BSE1210"/>
    <s v="Federal"/>
    <m/>
    <m/>
    <m/>
    <s v="Federal"/>
    <s v="PAV"/>
    <s v="Nossa Senhora do Socorro"/>
  </r>
  <r>
    <x v="0"/>
    <s v="235BSE0050"/>
    <n v="0"/>
    <x v="207"/>
    <s v="0050"/>
    <n v="-37.1331043102156"/>
    <n v="-10.8842450798464"/>
    <n v="-37.267718550070903"/>
    <n v="-10.8025170296371"/>
    <s v="235"/>
    <s v="SE"/>
    <s v="Eixo Principal"/>
    <s v="-"/>
    <s v="235BSE0050"/>
    <s v="ENTR BR-101(B)"/>
    <s v="ENTR SE-160 (P/ LARANJEIRAS)"/>
    <n v="8.3000000000000007"/>
    <n v="26.3"/>
    <n v="18"/>
    <x v="2"/>
    <m/>
    <m/>
    <s v="Federal"/>
    <m/>
    <m/>
    <m/>
    <s v="Federal"/>
    <s v="PAV"/>
    <s v="Nossa Senhora do Socorro"/>
  </r>
  <r>
    <x v="0"/>
    <s v="235BSE0060"/>
    <n v="0"/>
    <x v="207"/>
    <s v="0060"/>
    <n v="-37.267718550070903"/>
    <n v="-10.8025170296371"/>
    <n v="-37.393825959700202"/>
    <n v="-10.756485379996199"/>
    <s v="235"/>
    <s v="SE"/>
    <s v="Eixo Principal"/>
    <s v="-"/>
    <s v="235BSE0060"/>
    <s v="ENTR SE-160 (P/ LARANJEIRAS)"/>
    <s v="ACESSO À BR-101"/>
    <n v="26.3"/>
    <n v="43.8"/>
    <n v="17.5"/>
    <x v="2"/>
    <m/>
    <m/>
    <s v="Federal"/>
    <m/>
    <m/>
    <m/>
    <s v="Federal"/>
    <s v="PAV"/>
    <s v="Nossa Senhora do Socorro"/>
  </r>
  <r>
    <x v="0"/>
    <s v="235BSE0065"/>
    <n v="0"/>
    <x v="207"/>
    <s v="0065"/>
    <n v="-37.393825959700202"/>
    <n v="-10.756485379996199"/>
    <n v="-37.436165180078902"/>
    <n v="-10.695628310198201"/>
    <s v="235"/>
    <s v="SE"/>
    <s v="Eixo Principal"/>
    <s v="-"/>
    <s v="235BSE0065"/>
    <s v="ACESSO À BR-101"/>
    <s v="ENTR SE-170(A) (P/ LAGARTO)"/>
    <n v="43.8"/>
    <n v="51.7"/>
    <n v="7.9"/>
    <x v="2"/>
    <m/>
    <m/>
    <s v="Federal"/>
    <m/>
    <m/>
    <m/>
    <s v="Federal"/>
    <s v="PAV"/>
    <s v="Nossa Senhora do Socorro"/>
  </r>
  <r>
    <x v="0"/>
    <s v="235BSE0070"/>
    <n v="0"/>
    <x v="207"/>
    <s v="0070"/>
    <n v="-37.436165180078902"/>
    <n v="-10.695628310198201"/>
    <n v="-37.440247100323397"/>
    <n v="-10.685560909808"/>
    <s v="235"/>
    <s v="SE"/>
    <s v="Eixo Principal"/>
    <s v="-"/>
    <s v="235BSE0070"/>
    <s v="ENTR SE-170(A) (P/ LAGARTO)"/>
    <s v="ENTR SE-170(B) (ITABAIANA) (P/ MOITA BONITA)"/>
    <n v="51.7"/>
    <n v="52.9"/>
    <n v="1.2"/>
    <x v="2"/>
    <m/>
    <m/>
    <s v="Federal"/>
    <m/>
    <m/>
    <m/>
    <s v="Federal"/>
    <s v="PAV"/>
    <s v="Nossa Senhora do Socorro"/>
  </r>
  <r>
    <x v="0"/>
    <s v="235BSE0090"/>
    <n v="0"/>
    <x v="207"/>
    <s v="0090"/>
    <n v="-37.440247100323397"/>
    <n v="-10.685560909808"/>
    <n v="-37.478981880209503"/>
    <n v="-10.5983337202249"/>
    <s v="235"/>
    <s v="SE"/>
    <s v="Eixo Principal"/>
    <s v="-"/>
    <s v="235BSE0090"/>
    <s v="ENTR SE-170(B) (ITABAIANA) (P/ MOITA BONITA)"/>
    <s v="ENTR SE-175 (P/RIBEIRÓPOLIS)"/>
    <n v="52.9"/>
    <n v="63.7"/>
    <n v="10.8"/>
    <x v="2"/>
    <m/>
    <m/>
    <s v="Federal"/>
    <m/>
    <m/>
    <m/>
    <s v="Federal"/>
    <s v="PAV"/>
    <s v="Nossa Senhora do Socorro"/>
  </r>
  <r>
    <x v="0"/>
    <s v="235BSE0110"/>
    <n v="0"/>
    <x v="207"/>
    <s v="0110"/>
    <n v="-37.478981880209503"/>
    <n v="-10.5983337202249"/>
    <n v="-37.629202620304603"/>
    <n v="-10.5544590900149"/>
    <s v="235"/>
    <s v="SE"/>
    <s v="Eixo Principal"/>
    <s v="-"/>
    <s v="235BSE0110"/>
    <s v="ENTR SE-175 (P/RIBEIRÓPOLIS)"/>
    <s v="ENTR SE-453 (MOCAMBO)"/>
    <n v="63.7"/>
    <n v="83.5"/>
    <n v="19.8"/>
    <x v="2"/>
    <m/>
    <m/>
    <s v="Federal"/>
    <m/>
    <m/>
    <m/>
    <s v="Federal"/>
    <s v="PAV"/>
    <s v="Nossa Senhora do Socorro"/>
  </r>
  <r>
    <x v="0"/>
    <s v="235BSE0130"/>
    <n v="0"/>
    <x v="207"/>
    <s v="0130"/>
    <n v="-37.629202620304603"/>
    <n v="-10.5544590900149"/>
    <n v="-37.641623780313097"/>
    <n v="-10.543564010270799"/>
    <s v="235"/>
    <s v="SE"/>
    <s v="Eixo Principal"/>
    <s v="-"/>
    <s v="235BSE0130"/>
    <s v="ENTR SE-453 (MOCAMBO)"/>
    <s v="ENTR SE-331 (P/ PINHÃO)"/>
    <n v="83.5"/>
    <n v="85.6"/>
    <n v="2.1"/>
    <x v="2"/>
    <m/>
    <m/>
    <s v="Federal"/>
    <m/>
    <m/>
    <m/>
    <s v="Federal"/>
    <s v="PAV"/>
    <s v="Nossa Senhora do Socorro"/>
  </r>
  <r>
    <x v="0"/>
    <s v="235BSE0150"/>
    <n v="0"/>
    <x v="207"/>
    <s v="0150"/>
    <n v="-37.641623780313097"/>
    <n v="-10.543564010270799"/>
    <n v="-37.7066631203067"/>
    <n v="-10.3484561202536"/>
    <s v="235"/>
    <s v="SE"/>
    <s v="Eixo Principal"/>
    <s v="-"/>
    <s v="235BSE0150"/>
    <s v="ENTR SE-331 (P/ PINHÃO)"/>
    <s v="ENTR SE-179 (CARIRA)"/>
    <n v="85.6"/>
    <n v="108.7"/>
    <n v="23.1"/>
    <x v="2"/>
    <m/>
    <m/>
    <s v="Federal"/>
    <m/>
    <m/>
    <m/>
    <s v="Federal"/>
    <s v="PAV"/>
    <s v="Nossa Senhora do Socorro"/>
  </r>
  <r>
    <x v="0"/>
    <s v="235BSE0170"/>
    <n v="0"/>
    <x v="207"/>
    <s v="0170"/>
    <n v="-37.7066631203067"/>
    <n v="-10.3484561202536"/>
    <n v="-37.740552739717103"/>
    <n v="-10.318297580269"/>
    <s v="235"/>
    <s v="SE"/>
    <s v="Eixo Principal"/>
    <s v="-"/>
    <s v="235BSE0170"/>
    <s v="ENTR SE-179 (CARIRA)"/>
    <s v="DIV SE/BA"/>
    <n v="108.7"/>
    <n v="114.8"/>
    <n v="6.1"/>
    <x v="2"/>
    <m/>
    <m/>
    <s v="Federal"/>
    <m/>
    <m/>
    <m/>
    <s v="Federal"/>
    <s v="PAV"/>
    <s v="Nossa Senhora do Socorro"/>
  </r>
  <r>
    <x v="0"/>
    <s v="235BTO0460"/>
    <n v="0"/>
    <x v="208"/>
    <s v="0460"/>
    <n v="-46.875126799661999"/>
    <n v="-9.1445562602631298"/>
    <n v="-47.097662600148801"/>
    <n v="-9.1489474600571707"/>
    <s v="235"/>
    <s v="TO"/>
    <s v="Eixo Principal"/>
    <s v="-"/>
    <s v="235BTO0460"/>
    <s v="DIV TO/MA"/>
    <s v="ENTR TO-020"/>
    <n v="0"/>
    <n v="29.4"/>
    <n v="29.4"/>
    <x v="1"/>
    <m/>
    <m/>
    <s v="Federal"/>
    <m/>
    <m/>
    <m/>
    <s v="Federal"/>
    <s v="PLA"/>
    <s v="Paraíso de Tocantins"/>
  </r>
  <r>
    <x v="0"/>
    <s v="235BTO0465"/>
    <n v="0"/>
    <x v="208"/>
    <s v="0465"/>
    <n v="-47.097662600148801"/>
    <n v="-9.1489474600571707"/>
    <n v="-47.514825499597002"/>
    <n v="-9.1502612499566496"/>
    <s v="235"/>
    <s v="TO"/>
    <s v="Eixo Principal"/>
    <s v="-"/>
    <s v="235BTO0465"/>
    <s v="ENTR TO-020"/>
    <s v="INÍCIO DA PAVIMENTAÇÃO"/>
    <n v="29.4"/>
    <n v="78.2"/>
    <n v="48.8"/>
    <x v="1"/>
    <m/>
    <m/>
    <s v="Federal"/>
    <m/>
    <m/>
    <m/>
    <s v="Federal"/>
    <s v="PLA"/>
    <s v="Paraíso de Tocantins"/>
  </r>
  <r>
    <x v="0"/>
    <s v="235BTO0467"/>
    <n v="0"/>
    <x v="208"/>
    <s v="0467"/>
    <n v="-47.514825499597002"/>
    <n v="-9.1502612499566496"/>
    <n v="-47.7031987202447"/>
    <n v="-9.0966239195581604"/>
    <s v="235"/>
    <s v="TO"/>
    <s v="Eixo Principal"/>
    <s v="-"/>
    <s v="235BTO0467"/>
    <s v="INÍCIO DA PAVIMENTAÇÃO"/>
    <s v="ENTR BR-010"/>
    <n v="78.2"/>
    <n v="101.5"/>
    <n v="23.3"/>
    <x v="3"/>
    <m/>
    <m/>
    <s v="Federal"/>
    <m/>
    <m/>
    <m/>
    <s v="Federal"/>
    <s v="N_PAV"/>
    <s v="Paraíso de Tocantins"/>
  </r>
  <r>
    <x v="0"/>
    <s v="235BTO0470"/>
    <n v="0"/>
    <x v="208"/>
    <s v="0470"/>
    <n v="-47.7031987202447"/>
    <n v="-9.0966239195581604"/>
    <n v="-48.145044759707801"/>
    <n v="-8.9748696099445002"/>
    <s v="235"/>
    <s v="TO"/>
    <s v="Eixo Principal"/>
    <s v="-"/>
    <s v="235BTO0470"/>
    <s v="ENTR BR-010"/>
    <s v="ENTR TO-010(A)"/>
    <n v="101.5"/>
    <n v="158.80000000000001"/>
    <n v="57.3"/>
    <x v="5"/>
    <m/>
    <m/>
    <s v="Federal"/>
    <m/>
    <m/>
    <m/>
    <s v="Federal"/>
    <s v="N_PAV"/>
    <s v="Paraíso de Tocantins"/>
  </r>
  <r>
    <x v="0"/>
    <s v="235BTO0475"/>
    <n v="0"/>
    <x v="208"/>
    <s v="0475"/>
    <n v="-48.145044759707801"/>
    <n v="-8.9748696099445002"/>
    <n v="-48.155628280120901"/>
    <n v="-8.9837190899639801"/>
    <s v="235"/>
    <s v="TO"/>
    <s v="Eixo Principal"/>
    <s v="-"/>
    <s v="235BTO0475"/>
    <s v="ENTR TO-010(A)"/>
    <s v="INÍCIO PONTE SOBRE O RIO SONO"/>
    <n v="158.80000000000001"/>
    <n v="160.4"/>
    <n v="1.6"/>
    <x v="1"/>
    <m/>
    <m/>
    <s v="Estadual"/>
    <m/>
    <s v="TO-010"/>
    <s v="PAV"/>
    <s v="Estadual"/>
    <s v="PLA"/>
    <s v="Paraíso de Tocantins"/>
  </r>
  <r>
    <x v="0"/>
    <s v="235BTO0480"/>
    <n v="0"/>
    <x v="208"/>
    <s v="0480"/>
    <n v="-48.155628280120901"/>
    <n v="-8.9837190899639801"/>
    <n v="-48.1567971901381"/>
    <n v="-8.9862861795634696"/>
    <s v="235"/>
    <s v="TO"/>
    <s v="Eixo Principal"/>
    <s v="-"/>
    <s v="235BTO0480"/>
    <s v="INÍCIO PONTE SOBRE O RIO SONO"/>
    <s v="FIM PONTE SOBRE O RIO SONO"/>
    <n v="160.4"/>
    <n v="160.69999999999999"/>
    <n v="0.3"/>
    <x v="1"/>
    <m/>
    <m/>
    <s v="Estadual"/>
    <m/>
    <s v="TO-010"/>
    <s v="PAV"/>
    <s v="Estadual"/>
    <s v="PLA"/>
    <s v="Paraíso de Tocantins"/>
  </r>
  <r>
    <x v="0"/>
    <s v="235BTO0485"/>
    <n v="0"/>
    <x v="208"/>
    <s v="0485"/>
    <n v="-48.1567971901381"/>
    <n v="-8.9862861795634696"/>
    <n v="-48.167247160328102"/>
    <n v="-8.9956472901902202"/>
    <s v="235"/>
    <s v="TO"/>
    <s v="Eixo Principal"/>
    <s v="-"/>
    <s v="235BTO0485"/>
    <s v="FIM PONTE SOBRE O RIO SONO"/>
    <s v="ENTR TO-010(B) (PEDRO AFONSO)"/>
    <n v="160.69999999999999"/>
    <n v="162.6"/>
    <n v="1.9"/>
    <x v="1"/>
    <m/>
    <m/>
    <s v="Estadual"/>
    <m/>
    <s v="TO-010"/>
    <s v="PAV"/>
    <s v="Estadual"/>
    <s v="PLA"/>
    <s v="Paraíso de Tocantins"/>
  </r>
  <r>
    <x v="0"/>
    <s v="235BTO0490"/>
    <n v="0"/>
    <x v="208"/>
    <s v="0490"/>
    <n v="-48.167247160328102"/>
    <n v="-8.9956472901902202"/>
    <n v="-48.176083170302"/>
    <n v="-8.9943860800535091"/>
    <s v="235"/>
    <s v="TO"/>
    <s v="Eixo Principal"/>
    <s v="-"/>
    <s v="235BTO0490"/>
    <s v="ENTR TO-010(B) (PEDRO AFONSO)"/>
    <s v="INÍCIO PONTE SOBRE O RIO TOCANTINS"/>
    <n v="162.6"/>
    <n v="163.6"/>
    <n v="1"/>
    <x v="2"/>
    <m/>
    <m/>
    <s v="Federal"/>
    <m/>
    <m/>
    <m/>
    <s v="Federal"/>
    <s v="PAV"/>
    <s v="Paraíso de Tocantins"/>
  </r>
  <r>
    <x v="0"/>
    <s v="235BTO0495"/>
    <n v="0"/>
    <x v="208"/>
    <s v="0495"/>
    <n v="-48.176083170302"/>
    <n v="-8.9943860800535091"/>
    <n v="-48.1854831199499"/>
    <n v="-8.9924375603450795"/>
    <s v="235"/>
    <s v="TO"/>
    <s v="Eixo Principal"/>
    <s v="-"/>
    <s v="235BTO0495"/>
    <s v="INÍCIO PONTE SOBRE O RIO TOCANTINS"/>
    <s v="FIM PONTE SOBRE O RIO TOCANTINS"/>
    <n v="163.6"/>
    <n v="164.6"/>
    <n v="1"/>
    <x v="2"/>
    <m/>
    <m/>
    <s v="Federal"/>
    <m/>
    <m/>
    <m/>
    <s v="Federal"/>
    <s v="PAV"/>
    <s v="Paraíso de Tocantins"/>
  </r>
  <r>
    <x v="0"/>
    <s v="235BTO0500"/>
    <n v="0"/>
    <x v="208"/>
    <s v="0500"/>
    <n v="-48.1854831199499"/>
    <n v="-8.9924375603450795"/>
    <n v="-48.196838690353196"/>
    <n v="-8.9793072102594902"/>
    <s v="235"/>
    <s v="TO"/>
    <s v="Eixo Principal"/>
    <s v="-"/>
    <s v="235BTO0500"/>
    <s v="FIM PONTE SOBRE O RIO TOCANTINS"/>
    <s v="ENTR P/ ANTIGO PORTO DE BALSAS (TUPIRAMA)"/>
    <n v="164.6"/>
    <n v="166.7"/>
    <n v="2.1"/>
    <x v="2"/>
    <m/>
    <m/>
    <s v="Federal"/>
    <m/>
    <m/>
    <m/>
    <s v="Federal"/>
    <s v="PAV"/>
    <s v="Paraíso de Tocantins"/>
  </r>
  <r>
    <x v="0"/>
    <s v="235BTO0510"/>
    <n v="0"/>
    <x v="208"/>
    <s v="0510"/>
    <n v="-48.196838690353196"/>
    <n v="-8.9793072102594902"/>
    <n v="-48.500395190085797"/>
    <n v="-8.9514371597970204"/>
    <s v="235"/>
    <s v="TO"/>
    <s v="Eixo Principal"/>
    <s v="-"/>
    <s v="235BTO0510"/>
    <s v="ENTR P/ ANTIGO PORTO DE BALSAS (TUPIRAMA)"/>
    <s v="ENTR BR-153/TO-336(B)"/>
    <n v="166.7"/>
    <n v="205.7"/>
    <n v="39"/>
    <x v="2"/>
    <m/>
    <m/>
    <s v="Federal"/>
    <m/>
    <m/>
    <m/>
    <s v="Federal"/>
    <s v="PAV"/>
    <s v="Paraíso de Tocantins"/>
  </r>
  <r>
    <x v="0"/>
    <s v="235BTO0515"/>
    <n v="0"/>
    <x v="208"/>
    <s v="0515"/>
    <n v="-48.500395190085797"/>
    <n v="-8.9514371597970204"/>
    <n v="-48.991191059619602"/>
    <n v="-8.9182552097101304"/>
    <s v="235"/>
    <s v="TO"/>
    <s v="Eixo Principal"/>
    <s v="-"/>
    <s v="235BTO0515"/>
    <s v="ENTR BR-153/TO-336(B)"/>
    <s v="ENTR TO-164/438(A) (P/GOIANORTE)"/>
    <n v="205.7"/>
    <n v="260.2"/>
    <n v="54.5"/>
    <x v="1"/>
    <m/>
    <m/>
    <s v="Federal"/>
    <m/>
    <m/>
    <m/>
    <s v="Federal"/>
    <s v="PLA"/>
    <s v="Paraíso de Tocantins"/>
  </r>
  <r>
    <x v="0"/>
    <s v="235BTO0520"/>
    <n v="0"/>
    <x v="208"/>
    <s v="0520"/>
    <n v="-48.991191059619602"/>
    <n v="-8.9182552097101304"/>
    <n v="-49.4092990503108"/>
    <n v="-8.8035934600700898"/>
    <s v="235"/>
    <s v="TO"/>
    <s v="Eixo Principal"/>
    <s v="-"/>
    <s v="235BTO0520"/>
    <s v="ENTR TO-164/438(A) (P/GOIANORTE)"/>
    <s v="ENTR TO-239(A)/438(B)"/>
    <n v="260.2"/>
    <n v="317.10000000000002"/>
    <n v="56.9"/>
    <x v="1"/>
    <m/>
    <m/>
    <m/>
    <s v="MP082/2006"/>
    <s v="TO-438"/>
    <s v="LEN"/>
    <m/>
    <s v="PLA"/>
    <s v="Paraíso de Tocantins"/>
  </r>
  <r>
    <x v="0"/>
    <s v="235BTO0525"/>
    <n v="0"/>
    <x v="208"/>
    <s v="0525"/>
    <n v="-49.4092990503108"/>
    <n v="-8.8035934600700898"/>
    <n v="-49.558086830442797"/>
    <n v="-8.8145272502323397"/>
    <s v="235"/>
    <s v="TO"/>
    <s v="Eixo Principal"/>
    <s v="-"/>
    <s v="235BTO0525"/>
    <s v="ENTR TO-239(A)/438(B)"/>
    <s v="ENTR TO-239(B) (ARAGUACEMA)"/>
    <n v="317.10000000000002"/>
    <n v="334.5"/>
    <n v="17.399999999999999"/>
    <x v="1"/>
    <m/>
    <m/>
    <m/>
    <s v="MP082/2006"/>
    <s v="TO-239/436"/>
    <s v="PAV"/>
    <m/>
    <s v="PLA"/>
    <s v="Paraíso de Tocantins"/>
  </r>
  <r>
    <x v="0"/>
    <s v="235BTO0530"/>
    <n v="0"/>
    <x v="208"/>
    <s v="0530"/>
    <n v="-49.558086830442797"/>
    <n v="-8.8145272502323397"/>
    <n v="-49.572627849895198"/>
    <n v="-8.8148965703203999"/>
    <s v="235"/>
    <s v="TO"/>
    <s v="Eixo Principal"/>
    <s v="-"/>
    <s v="235BTO0530"/>
    <s v="ENTR TO-239(B) (ARAGUACEMA)"/>
    <s v="DIV TO/PA (INÍCIO TRAVESSIA RIO ARAGUAIA)"/>
    <n v="334.5"/>
    <n v="337.1"/>
    <n v="2.6"/>
    <x v="1"/>
    <m/>
    <m/>
    <s v="Estadual"/>
    <m/>
    <s v="TOT-235"/>
    <s v="PAV"/>
    <s v="Estadual"/>
    <s v="PLA"/>
    <s v="Paraíso de Tocantins"/>
  </r>
  <r>
    <x v="0"/>
    <s v="242ATO1005"/>
    <n v="0"/>
    <x v="209"/>
    <s v="1005"/>
    <n v="-46.408410500044504"/>
    <n v="-12.3847400897832"/>
    <n v="-46.424276610277197"/>
    <n v="-12.398010010153801"/>
    <s v="242"/>
    <s v="TO"/>
    <s v="Acesso"/>
    <s v="-"/>
    <s v="242ATO1005"/>
    <s v="ENTR BR-242 (KM 11,4)"/>
    <s v="TAGUATINGA (ACESSO)"/>
    <n v="0"/>
    <n v="2.8"/>
    <n v="2.8"/>
    <x v="0"/>
    <m/>
    <m/>
    <s v="Federal"/>
    <m/>
    <m/>
    <m/>
    <s v="Federal"/>
    <s v="PAV"/>
    <s v="Gurupi"/>
  </r>
  <r>
    <x v="0"/>
    <s v="242BBA0005"/>
    <n v="0"/>
    <x v="210"/>
    <s v="0005"/>
    <n v="-38.853342830007499"/>
    <n v="-12.859869149641399"/>
    <n v="-38.828425289795199"/>
    <n v="-12.8701352903113"/>
    <s v="242"/>
    <s v="BA"/>
    <s v="Eixo Principal"/>
    <s v="-"/>
    <s v="242BBA0005"/>
    <s v="ENTR BA-420(A) (SÃO ROQUE DO PARAGUAÇU)"/>
    <s v="ENTR BA-534(A)"/>
    <n v="0"/>
    <n v="4.8"/>
    <n v="4.8"/>
    <x v="1"/>
    <m/>
    <m/>
    <s v="Federal"/>
    <m/>
    <m/>
    <m/>
    <s v="Federal"/>
    <s v="PLA"/>
    <s v="Feira de Santana"/>
  </r>
  <r>
    <x v="0"/>
    <s v="242BBA0010"/>
    <n v="0"/>
    <x v="210"/>
    <s v="0010"/>
    <n v="-38.828425289795199"/>
    <n v="-12.8701352903113"/>
    <n v="-38.831533419631498"/>
    <n v="-13.0285357700097"/>
    <s v="242"/>
    <s v="BA"/>
    <s v="Eixo Principal"/>
    <s v="-"/>
    <s v="242BBA0010"/>
    <s v="ENTR BA-534(A)"/>
    <s v="ENTR BR-420(A)/BA-534(B) (P/SALINAS DA MARGARIDA)"/>
    <n v="4.8"/>
    <n v="31.3"/>
    <n v="26.5"/>
    <x v="1"/>
    <m/>
    <m/>
    <s v="Estadual"/>
    <m/>
    <s v="BAT-534"/>
    <s v="IMP"/>
    <s v="Estadual"/>
    <s v="PLA"/>
    <s v="Feira de Santana"/>
  </r>
  <r>
    <x v="0"/>
    <s v="242BBA0015"/>
    <n v="0"/>
    <x v="210"/>
    <s v="0015"/>
    <n v="-38.831533419631498"/>
    <n v="-13.0285357700097"/>
    <n v="-38.945350480140497"/>
    <n v="-12.9731599502714"/>
    <s v="242"/>
    <s v="BA"/>
    <s v="Eixo Principal"/>
    <s v="-"/>
    <s v="242BBA0015"/>
    <s v="ENTR BR-420(A)/BA-534(B)(P/SALINAS DA MARGARIDA)"/>
    <s v="ENTR BA-420(B) (P/SÃO ROQUE DO PARAGUAÇU)"/>
    <n v="31.3"/>
    <n v="45.2"/>
    <n v="13.9"/>
    <x v="1"/>
    <m/>
    <s v="420BBA0145"/>
    <s v="Estadual"/>
    <m/>
    <s v="BAT-001"/>
    <s v="IMP"/>
    <s v="Estadual"/>
    <s v="PLA"/>
    <s v="Cruz das Almas"/>
  </r>
  <r>
    <x v="0"/>
    <s v="242BBA0025"/>
    <n v="0"/>
    <x v="210"/>
    <s v="0025"/>
    <n v="-38.945350480140497"/>
    <n v="-12.9731599502714"/>
    <n v="-39.018513770294199"/>
    <n v="-13.0328944197416"/>
    <s v="242"/>
    <s v="BA"/>
    <s v="Eixo Principal"/>
    <s v="-"/>
    <s v="242BBA0025"/>
    <s v="ENTR BA-420(B) (P/SÃO ROQUE DO PARAGUAÇU)"/>
    <s v="ENTR BA-001(B)/046(A)(NAZARÉ)"/>
    <n v="45.2"/>
    <n v="57.2"/>
    <n v="12"/>
    <x v="1"/>
    <m/>
    <s v="420BBA0155"/>
    <s v="Estadual"/>
    <m/>
    <s v="BA-001"/>
    <s v="PAV"/>
    <s v="Estadual"/>
    <s v="PLA"/>
    <s v="Cruz das Almas"/>
  </r>
  <r>
    <x v="0"/>
    <s v="242BBA0035"/>
    <n v="0"/>
    <x v="210"/>
    <s v="0035"/>
    <n v="-39.227282470109799"/>
    <n v="-12.973112520026699"/>
    <n v="-39.018513770294199"/>
    <n v="-13.0328944197416"/>
    <s v="242"/>
    <s v="BA"/>
    <s v="Eixo Principal"/>
    <s v="-"/>
    <s v="242BBA0035"/>
    <s v="ENTR BA-001(B)/046(A)(NAZARÉ)"/>
    <s v="INÍCIO DA TRAVESSIA URBANA DE SANTO ANTÔNIO DE JESUS"/>
    <n v="57.2"/>
    <n v="84.1"/>
    <n v="26.9"/>
    <x v="1"/>
    <m/>
    <s v="420BBA0165"/>
    <s v="Estadual"/>
    <m/>
    <s v="BA-001"/>
    <s v="PAV"/>
    <s v="Estadual"/>
    <s v="PLA"/>
    <s v="Cruz das Almas"/>
  </r>
  <r>
    <x v="0"/>
    <s v="242BBA0055"/>
    <n v="0"/>
    <x v="210"/>
    <s v="0055"/>
    <n v="-39.227282470109799"/>
    <n v="-12.973112520026699"/>
    <n v="-39.254125830242799"/>
    <n v="-12.950921240422799"/>
    <s v="242"/>
    <s v="BA"/>
    <s v="Eixo Principal"/>
    <s v="-"/>
    <s v="242BBA0055"/>
    <s v="INÍCIO DA TRAVESSIA URBANA DE SANTO ANTÔNIO DE JESUS"/>
    <s v="ENTR BR-101/420(B)(FIM DA TRAVESSIA URBANA DE SANTO ANTÔNIO DE JESUS"/>
    <n v="84.1"/>
    <n v="88"/>
    <n v="3.9"/>
    <x v="1"/>
    <m/>
    <s v="420BBA0175"/>
    <s v="Estadual"/>
    <m/>
    <s v="BA-046"/>
    <s v="PAV"/>
    <s v="Estadual"/>
    <s v="PLA"/>
    <s v="Cruz das Almas"/>
  </r>
  <r>
    <x v="0"/>
    <s v="242BBA0060"/>
    <n v="0"/>
    <x v="210"/>
    <s v="0060"/>
    <n v="-39.254125830242799"/>
    <n v="-12.950921240422799"/>
    <n v="-39.426283429936198"/>
    <n v="-12.763455350284101"/>
    <s v="242"/>
    <s v="BA"/>
    <s v="Eixo Principal"/>
    <s v="-"/>
    <s v="242BBA0060"/>
    <s v="ENTR BR-101/420(B)(FIM DA TRAVESSIA URBANA DE SANTO ANTÔNIO DE JESUS)"/>
    <s v="ENTR BA-120/493 (CASTRO ALVES)"/>
    <n v="88"/>
    <n v="116"/>
    <n v="28"/>
    <x v="1"/>
    <m/>
    <m/>
    <s v="Federal"/>
    <m/>
    <m/>
    <m/>
    <s v="Federal"/>
    <s v="PLA"/>
    <s v="Feira de Santana"/>
  </r>
  <r>
    <x v="0"/>
    <s v="242BBA0065"/>
    <n v="0"/>
    <x v="210"/>
    <s v="0065"/>
    <n v="-39.426283429936198"/>
    <n v="-12.763455350284101"/>
    <n v="-39.528333189724798"/>
    <n v="-12.5925293001869"/>
    <s v="242"/>
    <s v="BA"/>
    <s v="Eixo Principal"/>
    <s v="-"/>
    <s v="242BBA0065"/>
    <s v="ENTR BA-120(A)/493 (CASTRO ALVES)"/>
    <s v="ENTR BR-116(A)"/>
    <n v="116"/>
    <n v="138.30000000000001"/>
    <n v="22.3"/>
    <x v="1"/>
    <m/>
    <m/>
    <s v="Estadual"/>
    <m/>
    <s v="BA-120"/>
    <s v="IMP"/>
    <s v="Estadual"/>
    <s v="PLA"/>
    <s v="Feira de Santana"/>
  </r>
  <r>
    <x v="0"/>
    <s v="242BBA0070"/>
    <n v="0"/>
    <x v="210"/>
    <s v="0070"/>
    <n v="-39.521045719684103"/>
    <n v="-12.5833342997381"/>
    <n v="-39.528333189724798"/>
    <n v="-12.5925293001869"/>
    <s v="242"/>
    <s v="BA"/>
    <s v="Eixo Principal"/>
    <s v="Coinc"/>
    <s v="242BBA0070"/>
    <s v="ENTR BR-116(A)"/>
    <s v="ENTR BR-116(B) (P/PARAGUAÇU)"/>
    <n v="138.30000000000001"/>
    <n v="139.6"/>
    <n v="1.3"/>
    <x v="2"/>
    <m/>
    <s v="116BBA0770"/>
    <s v="Concessão Federal"/>
    <m/>
    <m/>
    <m/>
    <s v="Federal"/>
    <s v="PAV"/>
    <s v="Jequié"/>
  </r>
  <r>
    <x v="0"/>
    <s v="242BBA0090"/>
    <n v="0"/>
    <x v="210"/>
    <s v="0090"/>
    <n v="-39.521045719684103"/>
    <n v="-12.5833342997381"/>
    <n v="-40.2813841301734"/>
    <n v="-12.519074310431"/>
    <s v="242"/>
    <s v="BA"/>
    <s v="Eixo Principal"/>
    <s v="-"/>
    <s v="242BBA0090"/>
    <s v="ENTR BR-116(B) (P/PARAGUAÇU)"/>
    <s v="ENTR BA-233 (ITABERABA) (P/ IBIRÁ)"/>
    <n v="139.6"/>
    <n v="226.5"/>
    <n v="86.9"/>
    <x v="2"/>
    <m/>
    <m/>
    <s v="Federal"/>
    <m/>
    <m/>
    <m/>
    <s v="Federal"/>
    <s v="PAV"/>
    <s v="Feira de Santana"/>
  </r>
  <r>
    <x v="0"/>
    <s v="242BBA0110"/>
    <n v="0"/>
    <x v="210"/>
    <s v="0110"/>
    <n v="-40.2813841301734"/>
    <n v="-12.519074310431"/>
    <n v="-40.478618799917598"/>
    <n v="-12.508652329841"/>
    <s v="242"/>
    <s v="BA"/>
    <s v="Eixo Principal"/>
    <s v="-"/>
    <s v="242BBA0110"/>
    <s v="ENTR BA-233 (ITABERABA) (P/ IBIRÁ)"/>
    <s v="ENTR BA-130(A) (P/ BOA VISTA DO TUPI)"/>
    <n v="226.5"/>
    <n v="251.4"/>
    <n v="24.9"/>
    <x v="2"/>
    <m/>
    <m/>
    <s v="Federal"/>
    <m/>
    <m/>
    <m/>
    <s v="Federal"/>
    <s v="PAV"/>
    <s v="Feira de Santana"/>
  </r>
  <r>
    <x v="0"/>
    <s v="242BBA0112"/>
    <n v="0"/>
    <x v="210"/>
    <s v="0112"/>
    <n v="-40.478618799917598"/>
    <n v="-12.508652329841"/>
    <n v="-40.619481639965599"/>
    <n v="-12.451691730189101"/>
    <s v="242"/>
    <s v="BA"/>
    <s v="Eixo Principal"/>
    <s v="-"/>
    <s v="242BBA0112"/>
    <s v="ENTR BA-130(A) (P/ BOA VISTA DO TUPI)"/>
    <s v="ENTR BR-407(A)/BA-130(B) (P/ RUY BARBOSA)"/>
    <n v="251.4"/>
    <n v="270.10000000000002"/>
    <n v="18.7"/>
    <x v="2"/>
    <m/>
    <m/>
    <s v="Federal"/>
    <m/>
    <m/>
    <m/>
    <s v="Federal"/>
    <s v="PAV"/>
    <s v="Feira de Santana"/>
  </r>
  <r>
    <x v="0"/>
    <s v="242BBA0114"/>
    <n v="0"/>
    <x v="210"/>
    <s v="0114"/>
    <n v="-40.619481639965599"/>
    <n v="-12.451691730189101"/>
    <n v="-40.875650940138698"/>
    <n v="-12.445041529642801"/>
    <s v="242"/>
    <s v="BA"/>
    <s v="Eixo Principal"/>
    <s v="-"/>
    <s v="242BBA0114"/>
    <s v="ENTR BR-407(A)/BA-130(B) (P/ RUY BARBOSA)"/>
    <s v="ENTR BA-131 (P/ LAJEDINHO)"/>
    <n v="270.10000000000002"/>
    <n v="299.2"/>
    <n v="29.1"/>
    <x v="2"/>
    <m/>
    <s v="407BBA0430"/>
    <s v="Federal"/>
    <m/>
    <m/>
    <m/>
    <s v="Federal"/>
    <s v="PAV"/>
    <s v="Feira de Santana"/>
  </r>
  <r>
    <x v="0"/>
    <s v="242BBA0130"/>
    <n v="0"/>
    <x v="210"/>
    <s v="0130"/>
    <n v="-40.875650940138698"/>
    <n v="-12.445041529642801"/>
    <n v="-40.895656520032297"/>
    <n v="-12.461609600302699"/>
    <s v="242"/>
    <s v="BA"/>
    <s v="Eixo Principal"/>
    <s v="-"/>
    <s v="242BBA0130"/>
    <s v="ENTR BA-131 (P/ LAJEDINHO)"/>
    <s v="ENTR BR-407(B) (P/ IBIQUERA)"/>
    <n v="299.2"/>
    <n v="302.10000000000002"/>
    <n v="2.9"/>
    <x v="2"/>
    <m/>
    <s v="407BBA0432"/>
    <s v="Federal"/>
    <m/>
    <m/>
    <m/>
    <s v="Federal"/>
    <s v="PAV"/>
    <s v="Feira de Santana"/>
  </r>
  <r>
    <x v="0"/>
    <s v="242BBA0132"/>
    <n v="0"/>
    <x v="210"/>
    <s v="0132"/>
    <n v="-40.895656520032297"/>
    <n v="-12.461609600302699"/>
    <n v="-41.068167459760303"/>
    <n v="-12.4701254597221"/>
    <s v="242"/>
    <s v="BA"/>
    <s v="Eixo Principal"/>
    <s v="-"/>
    <s v="242BBA0132"/>
    <s v="ENTR BR-407(B) (P/ IBIQUERA)"/>
    <s v="ENTR BA-142(A) (P/ ANDARAÍ)"/>
    <n v="302.10000000000002"/>
    <n v="321.7"/>
    <n v="19.600000000000001"/>
    <x v="2"/>
    <m/>
    <m/>
    <s v="Federal"/>
    <m/>
    <m/>
    <m/>
    <s v="Federal"/>
    <s v="PAV"/>
    <s v="Feira de Santana"/>
  </r>
  <r>
    <x v="0"/>
    <s v="242BBA0134"/>
    <n v="0"/>
    <x v="210"/>
    <s v="0134"/>
    <n v="-41.068167459760303"/>
    <n v="-12.4701254597221"/>
    <n v="-41.09755847964"/>
    <n v="-12.4710895401501"/>
    <s v="242"/>
    <s v="BA"/>
    <s v="Eixo Principal"/>
    <s v="-"/>
    <s v="242BBA0134"/>
    <s v="ENTR BA-142(A) (P/ ANDARAÍ)"/>
    <s v="ENTR BA-142(B) (P/ WAGNER)"/>
    <n v="321.7"/>
    <n v="325.2"/>
    <n v="3.5"/>
    <x v="2"/>
    <m/>
    <m/>
    <s v="Federal"/>
    <m/>
    <m/>
    <m/>
    <s v="Federal"/>
    <s v="PAV"/>
    <s v="Feira de Santana"/>
  </r>
  <r>
    <x v="0"/>
    <s v="242BBA0136"/>
    <n v="0"/>
    <x v="210"/>
    <s v="0136"/>
    <n v="-41.09755847964"/>
    <n v="-12.4710895401501"/>
    <n v="-41.359371760398403"/>
    <n v="-12.477875989785"/>
    <s v="242"/>
    <s v="BA"/>
    <s v="Eixo Principal"/>
    <s v="-"/>
    <s v="242BBA0136"/>
    <s v="ENTR BA-142(B) (P/ WAGNER)"/>
    <s v="ENTR BA-144 (P/LENÇÓIS)"/>
    <n v="325.2"/>
    <n v="357.1"/>
    <n v="31.9"/>
    <x v="2"/>
    <m/>
    <m/>
    <s v="Federal"/>
    <m/>
    <m/>
    <m/>
    <s v="Federal"/>
    <s v="PAV"/>
    <s v="Feira de Santana"/>
  </r>
  <r>
    <x v="0"/>
    <s v="242BBA0138"/>
    <n v="0"/>
    <x v="210"/>
    <s v="0138"/>
    <n v="-41.359371760398403"/>
    <n v="-12.477875989785"/>
    <n v="-41.591946139802403"/>
    <n v="-12.4513251602278"/>
    <s v="242"/>
    <s v="BA"/>
    <s v="Eixo Principal"/>
    <s v="-"/>
    <s v="242BBA0138"/>
    <s v="ENTR BA-144 (P/LENÇÓIS)"/>
    <s v="ENTR BA-849 (P/PALMEIRAS)"/>
    <n v="357.1"/>
    <n v="389.6"/>
    <n v="32.5"/>
    <x v="2"/>
    <m/>
    <m/>
    <s v="Federal"/>
    <m/>
    <m/>
    <m/>
    <s v="Federal"/>
    <s v="PAV"/>
    <s v="Feira de Santana"/>
  </r>
  <r>
    <x v="0"/>
    <s v="242BBA0150"/>
    <n v="0"/>
    <x v="210"/>
    <s v="0150"/>
    <n v="-41.591946139802403"/>
    <n v="-12.4513251602278"/>
    <n v="-41.641700589710403"/>
    <n v="-12.457641160111301"/>
    <s v="242"/>
    <s v="BA"/>
    <s v="Eixo Principal"/>
    <s v="-"/>
    <s v="242BBA0150"/>
    <s v="ENTR BA-849 (P/PALMEIRAS)"/>
    <s v="ENTR BR-122(A)/330(A)/349(A)/BA-122(A)"/>
    <n v="389.6"/>
    <n v="395.1"/>
    <n v="5.5"/>
    <x v="2"/>
    <m/>
    <m/>
    <s v="Federal"/>
    <m/>
    <m/>
    <m/>
    <s v="Federal"/>
    <s v="PAV"/>
    <s v="Feira de Santana"/>
  </r>
  <r>
    <x v="0"/>
    <s v="242BBA0160"/>
    <n v="0"/>
    <x v="210"/>
    <s v="0160"/>
    <n v="-41.641700589710403"/>
    <n v="-12.457641160111301"/>
    <n v="-41.769303730182898"/>
    <n v="-12.427284119966099"/>
    <s v="242"/>
    <s v="BA"/>
    <s v="Eixo Principal"/>
    <s v="Coinc"/>
    <s v="242BBA0160"/>
    <s v="ENTR BR-122(A)/330(A)/349(A)/BA-122(A)"/>
    <s v="ENTR BR-330(B) (SEABRA)"/>
    <n v="395.1"/>
    <n v="415.1"/>
    <n v="20"/>
    <x v="2"/>
    <m/>
    <s v="122BBA0460;349BBA0365;330BBA0165"/>
    <s v="Federal"/>
    <m/>
    <m/>
    <m/>
    <s v="Federal"/>
    <s v="PAV"/>
    <s v="Feira de Santana"/>
  </r>
  <r>
    <x v="0"/>
    <s v="242BBA0170"/>
    <n v="0"/>
    <x v="210"/>
    <s v="0170"/>
    <n v="-41.769303730182898"/>
    <n v="-12.427284119966099"/>
    <n v="-41.917687020439502"/>
    <n v="-12.3923661204"/>
    <s v="242"/>
    <s v="BA"/>
    <s v="Eixo Principal"/>
    <s v="Coinc"/>
    <s v="242BBA0170"/>
    <s v="ENTR BR-330(B) (SEABRA)"/>
    <s v="ENTR BA-148(A) (P/BONINAL)"/>
    <n v="415.1"/>
    <n v="433.5"/>
    <n v="18.399999999999999"/>
    <x v="2"/>
    <m/>
    <s v="349BBA0370;122BBA0465"/>
    <s v="Federal"/>
    <m/>
    <m/>
    <m/>
    <s v="Federal"/>
    <s v="PAV"/>
    <s v="Feira de Santana"/>
  </r>
  <r>
    <x v="0"/>
    <s v="242BBA0200"/>
    <n v="0"/>
    <x v="210"/>
    <s v="0200"/>
    <n v="-41.917687020439502"/>
    <n v="-12.3923661204"/>
    <n v="-42.110152859666599"/>
    <n v="-12.4245208495574"/>
    <s v="242"/>
    <s v="BA"/>
    <s v="Eixo Principal"/>
    <s v="Coinc"/>
    <s v="242BBA0200"/>
    <s v="ENTR BA-148(A) (P/BONINAL)"/>
    <s v="ENTR BA-148(B) (P/BARRA DO MENDES)"/>
    <n v="433.5"/>
    <n v="455.7"/>
    <n v="22.2"/>
    <x v="2"/>
    <m/>
    <s v="122BBA0470;349BBA0380"/>
    <s v="Federal"/>
    <m/>
    <m/>
    <m/>
    <s v="Federal"/>
    <s v="PAV"/>
    <s v="Feira de Santana"/>
  </r>
  <r>
    <x v="0"/>
    <s v="242BBA0205"/>
    <n v="0"/>
    <x v="210"/>
    <s v="0205"/>
    <n v="-42.110152859666599"/>
    <n v="-12.4245208495574"/>
    <n v="-42.205404309561096"/>
    <n v="-12.456066559623901"/>
    <s v="242"/>
    <s v="BA"/>
    <s v="Eixo Principal"/>
    <s v="Coinc"/>
    <s v="242BBA0205"/>
    <s v="ENTR BA-148(B) (P/BARRA DO MENDES)"/>
    <s v="ENTR BR-122(B)/349(B)/BA-152 (P/IBITIARA)"/>
    <n v="455.7"/>
    <n v="468.6"/>
    <n v="12.9"/>
    <x v="2"/>
    <m/>
    <s v="349BBA0390;122BBA0480"/>
    <s v="Federal"/>
    <m/>
    <m/>
    <m/>
    <s v="Federal"/>
    <s v="PAV"/>
    <s v="Feira de Santana"/>
  </r>
  <r>
    <x v="0"/>
    <s v="242BBA0210"/>
    <n v="0"/>
    <x v="210"/>
    <s v="0210"/>
    <n v="-42.205404309561096"/>
    <n v="-12.456066559623901"/>
    <n v="-42.581502270413402"/>
    <n v="-12.319529099787999"/>
    <s v="242"/>
    <s v="BA"/>
    <s v="Eixo Principal"/>
    <s v="-"/>
    <s v="242BBA0210"/>
    <s v="ENTR BR-122(B)/349(B)/BA-152 (P/IBITIARA)"/>
    <s v="ENTR BA-156(A) (BROTAS DE MACAÚBAS)"/>
    <n v="468.6"/>
    <n v="516.4"/>
    <n v="47.8"/>
    <x v="2"/>
    <m/>
    <m/>
    <s v="Federal"/>
    <m/>
    <m/>
    <m/>
    <s v="Federal"/>
    <s v="PAV"/>
    <s v="Feira de Santana"/>
  </r>
  <r>
    <x v="0"/>
    <s v="242BBA0215"/>
    <n v="0"/>
    <x v="210"/>
    <s v="0215"/>
    <n v="-42.581502270413402"/>
    <n v="-12.319529099787999"/>
    <n v="-42.767775469762"/>
    <n v="-12.245235360023701"/>
    <s v="242"/>
    <s v="BA"/>
    <s v="Eixo Principal"/>
    <s v="-"/>
    <s v="242BBA0215"/>
    <s v="ENTR BA-156(A) (BROTAS DE MACAÚBAS)"/>
    <s v="ENTR BA-156(B) (P/OLIVEIRA DOS BREJINHOS)"/>
    <n v="516.4"/>
    <n v="538.5"/>
    <n v="22.1"/>
    <x v="2"/>
    <m/>
    <m/>
    <s v="Federal"/>
    <m/>
    <m/>
    <m/>
    <s v="Federal"/>
    <s v="PAV"/>
    <s v="Feira de Santana"/>
  </r>
  <r>
    <x v="0"/>
    <s v="242BBA0220"/>
    <n v="0"/>
    <x v="210"/>
    <s v="0220"/>
    <n v="-42.767775469762"/>
    <n v="-12.245235360023701"/>
    <n v="-43.084346539960698"/>
    <n v="-12.049062839977999"/>
    <s v="242"/>
    <s v="BA"/>
    <s v="Eixo Principal"/>
    <s v="-"/>
    <s v="242BBA0220"/>
    <s v="ENTR BA-156(B) (P/OLIVEIRA DOS BREJINHOS)"/>
    <s v="ENTR BA-160(A) (P/MORPARÁ)"/>
    <n v="538.5"/>
    <n v="583.9"/>
    <n v="45.4"/>
    <x v="2"/>
    <m/>
    <m/>
    <s v="Federal"/>
    <m/>
    <m/>
    <m/>
    <s v="Federal"/>
    <s v="PAV"/>
    <s v="Barreiras"/>
  </r>
  <r>
    <x v="0"/>
    <s v="242BBA0225"/>
    <n v="0"/>
    <x v="210"/>
    <s v="0225"/>
    <n v="-43.084346539960698"/>
    <n v="-12.049062839977999"/>
    <n v="-43.215959230434102"/>
    <n v="-12.177088140205401"/>
    <s v="242"/>
    <s v="BA"/>
    <s v="Eixo Principal"/>
    <s v="-"/>
    <s v="242BBA0225"/>
    <s v="ENTR BA-160(A) (P/MORPARÁ)"/>
    <s v="ENTR BA-160(B) (IBOTIRAMA)"/>
    <n v="583.9"/>
    <n v="606.70000000000005"/>
    <n v="22.8"/>
    <x v="2"/>
    <m/>
    <m/>
    <s v="Federal"/>
    <m/>
    <m/>
    <m/>
    <s v="Federal"/>
    <s v="PAV"/>
    <s v="Barreiras"/>
  </r>
  <r>
    <x v="0"/>
    <s v="242BBA0230"/>
    <n v="0"/>
    <x v="210"/>
    <s v="0230"/>
    <n v="-43.215959230434102"/>
    <n v="-12.177088140205401"/>
    <n v="-43.338159180201899"/>
    <n v="-12.131742509608999"/>
    <s v="242"/>
    <s v="BA"/>
    <s v="Eixo Principal"/>
    <s v="-"/>
    <s v="242BBA0230"/>
    <s v="ENTR BA-160(B) (IBOTIRAMA)"/>
    <s v="ENTR BA-161(A)"/>
    <n v="606.70000000000005"/>
    <n v="621.70000000000005"/>
    <n v="15"/>
    <x v="2"/>
    <m/>
    <m/>
    <s v="Federal"/>
    <m/>
    <m/>
    <m/>
    <s v="Federal"/>
    <s v="PAV"/>
    <s v="Barreiras"/>
  </r>
  <r>
    <x v="0"/>
    <s v="242BBA0240"/>
    <n v="0"/>
    <x v="210"/>
    <s v="0240"/>
    <n v="-43.338159180201899"/>
    <n v="-12.131742509608999"/>
    <n v="-43.491164410209301"/>
    <n v="-12.2218528195519"/>
    <s v="242"/>
    <s v="BA"/>
    <s v="Eixo Principal"/>
    <s v="-"/>
    <s v="242BBA0240"/>
    <s v="ENTR BA-161(A)"/>
    <s v="ENTR BA-161(B)"/>
    <n v="621.70000000000005"/>
    <n v="644.29999999999995"/>
    <n v="22.6"/>
    <x v="2"/>
    <m/>
    <m/>
    <s v="Federal"/>
    <m/>
    <m/>
    <m/>
    <s v="Federal"/>
    <s v="PAV"/>
    <s v="Barreiras"/>
  </r>
  <r>
    <x v="0"/>
    <s v="242BBA0250"/>
    <n v="0"/>
    <x v="210"/>
    <s v="0250"/>
    <n v="-43.491164410209301"/>
    <n v="-12.2218528195519"/>
    <n v="-43.676698179777098"/>
    <n v="-12.1990315702507"/>
    <s v="242"/>
    <s v="BA"/>
    <s v="Eixo Principal"/>
    <s v="-"/>
    <s v="242BBA0250"/>
    <s v="ENTR BA-161(B)"/>
    <s v="ENTR BA-172"/>
    <n v="644.29999999999995"/>
    <n v="664.7"/>
    <n v="20.399999999999999"/>
    <x v="2"/>
    <m/>
    <m/>
    <s v="Federal"/>
    <m/>
    <m/>
    <m/>
    <s v="Federal"/>
    <s v="PAV"/>
    <s v="Barreiras"/>
  </r>
  <r>
    <x v="0"/>
    <s v="242BBA0252"/>
    <n v="0"/>
    <x v="210"/>
    <s v="0252"/>
    <n v="-43.676698179777098"/>
    <n v="-12.1990315702507"/>
    <n v="-44.069382890208097"/>
    <n v="-12.2227904599117"/>
    <s v="242"/>
    <s v="BA"/>
    <s v="Eixo Principal"/>
    <s v="-"/>
    <s v="242BBA0252"/>
    <s v="ENTR BA-172"/>
    <s v="ENTR BA-839"/>
    <n v="664.7"/>
    <n v="709.2"/>
    <n v="44.5"/>
    <x v="2"/>
    <m/>
    <m/>
    <s v="Federal"/>
    <m/>
    <m/>
    <m/>
    <s v="Federal"/>
    <s v="PAV"/>
    <s v="Barreiras"/>
  </r>
  <r>
    <x v="0"/>
    <s v="242BBA0260"/>
    <n v="0"/>
    <x v="210"/>
    <s v="0260"/>
    <n v="-44.069382890208097"/>
    <n v="-12.2227904599117"/>
    <n v="-44.377524110349299"/>
    <n v="-12.232646630237699"/>
    <s v="242"/>
    <s v="BA"/>
    <s v="Eixo Principal"/>
    <s v="-"/>
    <s v="242BBA0260"/>
    <s v="ENTR BA-839"/>
    <s v="ENTR BA-449 (CRISTÓPOLIS)"/>
    <n v="709.2"/>
    <n v="743"/>
    <n v="33.799999999999997"/>
    <x v="2"/>
    <m/>
    <m/>
    <s v="Federal"/>
    <m/>
    <m/>
    <m/>
    <s v="Federal"/>
    <s v="PAV"/>
    <s v="Barreiras"/>
  </r>
  <r>
    <x v="0"/>
    <s v="242BBA0270"/>
    <n v="0"/>
    <x v="210"/>
    <s v="0270"/>
    <n v="-44.377524110349299"/>
    <n v="-12.232646630237699"/>
    <n v="-44.419536730235798"/>
    <n v="-12.2333268297693"/>
    <s v="242"/>
    <s v="BA"/>
    <s v="Eixo Principal"/>
    <s v="-"/>
    <s v="242BBA0270"/>
    <s v="ENTR BA-449 (CRISTÓPOLIS)"/>
    <s v="ENTR BR-430(A)"/>
    <n v="743"/>
    <n v="747.6"/>
    <n v="4.5999999999999996"/>
    <x v="2"/>
    <m/>
    <m/>
    <s v="Federal"/>
    <m/>
    <m/>
    <m/>
    <s v="Federal"/>
    <s v="PAV"/>
    <s v="Barreiras"/>
  </r>
  <r>
    <x v="0"/>
    <s v="242BBA0290"/>
    <n v="0"/>
    <x v="210"/>
    <s v="0290"/>
    <n v="-44.419536730235798"/>
    <n v="-12.2333268297693"/>
    <n v="-44.633483050102598"/>
    <n v="-12.1598678398289"/>
    <s v="242"/>
    <s v="BA"/>
    <s v="Eixo Principal"/>
    <s v="-"/>
    <s v="242BBA0290"/>
    <s v="ENTR BR-430(A)"/>
    <s v="ENTR BA-464 (P/BAIANÓPOLIS)"/>
    <n v="747.6"/>
    <n v="772.7"/>
    <n v="25.1"/>
    <x v="2"/>
    <m/>
    <s v="430BBA0030"/>
    <s v="Federal"/>
    <m/>
    <m/>
    <m/>
    <s v="Federal"/>
    <s v="PAV"/>
    <s v="Barreiras"/>
  </r>
  <r>
    <x v="0"/>
    <s v="242BBA0300"/>
    <n v="0"/>
    <x v="210"/>
    <s v="0300"/>
    <n v="-44.633483050102598"/>
    <n v="-12.1598678398289"/>
    <n v="-44.947220899724599"/>
    <n v="-12.140811640045101"/>
    <s v="242"/>
    <s v="BA"/>
    <s v="Eixo Principal"/>
    <s v="-"/>
    <s v="242BBA0300"/>
    <s v="ENTR BA-464 (P/BAIANÓPOLIS)"/>
    <s v="ENTR BA-447 (P/ANGICAL)"/>
    <n v="772.7"/>
    <n v="810.3"/>
    <n v="37.6"/>
    <x v="2"/>
    <m/>
    <s v="430BBA0020"/>
    <s v="Federal"/>
    <m/>
    <m/>
    <m/>
    <s v="Federal"/>
    <s v="PAV"/>
    <s v="Barreiras"/>
  </r>
  <r>
    <x v="0"/>
    <s v="242BBA0310"/>
    <n v="0"/>
    <x v="210"/>
    <s v="0310"/>
    <n v="-44.947220899724599"/>
    <n v="-12.140811640045101"/>
    <n v="-45.002045339720603"/>
    <n v="-12.1487293603716"/>
    <s v="242"/>
    <s v="BA"/>
    <s v="Eixo Principal"/>
    <s v="-"/>
    <s v="242BBA0310"/>
    <s v="ENTR BA-447 (P/ANGICAL)"/>
    <s v="ENTR BR-135(A)/430(B)/BA-455 (BARREIRAS)"/>
    <n v="810.3"/>
    <n v="816.5"/>
    <n v="6.2"/>
    <x v="2"/>
    <m/>
    <s v="430BBA0010"/>
    <s v="Federal"/>
    <m/>
    <m/>
    <m/>
    <s v="Federal"/>
    <s v="PAV"/>
    <s v="Barreiras"/>
  </r>
  <r>
    <x v="0"/>
    <s v="242BBA0320"/>
    <n v="0"/>
    <x v="210"/>
    <s v="0320"/>
    <n v="-45.002045339720603"/>
    <n v="-12.1487293603716"/>
    <n v="-45.016794230269397"/>
    <n v="-12.129366509756499"/>
    <s v="242"/>
    <s v="BA"/>
    <s v="Eixo Principal"/>
    <s v="Coinc"/>
    <s v="242BBA0320"/>
    <s v="ENTR BR-135(A)/430(B)/BA-455 (BARREIRAS)"/>
    <s v="ENTR BR-020(A)/135(B)/BA-020 *TRECHO URBANO*"/>
    <n v="816.5"/>
    <n v="819.3"/>
    <n v="2.8"/>
    <x v="2"/>
    <m/>
    <s v="135BBA0580"/>
    <s v="Federal"/>
    <m/>
    <m/>
    <m/>
    <s v="Federal"/>
    <s v="PAV"/>
    <s v="Barreiras"/>
  </r>
  <r>
    <x v="0"/>
    <s v="242BBA0330"/>
    <n v="0"/>
    <x v="210"/>
    <s v="0330"/>
    <n v="-45.016794230269397"/>
    <n v="-12.129366509756499"/>
    <n v="-45.752598620030199"/>
    <n v="-12.085579870114801"/>
    <s v="242"/>
    <s v="BA"/>
    <s v="Eixo Principal"/>
    <s v="Coinc"/>
    <s v="242BBA0330"/>
    <s v="ENTR BR-020(A)/135(B)/BA-020"/>
    <s v="INÍCIO DUPLICAÇÃO"/>
    <n v="819.3"/>
    <n v="902.2"/>
    <n v="82.9"/>
    <x v="2"/>
    <m/>
    <s v="020BBA0255"/>
    <s v="Federal"/>
    <m/>
    <m/>
    <m/>
    <s v="Federal"/>
    <s v="PAV"/>
    <s v="Barreiras"/>
  </r>
  <r>
    <x v="0"/>
    <s v="242BBA0335"/>
    <n v="0"/>
    <x v="210"/>
    <s v="0335"/>
    <n v="-45.752598620030199"/>
    <n v="-12.085579870114801"/>
    <n v="-45.8035331900046"/>
    <n v="-12.092231690340199"/>
    <s v="242"/>
    <s v="BA"/>
    <s v="Eixo Principal"/>
    <s v="Coinc"/>
    <s v="242BBA0335"/>
    <s v="INÍCIO DUPLICAÇÃO"/>
    <s v="ENTR BR-020(B) (LUIS EDUARDO MAGALHÃES)"/>
    <n v="902.2"/>
    <n v="907.9"/>
    <n v="5.7"/>
    <x v="0"/>
    <m/>
    <s v="020BBA0250"/>
    <s v="Federal"/>
    <m/>
    <m/>
    <m/>
    <s v="Federal"/>
    <s v="PAV"/>
    <s v="Barreiras"/>
  </r>
  <r>
    <x v="0"/>
    <s v="242BBA0340"/>
    <n v="0"/>
    <x v="210"/>
    <s v="0340"/>
    <n v="-45.8035331900046"/>
    <n v="-12.092231690340199"/>
    <n v="-45.970871080036197"/>
    <n v="-12.114345100346"/>
    <s v="242"/>
    <s v="BA"/>
    <s v="Eixo Principal"/>
    <s v="-"/>
    <s v="242BBA0340"/>
    <s v="ENTR BR-020(B) (LUIS EDUARDO MAGALHÃES)"/>
    <s v="ENTR BA-460 (P/ TOCANTINS)"/>
    <n v="907.9"/>
    <n v="926.9"/>
    <n v="19"/>
    <x v="2"/>
    <m/>
    <m/>
    <s v="Federal"/>
    <m/>
    <m/>
    <m/>
    <s v="Federal"/>
    <s v="PAV"/>
    <s v="Barreiras"/>
  </r>
  <r>
    <x v="0"/>
    <s v="242BBA0350"/>
    <n v="0"/>
    <x v="210"/>
    <s v="0350"/>
    <n v="-45.970871080036197"/>
    <n v="-12.114345100346"/>
    <n v="-46.328034270265299"/>
    <n v="-12.328275729741099"/>
    <s v="242"/>
    <s v="BA"/>
    <s v="Eixo Principal"/>
    <s v="-"/>
    <s v="242BBA0350"/>
    <s v="ENTR BA-460 (P/ TOCANTINS)"/>
    <s v="DIV BA/TO"/>
    <n v="926.9"/>
    <n v="975.9"/>
    <n v="49"/>
    <x v="2"/>
    <m/>
    <m/>
    <s v="Federal"/>
    <m/>
    <m/>
    <m/>
    <s v="Federal"/>
    <s v="PAV"/>
    <s v="Barreiras"/>
  </r>
  <r>
    <x v="0"/>
    <s v="242BMT0540"/>
    <n v="0"/>
    <x v="211"/>
    <s v="0540"/>
    <n v="-50.658198460190697"/>
    <n v="-11.6151593196468"/>
    <n v="-50.9872557896229"/>
    <n v="-11.571977889567901"/>
    <s v="242"/>
    <s v="MT"/>
    <s v="Eixo Principal"/>
    <s v="-"/>
    <s v="242BMT0540"/>
    <s v="ENTR MT-100(A) (DIV TO/MT) (SÃO FÉLIX DO ARAGUAIA)"/>
    <s v="ENTR MT-100(B) (P/LUCIARA)"/>
    <n v="0"/>
    <n v="37.5"/>
    <n v="37.5"/>
    <x v="5"/>
    <m/>
    <m/>
    <s v="Federal"/>
    <m/>
    <m/>
    <m/>
    <s v="Federal"/>
    <s v="N_PAV"/>
    <s v="Água Boa"/>
  </r>
  <r>
    <x v="0"/>
    <s v="242BMT0543"/>
    <n v="0"/>
    <x v="211"/>
    <s v="0543"/>
    <n v="-50.9872557896229"/>
    <n v="-11.571977889567901"/>
    <n v="-51.377109859632199"/>
    <n v="-11.671919070108901"/>
    <s v="242"/>
    <s v="MT"/>
    <s v="Eixo Principal"/>
    <s v="-"/>
    <s v="242BMT0543"/>
    <s v="ENTR MT-100(B) (P/LUCIARA)"/>
    <s v="ENTR MT-433 (ALTO BOA VISTA)"/>
    <n v="37.5"/>
    <n v="89"/>
    <n v="51.5"/>
    <x v="5"/>
    <m/>
    <m/>
    <s v="Federal"/>
    <m/>
    <m/>
    <m/>
    <s v="Federal"/>
    <s v="N_PAV"/>
    <s v="Água Boa"/>
  </r>
  <r>
    <x v="0"/>
    <s v="242BMT0550"/>
    <n v="0"/>
    <x v="211"/>
    <s v="0550"/>
    <n v="-51.377109859632199"/>
    <n v="-11.671919070108901"/>
    <n v="-51.624828469758"/>
    <n v="-11.703523169558499"/>
    <s v="242"/>
    <s v="MT"/>
    <s v="Eixo Principal"/>
    <s v="-"/>
    <s v="242BMT0550"/>
    <s v="ENTR MT-433 (ALTO BOA VISTA)"/>
    <s v="ENTR BR-158(A)/MT-424"/>
    <n v="89"/>
    <n v="119"/>
    <n v="30"/>
    <x v="2"/>
    <m/>
    <m/>
    <s v="Federal"/>
    <m/>
    <m/>
    <m/>
    <s v="Federal"/>
    <s v="PAV"/>
    <s v="Água Boa"/>
  </r>
  <r>
    <x v="0"/>
    <s v="242BMT0555"/>
    <n v="0"/>
    <x v="211"/>
    <s v="0555"/>
    <n v="-51.624828469758"/>
    <n v="-11.703523169558499"/>
    <n v="-51.730258180370598"/>
    <n v="-12.1161591201472"/>
    <s v="242"/>
    <s v="MT"/>
    <s v="Eixo Principal"/>
    <s v="Coinc"/>
    <s v="242BMT0555"/>
    <s v="ENTR BR-158(A)/MT-424"/>
    <s v="ENTR MT-322(A)"/>
    <n v="119"/>
    <n v="173.1"/>
    <n v="54.1"/>
    <x v="5"/>
    <m/>
    <s v="158BMT0210"/>
    <s v="Federal"/>
    <m/>
    <m/>
    <m/>
    <s v="Federal"/>
    <s v="N_PAV"/>
    <s v="Água Boa"/>
  </r>
  <r>
    <x v="0"/>
    <s v="242BMT0560"/>
    <n v="0"/>
    <x v="211"/>
    <s v="0560"/>
    <n v="-51.730258180370598"/>
    <n v="-12.1161591201472"/>
    <n v="-51.699453249967398"/>
    <n v="-12.1628315601283"/>
    <s v="242"/>
    <s v="MT"/>
    <s v="Eixo Principal"/>
    <s v="Coinc"/>
    <s v="242BMT0560"/>
    <s v="ENTR MT-322(A)"/>
    <s v="ENTR MT-322(B)/433 (ALÔ BRASIL)"/>
    <n v="173.1"/>
    <n v="179.6"/>
    <n v="6.5"/>
    <x v="2"/>
    <m/>
    <s v="158BMT0215"/>
    <s v="Federal"/>
    <m/>
    <m/>
    <m/>
    <s v="Federal"/>
    <s v="PAV"/>
    <s v="Água Boa"/>
  </r>
  <r>
    <x v="0"/>
    <s v="242BMT0565"/>
    <n v="0"/>
    <x v="211"/>
    <s v="0565"/>
    <n v="-51.699453249967398"/>
    <n v="-12.1628315601283"/>
    <n v="-51.784956580381802"/>
    <n v="-12.7363057404175"/>
    <s v="242"/>
    <s v="MT"/>
    <s v="Eixo Principal"/>
    <s v="Coinc"/>
    <s v="242BMT0565"/>
    <s v="ENTR MT-322(B)/433 (ALÔ BRASIL)"/>
    <s v="ENTR BR-158(B)/MT-243(A)"/>
    <n v="179.6"/>
    <n v="244.6"/>
    <n v="65"/>
    <x v="2"/>
    <m/>
    <s v="158BMT0220"/>
    <s v="Federal"/>
    <m/>
    <m/>
    <m/>
    <s v="Federal"/>
    <s v="PAV"/>
    <s v="Água Boa"/>
  </r>
  <r>
    <x v="0"/>
    <s v="242BMT0570"/>
    <n v="0"/>
    <x v="211"/>
    <s v="0570"/>
    <n v="-51.784956580381802"/>
    <n v="-12.7363057404175"/>
    <n v="-52.183155199752598"/>
    <n v="-12.6017112298893"/>
    <s v="242"/>
    <s v="MT"/>
    <s v="Eixo Principal"/>
    <s v="-"/>
    <s v="242BMT0570"/>
    <s v="ENTR BR-158(B)/MT-243(A)"/>
    <s v="ENTR MT-243(B) (QUERÊNCIA)"/>
    <n v="244.6"/>
    <n v="299.8"/>
    <n v="55.2"/>
    <x v="1"/>
    <m/>
    <m/>
    <s v="Estadual"/>
    <m/>
    <s v="MT-243"/>
    <s v="PAV"/>
    <s v="Estadual"/>
    <s v="PLA"/>
    <s v="Água Boa"/>
  </r>
  <r>
    <x v="0"/>
    <s v="242BMT0575"/>
    <n v="0"/>
    <x v="211"/>
    <s v="0575"/>
    <n v="-52.183155199752598"/>
    <n v="-12.6017112298893"/>
    <n v="-52.2062615899004"/>
    <n v="-12.9531555197114"/>
    <s v="242"/>
    <s v="MT"/>
    <s v="Eixo Principal"/>
    <s v="-"/>
    <s v="242BMT0575"/>
    <s v="ENTR MT-243(B) (QUERÊNCIA)"/>
    <s v="ENTR MT-109"/>
    <n v="299.8"/>
    <n v="341.5"/>
    <n v="41.7"/>
    <x v="1"/>
    <m/>
    <m/>
    <s v="Estadual"/>
    <m/>
    <s v="MT-109"/>
    <s v="IMP"/>
    <s v="Estadual"/>
    <s v="PLA"/>
    <s v="Água Boa"/>
  </r>
  <r>
    <x v="0"/>
    <s v="242BMT0580"/>
    <n v="0"/>
    <x v="211"/>
    <s v="0580"/>
    <n v="-52.2062615899004"/>
    <n v="-12.9531555197114"/>
    <n v="-52.777189609612698"/>
    <n v="-13.0158112695743"/>
    <s v="242"/>
    <s v="MT"/>
    <s v="Eixo Principal"/>
    <s v="-"/>
    <s v="242BMT0580"/>
    <s v="ENTR MT-109"/>
    <s v="RIO SETE DE SETEMBRO"/>
    <n v="341.5"/>
    <n v="402.3"/>
    <n v="60.8"/>
    <x v="1"/>
    <m/>
    <m/>
    <s v="Federal"/>
    <m/>
    <m/>
    <m/>
    <s v="Federal"/>
    <s v="PLA"/>
    <s v="Água Boa"/>
  </r>
  <r>
    <x v="0"/>
    <s v="242BMT0585"/>
    <n v="0"/>
    <x v="211"/>
    <s v="0585"/>
    <n v="-52.777189609612698"/>
    <n v="-13.0158112695743"/>
    <n v="-53.209736630341098"/>
    <n v="-13.072920750192299"/>
    <s v="242"/>
    <s v="MT"/>
    <s v="Eixo Principal"/>
    <s v="-"/>
    <s v="242BMT0585"/>
    <s v="RIO SETE DE SETEMBRO"/>
    <s v="ACESSO P/GAÚCHA DO NORTE"/>
    <n v="402.3"/>
    <n v="464.6"/>
    <n v="62.3"/>
    <x v="1"/>
    <m/>
    <m/>
    <s v="Federal"/>
    <m/>
    <m/>
    <m/>
    <s v="Federal"/>
    <s v="PLA"/>
    <s v="Sorriso"/>
  </r>
  <r>
    <x v="0"/>
    <s v="242BMT0590"/>
    <n v="0"/>
    <x v="211"/>
    <s v="0590"/>
    <n v="-53.209736630341098"/>
    <n v="-13.072920750192299"/>
    <n v="-53.424608900280397"/>
    <n v="-13.0639302798584"/>
    <s v="242"/>
    <s v="MT"/>
    <s v="Eixo Principal"/>
    <s v="-"/>
    <s v="242BMT0590"/>
    <s v="ACESSO P/GAÚCHA DO NORTE"/>
    <s v="RIO CURISERVO"/>
    <n v="464.6"/>
    <n v="495.8"/>
    <n v="31.2"/>
    <x v="1"/>
    <m/>
    <m/>
    <s v="Federal"/>
    <m/>
    <m/>
    <m/>
    <s v="Federal"/>
    <s v="PLA"/>
    <s v="Sorriso"/>
  </r>
  <r>
    <x v="0"/>
    <s v="242BMT0595"/>
    <n v="0"/>
    <x v="211"/>
    <s v="0595"/>
    <n v="-53.424608900280397"/>
    <n v="-13.0639302798584"/>
    <n v="-54.1927893738305"/>
    <n v="-12.931596295332699"/>
    <s v="242"/>
    <s v="MT"/>
    <s v="Eixo Principal"/>
    <s v="-"/>
    <s v="242BMT0595"/>
    <s v="RIO CURISERVO"/>
    <s v="ENTR MT-130 (P/VILA POSTINHO SANTIAGO DO NORTE)"/>
    <n v="495.8"/>
    <n v="582.6"/>
    <n v="86.8"/>
    <x v="1"/>
    <m/>
    <m/>
    <s v="Federal"/>
    <m/>
    <m/>
    <m/>
    <s v="Federal"/>
    <s v="PLA"/>
    <s v="Sorriso"/>
  </r>
  <r>
    <x v="0"/>
    <s v="242BMT0600"/>
    <n v="0"/>
    <x v="211"/>
    <s v="0600"/>
    <n v="-54.1927893738305"/>
    <n v="-12.931596295332699"/>
    <n v="-54.345172090419602"/>
    <n v="-12.735837779989399"/>
    <s v="242"/>
    <s v="MT"/>
    <s v="Eixo Principal"/>
    <s v="-"/>
    <s v="242BMT0600"/>
    <s v="ENTR MT-130 (P/VILA POSTINHO SANTIAGO DO NORTE)"/>
    <s v="RIO RONURO"/>
    <n v="582.6"/>
    <n v="617.79999999999995"/>
    <n v="35.200000000000003"/>
    <x v="5"/>
    <s v="EOP"/>
    <m/>
    <s v="Federal"/>
    <m/>
    <m/>
    <m/>
    <s v="Federal"/>
    <s v="N_PAV"/>
    <s v="Sorriso"/>
  </r>
  <r>
    <x v="0"/>
    <s v="242BMT0605"/>
    <n v="0"/>
    <x v="211"/>
    <s v="0605"/>
    <n v="-54.345172090419602"/>
    <n v="-12.735837779989399"/>
    <n v="-54.688091351334698"/>
    <n v="-12.785215992224201"/>
    <s v="242"/>
    <s v="MT"/>
    <s v="Eixo Principal"/>
    <s v="-"/>
    <s v="242BMT0605"/>
    <s v="RIO RONURO"/>
    <s v="ENTR MT-324 (ACESSO P/VILA ÁGUA LIMPA)"/>
    <n v="617.79999999999995"/>
    <n v="656.7"/>
    <n v="38.9"/>
    <x v="5"/>
    <s v="EOP"/>
    <m/>
    <s v="Federal"/>
    <m/>
    <m/>
    <m/>
    <s v="Federal"/>
    <s v="N_PAV"/>
    <s v="Sorriso"/>
  </r>
  <r>
    <x v="0"/>
    <s v="242BMT0610"/>
    <n v="0"/>
    <x v="211"/>
    <s v="0610"/>
    <n v="-54.688091351334698"/>
    <n v="-12.785215992224201"/>
    <n v="-54.863909376116702"/>
    <n v="-12.9112982001517"/>
    <s v="242"/>
    <s v="MT"/>
    <s v="Eixo Principal"/>
    <s v="-"/>
    <s v="242BMT0610"/>
    <s v="ENTR MT-324 (ACESSO P/VILA ÁGUA LIMPA)"/>
    <s v="RIO BONITO"/>
    <n v="656.7"/>
    <n v="685.4"/>
    <n v="28.7"/>
    <x v="5"/>
    <s v="EOP"/>
    <m/>
    <s v="Federal"/>
    <m/>
    <m/>
    <m/>
    <s v="Federal"/>
    <s v="N_PAV"/>
    <s v="Sorriso"/>
  </r>
  <r>
    <x v="0"/>
    <s v="242BMT0615"/>
    <n v="0"/>
    <x v="211"/>
    <s v="0615"/>
    <n v="-54.863909376116702"/>
    <n v="-12.9112982001517"/>
    <n v="-55.247995109986199"/>
    <n v="-13.0415809803778"/>
    <s v="242"/>
    <s v="MT"/>
    <s v="Eixo Principal"/>
    <s v="-"/>
    <s v="242BMT0615"/>
    <s v="RIO BONITO"/>
    <s v="NOVA UBIRATÃ"/>
    <n v="685.4"/>
    <n v="733.7"/>
    <n v="48.3"/>
    <x v="5"/>
    <s v="EOP"/>
    <m/>
    <s v="Federal"/>
    <m/>
    <m/>
    <m/>
    <s v="Federal"/>
    <s v="N_PAV"/>
    <s v="Sorriso"/>
  </r>
  <r>
    <x v="0"/>
    <s v="242BMT0620"/>
    <n v="0"/>
    <x v="211"/>
    <s v="0620"/>
    <n v="-55.247995109986199"/>
    <n v="-13.0415809803778"/>
    <n v="-55.378756569659899"/>
    <n v="-13.050351509814201"/>
    <s v="242"/>
    <s v="MT"/>
    <s v="Eixo Principal"/>
    <s v="-"/>
    <s v="242BMT0620"/>
    <s v="NOVA UBIRATÃ"/>
    <s v="ENTR MT-140(B)/242(A)"/>
    <n v="733.7"/>
    <n v="747.2"/>
    <n v="13.5"/>
    <x v="1"/>
    <m/>
    <m/>
    <s v="Estadual"/>
    <m/>
    <s v="MT-140"/>
    <s v="PAV"/>
    <s v="Estadual"/>
    <s v="PLA"/>
    <s v="Sorriso"/>
  </r>
  <r>
    <x v="0"/>
    <s v="242BMT0625"/>
    <n v="0"/>
    <x v="211"/>
    <s v="0625"/>
    <n v="-55.378756569659899"/>
    <n v="-13.050351509814201"/>
    <n v="-55.474628030159401"/>
    <n v="-12.9122796698708"/>
    <s v="242"/>
    <s v="MT"/>
    <s v="Eixo Principal"/>
    <s v="-"/>
    <s v="242BMT0625"/>
    <s v="ENTR MT-140(B)/242(A)"/>
    <s v="ENTR MT-490"/>
    <n v="747.2"/>
    <n v="766.7"/>
    <n v="19.5"/>
    <x v="1"/>
    <m/>
    <m/>
    <s v="Estadual"/>
    <m/>
    <s v="MTT-242"/>
    <s v="PAV"/>
    <s v="Estadual"/>
    <s v="PLA"/>
    <s v="Sorriso"/>
  </r>
  <r>
    <x v="0"/>
    <s v="242BMT0645"/>
    <n v="0"/>
    <x v="211"/>
    <s v="0645"/>
    <n v="-55.474628030159401"/>
    <n v="-12.9122796698708"/>
    <n v="-55.722614239855197"/>
    <n v="-12.565320839585"/>
    <s v="242"/>
    <s v="MT"/>
    <s v="Eixo Principal"/>
    <s v="-"/>
    <s v="242BMT0645"/>
    <s v="ENTR MT-490"/>
    <s v="ENTR BR-163/MT-242(B) (SORRISO)"/>
    <n v="766.7"/>
    <n v="821.2"/>
    <n v="54.5"/>
    <x v="1"/>
    <m/>
    <m/>
    <s v="Estadual"/>
    <m/>
    <s v="MTT-242"/>
    <s v="PAV"/>
    <s v="Estadual"/>
    <s v="PLA"/>
    <s v="Sorriso"/>
  </r>
  <r>
    <x v="0"/>
    <s v="242BTO0370"/>
    <n v="0"/>
    <x v="212"/>
    <s v="0370"/>
    <n v="-46.328034270265299"/>
    <n v="-12.328275729741099"/>
    <n v="-46.408410500044504"/>
    <n v="-12.3847400897832"/>
    <s v="242"/>
    <s v="TO"/>
    <s v="Eixo Principal"/>
    <s v="-"/>
    <s v="242BTO0370"/>
    <s v="DIV BA/TO"/>
    <s v="ENTR TO-110 (ACESSO A TAGUATINGA)"/>
    <n v="0"/>
    <n v="11.4"/>
    <n v="11.4"/>
    <x v="2"/>
    <m/>
    <m/>
    <s v="Federal"/>
    <m/>
    <m/>
    <m/>
    <s v="Federal"/>
    <s v="PAV"/>
    <s v="Gurupi"/>
  </r>
  <r>
    <x v="0"/>
    <s v="242BTO0375"/>
    <n v="0"/>
    <x v="212"/>
    <s v="0375"/>
    <n v="-46.408410500044504"/>
    <n v="-12.3847400897832"/>
    <n v="-46.895219489687598"/>
    <n v="-12.451144380308801"/>
    <s v="242"/>
    <s v="TO"/>
    <s v="Eixo Principal"/>
    <s v="-"/>
    <s v="242BTO0375"/>
    <s v="ENTR TO-110 (ACESSO A TAGUATINGA)"/>
    <s v="RIO PALMAS"/>
    <n v="11.4"/>
    <n v="71.099999999999994"/>
    <n v="59.7"/>
    <x v="3"/>
    <s v="EOI"/>
    <m/>
    <s v="Federal"/>
    <m/>
    <m/>
    <m/>
    <s v="Federal"/>
    <s v="N_PAV"/>
    <s v="Gurupi"/>
  </r>
  <r>
    <x v="0"/>
    <s v="242BTO0380"/>
    <n v="0"/>
    <x v="212"/>
    <s v="0380"/>
    <n v="-46.895219489687598"/>
    <n v="-12.451144380308801"/>
    <n v="-47.2037855603553"/>
    <n v="-12.4997019998473"/>
    <s v="242"/>
    <s v="TO"/>
    <s v="Eixo Principal"/>
    <s v="-"/>
    <s v="242BTO0380"/>
    <s v="RIO PALMAS"/>
    <s v="ENTR TO-050 (P/CONCEIÇÃO DO TOCANTINS)"/>
    <n v="71.099999999999994"/>
    <n v="105.5"/>
    <n v="34.4"/>
    <x v="5"/>
    <s v="EOP"/>
    <m/>
    <s v="Federal"/>
    <m/>
    <m/>
    <m/>
    <s v="Federal"/>
    <s v="N_PAV"/>
    <s v="Gurupi"/>
  </r>
  <r>
    <x v="0"/>
    <s v="242BTO0385"/>
    <n v="0"/>
    <x v="212"/>
    <s v="0385"/>
    <n v="-47.2037855603553"/>
    <n v="-12.4997019998473"/>
    <n v="-47.420624340041201"/>
    <n v="-12.5812137801917"/>
    <s v="242"/>
    <s v="TO"/>
    <s v="Eixo Principal"/>
    <s v="-"/>
    <s v="242BTO0385"/>
    <s v="ENTR TO-050 (P/CONCEIÇÃO DO TOCANTINS)"/>
    <s v="INÍCIO DA PAVIMENTAÇÃO"/>
    <n v="105.5"/>
    <n v="125.5"/>
    <n v="20"/>
    <x v="5"/>
    <s v="EOP"/>
    <m/>
    <s v="Federal"/>
    <m/>
    <m/>
    <m/>
    <s v="Federal"/>
    <s v="N_PAV"/>
    <s v="Gurupi"/>
  </r>
  <r>
    <x v="0"/>
    <s v="242BTO0390"/>
    <n v="0"/>
    <x v="212"/>
    <s v="0390"/>
    <n v="-47.420624340041201"/>
    <n v="-12.5812137801917"/>
    <n v="-47.463983200064597"/>
    <n v="-12.6119959199756"/>
    <s v="242"/>
    <s v="TO"/>
    <s v="Eixo Principal"/>
    <s v="-"/>
    <s v="242BTO0390"/>
    <s v="INÍCIO DA PAVIMENTAÇÃO"/>
    <s v="ENTR TO-296(A) (P/ARRAIAS)"/>
    <n v="125.5"/>
    <n v="136.5"/>
    <n v="11"/>
    <x v="2"/>
    <m/>
    <m/>
    <s v="Federal"/>
    <m/>
    <m/>
    <m/>
    <s v="Federal"/>
    <s v="PAV"/>
    <s v="Gurupi"/>
  </r>
  <r>
    <x v="0"/>
    <s v="242BTO0395"/>
    <n v="0"/>
    <x v="212"/>
    <s v="0395"/>
    <n v="-47.463983200064597"/>
    <n v="-12.6119959199756"/>
    <n v="-47.862553789825398"/>
    <n v="-12.624262080030899"/>
    <s v="242"/>
    <s v="TO"/>
    <s v="Eixo Principal"/>
    <s v="-"/>
    <s v="242BTO0395"/>
    <s v="ENTR TO-296(A) (P/ARRAIAS)"/>
    <s v="ENTR BR-010(A)/130(B)/387(A) (PARANÃ)"/>
    <n v="136.5"/>
    <n v="184.6"/>
    <n v="48.1"/>
    <x v="2"/>
    <m/>
    <m/>
    <s v="Federal"/>
    <m/>
    <m/>
    <m/>
    <s v="Federal"/>
    <s v="PAV"/>
    <s v="Gurupi"/>
  </r>
  <r>
    <x v="0"/>
    <s v="242BTO0400"/>
    <n v="0"/>
    <x v="212"/>
    <s v="0400"/>
    <n v="-47.862553789825398"/>
    <n v="-12.624262080030899"/>
    <n v="-47.8700224930435"/>
    <n v="-12.620802377327699"/>
    <s v="242"/>
    <s v="TO"/>
    <s v="Eixo Principal"/>
    <s v="Coinc"/>
    <s v="242BTO0400"/>
    <s v="ENTR BR-010(A)/130(B)/387(A) (PARANÃ)"/>
    <s v="ACESSO A PARANÃ"/>
    <n v="184.6"/>
    <n v="185.5"/>
    <n v="0.9"/>
    <x v="2"/>
    <m/>
    <s v="010BTO0190"/>
    <s v="Federal"/>
    <m/>
    <m/>
    <m/>
    <s v="Federal"/>
    <s v="PAV"/>
    <s v="Gurupi"/>
  </r>
  <r>
    <x v="0"/>
    <s v="242BTO0410"/>
    <n v="0"/>
    <x v="212"/>
    <s v="0410"/>
    <n v="-47.8700224930435"/>
    <n v="-12.620802377327699"/>
    <n v="-47.8553409895949"/>
    <n v="-12.5898868797756"/>
    <s v="242"/>
    <s v="TO"/>
    <s v="Eixo Principal"/>
    <s v="Coinc"/>
    <s v="242BTO0410"/>
    <s v="ACESSO A PARANÃ"/>
    <s v="ENTR BR-010(B)/TO-387(B)"/>
    <n v="185.5"/>
    <n v="189.3"/>
    <n v="3.8"/>
    <x v="2"/>
    <m/>
    <s v="010BTO0195"/>
    <s v="Federal"/>
    <m/>
    <m/>
    <m/>
    <s v="Federal"/>
    <s v="PAV"/>
    <s v="Gurupi"/>
  </r>
  <r>
    <x v="0"/>
    <s v="242BTO0420"/>
    <n v="0"/>
    <x v="212"/>
    <s v="0420"/>
    <n v="-47.8553409895949"/>
    <n v="-12.5898868797756"/>
    <n v="-48.023669410015202"/>
    <n v="-12.381131040265201"/>
    <s v="242"/>
    <s v="TO"/>
    <s v="Eixo Principal"/>
    <s v="-"/>
    <s v="242BTO0420"/>
    <s v="ENTR BR-010(B)/TO-387(B)"/>
    <s v="INÍCIO DA PAVIMENTAÇÃO"/>
    <n v="189.3"/>
    <n v="219.4"/>
    <n v="30.1"/>
    <x v="5"/>
    <s v="EOP"/>
    <m/>
    <s v="Federal"/>
    <m/>
    <m/>
    <m/>
    <s v="Federal"/>
    <s v="N_PAV"/>
    <s v="Gurupi"/>
  </r>
  <r>
    <x v="0"/>
    <s v="242BTO0430"/>
    <n v="0"/>
    <x v="212"/>
    <s v="0430"/>
    <n v="-48.023669410015202"/>
    <n v="-12.381131040265201"/>
    <n v="-48.443963030269501"/>
    <n v="-12.1523080101065"/>
    <s v="242"/>
    <s v="TO"/>
    <s v="Eixo Principal"/>
    <s v="-"/>
    <s v="242BTO0430"/>
    <s v="INÍCIO DA PAVIMENTAÇÃO"/>
    <s v="ENTR TO-280(A)"/>
    <n v="219.4"/>
    <n v="276.39999999999998"/>
    <n v="57"/>
    <x v="2"/>
    <m/>
    <m/>
    <s v="Federal"/>
    <m/>
    <m/>
    <m/>
    <s v="Federal"/>
    <s v="PAV"/>
    <s v="Gurupi"/>
  </r>
  <r>
    <x v="0"/>
    <s v="242BTO0435"/>
    <n v="0"/>
    <x v="212"/>
    <s v="0435"/>
    <n v="-48.443963030269501"/>
    <n v="-12.1523080101065"/>
    <n v="-48.541896370021298"/>
    <n v="-12.164251180447501"/>
    <s v="242"/>
    <s v="TO"/>
    <s v="Eixo Principal"/>
    <s v="-"/>
    <s v="242BTO0435"/>
    <s v="ENTR TO-280(A)"/>
    <s v="ENTR TO-373(A)"/>
    <n v="276.39999999999998"/>
    <n v="295.2"/>
    <n v="18.8"/>
    <x v="2"/>
    <m/>
    <m/>
    <s v="Federal"/>
    <m/>
    <m/>
    <m/>
    <s v="Federal"/>
    <s v="PAV"/>
    <s v="Gurupi"/>
  </r>
  <r>
    <x v="0"/>
    <s v="242BTO0440"/>
    <n v="0"/>
    <x v="212"/>
    <s v="0440"/>
    <n v="-48.541896370021298"/>
    <n v="-12.164251180447501"/>
    <n v="-48.549572089979897"/>
    <n v="-12.040519589906999"/>
    <s v="242"/>
    <s v="TO"/>
    <s v="Eixo Principal"/>
    <s v="-"/>
    <s v="242BTO0440"/>
    <s v="ENTR TO-373(A)"/>
    <s v="ENTR TO-373(B) (PEIXE)"/>
    <n v="295.2"/>
    <n v="309.8"/>
    <n v="14.6"/>
    <x v="2"/>
    <m/>
    <m/>
    <s v="Federal"/>
    <m/>
    <m/>
    <m/>
    <s v="Federal"/>
    <s v="PAV"/>
    <s v="Gurupi"/>
  </r>
  <r>
    <x v="0"/>
    <s v="242BTO0445"/>
    <n v="0"/>
    <x v="212"/>
    <s v="0445"/>
    <n v="-48.549572089979897"/>
    <n v="-12.040519589906999"/>
    <n v="-48.837536320344803"/>
    <n v="-11.8777170502016"/>
    <s v="242"/>
    <s v="TO"/>
    <s v="Eixo Principal"/>
    <s v="-"/>
    <s v="242BTO0445"/>
    <s v="ENTR TO-373(B) (PEIXE)"/>
    <s v="ENTR TO-460"/>
    <n v="309.8"/>
    <n v="347.6"/>
    <n v="37.799999999999997"/>
    <x v="2"/>
    <m/>
    <m/>
    <s v="Federal"/>
    <m/>
    <m/>
    <m/>
    <s v="Federal"/>
    <s v="PAV"/>
    <s v="Gurupi"/>
  </r>
  <r>
    <x v="0"/>
    <s v="242BTO0450"/>
    <n v="0"/>
    <x v="212"/>
    <s v="0450"/>
    <n v="-48.837536320344803"/>
    <n v="-11.8777170502016"/>
    <n v="-49.052143040269002"/>
    <n v="-11.736217459568"/>
    <s v="242"/>
    <s v="TO"/>
    <s v="Eixo Principal"/>
    <s v="-"/>
    <s v="242BTO0450"/>
    <s v="ENTR TO-460"/>
    <s v="GURUPI (IN TRAV URB - R DELFINO AGUIAR) *TRECHO URBANO*"/>
    <n v="347.6"/>
    <n v="378.6"/>
    <n v="31"/>
    <x v="2"/>
    <m/>
    <m/>
    <s v="Federal"/>
    <m/>
    <m/>
    <m/>
    <s v="Federal"/>
    <s v="PAV"/>
    <s v="Gurupi"/>
  </r>
  <r>
    <x v="0"/>
    <s v="242BTO0455"/>
    <n v="0"/>
    <x v="212"/>
    <s v="0455"/>
    <n v="-49.052143040269002"/>
    <n v="-11.736217459568"/>
    <n v="-49.061404390000497"/>
    <n v="-11.7244998104178"/>
    <s v="242"/>
    <s v="TO"/>
    <s v="Eixo Principal"/>
    <s v="-"/>
    <s v="242BTO0455"/>
    <s v="GURUPI (IN TRAV URB - R DELFINO AGUIAR)"/>
    <s v="GURUPI (AV GOIÁS) *TRECHO URBANO*"/>
    <n v="378.6"/>
    <n v="380.2"/>
    <n v="1.6"/>
    <x v="2"/>
    <m/>
    <m/>
    <s v="Federal"/>
    <m/>
    <m/>
    <m/>
    <s v="Federal"/>
    <s v="PAV"/>
    <s v="Gurupi"/>
  </r>
  <r>
    <x v="0"/>
    <s v="242BTO0460"/>
    <n v="0"/>
    <x v="212"/>
    <s v="0460"/>
    <n v="-49.061404390000497"/>
    <n v="-11.7244998104178"/>
    <n v="-49.082201340019701"/>
    <n v="-11.7415784999477"/>
    <s v="242"/>
    <s v="TO"/>
    <s v="Eixo Principal"/>
    <s v="-"/>
    <s v="242BTO0460"/>
    <s v="GURUPI (AV GOIÁS)"/>
    <s v="ENTR BR-153(A) (GURUPI) *TRECHO URBANO*"/>
    <n v="380.2"/>
    <n v="383.1"/>
    <n v="2.9"/>
    <x v="0"/>
    <m/>
    <m/>
    <s v="Federal"/>
    <m/>
    <m/>
    <m/>
    <s v="Federal"/>
    <s v="PAV"/>
    <s v="Gurupi"/>
  </r>
  <r>
    <x v="0"/>
    <s v="242BTO0465"/>
    <n v="0"/>
    <x v="212"/>
    <s v="0465"/>
    <n v="-49.082201340019701"/>
    <n v="-11.7415784999477"/>
    <n v="-49.083520370268801"/>
    <n v="-11.7438100497939"/>
    <s v="242"/>
    <s v="TO"/>
    <s v="Eixo Principal"/>
    <s v="Coinc"/>
    <s v="242BTO0465"/>
    <s v="ENTR BR-153(A) (GURUPI)"/>
    <s v="FIM PISTA DUPLA *TRECHO URBANO*"/>
    <n v="383.1"/>
    <n v="383.4"/>
    <n v="0.3"/>
    <x v="0"/>
    <m/>
    <s v="153BTO0280"/>
    <s v="Federal"/>
    <m/>
    <m/>
    <m/>
    <s v="Federal"/>
    <s v="PAV"/>
    <s v="Gurupi"/>
  </r>
  <r>
    <x v="0"/>
    <s v="242BTO0470"/>
    <n v="0"/>
    <x v="212"/>
    <s v="0470"/>
    <n v="-49.083520370268801"/>
    <n v="-11.7438100497939"/>
    <n v="-49.199847009631704"/>
    <n v="-11.9617271696731"/>
    <s v="242"/>
    <s v="TO"/>
    <s v="Eixo Principal"/>
    <s v="Coinc"/>
    <s v="242BTO0470"/>
    <s v="FIM PISTA DUPLA"/>
    <s v="ENTR BR-153(B)"/>
    <n v="383.4"/>
    <n v="410.8"/>
    <n v="27.4"/>
    <x v="2"/>
    <m/>
    <s v="153BTO0290"/>
    <s v="Federal"/>
    <m/>
    <m/>
    <m/>
    <s v="Federal"/>
    <s v="PAV"/>
    <s v="Gurupi"/>
  </r>
  <r>
    <x v="0"/>
    <s v="242BTO0490"/>
    <n v="0"/>
    <x v="212"/>
    <s v="0490"/>
    <n v="-49.199847009631704"/>
    <n v="-11.9617271696731"/>
    <n v="-49.498490289994798"/>
    <n v="-11.818925250100101"/>
    <s v="242"/>
    <s v="TO"/>
    <s v="Eixo Principal"/>
    <s v="-"/>
    <s v="242BTO0490"/>
    <s v="ENTR BR-153(B)"/>
    <s v="ENTR AV. JOAQUIM BATISTA DE OLIVEIRA (FORMOSO DE ARAGUAIA)"/>
    <n v="410.8"/>
    <n v="449.4"/>
    <n v="38.6"/>
    <x v="2"/>
    <m/>
    <m/>
    <s v="Federal"/>
    <m/>
    <m/>
    <m/>
    <s v="Federal"/>
    <s v="PAV"/>
    <s v="Gurupi"/>
  </r>
  <r>
    <x v="0"/>
    <s v="242BTO0500"/>
    <n v="0"/>
    <x v="212"/>
    <s v="0500"/>
    <n v="-49.498490289994798"/>
    <n v="-11.818925250100101"/>
    <n v="-49.533804609994696"/>
    <n v="-11.8093012298677"/>
    <s v="242"/>
    <s v="TO"/>
    <s v="Eixo Principal"/>
    <s v="-"/>
    <s v="242BTO0500"/>
    <s v="ENTR AV. JOAQUIM BATISTA DE OLIVEIRA (FORMOSO DE ARAGUAIA)"/>
    <s v="ENTR TO-070 (FORMOSO DO ARAGUAIA)"/>
    <n v="449.4"/>
    <n v="453.6"/>
    <n v="4.2"/>
    <x v="0"/>
    <m/>
    <m/>
    <s v="Federal"/>
    <m/>
    <m/>
    <m/>
    <s v="Federal"/>
    <s v="PAV"/>
    <s v="Gurupi"/>
  </r>
  <r>
    <x v="0"/>
    <s v="242BTO0510"/>
    <n v="0"/>
    <x v="212"/>
    <s v="0510"/>
    <n v="-49.533804609994696"/>
    <n v="-11.8093012298677"/>
    <n v="-49.775067530342099"/>
    <n v="-11.789159360416001"/>
    <s v="242"/>
    <s v="TO"/>
    <s v="Eixo Principal"/>
    <s v="-"/>
    <s v="242BTO0510"/>
    <s v="ENTR TO-070 (FORMOSO DO ARAGUAIA)"/>
    <s v="ENTR TO-181(A)"/>
    <n v="453.6"/>
    <n v="480.3"/>
    <n v="26.7"/>
    <x v="2"/>
    <m/>
    <m/>
    <s v="Federal"/>
    <m/>
    <m/>
    <m/>
    <s v="Federal"/>
    <s v="PAV"/>
    <s v="Gurupi"/>
  </r>
  <r>
    <x v="0"/>
    <s v="242BTO0512"/>
    <n v="0"/>
    <x v="212"/>
    <s v="0512"/>
    <n v="-49.775067530342099"/>
    <n v="-11.789159360416001"/>
    <n v="-49.887725389914699"/>
    <n v="-11.7792327201138"/>
    <s v="242"/>
    <s v="TO"/>
    <s v="Eixo Principal"/>
    <s v="-"/>
    <s v="242BTO0512"/>
    <s v="ENTR TO-181(A)"/>
    <s v="ENTR TO-181(B)"/>
    <n v="480.3"/>
    <n v="493.4"/>
    <n v="13.1"/>
    <x v="2"/>
    <m/>
    <m/>
    <s v="Federal"/>
    <m/>
    <m/>
    <m/>
    <s v="Federal"/>
    <s v="PAV"/>
    <s v="Gurupi"/>
  </r>
  <r>
    <x v="0"/>
    <s v="242BTO0520"/>
    <n v="0"/>
    <x v="212"/>
    <s v="0520"/>
    <n v="-49.887725389914699"/>
    <n v="-11.7792327201138"/>
    <n v="-49.931420160212099"/>
    <n v="-11.784372920273899"/>
    <s v="242"/>
    <s v="TO"/>
    <s v="Eixo Principal"/>
    <s v="-"/>
    <s v="242BTO0520"/>
    <s v="ENTR TO-181(B)"/>
    <s v="PORTO PIAUÍ (RIO JAVAÉS)"/>
    <n v="493.4"/>
    <n v="498.8"/>
    <n v="5.4"/>
    <x v="5"/>
    <m/>
    <m/>
    <s v="Federal"/>
    <m/>
    <m/>
    <m/>
    <s v="Federal"/>
    <s v="N_PAV"/>
    <s v="Gurupi"/>
  </r>
  <r>
    <x v="0"/>
    <s v="242BTO0530"/>
    <n v="0"/>
    <x v="212"/>
    <s v="0530"/>
    <n v="-49.931420160212099"/>
    <n v="-11.784372920273899"/>
    <n v="-50.658198460190697"/>
    <n v="-11.6151593196468"/>
    <s v="242"/>
    <s v="TO"/>
    <s v="Eixo Principal"/>
    <s v="-"/>
    <s v="242BTO0530"/>
    <s v="PORTO PIAUÍ (RIO JAVAÉS)"/>
    <s v="DIV TO/MT (SÃO FÉLIX DO ARAGUAIA)"/>
    <n v="498.8"/>
    <n v="582.9"/>
    <n v="84.1"/>
    <x v="1"/>
    <m/>
    <m/>
    <s v="Federal"/>
    <m/>
    <m/>
    <m/>
    <s v="Federal"/>
    <s v="PLA"/>
    <s v="Gurupi"/>
  </r>
  <r>
    <x v="0"/>
    <s v="242CBA1005"/>
    <n v="0"/>
    <x v="213"/>
    <s v="1005"/>
    <n v="-44.947220899724599"/>
    <n v="-12.140811640045101"/>
    <n v="-44.952820270339103"/>
    <n v="-12.117865129571999"/>
    <s v="242"/>
    <s v="BA"/>
    <s v="Contorno"/>
    <s v="-"/>
    <s v="242CBA1005"/>
    <s v="ENTR BR-242 (LESTE)"/>
    <s v="ENTR BA-447 (CONTORNO DE BARREIRAS)"/>
    <n v="0"/>
    <n v="2.4"/>
    <n v="2.4"/>
    <x v="2"/>
    <m/>
    <m/>
    <s v="Federal"/>
    <m/>
    <m/>
    <m/>
    <s v="Federal"/>
    <s v="PAV"/>
    <s v="Barreiras"/>
  </r>
  <r>
    <x v="0"/>
    <s v="242CBA1010"/>
    <n v="0"/>
    <x v="213"/>
    <s v="1010"/>
    <n v="-44.952820270339103"/>
    <n v="-12.117865129571999"/>
    <n v="-44.9773127100135"/>
    <n v="-12.100610959827801"/>
    <s v="242"/>
    <s v="BA"/>
    <s v="Contorno"/>
    <s v="-"/>
    <s v="242CBA1010"/>
    <s v="ENTR BA-447 (CONTORNO DE BARREIRAS)"/>
    <s v="ENTR BR-020/135 (CONTORNO DE BARREIRAS)"/>
    <n v="2.4"/>
    <n v="6.5"/>
    <n v="4.0999999999999996"/>
    <x v="2"/>
    <m/>
    <m/>
    <s v="Federal"/>
    <m/>
    <m/>
    <m/>
    <s v="Federal"/>
    <s v="PAV"/>
    <s v="Barreiras"/>
  </r>
  <r>
    <x v="0"/>
    <s v="242CBA1015"/>
    <n v="0"/>
    <x v="213"/>
    <s v="1015"/>
    <n v="-44.9773127100135"/>
    <n v="-12.100610959827801"/>
    <n v="-45.032824789632201"/>
    <n v="-12.123322730159799"/>
    <s v="242"/>
    <s v="BA"/>
    <s v="Contorno"/>
    <s v="-"/>
    <s v="242CBA1015"/>
    <s v="ENTR BR-020/135 (CONTORNO DE BARREIRAS)"/>
    <s v="ENTR BR-020/242 (CONTORNO DE BARREIRAS)"/>
    <n v="6.5"/>
    <n v="11.5"/>
    <n v="5"/>
    <x v="1"/>
    <m/>
    <m/>
    <s v="Federal"/>
    <m/>
    <m/>
    <m/>
    <s v="Federal"/>
    <s v="PLA"/>
    <s v="Barreiras"/>
  </r>
  <r>
    <x v="0"/>
    <s v="251BBA0010"/>
    <n v="0"/>
    <x v="214"/>
    <s v="0010"/>
    <n v="-39.032273060353397"/>
    <n v="-14.836537460035601"/>
    <n v="-39.307801510431297"/>
    <n v="-14.9592687904223"/>
    <s v="251"/>
    <s v="BA"/>
    <s v="Eixo Principal"/>
    <s v="-"/>
    <s v="251BBA0010"/>
    <s v="ENTR BR-415 (ILHÉUS)"/>
    <s v="ENTR BR-101(A) (BUERAREMA)"/>
    <n v="0"/>
    <n v="48.6"/>
    <n v="48.6"/>
    <x v="1"/>
    <m/>
    <m/>
    <s v="Estadual"/>
    <m/>
    <s v="BAT-251"/>
    <s v="IMP"/>
    <s v="Estadual"/>
    <s v="PLA"/>
    <s v="Itabuna"/>
  </r>
  <r>
    <x v="0"/>
    <s v="251BBA0030"/>
    <n v="0"/>
    <x v="214"/>
    <s v="0030"/>
    <n v="-39.307801510431297"/>
    <n v="-14.9592687904223"/>
    <n v="-39.338893349748197"/>
    <n v="-15.0795238798231"/>
    <s v="251"/>
    <s v="BA"/>
    <s v="Eixo Principal"/>
    <s v="Coinc"/>
    <s v="251BBA0030"/>
    <s v="ENTR BR-101(A) (BUERAREMA)"/>
    <s v="SÃO JOSÉ"/>
    <n v="48.6"/>
    <n v="64.400000000000006"/>
    <n v="15.8"/>
    <x v="2"/>
    <m/>
    <s v="101BBA1832"/>
    <s v="Federal"/>
    <m/>
    <m/>
    <m/>
    <s v="Federal"/>
    <s v="PAV"/>
    <s v="Itabuna"/>
  </r>
  <r>
    <x v="0"/>
    <s v="251BBA0032"/>
    <n v="0"/>
    <x v="214"/>
    <s v="0032"/>
    <n v="-39.338893349748197"/>
    <n v="-15.0795238798231"/>
    <n v="-39.4427435900445"/>
    <n v="-15.195892549901201"/>
    <s v="251"/>
    <s v="BA"/>
    <s v="Eixo Principal"/>
    <s v="Coinc"/>
    <s v="251BBA0032"/>
    <s v="SÃO JOSÉ"/>
    <s v="ENTR BA-671 (ITATINGUI)"/>
    <n v="64.400000000000006"/>
    <n v="83.4"/>
    <n v="19"/>
    <x v="2"/>
    <m/>
    <s v="101BBA1834"/>
    <s v="Federal"/>
    <m/>
    <m/>
    <m/>
    <s v="Federal"/>
    <s v="PAV"/>
    <s v="Itabuna"/>
  </r>
  <r>
    <x v="0"/>
    <s v="251BBA0034"/>
    <n v="0"/>
    <x v="214"/>
    <s v="0034"/>
    <n v="-39.4427435900445"/>
    <n v="-15.195892549901201"/>
    <n v="-39.4528033497946"/>
    <n v="-15.2554054300165"/>
    <s v="251"/>
    <s v="BA"/>
    <s v="Eixo Principal"/>
    <s v="Coinc"/>
    <s v="251BBA0034"/>
    <s v="ENTR BA-671 (ITATINGUI)"/>
    <s v="ENTR BA-676/975 (P/ARATACA)"/>
    <n v="83.4"/>
    <n v="90.5"/>
    <n v="7.1"/>
    <x v="2"/>
    <m/>
    <s v="101BBA1836"/>
    <s v="Federal"/>
    <m/>
    <m/>
    <m/>
    <s v="Federal"/>
    <s v="PAV"/>
    <s v="Itabuna"/>
  </r>
  <r>
    <x v="0"/>
    <s v="251BBA0036"/>
    <n v="0"/>
    <x v="214"/>
    <s v="0036"/>
    <n v="-39.4528033497946"/>
    <n v="-15.2554054300165"/>
    <n v="-39.483771480169601"/>
    <n v="-15.3864184003888"/>
    <s v="251"/>
    <s v="BA"/>
    <s v="Eixo Principal"/>
    <s v="Coinc"/>
    <s v="251BBA0036"/>
    <s v="ENTR BA-676/975 (P/ARATACA)"/>
    <s v="ENTR BR-101(B)"/>
    <n v="90.5"/>
    <n v="107.8"/>
    <n v="17.3"/>
    <x v="2"/>
    <m/>
    <s v="101BBA1850"/>
    <s v="Federal"/>
    <m/>
    <m/>
    <m/>
    <s v="Federal"/>
    <s v="PAV"/>
    <s v="Itabuna"/>
  </r>
  <r>
    <x v="0"/>
    <s v="251BBA0050"/>
    <n v="0"/>
    <x v="214"/>
    <s v="0050"/>
    <n v="-39.483771480169601"/>
    <n v="-15.3864184003888"/>
    <n v="-39.497594649973003"/>
    <n v="-15.4229346103439"/>
    <s v="251"/>
    <s v="BA"/>
    <s v="Eixo Principal"/>
    <s v="-"/>
    <s v="251BBA0050"/>
    <s v="ENTR BR-101(B)"/>
    <s v="ENTR BA-270(A) (CAMACAN)"/>
    <n v="107.8"/>
    <n v="113.5"/>
    <n v="5.7"/>
    <x v="1"/>
    <m/>
    <m/>
    <s v="Estadual"/>
    <m/>
    <s v="BAT-251"/>
    <s v="PAV"/>
    <s v="Estadual"/>
    <s v="PLA"/>
    <s v="Itabuna"/>
  </r>
  <r>
    <x v="0"/>
    <s v="251BBA0070"/>
    <n v="0"/>
    <x v="214"/>
    <s v="0070"/>
    <n v="-39.497594649973003"/>
    <n v="-15.4229346103439"/>
    <n v="-39.644779449711699"/>
    <n v="-15.473284710021201"/>
    <s v="251"/>
    <s v="BA"/>
    <s v="Eixo Principal"/>
    <s v="-"/>
    <s v="251BBA0070"/>
    <s v="ENTR BA-270(A) (CAMACAN)"/>
    <s v="ENTR BA-270(B)/667 (PAU BRASIL)"/>
    <n v="113.5"/>
    <n v="134.6"/>
    <n v="21.1"/>
    <x v="1"/>
    <m/>
    <m/>
    <s v="Estadual"/>
    <m/>
    <s v="BA-270"/>
    <s v="PAV"/>
    <s v="Estadual"/>
    <s v="PLA"/>
    <s v="Itabuna"/>
  </r>
  <r>
    <x v="0"/>
    <s v="251BBA0090"/>
    <n v="0"/>
    <x v="214"/>
    <s v="0090"/>
    <n v="-39.644779449711699"/>
    <n v="-15.473284710021201"/>
    <n v="-39.731026899871402"/>
    <n v="-15.5514307398367"/>
    <s v="251"/>
    <s v="BA"/>
    <s v="Eixo Principal"/>
    <s v="-"/>
    <s v="251BBA0090"/>
    <s v="ENTR BA-270(B)/667 (PAU BRASIL)"/>
    <s v="RIO PARDO"/>
    <n v="134.6"/>
    <n v="151.6"/>
    <n v="17"/>
    <x v="1"/>
    <m/>
    <m/>
    <s v="Estadual"/>
    <m/>
    <s v="BAT-251"/>
    <s v="IMP"/>
    <s v="Estadual"/>
    <s v="PLA"/>
    <s v="Itabuna"/>
  </r>
  <r>
    <x v="0"/>
    <s v="251BBA0100"/>
    <n v="0"/>
    <x v="214"/>
    <s v="0100"/>
    <n v="-39.731026899871402"/>
    <n v="-15.5514307398367"/>
    <n v="-39.872534269640703"/>
    <n v="-15.5963063802352"/>
    <s v="251"/>
    <s v="BA"/>
    <s v="Eixo Principal"/>
    <s v="-"/>
    <s v="251BBA0100"/>
    <s v="RIO PARDO"/>
    <s v="ENTR BA-270(A) (POTIRAGUÁ)"/>
    <n v="151.6"/>
    <n v="178.8"/>
    <n v="27.2"/>
    <x v="1"/>
    <m/>
    <m/>
    <m/>
    <s v="MP082/2005"/>
    <s v="BAT-251"/>
    <s v="LEN"/>
    <m/>
    <s v="PLA"/>
    <s v="Itabuna"/>
  </r>
  <r>
    <x v="0"/>
    <s v="251BBA0110"/>
    <n v="0"/>
    <x v="214"/>
    <s v="0110"/>
    <n v="-39.872534269640703"/>
    <n v="-15.5963063802352"/>
    <n v="-40.057926580347299"/>
    <n v="-15.6529316496758"/>
    <s v="251"/>
    <s v="BA"/>
    <s v="Eixo Principal"/>
    <s v="-"/>
    <s v="251BBA0110"/>
    <s v="ENTR BA-270(A) (POTIRAGUÁ)"/>
    <s v="ENTR BA-270(B) (ITARANTIM)"/>
    <n v="178.8"/>
    <n v="206.2"/>
    <n v="27.4"/>
    <x v="1"/>
    <m/>
    <m/>
    <s v="Estadual"/>
    <m/>
    <s v="BA-270"/>
    <s v="PAV"/>
    <s v="Estadual"/>
    <s v="PLA"/>
    <s v="Itabuna"/>
  </r>
  <r>
    <x v="0"/>
    <s v="251BBA0130"/>
    <n v="0"/>
    <x v="214"/>
    <s v="0130"/>
    <n v="-40.057926580347299"/>
    <n v="-15.6529316496758"/>
    <n v="-40.198898359771398"/>
    <n v="-15.857389710067"/>
    <s v="251"/>
    <s v="BA"/>
    <s v="Eixo Principal"/>
    <s v="-"/>
    <s v="251BBA0130"/>
    <s v="ENTR BA-270(B) (ITARANTIM)"/>
    <s v="ENTR BA-130 (DIV BA/MG)"/>
    <n v="206.2"/>
    <n v="247.2"/>
    <n v="41"/>
    <x v="1"/>
    <m/>
    <m/>
    <s v="Estadual"/>
    <m/>
    <s v="BA-636"/>
    <s v="IMP"/>
    <s v="Estadual"/>
    <s v="PLA"/>
    <s v="Itabuna"/>
  </r>
  <r>
    <x v="0"/>
    <s v="251BDF0490"/>
    <n v="0"/>
    <x v="215"/>
    <s v="0490"/>
    <n v="-47.537620659565697"/>
    <n v="-16.049624070094598"/>
    <n v="-47.556040689725897"/>
    <n v="-16.0005198695962"/>
    <s v="251"/>
    <s v="DF"/>
    <s v="Eixo Principal"/>
    <s v="-"/>
    <s v="251BDF0490"/>
    <s v="ENTR DF-295 (DIV GO/DF)"/>
    <s v="ENTR DF-285"/>
    <n v="0"/>
    <n v="6"/>
    <n v="6"/>
    <x v="2"/>
    <m/>
    <m/>
    <s v="Federal"/>
    <m/>
    <m/>
    <m/>
    <s v="Federal"/>
    <s v="PAV"/>
    <s v="Brasília"/>
  </r>
  <r>
    <x v="0"/>
    <s v="251BDF0510"/>
    <n v="0"/>
    <x v="215"/>
    <s v="0510"/>
    <n v="-47.556040689725897"/>
    <n v="-16.0005198695962"/>
    <n v="-47.562910529897003"/>
    <n v="-15.9989735599817"/>
    <s v="251"/>
    <s v="DF"/>
    <s v="Eixo Principal"/>
    <s v="-"/>
    <s v="251BDF0510"/>
    <s v="ENTR DF-285"/>
    <s v="ENTR DF-125(A)"/>
    <n v="6"/>
    <n v="6.8"/>
    <n v="0.8"/>
    <x v="2"/>
    <m/>
    <m/>
    <s v="Federal"/>
    <m/>
    <m/>
    <m/>
    <s v="Federal"/>
    <s v="PAV"/>
    <s v="Brasília"/>
  </r>
  <r>
    <x v="0"/>
    <s v="251BDF0515"/>
    <n v="0"/>
    <x v="215"/>
    <s v="0515"/>
    <n v="-47.562910529897003"/>
    <n v="-15.9989735599817"/>
    <n v="-47.574326229871502"/>
    <n v="-15.9906012503473"/>
    <s v="251"/>
    <s v="DF"/>
    <s v="Eixo Principal"/>
    <s v="-"/>
    <s v="251BDF0515"/>
    <s v="ENTR DF-125(A)"/>
    <s v="ENTR DF-125(B)"/>
    <n v="6.8"/>
    <n v="8"/>
    <n v="1.2"/>
    <x v="2"/>
    <m/>
    <m/>
    <s v="Federal"/>
    <m/>
    <m/>
    <m/>
    <s v="Federal"/>
    <s v="PAV"/>
    <s v="Brasília"/>
  </r>
  <r>
    <x v="0"/>
    <s v="251BDF0520"/>
    <n v="0"/>
    <x v="215"/>
    <s v="0520"/>
    <n v="-47.574326229871502"/>
    <n v="-15.9906012503473"/>
    <n v="-47.587604250435703"/>
    <n v="-15.9698830503624"/>
    <s v="251"/>
    <s v="DF"/>
    <s v="Eixo Principal"/>
    <s v="-"/>
    <s v="251BDF0520"/>
    <s v="ENTR DF-125(B)"/>
    <s v="ENTR DF-130(A)"/>
    <n v="8"/>
    <n v="10.5"/>
    <n v="2.5"/>
    <x v="2"/>
    <m/>
    <m/>
    <s v="Federal"/>
    <m/>
    <m/>
    <m/>
    <s v="Federal"/>
    <s v="PAV"/>
    <s v="Brasília"/>
  </r>
  <r>
    <x v="0"/>
    <s v="251BDF0525"/>
    <n v="0"/>
    <x v="215"/>
    <s v="0525"/>
    <n v="-47.587604250435703"/>
    <n v="-15.9698830503624"/>
    <n v="-47.603556069656797"/>
    <n v="-15.9438628801677"/>
    <s v="251"/>
    <s v="DF"/>
    <s v="Eixo Principal"/>
    <s v="-"/>
    <s v="251BDF0525"/>
    <s v="ENTR DF-130(A)"/>
    <s v="ENTR DF-130(B)"/>
    <n v="10.5"/>
    <n v="13.9"/>
    <n v="3.4"/>
    <x v="2"/>
    <m/>
    <m/>
    <s v="Federal"/>
    <m/>
    <m/>
    <m/>
    <s v="Federal"/>
    <s v="PAV"/>
    <s v="Brasília"/>
  </r>
  <r>
    <x v="0"/>
    <s v="251BDF0530"/>
    <n v="0"/>
    <x v="215"/>
    <s v="0530"/>
    <n v="-47.603556069656797"/>
    <n v="-15.9438628801677"/>
    <n v="-47.749960470099502"/>
    <n v="-15.9377149500848"/>
    <s v="251"/>
    <s v="DF"/>
    <s v="Eixo Principal"/>
    <s v="-"/>
    <s v="251BDF0530"/>
    <s v="ENTR DF-130(B)"/>
    <s v="ENTR DF-473"/>
    <n v="13.9"/>
    <n v="31.9"/>
    <n v="18"/>
    <x v="2"/>
    <m/>
    <m/>
    <s v="Federal"/>
    <m/>
    <m/>
    <m/>
    <s v="Federal"/>
    <s v="PAV"/>
    <s v="Brasília"/>
  </r>
  <r>
    <x v="0"/>
    <s v="251BDF0532"/>
    <n v="0"/>
    <x v="215"/>
    <s v="0532"/>
    <n v="-47.749960470099502"/>
    <n v="-15.9377149500848"/>
    <n v="-47.760122329881497"/>
    <n v="-15.9384353403186"/>
    <s v="251"/>
    <s v="DF"/>
    <s v="Eixo Principal"/>
    <s v="-"/>
    <s v="251BDF0532"/>
    <s v="ENTR DF-473"/>
    <s v="ENTR DF-135"/>
    <n v="31.9"/>
    <n v="32.9"/>
    <n v="1"/>
    <x v="2"/>
    <m/>
    <m/>
    <s v="Federal"/>
    <m/>
    <m/>
    <m/>
    <s v="Federal"/>
    <s v="PAV"/>
    <s v="Brasília"/>
  </r>
  <r>
    <x v="0"/>
    <s v="251BDF0550"/>
    <n v="0"/>
    <x v="215"/>
    <s v="0550"/>
    <n v="-47.760122329881497"/>
    <n v="-15.9384353403186"/>
    <n v="-47.826258449767501"/>
    <n v="-15.938449119731001"/>
    <s v="251"/>
    <s v="DF"/>
    <s v="Eixo Principal"/>
    <s v="-"/>
    <s v="251BDF0550"/>
    <s v="ENTR DF-135"/>
    <s v="ENTR DF-140"/>
    <n v="32.9"/>
    <n v="42.1"/>
    <n v="9.1999999999999993"/>
    <x v="2"/>
    <m/>
    <m/>
    <s v="Federal"/>
    <m/>
    <m/>
    <m/>
    <s v="Federal"/>
    <s v="PAV"/>
    <s v="Brasília"/>
  </r>
  <r>
    <x v="0"/>
    <s v="251BDF0552"/>
    <n v="0"/>
    <x v="215"/>
    <s v="0552"/>
    <n v="-47.826258449767501"/>
    <n v="-15.938449119731001"/>
    <n v="-47.859948280288798"/>
    <n v="-15.9499449304141"/>
    <s v="251"/>
    <s v="DF"/>
    <s v="Eixo Principal"/>
    <s v="-"/>
    <s v="251BDF0552"/>
    <s v="ENTR DF-140"/>
    <s v="ENTR DF-001(A) (EPCT)"/>
    <n v="42.1"/>
    <n v="45.6"/>
    <n v="3.5"/>
    <x v="2"/>
    <m/>
    <m/>
    <s v="Federal"/>
    <m/>
    <m/>
    <m/>
    <s v="Federal"/>
    <s v="PAV"/>
    <s v="Brasília"/>
  </r>
  <r>
    <x v="0"/>
    <s v="251BDF0560"/>
    <n v="0"/>
    <x v="215"/>
    <s v="0560"/>
    <n v="-47.859948280288798"/>
    <n v="-15.9499449304141"/>
    <n v="-47.990321370434799"/>
    <n v="-15.9768665999135"/>
    <s v="251"/>
    <s v="DF"/>
    <s v="Eixo Principal"/>
    <s v="-"/>
    <s v="251BDF0560"/>
    <s v="ENTR DF-001(A) (EPCT)"/>
    <s v="ENTR BR-040/050/450 (CENTRO RODOVIÁRIO DNIT (BRASÍLIA)"/>
    <n v="45.6"/>
    <n v="60.8"/>
    <n v="15.2"/>
    <x v="1"/>
    <m/>
    <m/>
    <s v="Distrital"/>
    <m/>
    <s v="DF-001"/>
    <s v="PAV"/>
    <s v="Distrital"/>
    <s v="PLA"/>
    <s v="Brasília"/>
  </r>
  <r>
    <x v="0"/>
    <s v="251BDF0570"/>
    <n v="0"/>
    <x v="215"/>
    <s v="0570"/>
    <n v="-47.990321370434799"/>
    <n v="-15.9768665999135"/>
    <n v="-47.984590740170397"/>
    <n v="-16.0010292096302"/>
    <s v="251"/>
    <s v="DF"/>
    <s v="Eixo Principal"/>
    <s v="Coinc"/>
    <s v="251BDF0570"/>
    <s v="ENTR BR-040/050/450 (CENTRO RODOVIÁRIO DNIT (BRASÍLIA)"/>
    <s v="P/ SANTA MARIA"/>
    <n v="60.8"/>
    <n v="63"/>
    <n v="2.2000000000000002"/>
    <x v="0"/>
    <m/>
    <s v="050BDF0010;040BDF0010"/>
    <s v="Concessão Federal"/>
    <m/>
    <m/>
    <m/>
    <s v="Federal"/>
    <s v="PAV"/>
    <s v="Brasília"/>
  </r>
  <r>
    <x v="0"/>
    <s v="251BDF0572"/>
    <n v="0"/>
    <x v="215"/>
    <s v="0572"/>
    <n v="-47.984590740170397"/>
    <n v="-16.0010292096302"/>
    <n v="-47.981285579665702"/>
    <n v="-16.017383380138799"/>
    <s v="251"/>
    <s v="DF"/>
    <s v="Eixo Principal"/>
    <s v="Coinc"/>
    <s v="251BDF0572"/>
    <s v="P/ SANTA MARIA"/>
    <s v="ENTR VICINAL - 371"/>
    <n v="63"/>
    <n v="65.8"/>
    <n v="2.8"/>
    <x v="0"/>
    <m/>
    <s v="050BDF0012;040BDF0012"/>
    <s v="Concessão Federal"/>
    <m/>
    <m/>
    <m/>
    <s v="Federal"/>
    <s v="PAV"/>
    <s v="Brasília"/>
  </r>
  <r>
    <x v="0"/>
    <s v="251BDF0574"/>
    <n v="0"/>
    <x v="215"/>
    <s v="0574"/>
    <n v="-47.981285579665702"/>
    <n v="-16.017383380138799"/>
    <n v="-47.979316889962398"/>
    <n v="-16.0268953403476"/>
    <s v="251"/>
    <s v="DF"/>
    <s v="Eixo Principal"/>
    <s v="Coinc"/>
    <s v="251BDF0574"/>
    <s v="ENTR VICINAL-371"/>
    <s v="ENTR DR-495"/>
    <n v="65.8"/>
    <n v="66.400000000000006"/>
    <n v="0.6"/>
    <x v="0"/>
    <m/>
    <s v="040BDF0015;050BDF0015"/>
    <s v="Concessão Federal"/>
    <m/>
    <m/>
    <m/>
    <s v="Federal"/>
    <s v="PAV"/>
    <s v="Brasília"/>
  </r>
  <r>
    <x v="0"/>
    <s v="251BDF0582"/>
    <n v="0"/>
    <x v="215"/>
    <s v="0582"/>
    <n v="-47.979316889962398"/>
    <n v="-16.0268953403476"/>
    <n v="-47.981426810099101"/>
    <n v="-16.0492052800995"/>
    <s v="251"/>
    <s v="DF"/>
    <s v="Eixo Principal"/>
    <s v="Coinc"/>
    <s v="251BDF0582"/>
    <s v="ENTR DF-495"/>
    <s v="ENTR DF-290"/>
    <n v="66.400000000000006"/>
    <n v="69"/>
    <n v="2.6"/>
    <x v="0"/>
    <m/>
    <s v="040BDF0017;050BDF0017"/>
    <s v="Concessão Federal"/>
    <m/>
    <m/>
    <m/>
    <s v="Federal"/>
    <s v="PAV"/>
    <s v="Brasília"/>
  </r>
  <r>
    <x v="0"/>
    <s v="251BDF0590"/>
    <n v="0"/>
    <x v="215"/>
    <s v="0590"/>
    <n v="-47.981426810099101"/>
    <n v="-16.0492052800995"/>
    <n v="-48.0303707900798"/>
    <n v="-16.049077640220901"/>
    <s v="251"/>
    <s v="DF"/>
    <s v="Eixo Principal"/>
    <s v="-"/>
    <s v="251BDF0590"/>
    <s v="ENTR DF-290"/>
    <s v="ENTR AV ALAGADOS (SANTA MARIA)"/>
    <n v="69"/>
    <n v="74.7"/>
    <n v="5.7"/>
    <x v="1"/>
    <m/>
    <m/>
    <s v="Distrital"/>
    <m/>
    <s v="DF-290"/>
    <s v="DUP"/>
    <s v="Distrital"/>
    <s v="PLA"/>
    <s v="Brasília"/>
  </r>
  <r>
    <x v="0"/>
    <s v="251BDF0610"/>
    <n v="0"/>
    <x v="215"/>
    <s v="0610"/>
    <n v="-48.0303707900798"/>
    <n v="-16.049077640220901"/>
    <n v="-48.055203579981097"/>
    <n v="-16.038266719933102"/>
    <s v="251"/>
    <s v="DF"/>
    <s v="Eixo Principal"/>
    <s v="-"/>
    <s v="251BDF0610"/>
    <s v="ENTR AV ALAGADOS (SANTA MARIA)"/>
    <s v="ACESSO AO GAMA"/>
    <n v="74.7"/>
    <n v="77.900000000000006"/>
    <n v="3.2"/>
    <x v="1"/>
    <m/>
    <m/>
    <s v="Distrital"/>
    <m/>
    <s v="DF-290"/>
    <s v="DUP"/>
    <s v="Distrital"/>
    <s v="PLA"/>
    <s v="Brasília"/>
  </r>
  <r>
    <x v="0"/>
    <s v="251BDF0620"/>
    <n v="0"/>
    <x v="215"/>
    <s v="0620"/>
    <n v="-48.055203579981097"/>
    <n v="-16.038266719933102"/>
    <n v="-48.121196609635703"/>
    <n v="-16.008503789917899"/>
    <s v="251"/>
    <s v="DF"/>
    <s v="Eixo Principal"/>
    <s v="-"/>
    <s v="251BDF0620"/>
    <s v="ACESSO AO GAMA"/>
    <s v="ENTR DF-180 (A)"/>
    <n v="77.900000000000006"/>
    <n v="86.3"/>
    <n v="8.4"/>
    <x v="1"/>
    <m/>
    <m/>
    <s v="Distrital"/>
    <m/>
    <s v="DF-290"/>
    <s v="PAV"/>
    <s v="Distrital"/>
    <s v="PLA"/>
    <s v="Brasília"/>
  </r>
  <r>
    <x v="0"/>
    <s v="251BDF0630"/>
    <n v="0"/>
    <x v="215"/>
    <s v="0630"/>
    <n v="-48.121196609635703"/>
    <n v="-16.008503789917899"/>
    <n v="-48.144710929565598"/>
    <n v="-15.907968519931201"/>
    <s v="251"/>
    <s v="DF"/>
    <s v="Eixo Principal"/>
    <s v="-"/>
    <s v="251BDF0630"/>
    <s v="ENTR DF-180 (A)"/>
    <s v="ENTR BR-060"/>
    <n v="86.3"/>
    <n v="98.8"/>
    <n v="12.5"/>
    <x v="1"/>
    <m/>
    <m/>
    <s v="Distrital"/>
    <m/>
    <s v="DF-180"/>
    <s v="PAV"/>
    <s v="Distrital"/>
    <s v="PLA"/>
    <s v="Brasília"/>
  </r>
  <r>
    <x v="0"/>
    <s v="251BDF0650"/>
    <n v="0"/>
    <x v="215"/>
    <s v="0650"/>
    <n v="-48.144710929565598"/>
    <n v="-15.907968519931201"/>
    <n v="-48.217738119918202"/>
    <n v="-15.8283102396258"/>
    <s v="251"/>
    <s v="DF"/>
    <s v="Eixo Principal"/>
    <s v="-"/>
    <s v="251BDF0650"/>
    <s v="ENTR BR-060"/>
    <s v="ENTR DF-190"/>
    <n v="98.8"/>
    <n v="111.2"/>
    <n v="12.4"/>
    <x v="1"/>
    <m/>
    <m/>
    <s v="Distrital"/>
    <m/>
    <s v="DF-180"/>
    <s v="PAV"/>
    <s v="Distrital"/>
    <s v="PLA"/>
    <s v="Brasília"/>
  </r>
  <r>
    <x v="0"/>
    <s v="251BDF0670"/>
    <n v="0"/>
    <x v="215"/>
    <s v="0670"/>
    <n v="-48.217738119918202"/>
    <n v="-15.8283102396258"/>
    <n v="-48.196478850018799"/>
    <n v="-15.7953247500371"/>
    <s v="251"/>
    <s v="DF"/>
    <s v="Eixo Principal"/>
    <s v="-"/>
    <s v="251BDF0670"/>
    <s v="ENTR DF-190"/>
    <s v="ENTR BR-070 (A)"/>
    <n v="111.2"/>
    <n v="115.5"/>
    <n v="4.3"/>
    <x v="1"/>
    <m/>
    <m/>
    <s v="Distrital"/>
    <m/>
    <s v="DF-180"/>
    <s v="PAV"/>
    <s v="Distrital"/>
    <s v="PLA"/>
    <s v="Brasília"/>
  </r>
  <r>
    <x v="0"/>
    <s v="251BDF0680"/>
    <n v="0"/>
    <x v="215"/>
    <s v="0680"/>
    <n v="-48.196478850018799"/>
    <n v="-15.7953247500371"/>
    <n v="-48.1722644600367"/>
    <n v="-15.7959649297376"/>
    <s v="251"/>
    <s v="DF"/>
    <s v="Eixo Principal"/>
    <s v="Coinc"/>
    <s v="251BDF0680"/>
    <s v="ENTR BR-070 (A)"/>
    <s v="ENTR BR-070 (B)"/>
    <n v="115.5"/>
    <n v="118.1"/>
    <n v="2.6"/>
    <x v="0"/>
    <m/>
    <s v="070BDF0030"/>
    <s v="Federal"/>
    <m/>
    <m/>
    <m/>
    <s v="Federal"/>
    <s v="PAV"/>
    <s v="Brasília"/>
  </r>
  <r>
    <x v="0"/>
    <s v="251BDF0690"/>
    <n v="0"/>
    <x v="215"/>
    <s v="0690"/>
    <n v="-48.1722644600367"/>
    <n v="-15.7959649297376"/>
    <n v="-48.167884019731602"/>
    <n v="-15.7307695699596"/>
    <s v="251"/>
    <s v="DF"/>
    <s v="Eixo Principal"/>
    <s v="-"/>
    <s v="251BDF0690"/>
    <s v="ENTR BR-070(B)"/>
    <s v="ENTR BR-080/DF-240/445"/>
    <n v="118.1"/>
    <n v="125.7"/>
    <n v="7.6"/>
    <x v="1"/>
    <m/>
    <m/>
    <s v="Distrital"/>
    <m/>
    <s v="DF-180"/>
    <s v="PAV"/>
    <s v="Distrital"/>
    <s v="PLA"/>
    <s v="Brasília"/>
  </r>
  <r>
    <x v="0"/>
    <s v="251BDF0710"/>
    <n v="0"/>
    <x v="215"/>
    <s v="0710"/>
    <n v="-48.167884019731602"/>
    <n v="-15.7307695699596"/>
    <n v="-48.1987498099557"/>
    <n v="-15.7122719103203"/>
    <s v="251"/>
    <s v="DF"/>
    <s v="Eixo Principal"/>
    <s v="Coinc"/>
    <s v="251BDF0710"/>
    <s v="ENTR BR-080/DF-240/445"/>
    <s v="ENTR DF-435"/>
    <n v="125.7"/>
    <n v="130.4"/>
    <n v="4.7"/>
    <x v="2"/>
    <m/>
    <s v="080BDF0030"/>
    <s v="Federal"/>
    <m/>
    <m/>
    <m/>
    <s v="Federal"/>
    <s v="PAV"/>
    <s v="Brasília"/>
  </r>
  <r>
    <x v="0"/>
    <s v="251BDF0712"/>
    <n v="0"/>
    <x v="215"/>
    <s v="0712"/>
    <n v="-48.1987498099557"/>
    <n v="-15.7122719103203"/>
    <n v="-48.205832810136002"/>
    <n v="-15.6877861301257"/>
    <s v="251"/>
    <s v="DF"/>
    <s v="Eixo Principal"/>
    <s v="Coinc"/>
    <s v="251BDF0712"/>
    <s v="ENTR DF-435"/>
    <s v="ENTR VICINAL-541 BRAZLÂNDIA"/>
    <n v="130.4"/>
    <n v="133.19999999999999"/>
    <n v="2.8"/>
    <x v="2"/>
    <m/>
    <s v="080BDF0032"/>
    <s v="Federal"/>
    <m/>
    <m/>
    <m/>
    <s v="Federal"/>
    <s v="PAV"/>
    <s v="Brasília"/>
  </r>
  <r>
    <x v="0"/>
    <s v="251BDF0716"/>
    <n v="0"/>
    <x v="215"/>
    <s v="0716"/>
    <n v="-48.205832810136002"/>
    <n v="-15.6877861301257"/>
    <n v="-48.204694690207702"/>
    <n v="-15.676269170086"/>
    <s v="251"/>
    <s v="DF"/>
    <s v="Eixo Principal"/>
    <s v="Coinc"/>
    <s v="251BDF0716"/>
    <s v="ENTR VICINAL-541 BRAZLÂNDIA"/>
    <s v="FIM TRECHO DUPLICAÇÃO"/>
    <n v="133.19999999999999"/>
    <n v="136.6"/>
    <n v="3.4"/>
    <x v="0"/>
    <m/>
    <s v="080BDF0040"/>
    <s v="Federal"/>
    <m/>
    <m/>
    <m/>
    <s v="Federal"/>
    <s v="PAV"/>
    <s v="Brasília"/>
  </r>
  <r>
    <x v="0"/>
    <s v="251BDF0720"/>
    <n v="0"/>
    <x v="215"/>
    <s v="0720"/>
    <n v="-48.204694690207702"/>
    <n v="-15.676269170086"/>
    <n v="-48.201758410022499"/>
    <n v="-15.6480720397927"/>
    <s v="251"/>
    <s v="DF"/>
    <s v="Eixo Principal"/>
    <s v="Coinc"/>
    <s v="251BDF0720"/>
    <s v="FIM TRECHO DUPLICAÇÃO"/>
    <s v="ENTR DF-415"/>
    <n v="136.6"/>
    <n v="138.6"/>
    <n v="2"/>
    <x v="2"/>
    <m/>
    <s v="080BDF0050"/>
    <s v="Federal"/>
    <m/>
    <m/>
    <m/>
    <s v="Federal"/>
    <s v="PAV"/>
    <s v="Brasília"/>
  </r>
  <r>
    <x v="0"/>
    <s v="251BDF0730"/>
    <n v="0"/>
    <x v="215"/>
    <s v="0730"/>
    <n v="-48.201758410022499"/>
    <n v="-15.6480720397927"/>
    <n v="-48.1984291297005"/>
    <n v="-15.6164001503466"/>
    <s v="251"/>
    <s v="DF"/>
    <s v="Eixo Principal"/>
    <s v="Coinc"/>
    <s v="251BDF0730"/>
    <s v="ENTR DF-415"/>
    <s v="ENTR DF-220"/>
    <n v="138.6"/>
    <n v="141.19999999999999"/>
    <n v="2.6"/>
    <x v="2"/>
    <m/>
    <s v="080BDF0051"/>
    <s v="Federal"/>
    <m/>
    <m/>
    <m/>
    <s v="Federal"/>
    <s v="PAV"/>
    <s v="Brasília"/>
  </r>
  <r>
    <x v="0"/>
    <s v="251BDF0732"/>
    <n v="0"/>
    <x v="215"/>
    <s v="0732"/>
    <n v="-48.1984291297005"/>
    <n v="-15.6164001503466"/>
    <n v="-48.186252400028103"/>
    <n v="-15.585328079926899"/>
    <s v="251"/>
    <s v="DF"/>
    <s v="Eixo Principal"/>
    <s v="Coinc"/>
    <s v="251BDF0732"/>
    <s v="ENTR DF-220"/>
    <s v="ENTR VICINAL-511"/>
    <n v="141.19999999999999"/>
    <n v="146"/>
    <n v="4.8"/>
    <x v="2"/>
    <m/>
    <s v="080BDF0052"/>
    <s v="Federal"/>
    <m/>
    <m/>
    <m/>
    <s v="Federal"/>
    <s v="PAV"/>
    <s v="Brasília"/>
  </r>
  <r>
    <x v="0"/>
    <s v="251BDF0750"/>
    <n v="0"/>
    <x v="215"/>
    <s v="0750"/>
    <n v="-48.186252400028103"/>
    <n v="-15.585328079926899"/>
    <n v="-48.190920000157803"/>
    <n v="-15.5264825498297"/>
    <s v="251"/>
    <s v="DF"/>
    <s v="Eixo Principal"/>
    <s v="Coinc"/>
    <s v="251BDF0750"/>
    <s v="ENTR VICINAL-511"/>
    <s v="ENTR DF-206"/>
    <n v="146"/>
    <n v="153.5"/>
    <n v="7.5"/>
    <x v="2"/>
    <m/>
    <s v="080BDF0070"/>
    <s v="Federal"/>
    <m/>
    <m/>
    <m/>
    <s v="Federal"/>
    <s v="PAV"/>
    <s v="Brasília"/>
  </r>
  <r>
    <x v="0"/>
    <s v="251BDF0752"/>
    <n v="0"/>
    <x v="215"/>
    <s v="0752"/>
    <n v="-48.190920000157803"/>
    <n v="-15.5264825498297"/>
    <n v="-48.196555279802197"/>
    <n v="-15.5101427702725"/>
    <s v="251"/>
    <s v="DF"/>
    <s v="Eixo Principal"/>
    <s v="Coinc"/>
    <s v="251BDF0752"/>
    <s v="ENTR DF-206"/>
    <s v="ENTR DF-180(B) (DIV DF/GO)"/>
    <n v="153.5"/>
    <n v="156.30000000000001"/>
    <n v="2.8"/>
    <x v="2"/>
    <m/>
    <s v="080BDF0072"/>
    <s v="Federal"/>
    <m/>
    <m/>
    <m/>
    <s v="Federal"/>
    <s v="PAV"/>
    <s v="Brasília"/>
  </r>
  <r>
    <x v="0"/>
    <s v="251BGO0470"/>
    <n v="0"/>
    <x v="216"/>
    <s v="0470"/>
    <n v="-47.327431280029401"/>
    <n v="-16.2494509097316"/>
    <n v="-47.433353839807801"/>
    <n v="-16.204854130213899"/>
    <s v="251"/>
    <s v="GO"/>
    <s v="Eixo Principal"/>
    <s v="-"/>
    <s v="251BGO0470"/>
    <s v="DIV MG/GO"/>
    <s v="ENTR GO-010(A)"/>
    <n v="0"/>
    <n v="12"/>
    <n v="12"/>
    <x v="2"/>
    <m/>
    <m/>
    <s v="Federal"/>
    <m/>
    <m/>
    <m/>
    <s v="Federal"/>
    <s v="PAV"/>
    <s v="Brasília"/>
  </r>
  <r>
    <x v="0"/>
    <s v="251BGO0480"/>
    <n v="0"/>
    <x v="216"/>
    <s v="0480"/>
    <n v="-47.433353839807801"/>
    <n v="-16.204854130213899"/>
    <n v="-47.4504262799488"/>
    <n v="-16.198692950419201"/>
    <s v="251"/>
    <s v="GO"/>
    <s v="Eixo Principal"/>
    <s v="-"/>
    <s v="251BGO0480"/>
    <s v="ENTR GO-010(A)"/>
    <s v="ENTR GO-010(B)"/>
    <n v="12"/>
    <n v="14"/>
    <n v="2"/>
    <x v="2"/>
    <m/>
    <m/>
    <s v="Federal"/>
    <m/>
    <m/>
    <m/>
    <s v="Federal"/>
    <s v="PAV"/>
    <s v="Brasília"/>
  </r>
  <r>
    <x v="0"/>
    <s v="251BGO0485"/>
    <n v="0"/>
    <x v="216"/>
    <s v="0485"/>
    <n v="-47.4504262799488"/>
    <n v="-16.198692950419201"/>
    <n v="-47.537620659565697"/>
    <n v="-16.049624070094598"/>
    <s v="251"/>
    <s v="GO"/>
    <s v="Eixo Principal"/>
    <s v="-"/>
    <s v="251BGO0485"/>
    <s v="ENTR GO-010(B)"/>
    <s v="ENTR GO-080(A) (DIV GO/DF)"/>
    <n v="14"/>
    <n v="34"/>
    <n v="20"/>
    <x v="2"/>
    <m/>
    <m/>
    <s v="Federal"/>
    <m/>
    <m/>
    <m/>
    <s v="Federal"/>
    <s v="PAV"/>
    <s v="Brasília"/>
  </r>
  <r>
    <x v="0"/>
    <s v="251BGO0770"/>
    <n v="0"/>
    <x v="216"/>
    <s v="0770"/>
    <n v="-48.196555279802197"/>
    <n v="-15.5101427702725"/>
    <n v="-48.219227130127898"/>
    <n v="-15.5009680099656"/>
    <s v="251"/>
    <s v="GO"/>
    <s v="Eixo Principal"/>
    <s v="Coinc"/>
    <s v="251BGO0770"/>
    <s v="ENTR GO-080(A) (DIV DF/GO)"/>
    <s v="ENTR BR-080(B)"/>
    <n v="34"/>
    <n v="36.1"/>
    <n v="2.1"/>
    <x v="2"/>
    <m/>
    <s v="080BGO0090"/>
    <m/>
    <s v="MP082/2003"/>
    <m/>
    <m/>
    <m/>
    <s v="PAV"/>
    <s v="Brasília"/>
  </r>
  <r>
    <x v="0"/>
    <s v="251BGO0780"/>
    <n v="0"/>
    <x v="216"/>
    <s v="0780"/>
    <n v="-48.219227130127898"/>
    <n v="-15.5009680099656"/>
    <n v="-48.518085659625399"/>
    <n v="-15.457749939707901"/>
    <s v="251"/>
    <s v="GO"/>
    <s v="Eixo Principal"/>
    <s v="-"/>
    <s v="251BGO0780"/>
    <s v="ENTR BR-080(B)"/>
    <s v="ENTR GO-435(A)"/>
    <n v="36.1"/>
    <n v="75.099999999999994"/>
    <n v="39"/>
    <x v="3"/>
    <m/>
    <m/>
    <s v="Federal"/>
    <m/>
    <m/>
    <m/>
    <s v="Federal"/>
    <s v="N_PAV"/>
    <s v="Brasília"/>
  </r>
  <r>
    <x v="0"/>
    <s v="251BGO0790"/>
    <n v="0"/>
    <x v="216"/>
    <s v="0790"/>
    <n v="-48.518085659625399"/>
    <n v="-15.457749939707901"/>
    <n v="-48.628646769632603"/>
    <n v="-15.5809741201594"/>
    <s v="251"/>
    <s v="GO"/>
    <s v="Eixo Principal"/>
    <s v="-"/>
    <s v="251BGO0790"/>
    <s v="ENTR GO-435(A)"/>
    <s v="ENTR BR-414(A)/GO-435(B)"/>
    <n v="75.099999999999994"/>
    <n v="93"/>
    <n v="17.899999999999999"/>
    <x v="1"/>
    <m/>
    <m/>
    <s v="Estadual"/>
    <m/>
    <s v="GO-435"/>
    <s v="LEN"/>
    <s v="Estadual"/>
    <s v="PLA"/>
    <s v="Brasília"/>
  </r>
  <r>
    <x v="0"/>
    <s v="251BGO0792"/>
    <n v="0"/>
    <x v="216"/>
    <s v="0792"/>
    <n v="-48.628646769632603"/>
    <n v="-15.5809741201594"/>
    <n v="-48.618589580144899"/>
    <n v="-15.486740770270201"/>
    <s v="251"/>
    <s v="GO"/>
    <s v="Eixo Principal"/>
    <s v="-"/>
    <s v="251BGO0792"/>
    <s v="ENTR BR-414(A)/GO-435(B)"/>
    <s v="ENTR BR-414(B)"/>
    <n v="93"/>
    <n v="103.5"/>
    <n v="10.5"/>
    <x v="2"/>
    <m/>
    <s v="414BGO0112"/>
    <m/>
    <s v="MP082/2004"/>
    <m/>
    <m/>
    <m/>
    <s v="PAV"/>
    <s v="Anápolis"/>
  </r>
  <r>
    <x v="0"/>
    <s v="251BGO0810"/>
    <n v="0"/>
    <x v="216"/>
    <s v="0810"/>
    <n v="-48.618589580144899"/>
    <n v="-15.486740770270201"/>
    <n v="-48.885494430223702"/>
    <n v="-15.4608546799994"/>
    <s v="251"/>
    <s v="GO"/>
    <s v="Eixo Principal"/>
    <s v="-"/>
    <s v="251BGO0810"/>
    <s v="ENTR BR-414(B)"/>
    <s v="ENTR GO-473 (VILA PROPÍCIO)"/>
    <n v="103.5"/>
    <n v="137.5"/>
    <n v="34"/>
    <x v="1"/>
    <m/>
    <m/>
    <m/>
    <s v="MP082/2004"/>
    <s v="GO-435"/>
    <m/>
    <m/>
    <s v="PLA"/>
    <s v="Uruaçu"/>
  </r>
  <r>
    <x v="0"/>
    <s v="251BGO0811"/>
    <n v="0"/>
    <x v="216"/>
    <s v="0811"/>
    <n v="-48.885494430223702"/>
    <n v="-15.4608546799994"/>
    <n v="-48.891323520064297"/>
    <n v="-15.444062170033"/>
    <s v="251"/>
    <s v="GO"/>
    <s v="Eixo Principal"/>
    <s v="-"/>
    <s v="251BGO0811"/>
    <s v="ENTR GO-473 (VILA PROPÍCIO)"/>
    <s v="ENTR GO-230(A)"/>
    <n v="137.5"/>
    <n v="139.5"/>
    <n v="2"/>
    <x v="1"/>
    <m/>
    <m/>
    <m/>
    <s v="MP082/2004"/>
    <s v="GO-230"/>
    <s v="PAV"/>
    <m/>
    <s v="PLA"/>
    <s v="Uruaçu"/>
  </r>
  <r>
    <x v="0"/>
    <s v="251BGO0820"/>
    <n v="0"/>
    <x v="216"/>
    <s v="0820"/>
    <n v="-48.891323520064297"/>
    <n v="-15.444062170033"/>
    <n v="-49.108236840057998"/>
    <n v="-15.326257410351101"/>
    <s v="251"/>
    <s v="GO"/>
    <s v="Eixo Principal"/>
    <s v="-"/>
    <s v="251BGO0820"/>
    <s v="ENTR GO-230(A)"/>
    <s v="GOIANÉSIA"/>
    <n v="139.5"/>
    <n v="166.7"/>
    <n v="27.2"/>
    <x v="1"/>
    <m/>
    <m/>
    <s v="Estadual"/>
    <m/>
    <s v="GO-230"/>
    <s v="PAV"/>
    <s v="Estadual"/>
    <s v="PLA"/>
    <s v="Uruaçu"/>
  </r>
  <r>
    <x v="0"/>
    <s v="251BGO0830"/>
    <n v="0"/>
    <x v="216"/>
    <s v="0830"/>
    <n v="-49.108236840057998"/>
    <n v="-15.326257410351101"/>
    <n v="-49.129467319960703"/>
    <n v="-15.326566230347201"/>
    <s v="251"/>
    <s v="GO"/>
    <s v="Eixo Principal"/>
    <s v="-"/>
    <s v="251BGO0830"/>
    <s v="GOIANÉSIA"/>
    <s v="ENTR GO-080/338 (GOIANÉSIA)"/>
    <n v="166.7"/>
    <n v="174.1"/>
    <n v="7.4"/>
    <x v="1"/>
    <m/>
    <m/>
    <s v="Estadual"/>
    <m/>
    <s v="GO-230"/>
    <s v="DUP"/>
    <s v="Estadual"/>
    <s v="PLA"/>
    <s v="Uruaçu"/>
  </r>
  <r>
    <x v="0"/>
    <s v="251BGO0835"/>
    <n v="0"/>
    <x v="216"/>
    <s v="0835"/>
    <n v="-49.129467319960703"/>
    <n v="-15.326566230347201"/>
    <n v="-49.199644233194697"/>
    <n v="-15.329698372082101"/>
    <s v="251"/>
    <s v="GO"/>
    <s v="Eixo Principal"/>
    <s v="-"/>
    <s v="251BGO0835"/>
    <s v="ENTR GO-080/338 (GOIANÉSIA)"/>
    <s v="FIM DA PAVIMENTAÇÃO"/>
    <n v="174.1"/>
    <n v="181.4"/>
    <n v="7.3"/>
    <x v="1"/>
    <m/>
    <m/>
    <s v="Estadual"/>
    <m/>
    <s v="GO-230"/>
    <s v="PAV"/>
    <s v="Estadual"/>
    <s v="PLA"/>
    <s v="Uruaçu"/>
  </r>
  <r>
    <x v="0"/>
    <s v="251BGO0840"/>
    <n v="0"/>
    <x v="216"/>
    <s v="0840"/>
    <n v="-49.199644233194697"/>
    <n v="-15.329698372082101"/>
    <n v="-49.3753928797775"/>
    <n v="-15.359234820430499"/>
    <s v="251"/>
    <s v="GO"/>
    <s v="Eixo Principal"/>
    <s v="-"/>
    <s v="251BGO0840"/>
    <s v="FIM DA PAVIMENTAÇÃO"/>
    <s v="ENTR GO-230(B)/480(A)"/>
    <n v="181.4"/>
    <n v="202.8"/>
    <n v="21.4"/>
    <x v="1"/>
    <m/>
    <m/>
    <s v="Estadual"/>
    <m/>
    <s v="GO-230"/>
    <s v="EOP"/>
    <s v="Estadual"/>
    <s v="PLA"/>
    <s v="Uruaçu"/>
  </r>
  <r>
    <x v="0"/>
    <s v="251BGO0845"/>
    <n v="0"/>
    <x v="216"/>
    <s v="0845"/>
    <n v="-49.3753928797775"/>
    <n v="-15.359234820430499"/>
    <n v="-49.425206040126596"/>
    <n v="-15.307357140419599"/>
    <s v="251"/>
    <s v="GO"/>
    <s v="Eixo Principal"/>
    <s v="-"/>
    <s v="251BGO0845"/>
    <s v="ENTR GO-230(B)/480(A)"/>
    <s v="ENTR GO-483 (SANTA ISABEL)"/>
    <n v="202.8"/>
    <n v="211.3"/>
    <n v="8.5"/>
    <x v="1"/>
    <m/>
    <m/>
    <s v="Estadual"/>
    <m/>
    <s v="GO-480"/>
    <s v="LEN"/>
    <s v="Estadual"/>
    <s v="PLA"/>
    <s v="Uruaçu"/>
  </r>
  <r>
    <x v="0"/>
    <s v="251BGO0850"/>
    <n v="0"/>
    <x v="216"/>
    <s v="0850"/>
    <n v="-49.425206040126596"/>
    <n v="-15.307357140419599"/>
    <n v="-49.572026609940004"/>
    <n v="-15.3199633602208"/>
    <s v="251"/>
    <s v="GO"/>
    <s v="Eixo Principal"/>
    <s v="-"/>
    <s v="251BGO0850"/>
    <s v="ENTR GO-483 (SANTA ISABEL)"/>
    <s v="ENTR BR-153/GO-480(B) (RIALMA)"/>
    <n v="211.3"/>
    <n v="230.8"/>
    <n v="19.5"/>
    <x v="1"/>
    <m/>
    <m/>
    <s v="Estadual"/>
    <m/>
    <s v="GO-480"/>
    <s v="PAV"/>
    <s v="Estadual"/>
    <s v="PLA"/>
    <s v="Uruaçu"/>
  </r>
  <r>
    <x v="0"/>
    <s v="251BGO0860"/>
    <n v="0"/>
    <x v="216"/>
    <s v="0860"/>
    <n v="-49.572026609940004"/>
    <n v="-15.3199633602208"/>
    <n v="-49.591663639565198"/>
    <n v="-15.3111553200619"/>
    <s v="251"/>
    <s v="GO"/>
    <s v="Eixo Principal"/>
    <s v="-"/>
    <s v="251BGO0860"/>
    <s v="ENTR BR-153/GO-480(B) (RIALMA)"/>
    <s v="ENTR GO-154(A) (CERES)"/>
    <n v="230.8"/>
    <n v="235.9"/>
    <n v="5.0999999999999996"/>
    <x v="1"/>
    <m/>
    <m/>
    <s v="Estadual"/>
    <m/>
    <s v="GOT-251"/>
    <s v="PAV"/>
    <s v="Estadual"/>
    <s v="PLA"/>
    <s v="Uruaçu"/>
  </r>
  <r>
    <x v="0"/>
    <s v="251BGO0865"/>
    <n v="0"/>
    <x v="216"/>
    <s v="0865"/>
    <n v="-49.591663639565198"/>
    <n v="-15.3111553200619"/>
    <n v="-49.586277890312303"/>
    <n v="-15.3072945503031"/>
    <s v="251"/>
    <s v="GO"/>
    <s v="Eixo Principal"/>
    <s v="-"/>
    <s v="251BGO0865"/>
    <s v="ENTR GO-154(A) (CERES)"/>
    <s v="FIM DO PERÍMETRO URB CERES"/>
    <n v="235.9"/>
    <n v="237.2"/>
    <n v="1.3"/>
    <x v="1"/>
    <m/>
    <m/>
    <s v="Estadual"/>
    <m/>
    <s v="GO-154"/>
    <s v="PAV"/>
    <s v="Estadual"/>
    <s v="PLA"/>
    <s v="Uruaçu"/>
  </r>
  <r>
    <x v="0"/>
    <s v="251BGO0870"/>
    <n v="0"/>
    <x v="216"/>
    <s v="0870"/>
    <n v="-49.586277890312303"/>
    <n v="-15.3072945503031"/>
    <n v="-49.624228800418699"/>
    <n v="-15.192577120038001"/>
    <s v="251"/>
    <s v="GO"/>
    <s v="Eixo Principal"/>
    <s v="-"/>
    <s v="251BGO0870"/>
    <s v="FIM DO PERÍMETRO URB CERES"/>
    <s v="ENTR GO-154(B)/434(A)"/>
    <n v="237.2"/>
    <n v="256.39999999999998"/>
    <n v="19.2"/>
    <x v="1"/>
    <m/>
    <m/>
    <s v="Estadual"/>
    <m/>
    <s v="GO-154"/>
    <s v="LEN"/>
    <s v="Estadual"/>
    <s v="PLA"/>
    <s v="Uruaçu"/>
  </r>
  <r>
    <x v="0"/>
    <s v="251BGO0880"/>
    <n v="0"/>
    <x v="216"/>
    <s v="0880"/>
    <n v="-49.624228800418699"/>
    <n v="-15.192577120038001"/>
    <n v="-49.799789989616201"/>
    <n v="-15.155455789553001"/>
    <s v="251"/>
    <s v="GO"/>
    <s v="Eixo Principal"/>
    <s v="-"/>
    <s v="251BGO0880"/>
    <s v="ENTR GO-154(B)/434(A)"/>
    <s v="ENTR GO-334 (RUBIATABA)"/>
    <n v="256.39999999999998"/>
    <n v="276.10000000000002"/>
    <n v="19.7"/>
    <x v="1"/>
    <m/>
    <m/>
    <s v="Estadual"/>
    <m/>
    <s v="GO-434"/>
    <s v="PAV"/>
    <s v="Estadual"/>
    <s v="PLA"/>
    <s v="Uruaçu"/>
  </r>
  <r>
    <x v="0"/>
    <s v="251BGO0890"/>
    <n v="0"/>
    <x v="216"/>
    <s v="0890"/>
    <n v="-49.799789989616201"/>
    <n v="-15.155455789553001"/>
    <n v="-49.809076880093897"/>
    <n v="-15.163027199845301"/>
    <s v="251"/>
    <s v="GO"/>
    <s v="Eixo Principal"/>
    <s v="-"/>
    <s v="251BGO0890"/>
    <s v="ENTR GO-334 (RUBIATABA)"/>
    <s v="FIM PISTA DUPLA"/>
    <n v="276.10000000000002"/>
    <n v="277.60000000000002"/>
    <n v="1.5"/>
    <x v="1"/>
    <m/>
    <m/>
    <s v="Estadual"/>
    <m/>
    <s v="GO-434"/>
    <s v="DUP"/>
    <s v="Estadual"/>
    <s v="PLA"/>
    <s v="Uruaçu"/>
  </r>
  <r>
    <x v="0"/>
    <s v="251BGO0895"/>
    <n v="0"/>
    <x v="216"/>
    <s v="0895"/>
    <n v="-49.809076880093897"/>
    <n v="-15.163027199845301"/>
    <n v="-49.817750330413297"/>
    <n v="-15.1588590696902"/>
    <s v="251"/>
    <s v="GO"/>
    <s v="Eixo Principal"/>
    <s v="-"/>
    <s v="251BGO0895"/>
    <s v="FIM PISTA DUPLA"/>
    <s v="FIM DA PAVIMENTAÇÃO"/>
    <n v="277.60000000000002"/>
    <n v="278.89999999999998"/>
    <n v="1.3"/>
    <x v="1"/>
    <m/>
    <m/>
    <s v="Estadual"/>
    <m/>
    <s v="GO-434"/>
    <s v="PAV"/>
    <s v="Estadual"/>
    <s v="PLA"/>
    <s v="Uruaçu"/>
  </r>
  <r>
    <x v="0"/>
    <s v="251BGO0900"/>
    <n v="0"/>
    <x v="216"/>
    <s v="0900"/>
    <n v="-49.817750330413297"/>
    <n v="-15.1588590696902"/>
    <n v="-50.003272159682297"/>
    <n v="-15.2169580599664"/>
    <s v="251"/>
    <s v="GO"/>
    <s v="Eixo Principal"/>
    <s v="-"/>
    <s v="251BGO0900"/>
    <s v="FIM DA PAVIMENTAÇÃO"/>
    <s v="ENTR GO-156(A)/434(B) (VALDELÂNDIA)"/>
    <n v="278.89999999999998"/>
    <n v="303.89999999999998"/>
    <n v="25"/>
    <x v="1"/>
    <m/>
    <m/>
    <s v="Estadual"/>
    <m/>
    <s v="GO-434"/>
    <s v="LEN"/>
    <s v="Estadual"/>
    <s v="PLA"/>
    <s v="Uruaçu"/>
  </r>
  <r>
    <x v="0"/>
    <s v="251BGO0910"/>
    <n v="0"/>
    <x v="216"/>
    <s v="0910"/>
    <n v="-50.003272159682297"/>
    <n v="-15.2169580599664"/>
    <n v="-50.0454154501628"/>
    <n v="-15.271923910260201"/>
    <s v="251"/>
    <s v="GO"/>
    <s v="Eixo Principal"/>
    <s v="-"/>
    <s v="251BGO0910"/>
    <s v="ENTR GO-156(A)/434(B) (VALDELÂNDIA)"/>
    <s v="ENTR GO-156(B)"/>
    <n v="303.89999999999998"/>
    <n v="312.3"/>
    <n v="8.4"/>
    <x v="1"/>
    <m/>
    <m/>
    <s v="Estadual"/>
    <m/>
    <s v="GO-156"/>
    <s v="LEN"/>
    <s v="Estadual"/>
    <s v="PLA"/>
    <s v="Uruaçu"/>
  </r>
  <r>
    <x v="0"/>
    <s v="251BGO0920"/>
    <n v="0"/>
    <x v="216"/>
    <s v="0920"/>
    <n v="-50.0454154501628"/>
    <n v="-15.271923910260201"/>
    <n v="-50.4899774997617"/>
    <n v="-15.263136690305901"/>
    <s v="251"/>
    <s v="GO"/>
    <s v="Eixo Principal"/>
    <s v="-"/>
    <s v="251BGO0920"/>
    <s v="ENTR GO-156(B)"/>
    <s v="ENTR GO-164(A)"/>
    <n v="312.3"/>
    <n v="374.6"/>
    <n v="62.3"/>
    <x v="1"/>
    <m/>
    <m/>
    <s v="Estadual"/>
    <m/>
    <s v="GOT-251"/>
    <s v="LEN"/>
    <s v="Estadual"/>
    <s v="PLA"/>
    <s v="Uruaçu"/>
  </r>
  <r>
    <x v="0"/>
    <s v="251BGO0922"/>
    <n v="0"/>
    <x v="216"/>
    <s v="0922"/>
    <n v="-50.4899774997617"/>
    <n v="-15.263136690305901"/>
    <n v="-50.506575679723802"/>
    <n v="-15.246458100161099"/>
    <s v="251"/>
    <s v="GO"/>
    <s v="Eixo Principal"/>
    <s v="-"/>
    <s v="251BGO0922"/>
    <s v="ENTR GO-164(A)"/>
    <s v="ENTR GO-449 (P/MATRINCHÃ)"/>
    <n v="374.6"/>
    <n v="377.2"/>
    <n v="2.6"/>
    <x v="1"/>
    <m/>
    <m/>
    <s v="Estadual"/>
    <m/>
    <s v="GO-164"/>
    <s v="PAV"/>
    <s v="Estadual"/>
    <s v="PLA"/>
    <s v="Uruaçu"/>
  </r>
  <r>
    <x v="0"/>
    <s v="251BGO0924"/>
    <n v="0"/>
    <x v="216"/>
    <s v="0924"/>
    <n v="-50.506575679723802"/>
    <n v="-15.246458100161099"/>
    <n v="-50.6152424200016"/>
    <n v="-15.099813269566701"/>
    <s v="251"/>
    <s v="GO"/>
    <s v="Eixo Principal"/>
    <s v="-"/>
    <s v="251BGO0924"/>
    <s v="ENTR GO-449 (P/MATRINCHÃ)"/>
    <s v="ENTR GO-164(B)/530(A) (ARAGUAPAZ)"/>
    <n v="377.2"/>
    <n v="397.4"/>
    <n v="20.2"/>
    <x v="1"/>
    <m/>
    <m/>
    <s v="Estadual"/>
    <m/>
    <s v="GO-164"/>
    <s v="PAV"/>
    <s v="Estadual"/>
    <s v="PLA"/>
    <s v="Uruaçu"/>
  </r>
  <r>
    <x v="0"/>
    <s v="251BGO0926"/>
    <n v="0"/>
    <x v="216"/>
    <s v="0926"/>
    <n v="-50.6152424200016"/>
    <n v="-15.099813269566701"/>
    <n v="-51.0197554699389"/>
    <n v="-14.960317790233701"/>
    <s v="251"/>
    <s v="GO"/>
    <s v="Eixo Principal"/>
    <s v="-"/>
    <s v="251BGO0926"/>
    <s v="ENTR GO-164(B)/530(A) (ARAGUAPAZ)"/>
    <s v="ENTR GO-070"/>
    <n v="397.4"/>
    <n v="445.4"/>
    <n v="48"/>
    <x v="1"/>
    <m/>
    <m/>
    <m/>
    <s v="MP082/2003"/>
    <s v="GOT-530"/>
    <s v="PAV"/>
    <m/>
    <s v="PLA"/>
    <s v="Uruaçu"/>
  </r>
  <r>
    <x v="0"/>
    <s v="251BGO0930"/>
    <n v="0"/>
    <x v="216"/>
    <s v="0930"/>
    <n v="-51.0197554699389"/>
    <n v="-14.960317790233701"/>
    <n v="-51.084768740385002"/>
    <n v="-14.918807420126299"/>
    <s v="251"/>
    <s v="GO"/>
    <s v="Eixo Principal"/>
    <s v="-"/>
    <s v="251BGO0930"/>
    <s v="ENTR GO-070"/>
    <s v="RIO ARAGUAIA (ARUANÃ) (DIV GO/MT)"/>
    <n v="445.4"/>
    <n v="453.4"/>
    <n v="8"/>
    <x v="1"/>
    <m/>
    <m/>
    <m/>
    <s v="MP082/2003"/>
    <s v="GOT-173"/>
    <s v="PAV"/>
    <m/>
    <s v="PLA"/>
    <s v="Uruaçu"/>
  </r>
  <r>
    <x v="0"/>
    <s v="251BMG0150"/>
    <n v="0"/>
    <x v="217"/>
    <s v="0150"/>
    <n v="-40.198898359771398"/>
    <n v="-15.857389710067"/>
    <n v="-40.560378009837201"/>
    <n v="-15.885360339807701"/>
    <s v="251"/>
    <s v="MG"/>
    <s v="Eixo Principal"/>
    <s v="-"/>
    <s v="251BMG0150"/>
    <s v="DIV BA/MG"/>
    <s v="ENTR MG-508 (BANDEIRA)"/>
    <n v="0"/>
    <n v="61.8"/>
    <n v="61.8"/>
    <x v="1"/>
    <m/>
    <m/>
    <s v="Federal"/>
    <m/>
    <m/>
    <m/>
    <s v="Federal"/>
    <s v="PLA"/>
    <s v="Teófilo Otoni"/>
  </r>
  <r>
    <x v="0"/>
    <s v="251BMG0170"/>
    <n v="0"/>
    <x v="217"/>
    <s v="0170"/>
    <n v="-40.560378009837201"/>
    <n v="-15.885360339807701"/>
    <n v="-40.891405609980801"/>
    <n v="-15.9808269498038"/>
    <s v="251"/>
    <s v="MG"/>
    <s v="Eixo Principal"/>
    <s v="-"/>
    <s v="251BMG0170"/>
    <s v="ENTR MG-508 (BANDEIRA)"/>
    <s v="ENTR MG-406 (PEDRA GRANDE)"/>
    <n v="61.8"/>
    <n v="104.8"/>
    <n v="43"/>
    <x v="1"/>
    <m/>
    <m/>
    <s v="Federal"/>
    <m/>
    <m/>
    <m/>
    <s v="Federal"/>
    <s v="PLA"/>
    <s v="Teófilo Otoni"/>
  </r>
  <r>
    <x v="0"/>
    <s v="251BMG0190"/>
    <n v="0"/>
    <x v="217"/>
    <s v="0190"/>
    <n v="-40.891405609980801"/>
    <n v="-15.9808269498038"/>
    <n v="-41.218918899687402"/>
    <n v="-16.0772484302707"/>
    <s v="251"/>
    <s v="MG"/>
    <s v="Eixo Principal"/>
    <s v="-"/>
    <s v="251BMG0190"/>
    <s v="ENTR MG-406 (PEDRA GRANDE)"/>
    <s v="ENTR MG-105"/>
    <n v="104.8"/>
    <n v="151.5"/>
    <n v="46.7"/>
    <x v="1"/>
    <m/>
    <m/>
    <s v="Estadual"/>
    <m/>
    <s v="MGT-251"/>
    <s v="IMP"/>
    <s v="Estadual"/>
    <s v="PLA"/>
    <s v="Teófilo Otoni"/>
  </r>
  <r>
    <x v="0"/>
    <s v="251BMG0200"/>
    <n v="0"/>
    <x v="217"/>
    <s v="0200"/>
    <n v="-41.218918899687402"/>
    <n v="-16.0772484302707"/>
    <n v="-41.268626559667901"/>
    <n v="-16.011450360145901"/>
    <s v="251"/>
    <s v="MG"/>
    <s v="Eixo Principal"/>
    <s v="-"/>
    <s v="251BMG0200"/>
    <s v="ENTR MG-105"/>
    <s v="ACESSO PEDRA AZUL"/>
    <n v="151.5"/>
    <n v="161.30000000000001"/>
    <n v="9.8000000000000007"/>
    <x v="1"/>
    <m/>
    <m/>
    <s v="Estadual"/>
    <m/>
    <s v="MGT-251"/>
    <s v="IMP"/>
    <s v="Estadual"/>
    <s v="PLA"/>
    <s v="Teófilo Otoni"/>
  </r>
  <r>
    <x v="0"/>
    <s v="251BMG0210"/>
    <n v="0"/>
    <x v="217"/>
    <s v="0210"/>
    <n v="-41.268626559667901"/>
    <n v="-16.011450360145901"/>
    <n v="-41.407287930393601"/>
    <n v="-15.9864557201553"/>
    <s v="251"/>
    <s v="MG"/>
    <s v="Eixo Principal"/>
    <s v="-"/>
    <s v="251BMG0210"/>
    <s v="ACESSO PEDRA AZUL"/>
    <s v="ENTR BR-116(A)"/>
    <n v="161.30000000000001"/>
    <n v="178.4"/>
    <n v="17.100000000000001"/>
    <x v="1"/>
    <m/>
    <m/>
    <s v="Estadual"/>
    <m/>
    <s v="MGT-251"/>
    <s v="PAV"/>
    <s v="Estadual"/>
    <s v="PLA"/>
    <s v="Teófilo Otoni"/>
  </r>
  <r>
    <x v="0"/>
    <s v="251BMG0215"/>
    <n v="0"/>
    <x v="217"/>
    <s v="0215"/>
    <n v="-41.407287930393601"/>
    <n v="-15.9864557201553"/>
    <n v="-41.430857590105603"/>
    <n v="-15.8731384299945"/>
    <s v="251"/>
    <s v="MG"/>
    <s v="Eixo Principal"/>
    <s v="Coinc"/>
    <s v="251BMG0215"/>
    <s v="ENTR BR-116(A)"/>
    <s v="ENTR BR-116(B)"/>
    <n v="178.4"/>
    <n v="193.7"/>
    <n v="15.3"/>
    <x v="2"/>
    <m/>
    <s v="116BMG1015"/>
    <s v="Federal"/>
    <m/>
    <m/>
    <m/>
    <s v="Federal"/>
    <s v="PAV"/>
    <s v="Teófilo Otoni"/>
  </r>
  <r>
    <x v="0"/>
    <s v="251BMG0220"/>
    <n v="0"/>
    <x v="217"/>
    <s v="0220"/>
    <n v="-41.430857590105603"/>
    <n v="-15.8731384299945"/>
    <n v="-41.835789000162201"/>
    <n v="-15.979604999571"/>
    <s v="251"/>
    <s v="MG"/>
    <s v="Eixo Principal"/>
    <s v="-"/>
    <s v="251BMG0220"/>
    <s v="ENTR BR-116(B)"/>
    <s v="ACESSO CURRAL DE DENTRO"/>
    <n v="193.7"/>
    <n v="246.4"/>
    <n v="52.7"/>
    <x v="2"/>
    <m/>
    <m/>
    <s v="Federal"/>
    <m/>
    <m/>
    <m/>
    <s v="Federal"/>
    <s v="PAV"/>
    <s v="Montes Claros"/>
  </r>
  <r>
    <x v="0"/>
    <s v="251BMG0230"/>
    <n v="0"/>
    <x v="217"/>
    <s v="0230"/>
    <n v="-41.835789000162201"/>
    <n v="-15.979604999571"/>
    <n v="-42.302886880325197"/>
    <n v="-16.1429281999763"/>
    <s v="251"/>
    <s v="MG"/>
    <s v="Eixo Principal"/>
    <s v="-"/>
    <s v="251BMG0230"/>
    <s v="ACESSO CURRAL DE DENTRO"/>
    <s v="ENTR BR-342/MG-404 (SALINAS)"/>
    <n v="246.4"/>
    <n v="310.60000000000002"/>
    <n v="64.2"/>
    <x v="2"/>
    <m/>
    <m/>
    <s v="Federal"/>
    <m/>
    <m/>
    <m/>
    <s v="Federal"/>
    <s v="PAV"/>
    <s v="Montes Claros"/>
  </r>
  <r>
    <x v="0"/>
    <s v="251BMG0240"/>
    <n v="0"/>
    <x v="217"/>
    <s v="0240"/>
    <n v="-42.302886880325197"/>
    <n v="-16.1429281999763"/>
    <n v="-42.523168340346601"/>
    <n v="-16.257330249691201"/>
    <s v="251"/>
    <s v="MG"/>
    <s v="Eixo Principal"/>
    <s v="-"/>
    <s v="251BMG0240"/>
    <s v="ENTR BR-342/MG-404 (SALINAS)"/>
    <s v="INÍCIO PONTE S/ RIO VACARIA"/>
    <n v="310.60000000000002"/>
    <n v="346.2"/>
    <n v="35.6"/>
    <x v="2"/>
    <m/>
    <m/>
    <s v="Federal"/>
    <m/>
    <m/>
    <m/>
    <s v="Federal"/>
    <s v="PAV"/>
    <s v="Montes Claros"/>
  </r>
  <r>
    <x v="0"/>
    <s v="251BMG0250"/>
    <n v="0"/>
    <x v="217"/>
    <s v="0250"/>
    <n v="-42.523168340346601"/>
    <n v="-16.257330249691201"/>
    <n v="-43.189501340414402"/>
    <n v="-16.386936880032899"/>
    <s v="251"/>
    <s v="MG"/>
    <s v="Eixo Principal"/>
    <s v="-"/>
    <s v="251BMG0250"/>
    <s v="INÍCIO PONTE S/ RIO VACARIA"/>
    <s v="ENTR MG-307 (P/GRÃO MONGOL)"/>
    <n v="346.2"/>
    <n v="434.4"/>
    <n v="88.2"/>
    <x v="2"/>
    <m/>
    <m/>
    <s v="Federal"/>
    <m/>
    <m/>
    <m/>
    <s v="Federal"/>
    <s v="PAV"/>
    <s v="Montes Claros"/>
  </r>
  <r>
    <x v="0"/>
    <s v="251BMG0270"/>
    <n v="0"/>
    <x v="217"/>
    <s v="0270"/>
    <n v="-43.189501340414402"/>
    <n v="-16.386936880032899"/>
    <n v="-43.4996995403014"/>
    <n v="-16.474379350226702"/>
    <s v="251"/>
    <s v="MG"/>
    <s v="Eixo Principal"/>
    <s v="-"/>
    <s v="251BMG0270"/>
    <s v="ENTR MG-307 (P/GRÃO MONGOL)"/>
    <s v="ENTR AV J. K. (FRANCISCO SÁ)"/>
    <n v="434.4"/>
    <n v="478.2"/>
    <n v="43.8"/>
    <x v="2"/>
    <m/>
    <m/>
    <s v="Federal"/>
    <m/>
    <m/>
    <m/>
    <s v="Federal"/>
    <s v="PAV"/>
    <s v="Montes Claros"/>
  </r>
  <r>
    <x v="0"/>
    <s v="251BMG0280"/>
    <n v="0"/>
    <x v="217"/>
    <s v="0280"/>
    <n v="-43.4996995403014"/>
    <n v="-16.474379350226702"/>
    <n v="-43.657663349683702"/>
    <n v="-16.607798370398399"/>
    <s v="251"/>
    <s v="MG"/>
    <s v="Eixo Principal"/>
    <s v="-"/>
    <s v="251BMG0280"/>
    <s v="ENTR AV J. K. (FRANCISCO SÁ)"/>
    <s v="ENTR BR-122(A) (P/CANACI)"/>
    <n v="478.2"/>
    <n v="501.1"/>
    <n v="22.9"/>
    <x v="2"/>
    <m/>
    <m/>
    <s v="Federal"/>
    <m/>
    <m/>
    <m/>
    <s v="Federal"/>
    <s v="PAV"/>
    <s v="Montes Claros"/>
  </r>
  <r>
    <x v="0"/>
    <s v="251BMG0290"/>
    <n v="0"/>
    <x v="217"/>
    <s v="0290"/>
    <n v="-43.657663349683702"/>
    <n v="-16.607798370398399"/>
    <n v="-43.799485070279701"/>
    <n v="-16.676575889965299"/>
    <s v="251"/>
    <s v="MG"/>
    <s v="Eixo Principal"/>
    <s v="Coinc"/>
    <s v="251BMG0290"/>
    <s v="ENTR BR-122(A) (P/CANACI)"/>
    <s v="ENTR BR-122(B) (INÍCIO DO PERÍMETRO URBANO MONTES CLAROS)"/>
    <n v="501.1"/>
    <n v="520.1"/>
    <n v="19"/>
    <x v="2"/>
    <m/>
    <s v="122BMG0670"/>
    <s v="Federal"/>
    <m/>
    <m/>
    <m/>
    <s v="Federal"/>
    <s v="PAV"/>
    <s v="Montes Claros"/>
  </r>
  <r>
    <x v="0"/>
    <s v="251BMG0300"/>
    <n v="0"/>
    <x v="217"/>
    <s v="0300"/>
    <n v="-43.799485070279701"/>
    <n v="-16.676575889965299"/>
    <n v="-43.817857639618303"/>
    <n v="-16.695175879862902"/>
    <s v="251"/>
    <s v="MG"/>
    <s v="Eixo Principal"/>
    <s v="-"/>
    <s v="251BMG0300"/>
    <s v="ENTR BR-122(B) (INÍCIO DO PERÍMETRO URBANO MONTES CLAROS)"/>
    <s v="FIM DO TRECHO SOB ATUAÇÃO DO DNIT"/>
    <n v="520.1"/>
    <n v="523"/>
    <n v="2.9"/>
    <x v="2"/>
    <m/>
    <m/>
    <s v="Federal"/>
    <m/>
    <m/>
    <m/>
    <s v="Federal"/>
    <s v="PAV"/>
    <s v="Montes Claros"/>
  </r>
  <r>
    <x v="0"/>
    <s v="251BMG0305"/>
    <n v="0"/>
    <x v="217"/>
    <s v="0305"/>
    <n v="-43.817857639618303"/>
    <n v="-16.695175879862902"/>
    <n v="-43.863247679636601"/>
    <n v="-16.716175170147899"/>
    <s v="251"/>
    <s v="MG"/>
    <s v="Eixo Principal"/>
    <s v="-"/>
    <s v="251BMG0305"/>
    <s v="FIM DO TRECHO SOB ATUAÇÃO DO DNIT"/>
    <s v="ENTR BR-135 (MONTES CLAROS)"/>
    <n v="523"/>
    <n v="529.20000000000005"/>
    <n v="6.2"/>
    <x v="2"/>
    <m/>
    <m/>
    <s v="Federal"/>
    <m/>
    <m/>
    <m/>
    <s v="Federal"/>
    <s v="PAV"/>
    <s v="Montes Claros"/>
  </r>
  <r>
    <x v="0"/>
    <s v="251BMG0310"/>
    <n v="0"/>
    <x v="217"/>
    <s v="0310"/>
    <n v="-43.863247679636601"/>
    <n v="-16.716175170147899"/>
    <n v="-43.883846689772803"/>
    <n v="-16.764067779704199"/>
    <s v="251"/>
    <s v="MG"/>
    <s v="Eixo Principal"/>
    <s v="-"/>
    <s v="251BMG0310"/>
    <s v="ENTR BR-135 (MONTES CLAROS)"/>
    <s v="ENTR BR-365(A)"/>
    <n v="529.20000000000005"/>
    <n v="535.79999999999995"/>
    <n v="6.6"/>
    <x v="2"/>
    <m/>
    <m/>
    <s v="Federal"/>
    <m/>
    <m/>
    <m/>
    <s v="Federal"/>
    <s v="PAV"/>
    <s v="Montes Claros"/>
  </r>
  <r>
    <x v="0"/>
    <s v="251BMG0330"/>
    <n v="0"/>
    <x v="217"/>
    <s v="0330"/>
    <n v="-43.883846689772803"/>
    <n v="-16.764067779704199"/>
    <n v="-43.923591230250999"/>
    <n v="-16.8261165897088"/>
    <s v="251"/>
    <s v="MG"/>
    <s v="Eixo Principal"/>
    <s v="-"/>
    <s v="251BMG0330"/>
    <s v="ENTR BR-365(A)"/>
    <s v="ENTR BR-365(B)"/>
    <n v="535.79999999999995"/>
    <n v="544.1"/>
    <n v="8.3000000000000007"/>
    <x v="2"/>
    <m/>
    <s v="365BMG0010"/>
    <s v="Federal"/>
    <m/>
    <m/>
    <m/>
    <s v="Federal"/>
    <s v="PAV"/>
    <s v="Montes Claros"/>
  </r>
  <r>
    <x v="0"/>
    <s v="251BMG0340"/>
    <n v="0"/>
    <x v="217"/>
    <s v="0340"/>
    <n v="-43.923591230250999"/>
    <n v="-16.8261165897088"/>
    <n v="-44.364084440244604"/>
    <n v="-16.687868880144599"/>
    <s v="251"/>
    <s v="MG"/>
    <s v="Eixo Principal"/>
    <s v="-"/>
    <s v="251BMG0340"/>
    <s v="ENTR BR-365(B)"/>
    <s v="ACESSO CORAÇÃO DE JESUS"/>
    <n v="544.1"/>
    <n v="606.1"/>
    <n v="62"/>
    <x v="1"/>
    <m/>
    <m/>
    <s v="Estadual"/>
    <m/>
    <s v="MG-654"/>
    <s v="PAV"/>
    <s v="Estadual"/>
    <s v="PLA"/>
    <s v="Montes Claros"/>
  </r>
  <r>
    <x v="0"/>
    <s v="251BMG0350"/>
    <n v="0"/>
    <x v="217"/>
    <s v="0350"/>
    <n v="-44.364084440244604"/>
    <n v="-16.687868880144599"/>
    <n v="-44.9148281703837"/>
    <n v="-16.8592045003873"/>
    <s v="251"/>
    <s v="MG"/>
    <s v="Eixo Principal"/>
    <s v="-"/>
    <s v="251BMG0350"/>
    <s v="ACESSO CORAÇÃO DE JESUS"/>
    <s v="IBIAÍ (INÍCIO TRAV RIO S FRANCISCO)"/>
    <n v="606.1"/>
    <n v="670.5"/>
    <n v="64.400000000000006"/>
    <x v="1"/>
    <m/>
    <m/>
    <s v="Estadual"/>
    <m/>
    <s v="MGT-251"/>
    <s v="IMP"/>
    <s v="Estadual"/>
    <s v="PLA"/>
    <s v="Montes Claros"/>
  </r>
  <r>
    <x v="0"/>
    <s v="251BMG0355"/>
    <n v="0"/>
    <x v="217"/>
    <s v="0355"/>
    <n v="-44.9148281703837"/>
    <n v="-16.8592045003873"/>
    <n v="-44.921527080010698"/>
    <n v="-16.8569089296033"/>
    <s v="251"/>
    <s v="MG"/>
    <s v="Eixo Principal"/>
    <s v="-"/>
    <s v="251BMG0355"/>
    <s v="IBIAÍ (INÍCIO TRAV RIO S FRANCISCO)"/>
    <s v="FIM TRAV RIO S FRANCISCO"/>
    <n v="670.5"/>
    <n v="671.2"/>
    <n v="0.7"/>
    <x v="4"/>
    <m/>
    <m/>
    <s v="Federal"/>
    <m/>
    <m/>
    <m/>
    <s v="Federal"/>
    <s v="N_PAV"/>
    <s v="Patos de Minas"/>
  </r>
  <r>
    <x v="0"/>
    <s v="251BMG0360"/>
    <n v="0"/>
    <x v="217"/>
    <s v="0360"/>
    <n v="-44.921527080010698"/>
    <n v="-16.8569089296033"/>
    <n v="-45.121153190067602"/>
    <n v="-16.788501210362501"/>
    <s v="251"/>
    <s v="MG"/>
    <s v="Eixo Principal"/>
    <s v="-"/>
    <s v="251BMG0360"/>
    <s v="FIM TRAV RIO S FRANCISCO"/>
    <s v="ENTR MG-161"/>
    <n v="671.2"/>
    <n v="693.9"/>
    <n v="22.7"/>
    <x v="1"/>
    <m/>
    <m/>
    <s v="Federal"/>
    <m/>
    <m/>
    <m/>
    <s v="Federal"/>
    <s v="PLA"/>
    <s v="Patos de Minas"/>
  </r>
  <r>
    <x v="0"/>
    <s v="251BMG0370"/>
    <n v="0"/>
    <x v="217"/>
    <s v="0370"/>
    <n v="-45.121153190067602"/>
    <n v="-16.788501210362501"/>
    <n v="-45.413947810442998"/>
    <n v="-16.691245109574002"/>
    <s v="251"/>
    <s v="MG"/>
    <s v="Eixo Principal"/>
    <s v="-"/>
    <s v="251BMG0370"/>
    <s v="ENTR MG-161"/>
    <s v="SANTA FÉ DE MINAS"/>
    <n v="693.9"/>
    <n v="723.9"/>
    <n v="30"/>
    <x v="1"/>
    <m/>
    <m/>
    <s v="Federal"/>
    <m/>
    <m/>
    <m/>
    <s v="Federal"/>
    <s v="PLA"/>
    <s v="Patos de Minas"/>
  </r>
  <r>
    <x v="0"/>
    <s v="251BMG0380"/>
    <n v="0"/>
    <x v="217"/>
    <s v="0380"/>
    <n v="-45.413947810442998"/>
    <n v="-16.691245109574002"/>
    <n v="-46.131899760065799"/>
    <n v="-16.7666215998069"/>
    <s v="251"/>
    <s v="MG"/>
    <s v="Eixo Principal"/>
    <s v="-"/>
    <s v="251BMG0380"/>
    <s v="SANTA FÉ DE MINAS"/>
    <s v="ENTR MG-181 (BOQUEIRÃO)"/>
    <n v="723.9"/>
    <n v="795.9"/>
    <n v="72"/>
    <x v="1"/>
    <m/>
    <m/>
    <s v="Federal"/>
    <m/>
    <m/>
    <m/>
    <s v="Federal"/>
    <s v="PLA"/>
    <s v="Patos de Minas"/>
  </r>
  <r>
    <x v="0"/>
    <s v="251BMG0420"/>
    <n v="0"/>
    <x v="217"/>
    <s v="0420"/>
    <n v="-46.131899760065799"/>
    <n v="-16.7666215998069"/>
    <n v="-46.843647310275102"/>
    <n v="-16.5934910496721"/>
    <s v="251"/>
    <s v="MG"/>
    <s v="Eixo Principal"/>
    <s v="-"/>
    <s v="251BMG0420"/>
    <s v="ENTR MG-181 (BOQUEIRÃO)"/>
    <s v="ENTR MG-188(A) (CANGALHA)"/>
    <n v="795.9"/>
    <n v="878.2"/>
    <n v="82.3"/>
    <x v="1"/>
    <m/>
    <m/>
    <s v="Estadual"/>
    <m/>
    <s v="MG-215"/>
    <s v="PAV"/>
    <s v="Estadual"/>
    <s v="PLA"/>
    <s v="Patos de Minas"/>
  </r>
  <r>
    <x v="0"/>
    <s v="251BMG0430"/>
    <n v="0"/>
    <x v="217"/>
    <s v="0430"/>
    <n v="-46.843647310275102"/>
    <n v="-16.5934910496721"/>
    <n v="-46.897302569557802"/>
    <n v="-16.399273719606398"/>
    <s v="251"/>
    <s v="MG"/>
    <s v="Eixo Principal"/>
    <s v="-"/>
    <s v="251BMG0430"/>
    <s v="ENTR MG-188(A) (CANGALHA)"/>
    <s v="INÍCIO PERÍMETRO URBANO DE UNAÍ"/>
    <n v="878.2"/>
    <n v="900.9"/>
    <n v="22.7"/>
    <x v="2"/>
    <m/>
    <m/>
    <s v="Federal"/>
    <m/>
    <m/>
    <m/>
    <s v="Federal"/>
    <s v="PAV"/>
    <s v="Patos de Minas"/>
  </r>
  <r>
    <x v="0"/>
    <s v="251BMG0435"/>
    <n v="0"/>
    <x v="217"/>
    <s v="0435"/>
    <n v="-46.897302569557802"/>
    <n v="-16.399273719606398"/>
    <n v="-46.908303059738301"/>
    <n v="-16.358373720270901"/>
    <s v="251"/>
    <s v="MG"/>
    <s v="Eixo Principal"/>
    <s v="-"/>
    <s v="251BMG0435"/>
    <s v="INÍCIO PERÍMETRO URBANO DE UNAÍ"/>
    <s v="ENTR MG-188(B) (UNAÍ)"/>
    <n v="900.9"/>
    <n v="905.8"/>
    <n v="4.9000000000000004"/>
    <x v="0"/>
    <m/>
    <m/>
    <s v="Federal"/>
    <m/>
    <m/>
    <m/>
    <s v="Federal"/>
    <s v="PAV"/>
    <s v="Patos de Minas"/>
  </r>
  <r>
    <x v="0"/>
    <s v="251BMG0440"/>
    <n v="0"/>
    <x v="217"/>
    <s v="0440"/>
    <n v="-46.908303059738301"/>
    <n v="-16.358373720270901"/>
    <n v="-46.9289546298522"/>
    <n v="-16.338806430372401"/>
    <s v="251"/>
    <s v="MG"/>
    <s v="Eixo Principal"/>
    <s v="-"/>
    <s v="251BMG0440"/>
    <s v="ENTR MG-188(B) (UNAÍ)"/>
    <s v="FINAL DO PERÍMETRO URBANO DE UNAÍ"/>
    <n v="905.8"/>
    <n v="908.8"/>
    <n v="3"/>
    <x v="0"/>
    <m/>
    <m/>
    <s v="Federal"/>
    <m/>
    <m/>
    <m/>
    <s v="Federal"/>
    <s v="PAV"/>
    <s v="Patos de Minas"/>
  </r>
  <r>
    <x v="0"/>
    <s v="251BMG0450"/>
    <n v="0"/>
    <x v="217"/>
    <s v="0450"/>
    <n v="-46.9289546298522"/>
    <n v="-16.338806430372401"/>
    <n v="-47.327431280029401"/>
    <n v="-16.2494509097316"/>
    <s v="251"/>
    <s v="MG"/>
    <s v="Eixo Principal"/>
    <s v="-"/>
    <s v="251BMG0450"/>
    <s v="FINAL DO PERÍMETRO URBANO DE UNAÍ"/>
    <s v="DIV MG/GO"/>
    <n v="908.8"/>
    <n v="970.1"/>
    <n v="61.3"/>
    <x v="2"/>
    <m/>
    <m/>
    <s v="Federal"/>
    <m/>
    <m/>
    <m/>
    <s v="Federal"/>
    <s v="PAV"/>
    <s v="Patos de Minas"/>
  </r>
  <r>
    <x v="0"/>
    <s v="251BMT0950"/>
    <n v="0"/>
    <x v="218"/>
    <s v="0950"/>
    <n v="-51.084768740385002"/>
    <n v="-14.918807420126299"/>
    <n v="-51.264115200356102"/>
    <n v="-14.867996700287399"/>
    <s v="251"/>
    <s v="MT"/>
    <s v="Eixo Principal"/>
    <s v="-"/>
    <s v="251BMT0950"/>
    <s v="RIO ARAGUAIA (ARUANÃ) (DIV GO/MT)"/>
    <s v="ENTR MT-100"/>
    <n v="0"/>
    <n v="20"/>
    <n v="20"/>
    <x v="1"/>
    <m/>
    <m/>
    <s v="Federal"/>
    <m/>
    <m/>
    <m/>
    <s v="Federal"/>
    <s v="PLA"/>
    <s v="Água Boa"/>
  </r>
  <r>
    <x v="0"/>
    <s v="251BMT0952"/>
    <n v="0"/>
    <x v="218"/>
    <s v="0952"/>
    <n v="-51.264115200356102"/>
    <n v="-14.867996700287399"/>
    <n v="-51.901838939615303"/>
    <n v="-14.7582597496876"/>
    <s v="251"/>
    <s v="MT"/>
    <s v="Eixo Principal"/>
    <s v="-"/>
    <s v="251BMT0952"/>
    <s v="ENTR MT-100"/>
    <s v="RIBEIRÃO PINDAÍBA"/>
    <n v="20"/>
    <n v="90"/>
    <n v="70"/>
    <x v="1"/>
    <m/>
    <m/>
    <s v="Federal"/>
    <m/>
    <m/>
    <m/>
    <s v="Federal"/>
    <s v="PLA"/>
    <s v="Água Boa"/>
  </r>
  <r>
    <x v="0"/>
    <s v="251BMT0960"/>
    <n v="0"/>
    <x v="218"/>
    <s v="0960"/>
    <n v="-51.901838939615303"/>
    <n v="-14.7582597496876"/>
    <n v="-52.358968909587396"/>
    <n v="-14.6775010202558"/>
    <s v="251"/>
    <s v="MT"/>
    <s v="Eixo Principal"/>
    <s v="-"/>
    <s v="251BMT0960"/>
    <s v="RIBEIRÃO PINDAÍBA"/>
    <s v="ENTR BR-158(A)/MT-107 (NOVA XAVANTINA)"/>
    <n v="90"/>
    <n v="140"/>
    <n v="50"/>
    <x v="1"/>
    <m/>
    <m/>
    <s v="Federal"/>
    <m/>
    <m/>
    <m/>
    <s v="Federal"/>
    <s v="PLA"/>
    <s v="Água Boa"/>
  </r>
  <r>
    <x v="0"/>
    <s v="251BMT0970"/>
    <n v="0"/>
    <x v="218"/>
    <s v="0970"/>
    <n v="-52.358968909587396"/>
    <n v="-14.6775010202558"/>
    <n v="-52.356802240431001"/>
    <n v="-14.6450777796158"/>
    <s v="251"/>
    <s v="MT"/>
    <s v="Eixo Principal"/>
    <s v="Coinc"/>
    <s v="251BMT0970"/>
    <s v="ENTR BR-158(A)/MT-107 (NOVA XAVANTINA)"/>
    <s v="INÍCIO TRECHO URBANO (NOVA XAVANTINA)"/>
    <n v="140"/>
    <n v="143.69999999999999"/>
    <n v="3.7"/>
    <x v="2"/>
    <m/>
    <s v="158BMT0266"/>
    <s v="Federal"/>
    <m/>
    <m/>
    <m/>
    <s v="Federal"/>
    <s v="PAV"/>
    <s v="Água Boa"/>
  </r>
  <r>
    <x v="0"/>
    <s v="251BMT0975"/>
    <n v="0"/>
    <x v="218"/>
    <s v="0975"/>
    <n v="-52.356802240431001"/>
    <n v="-14.6450777796158"/>
    <n v="-52.35888445965"/>
    <n v="-14.6062345495847"/>
    <s v="251"/>
    <s v="MT"/>
    <s v="Eixo Principal"/>
    <s v="Coinc"/>
    <s v="251BMT0975"/>
    <s v="INÍCIO TRECHO URBANO (NOVA XAVANTINA)"/>
    <s v="ENTR BR-158(B)/MT-251(A)"/>
    <n v="143.69999999999999"/>
    <n v="148"/>
    <n v="4.3"/>
    <x v="2"/>
    <m/>
    <s v="158BMT0265"/>
    <s v="Federal"/>
    <m/>
    <m/>
    <m/>
    <s v="Federal"/>
    <s v="PAV"/>
    <s v="Água Boa"/>
  </r>
  <r>
    <x v="0"/>
    <s v="251BMT0980"/>
    <n v="0"/>
    <x v="218"/>
    <s v="0980"/>
    <n v="-52.35888445965"/>
    <n v="-14.6062345495847"/>
    <n v="-52.790012899675503"/>
    <n v="-14.6259637003644"/>
    <s v="251"/>
    <s v="MT"/>
    <s v="Eixo Principal"/>
    <s v="-"/>
    <s v="251BMT0980"/>
    <s v="ENTR BR-158(B)/MT-251(A)"/>
    <s v="ENTR BR-251(B)/MT-110"/>
    <n v="148"/>
    <n v="204.4"/>
    <n v="56.4"/>
    <x v="1"/>
    <m/>
    <m/>
    <s v="Estadual"/>
    <m/>
    <s v="MTT-251"/>
    <s v="LEN"/>
    <s v="Estadual"/>
    <s v="PLA"/>
    <s v="Cuiabá"/>
  </r>
  <r>
    <x v="0"/>
    <s v="251BMT0985"/>
    <n v="0"/>
    <x v="218"/>
    <s v="0985"/>
    <n v="-52.790012899675503"/>
    <n v="-14.6259637003644"/>
    <n v="-53.754600469735799"/>
    <n v="-14.6835221998895"/>
    <s v="251"/>
    <s v="MT"/>
    <s v="Eixo Principal"/>
    <s v="-"/>
    <s v="251BMT0985"/>
    <s v="ENTR BR-251(B)/MT-110"/>
    <s v="CÓRREGO MIMOSO"/>
    <n v="204.4"/>
    <n v="308.39999999999998"/>
    <n v="104"/>
    <x v="1"/>
    <m/>
    <m/>
    <s v="Federal"/>
    <m/>
    <m/>
    <m/>
    <s v="Federal"/>
    <s v="PLA"/>
    <s v="Cuiabá"/>
  </r>
  <r>
    <x v="0"/>
    <s v="251BMT0990"/>
    <n v="0"/>
    <x v="218"/>
    <s v="0990"/>
    <n v="-53.754600469735799"/>
    <n v="-14.6835221998895"/>
    <n v="-54.100918009658301"/>
    <n v="-14.7874782400286"/>
    <s v="251"/>
    <s v="MT"/>
    <s v="Eixo Principal"/>
    <s v="-"/>
    <s v="251BMT0990"/>
    <s v="CÓRREGO MIMOSO"/>
    <s v="ENTR MT-130"/>
    <n v="308.39999999999998"/>
    <n v="358.4"/>
    <n v="50"/>
    <x v="1"/>
    <m/>
    <m/>
    <s v="Federal"/>
    <m/>
    <m/>
    <m/>
    <s v="Federal"/>
    <s v="PLA"/>
    <s v="Cuiabá"/>
  </r>
  <r>
    <x v="0"/>
    <s v="251BMT1000"/>
    <n v="0"/>
    <x v="218"/>
    <s v="1000"/>
    <n v="-54.100918009658301"/>
    <n v="-14.7874782400286"/>
    <n v="-54.524911500165501"/>
    <n v="-14.8732168699625"/>
    <s v="251"/>
    <s v="MT"/>
    <s v="Eixo Principal"/>
    <s v="-"/>
    <s v="251BMT1000"/>
    <s v="ENTR MT-130"/>
    <s v="ENTR MT-338"/>
    <n v="358.4"/>
    <n v="421.5"/>
    <n v="63.1"/>
    <x v="1"/>
    <m/>
    <m/>
    <s v="Estadual"/>
    <m/>
    <s v="MTT-251"/>
    <s v="LEN"/>
    <s v="Estadual"/>
    <s v="PLA"/>
    <s v="Cuiabá"/>
  </r>
  <r>
    <x v="0"/>
    <s v="251BMT1002"/>
    <n v="0"/>
    <x v="218"/>
    <s v="1002"/>
    <n v="-54.524911500165501"/>
    <n v="-14.8732168699625"/>
    <n v="-54.7079470870883"/>
    <n v="-14.9570726837573"/>
    <s v="251"/>
    <s v="MT"/>
    <s v="Eixo Principal"/>
    <s v="-"/>
    <s v="251BMT1002"/>
    <s v="ENTR MT-338"/>
    <s v="BAR RANCHARIA"/>
    <n v="421.5"/>
    <n v="436.4"/>
    <n v="14.9"/>
    <x v="1"/>
    <m/>
    <m/>
    <s v="Estadual"/>
    <m/>
    <s v="MTT-251"/>
    <s v="LEN"/>
    <s v="Estadual"/>
    <s v="PLA"/>
    <s v="Cuiabá"/>
  </r>
  <r>
    <x v="0"/>
    <s v="251BMT1004"/>
    <n v="0"/>
    <x v="218"/>
    <s v="1004"/>
    <n v="-54.7079470870883"/>
    <n v="-14.9570726837573"/>
    <n v="-54.9345823401028"/>
    <n v="-15.109690400391599"/>
    <s v="251"/>
    <s v="MT"/>
    <s v="Eixo Principal"/>
    <s v="-"/>
    <s v="251BMT1004"/>
    <s v="BAR RANCHARIA"/>
    <s v="ENTR MT-244"/>
    <n v="436.4"/>
    <n v="456.9"/>
    <n v="20.5"/>
    <x v="1"/>
    <m/>
    <m/>
    <s v="Estadual"/>
    <m/>
    <s v="MTT-251"/>
    <s v="LEN"/>
    <s v="Estadual"/>
    <s v="PLA"/>
    <s v="Cuiabá"/>
  </r>
  <r>
    <x v="0"/>
    <s v="251BMT1010"/>
    <n v="0"/>
    <x v="218"/>
    <s v="1010"/>
    <n v="-54.9345823401028"/>
    <n v="-15.109690400391599"/>
    <n v="-55.148314329942302"/>
    <n v="-15.276239020214501"/>
    <s v="251"/>
    <s v="MT"/>
    <s v="Eixo Principal"/>
    <s v="-"/>
    <s v="251BMT1010"/>
    <s v="ENTR MT-244"/>
    <s v="ENTR MT-140(A)"/>
    <n v="456.9"/>
    <n v="503.7"/>
    <n v="46.8"/>
    <x v="1"/>
    <m/>
    <m/>
    <s v="Estadual"/>
    <m/>
    <s v="MTT-251"/>
    <s v="LEN"/>
    <s v="Estadual"/>
    <s v="PLA"/>
    <s v="Cuiabá"/>
  </r>
  <r>
    <x v="0"/>
    <s v="251BMT1012"/>
    <n v="0"/>
    <x v="218"/>
    <s v="1012"/>
    <n v="-55.148314329942302"/>
    <n v="-15.276239020214501"/>
    <n v="-55.1965373297339"/>
    <n v="-15.373814560193701"/>
    <s v="251"/>
    <s v="MT"/>
    <s v="Eixo Principal"/>
    <s v="-"/>
    <s v="251BMT1012"/>
    <s v="ENTR MT-140(A)"/>
    <s v="ENTR MT-404"/>
    <n v="503.7"/>
    <n v="517.79999999999995"/>
    <n v="14.1"/>
    <x v="1"/>
    <m/>
    <m/>
    <s v="Estadual"/>
    <m/>
    <s v="MT-140"/>
    <s v="PAV"/>
    <s v="Estadual"/>
    <s v="PLA"/>
    <s v="Cuiabá"/>
  </r>
  <r>
    <x v="0"/>
    <s v="251BMT1030"/>
    <n v="0"/>
    <x v="218"/>
    <s v="1030"/>
    <n v="-55.1965373297339"/>
    <n v="-15.373814560193701"/>
    <n v="-55.270154850365898"/>
    <n v="-15.4909812697697"/>
    <s v="251"/>
    <s v="MT"/>
    <s v="Eixo Principal"/>
    <s v="-"/>
    <s v="251BMT1030"/>
    <s v="ENTR MT-404"/>
    <s v="ENTR MT-140(B)"/>
    <n v="517.79999999999995"/>
    <n v="530.79999999999995"/>
    <n v="13"/>
    <x v="1"/>
    <m/>
    <m/>
    <s v="Estadual"/>
    <m/>
    <s v="MT-140"/>
    <s v="PAV"/>
    <s v="Estadual"/>
    <s v="PLA"/>
    <s v="Cuiabá"/>
  </r>
  <r>
    <x v="0"/>
    <s v="251BMT1032"/>
    <n v="0"/>
    <x v="218"/>
    <s v="1032"/>
    <n v="-55.270154850365898"/>
    <n v="-15.4909812697697"/>
    <n v="-55.345126550349903"/>
    <n v="-15.4855274499318"/>
    <s v="251"/>
    <s v="MT"/>
    <s v="Eixo Principal"/>
    <s v="-"/>
    <s v="251BMT1032"/>
    <s v="ENTR MT-140(B)"/>
    <s v="ENTR MT-403"/>
    <n v="530.79999999999995"/>
    <n v="543.79999999999995"/>
    <n v="13"/>
    <x v="1"/>
    <m/>
    <m/>
    <s v="Estadual"/>
    <m/>
    <s v="MTT-251"/>
    <s v="PAV"/>
    <s v="Estadual"/>
    <s v="PLA"/>
    <s v="Cuiabá"/>
  </r>
  <r>
    <x v="0"/>
    <s v="251BMT1034"/>
    <n v="0"/>
    <x v="218"/>
    <s v="1034"/>
    <n v="-55.345126550349903"/>
    <n v="-15.4855274499318"/>
    <n v="-55.572506260355503"/>
    <n v="-15.479106640359101"/>
    <s v="251"/>
    <s v="MT"/>
    <s v="Eixo Principal"/>
    <s v="-"/>
    <s v="251BMT1034"/>
    <s v="ENTR MT-403"/>
    <s v="ENTR MT-404"/>
    <n v="543.79999999999995"/>
    <n v="568.79999999999995"/>
    <n v="25"/>
    <x v="1"/>
    <m/>
    <m/>
    <s v="Estadual"/>
    <m/>
    <s v="MTT-251"/>
    <s v="PAV"/>
    <s v="Estadual"/>
    <s v="PLA"/>
    <s v="Cuiabá"/>
  </r>
  <r>
    <x v="0"/>
    <s v="251BMT1036"/>
    <n v="0"/>
    <x v="218"/>
    <s v="1036"/>
    <n v="-55.572506260355503"/>
    <n v="-15.479106640359101"/>
    <n v="-55.750058140270902"/>
    <n v="-15.469078929748701"/>
    <s v="251"/>
    <s v="MT"/>
    <s v="Eixo Principal"/>
    <s v="-"/>
    <s v="251BMT1036"/>
    <s v="ENTR MT-404"/>
    <s v="AV. RIO DA CASCA (INÍCIO DUPLICAÇÃO)"/>
    <n v="568.79999999999995"/>
    <n v="588.79999999999995"/>
    <n v="20"/>
    <x v="1"/>
    <m/>
    <m/>
    <s v="Estadual"/>
    <m/>
    <s v="MTT-251"/>
    <s v="PAV"/>
    <s v="Estadual"/>
    <s v="PLA"/>
    <s v="Cuiabá"/>
  </r>
  <r>
    <x v="0"/>
    <s v="251BMT1045"/>
    <n v="0"/>
    <x v="218"/>
    <s v="1045"/>
    <n v="-55.750058140270902"/>
    <n v="-15.469078929748701"/>
    <n v="-55.752761510435299"/>
    <n v="-15.4583745098756"/>
    <s v="251"/>
    <s v="MT"/>
    <s v="Eixo Principal"/>
    <s v="-"/>
    <s v="251BMT1045"/>
    <s v="AV. RIO DA CASCA (INÍCIO DUPLICAÇÃO)"/>
    <s v="CHAPADA DOS GUIMARÃES"/>
    <n v="588.79999999999995"/>
    <n v="590.79999999999995"/>
    <n v="2"/>
    <x v="1"/>
    <m/>
    <m/>
    <s v="Estadual"/>
    <m/>
    <s v="MTT-251"/>
    <s v="DUP"/>
    <s v="Estadual"/>
    <s v="PLA"/>
    <s v="Cuiabá"/>
  </r>
  <r>
    <x v="0"/>
    <s v="251BMT1050"/>
    <n v="0"/>
    <x v="218"/>
    <s v="1050"/>
    <n v="-55.752761510435299"/>
    <n v="-15.4583745098756"/>
    <n v="-55.779520999794201"/>
    <n v="-15.4353201697899"/>
    <s v="251"/>
    <s v="MT"/>
    <s v="Eixo Principal"/>
    <s v="-"/>
    <s v="251BMT1050"/>
    <s v="CHAPADA DOS GUIMARÃES"/>
    <s v="ENTR MT-020(A) (BURITI)"/>
    <n v="590.79999999999995"/>
    <n v="599.6"/>
    <n v="8.8000000000000007"/>
    <x v="1"/>
    <m/>
    <m/>
    <s v="Estadual"/>
    <m/>
    <s v="MTT-251"/>
    <s v="PAV"/>
    <s v="Estadual"/>
    <s v="PLA"/>
    <s v="Cuiabá"/>
  </r>
  <r>
    <x v="0"/>
    <s v="251BMT1052"/>
    <n v="0"/>
    <x v="218"/>
    <s v="1052"/>
    <n v="-55.779520999794201"/>
    <n v="-15.4353201697899"/>
    <n v="-56.020321139808601"/>
    <n v="-15.429857589655899"/>
    <s v="251"/>
    <s v="MT"/>
    <s v="Eixo Principal"/>
    <s v="-"/>
    <s v="251BMT1052"/>
    <s v="ENTR MT-020(A) (BURITI)"/>
    <s v="ENTR MT-351(A)"/>
    <n v="599.6"/>
    <n v="634.6"/>
    <n v="35"/>
    <x v="1"/>
    <m/>
    <m/>
    <s v="Estadual"/>
    <m/>
    <s v="MT-020"/>
    <s v="PAV"/>
    <s v="Estadual"/>
    <s v="PLA"/>
    <s v="Cuiabá"/>
  </r>
  <r>
    <x v="0"/>
    <s v="251BMT1060"/>
    <n v="0"/>
    <x v="218"/>
    <s v="1060"/>
    <n v="-56.020321139808601"/>
    <n v="-15.429857589655899"/>
    <n v="-56.056804816788798"/>
    <n v="-15.4704844999596"/>
    <s v="251"/>
    <s v="MT"/>
    <s v="Eixo Principal"/>
    <s v="-"/>
    <s v="251BMT1060"/>
    <s v="ENTR MT-351(A)"/>
    <s v="INÍCIO DA DUPLICAÇÃO"/>
    <n v="634.6"/>
    <n v="641.4"/>
    <n v="6.8"/>
    <x v="1"/>
    <m/>
    <m/>
    <s v="Estadual"/>
    <m/>
    <s v="MT-020"/>
    <s v="EOD"/>
    <s v="Estadual"/>
    <s v="PLA"/>
    <s v="Cuiabá"/>
  </r>
  <r>
    <x v="0"/>
    <s v="251BMT1065"/>
    <n v="0"/>
    <x v="218"/>
    <s v="1065"/>
    <n v="-56.056804816788798"/>
    <n v="-15.4704844999596"/>
    <n v="-56.088918089897902"/>
    <n v="-15.562347260317701"/>
    <s v="251"/>
    <s v="MT"/>
    <s v="Eixo Principal"/>
    <s v="-"/>
    <s v="251BMT1065"/>
    <s v="INÍCIO DA DUPLICAÇÃO"/>
    <s v="ENTR MT-010"/>
    <n v="641.4"/>
    <n v="653.6"/>
    <n v="12.2"/>
    <x v="1"/>
    <m/>
    <m/>
    <s v="Estadual"/>
    <m/>
    <s v="MT-020"/>
    <s v="DUP"/>
    <s v="Estadual"/>
    <s v="PLA"/>
    <s v="Cuiabá"/>
  </r>
  <r>
    <x v="0"/>
    <s v="251BMT1070"/>
    <n v="0"/>
    <x v="218"/>
    <s v="1070"/>
    <n v="-56.088918089897902"/>
    <n v="-15.562347260317701"/>
    <n v="-56.0908383699947"/>
    <n v="-15.582323569976699"/>
    <s v="251"/>
    <s v="MT"/>
    <s v="Eixo Principal"/>
    <s v="-"/>
    <s v="251BMT1070"/>
    <s v="ENTR MT-010"/>
    <s v="ENTR BR-163/364/MT-351/MT-364 (CUIABÁ)"/>
    <n v="653.6"/>
    <n v="656.3"/>
    <n v="2.7"/>
    <x v="1"/>
    <m/>
    <m/>
    <s v="Estadual"/>
    <m/>
    <s v="MT-020"/>
    <s v="DUP"/>
    <s v="Estadual"/>
    <s v="PLA"/>
    <s v="Cuiabá"/>
  </r>
  <r>
    <x v="0"/>
    <s v="251NMG1005"/>
    <n v="0"/>
    <x v="219"/>
    <s v="1005"/>
    <n v="-43.799485070279701"/>
    <n v="-16.676575889965299"/>
    <n v="-43.841509939831802"/>
    <n v="-16.768631050382599"/>
    <s v="251"/>
    <s v="MG"/>
    <s v="Anel"/>
    <s v="Coinc"/>
    <s v="251NMG1005"/>
    <s v="ENTR BR-251"/>
    <s v="ENTR BR-135 (CONTORNO LESTE DE MONTES CLAROS)"/>
    <n v="0"/>
    <n v="22"/>
    <n v="22"/>
    <x v="1"/>
    <m/>
    <s v="135CMG6010"/>
    <s v="Estadual"/>
    <m/>
    <s v="MG653"/>
    <s v="PAV"/>
    <s v="Estadual"/>
    <s v="PLA"/>
    <s v="Montes Claros"/>
  </r>
  <r>
    <x v="0"/>
    <s v="251NMG1010"/>
    <n v="0"/>
    <x v="219"/>
    <s v="1010"/>
    <n v="-43.841509939831802"/>
    <n v="-16.768631050382599"/>
    <n v="-43.883846689772803"/>
    <n v="-16.764067779704199"/>
    <s v="251"/>
    <s v="MG"/>
    <s v="Anel"/>
    <s v="-"/>
    <s v="251NMG1010"/>
    <s v="ENTR BR-135 (CONTORNO LESTE DE MONTES CLAROS)"/>
    <s v="ENTR BR-251/365 (CONTORNO SUL DE MONTES CLAROS)"/>
    <n v="22"/>
    <n v="27"/>
    <n v="5"/>
    <x v="1"/>
    <m/>
    <m/>
    <s v="Federal"/>
    <m/>
    <m/>
    <m/>
    <s v="Federal"/>
    <s v="PLA"/>
    <s v="Montes Claros"/>
  </r>
  <r>
    <x v="0"/>
    <s v="251NMG1015"/>
    <n v="0"/>
    <x v="219"/>
    <s v="1015"/>
    <n v="-43.883846689772803"/>
    <n v="-16.764067779704199"/>
    <n v="-43.878533419581601"/>
    <n v="-16.679744379599398"/>
    <s v="251"/>
    <s v="MG"/>
    <s v="Anel"/>
    <s v="-"/>
    <s v="251NMG1015"/>
    <s v="ENTR BR-251/365 (CONTORNO SUL DE MONTES CLAROS)"/>
    <s v="ENTR BR-135 (CONTORNO OESTE DE MONTES CLAROS)"/>
    <n v="27"/>
    <n v="37"/>
    <n v="10"/>
    <x v="1"/>
    <m/>
    <m/>
    <s v="Federal"/>
    <m/>
    <m/>
    <m/>
    <s v="Federal"/>
    <s v="PLA"/>
    <s v="Montes Claros"/>
  </r>
  <r>
    <x v="0"/>
    <s v="251NMG1020"/>
    <n v="0"/>
    <x v="219"/>
    <s v="1020"/>
    <n v="-43.878533419581601"/>
    <n v="-16.679744379599398"/>
    <n v="-43.799485070279701"/>
    <n v="-16.676575889965299"/>
    <s v="251"/>
    <s v="MG"/>
    <s v="Anel"/>
    <s v="Coinc"/>
    <s v="251NMG1020"/>
    <s v="ENTR BR-135 (CONTORNO OESTE DE MONTES CLAROS)"/>
    <s v="ENTR BR-251 (CONTORNO NORTE DE MONTES CLAROS)"/>
    <n v="37"/>
    <n v="45.6"/>
    <n v="8.6"/>
    <x v="1"/>
    <m/>
    <s v="135CMG6005"/>
    <s v="Federal"/>
    <m/>
    <m/>
    <m/>
    <s v="Federal"/>
    <s v="PLA"/>
    <s v="Montes Claros"/>
  </r>
  <r>
    <x v="0"/>
    <s v="259AES1005"/>
    <n v="0"/>
    <x v="220"/>
    <s v="1005"/>
    <n v="-40.613352680181997"/>
    <n v="-19.504224680024802"/>
    <n v="-40.631348279799198"/>
    <n v="-19.526845779808799"/>
    <s v="259"/>
    <s v="ES"/>
    <s v="Acesso"/>
    <s v="-"/>
    <s v="259AES1005"/>
    <s v="ENTR BR-484"/>
    <s v="ENTR ES-080 (TRAVESSIA DE COLATINA)  *TRECHO URBANO*"/>
    <n v="0"/>
    <n v="3.7"/>
    <n v="3.7"/>
    <x v="1"/>
    <m/>
    <m/>
    <s v="Estadual"/>
    <m/>
    <s v="ES-248"/>
    <s v="PAV"/>
    <s v="Estadual"/>
    <s v="PLA"/>
    <s v="Colatina"/>
  </r>
  <r>
    <x v="0"/>
    <s v="259AMG1005"/>
    <n v="0"/>
    <x v="221"/>
    <s v="1005"/>
    <n v="-41.868950159721997"/>
    <n v="-18.842496359919"/>
    <n v="-41.9350854801107"/>
    <n v="-18.8457874199534"/>
    <s v="259"/>
    <s v="MG"/>
    <s v="Acesso"/>
    <s v="-"/>
    <s v="259AMG1005"/>
    <s v="ENTR BR-259"/>
    <s v="GOV. VALADARES (ACESSO)"/>
    <n v="0"/>
    <n v="7.7"/>
    <n v="7.7"/>
    <x v="2"/>
    <m/>
    <m/>
    <s v="Convênio de Administração"/>
    <m/>
    <m/>
    <m/>
    <s v="Federal"/>
    <s v="PAV"/>
    <s v="Governador Valadares"/>
  </r>
  <r>
    <x v="0"/>
    <s v="259BES0010"/>
    <n v="0"/>
    <x v="222"/>
    <s v="0010"/>
    <n v="-40.376911000142499"/>
    <n v="-19.7466483103711"/>
    <n v="-40.601230540257099"/>
    <n v="-19.518301769810702"/>
    <s v="259"/>
    <s v="ES"/>
    <s v="Eixo Principal"/>
    <s v="-"/>
    <s v="259BES0010"/>
    <s v="ENTR BR-101 (JOÃO NEIVA)"/>
    <s v="ENTR BR-484 (P/PONTE SOBRE RIO DOCE)"/>
    <n v="0"/>
    <n v="49.1"/>
    <n v="49.1"/>
    <x v="2"/>
    <m/>
    <m/>
    <s v="Federal"/>
    <m/>
    <m/>
    <m/>
    <s v="Federal"/>
    <s v="PAV"/>
    <s v="Colatina"/>
  </r>
  <r>
    <x v="0"/>
    <s v="259BES0030"/>
    <n v="0"/>
    <x v="222"/>
    <s v="0030"/>
    <n v="-40.601230540257099"/>
    <n v="-19.518301769810702"/>
    <n v="-40.605121639651799"/>
    <n v="-19.511594900284301"/>
    <s v="259"/>
    <s v="ES"/>
    <s v="Eixo Principal"/>
    <s v="-"/>
    <s v="259BES0030"/>
    <s v="ENTR BR-484 (P/PONTE SOBRE RIO DOCE)"/>
    <s v="ENTR ES-248 (P/MARILÂNDIA)"/>
    <n v="49.1"/>
    <n v="49.8"/>
    <n v="0.7"/>
    <x v="2"/>
    <m/>
    <m/>
    <s v="Federal"/>
    <m/>
    <m/>
    <m/>
    <s v="Federal"/>
    <s v="PAV"/>
    <s v="Colatina"/>
  </r>
  <r>
    <x v="0"/>
    <s v="259BES0060"/>
    <n v="0"/>
    <x v="222"/>
    <s v="0060"/>
    <n v="-40.605121639651799"/>
    <n v="-19.511594900284301"/>
    <n v="-40.629913919591601"/>
    <n v="-19.499139469810601"/>
    <s v="259"/>
    <s v="ES"/>
    <s v="Eixo Principal"/>
    <s v="-"/>
    <s v="259BES0060"/>
    <s v="ENTR ES-248 (P/MARILÂNDIA)"/>
    <s v="ENTR ES-080 (A) (P/NOVA VENÉCIA)"/>
    <n v="49.8"/>
    <n v="53.1"/>
    <n v="3.3"/>
    <x v="2"/>
    <m/>
    <m/>
    <s v="Federal"/>
    <m/>
    <m/>
    <m/>
    <s v="Federal"/>
    <s v="PAV"/>
    <s v="Colatina"/>
  </r>
  <r>
    <x v="0"/>
    <s v="259BES0070"/>
    <n v="0"/>
    <x v="222"/>
    <s v="0070"/>
    <n v="-40.629913919591601"/>
    <n v="-19.499139469810601"/>
    <n v="-40.6580521397943"/>
    <n v="-19.513560659996401"/>
    <s v="259"/>
    <s v="ES"/>
    <s v="Eixo Principal"/>
    <s v="-"/>
    <s v="259BES0070"/>
    <s v="ENTR ES-080 (A) (P/NOVA VENÉCIA)"/>
    <s v="ENTR ES-080 (B) (P/COLATINA)"/>
    <n v="53.1"/>
    <n v="57.7"/>
    <n v="4.5999999999999996"/>
    <x v="2"/>
    <m/>
    <m/>
    <s v="Federal"/>
    <m/>
    <m/>
    <m/>
    <s v="Federal"/>
    <s v="PAV"/>
    <s v="Colatina"/>
  </r>
  <r>
    <x v="0"/>
    <s v="259BES0075"/>
    <n v="0"/>
    <x v="222"/>
    <s v="0075"/>
    <n v="-40.6580521397943"/>
    <n v="-19.513560659996401"/>
    <n v="-40.860878609659999"/>
    <n v="-19.511851090155599"/>
    <s v="259"/>
    <s v="ES"/>
    <s v="Eixo Principal"/>
    <s v="-"/>
    <s v="259BES0075"/>
    <s v="ENTR ES-080 (B) (P/COLATINA)"/>
    <s v="ENTR ES-164 (P/PANCAS)"/>
    <n v="57.7"/>
    <n v="83.1"/>
    <n v="25.4"/>
    <x v="2"/>
    <m/>
    <m/>
    <s v="Federal"/>
    <m/>
    <m/>
    <m/>
    <s v="Federal"/>
    <s v="PAV"/>
    <s v="Colatina"/>
  </r>
  <r>
    <x v="0"/>
    <s v="259BES0080"/>
    <n v="0"/>
    <x v="222"/>
    <s v="0080"/>
    <n v="-40.860878609659999"/>
    <n v="-19.511851090155599"/>
    <n v="-41.003192950094501"/>
    <n v="-19.520630180238498"/>
    <s v="259"/>
    <s v="ES"/>
    <s v="Eixo Principal"/>
    <s v="-"/>
    <s v="259BES0080"/>
    <s v="ENTR ES-164 (P/PANCAS)"/>
    <s v="ENTR ES-446 (P/ITAGUAÇÚ)"/>
    <n v="83.1"/>
    <n v="101.1"/>
    <n v="18"/>
    <x v="2"/>
    <m/>
    <m/>
    <s v="Federal"/>
    <m/>
    <m/>
    <m/>
    <s v="Federal"/>
    <s v="PAV"/>
    <s v="Colatina"/>
  </r>
  <r>
    <x v="0"/>
    <s v="259BES0085"/>
    <n v="0"/>
    <x v="222"/>
    <s v="0085"/>
    <n v="-41.003192950094501"/>
    <n v="-19.520630180238498"/>
    <n v="-41.014840630190797"/>
    <n v="-19.521291299753599"/>
    <s v="259"/>
    <s v="ES"/>
    <s v="Eixo Principal"/>
    <s v="-"/>
    <s v="259BES0085"/>
    <s v="ENTR ES-446 (P/ITAGUAÇÚ)"/>
    <s v="ENTR ES-165 (P/AFONSO CLÁUDIO)"/>
    <n v="101.1"/>
    <n v="102.3"/>
    <n v="1.2"/>
    <x v="2"/>
    <m/>
    <m/>
    <s v="Federal"/>
    <m/>
    <m/>
    <m/>
    <s v="Federal"/>
    <s v="PAV"/>
    <s v="Colatina"/>
  </r>
  <r>
    <x v="0"/>
    <s v="259BES0095"/>
    <n v="0"/>
    <x v="222"/>
    <s v="0095"/>
    <n v="-41.014840630190797"/>
    <n v="-19.521291299753599"/>
    <n v="-41.041867899883599"/>
    <n v="-19.499765499578"/>
    <s v="259"/>
    <s v="ES"/>
    <s v="Eixo Principal"/>
    <s v="-"/>
    <s v="259BES0095"/>
    <s v="ENTR ES-165 (P/AFONSO CLÁUDIO)"/>
    <s v="DIV ES/MG"/>
    <n v="102.3"/>
    <n v="106.3"/>
    <n v="4"/>
    <x v="2"/>
    <m/>
    <m/>
    <s v="Federal"/>
    <m/>
    <m/>
    <m/>
    <s v="Federal"/>
    <s v="PAV"/>
    <s v="Colatina"/>
  </r>
  <r>
    <x v="0"/>
    <s v="259BMG0100"/>
    <n v="0"/>
    <x v="223"/>
    <s v="0100"/>
    <n v="-41.041867899883599"/>
    <n v="-19.499765499578"/>
    <n v="-41.0948609002103"/>
    <n v="-19.486486669624"/>
    <s v="259"/>
    <s v="MG"/>
    <s v="Eixo Principal"/>
    <s v="-"/>
    <s v="259BMG0100"/>
    <s v="DIV ES/MG"/>
    <s v="ENTR BR-474 (AIMORÉS)"/>
    <n v="0"/>
    <n v="6.2"/>
    <n v="6.2"/>
    <x v="2"/>
    <m/>
    <m/>
    <s v="Federal"/>
    <m/>
    <m/>
    <m/>
    <s v="Federal"/>
    <s v="PAV"/>
    <s v="Governador Valadares"/>
  </r>
  <r>
    <x v="0"/>
    <s v="259BMG0110"/>
    <n v="0"/>
    <x v="223"/>
    <s v="0110"/>
    <n v="-41.0948609002103"/>
    <n v="-19.486486669624"/>
    <n v="-41.214934750138497"/>
    <n v="-19.286780060351401"/>
    <s v="259"/>
    <s v="MG"/>
    <s v="Eixo Principal"/>
    <s v="-"/>
    <s v="259BMG0110"/>
    <s v="ENTR BR-474 (AIMORÉS)"/>
    <s v="ENTR MG-422 (P/ CALIXTO)"/>
    <n v="6.2"/>
    <n v="43.1"/>
    <n v="36.9"/>
    <x v="2"/>
    <m/>
    <m/>
    <s v="Federal"/>
    <m/>
    <m/>
    <m/>
    <s v="Federal"/>
    <s v="PAV"/>
    <s v="Governador Valadares"/>
  </r>
  <r>
    <x v="0"/>
    <s v="259BMG0130"/>
    <n v="0"/>
    <x v="223"/>
    <s v="0130"/>
    <n v="-41.214934750138497"/>
    <n v="-19.286780060351401"/>
    <n v="-41.4704439002657"/>
    <n v="-19.138671420349699"/>
    <s v="259"/>
    <s v="MG"/>
    <s v="Eixo Principal"/>
    <s v="-"/>
    <s v="259BMG0130"/>
    <s v="ENTR MG-422 (P/ CALIXTO)"/>
    <s v="ENTR BR-458 (P/ CONSELHEIRO PENA)"/>
    <n v="43.1"/>
    <n v="85"/>
    <n v="41.9"/>
    <x v="2"/>
    <m/>
    <m/>
    <s v="Federal"/>
    <m/>
    <m/>
    <m/>
    <s v="Federal"/>
    <s v="PAV"/>
    <s v="Governador Valadares"/>
  </r>
  <r>
    <x v="0"/>
    <s v="259BMG0150"/>
    <n v="0"/>
    <x v="223"/>
    <s v="0150"/>
    <n v="-41.4704439002657"/>
    <n v="-19.138671420349699"/>
    <n v="-41.685446749967397"/>
    <n v="-18.8239121899955"/>
    <s v="259"/>
    <s v="MG"/>
    <s v="Eixo Principal"/>
    <s v="-"/>
    <s v="259BMG0150"/>
    <s v="ENTR BR-458 (P/ CONSELHEIRO PENA)"/>
    <s v="ENTR BR-381(A) (SÃO VÍTOR)"/>
    <n v="85"/>
    <n v="132.6"/>
    <n v="47.6"/>
    <x v="2"/>
    <m/>
    <m/>
    <s v="Federal"/>
    <m/>
    <m/>
    <m/>
    <s v="Federal"/>
    <s v="PAV"/>
    <s v="Governador Valadares"/>
  </r>
  <r>
    <x v="0"/>
    <s v="259BMG0160"/>
    <n v="0"/>
    <x v="223"/>
    <s v="0160"/>
    <n v="-41.685446749967397"/>
    <n v="-18.8239121899955"/>
    <n v="-41.868950159721997"/>
    <n v="-18.842496359919"/>
    <s v="259"/>
    <s v="MG"/>
    <s v="Eixo Principal"/>
    <s v="-"/>
    <s v="259BMG0160"/>
    <s v="ENTR BR-381(A) (SÃO VÍTOR)"/>
    <s v="ACESSO A GOV. VALADARES"/>
    <n v="132.6"/>
    <n v="156.6"/>
    <n v="24"/>
    <x v="2"/>
    <m/>
    <s v="381BMG0140"/>
    <s v="Federal"/>
    <m/>
    <m/>
    <m/>
    <s v="Federal"/>
    <s v="PAV"/>
    <s v="Governador Valadares"/>
  </r>
  <r>
    <x v="0"/>
    <s v="259BMG0170"/>
    <n v="0"/>
    <x v="223"/>
    <s v="0170"/>
    <n v="-41.868950159721997"/>
    <n v="-18.842496359919"/>
    <n v="-41.963312869893002"/>
    <n v="-18.836188380189501"/>
    <s v="259"/>
    <s v="MG"/>
    <s v="Eixo Principal"/>
    <s v="-"/>
    <s v="259BMG0170"/>
    <s v="ACESSO A GOV. VALADARES"/>
    <s v="ENTR BR-381(B) (ENTR AV MINAS GERAIS - GOV VALADARES)"/>
    <n v="156.6"/>
    <n v="168.7"/>
    <n v="12.1"/>
    <x v="2"/>
    <m/>
    <s v="381BMG0150"/>
    <s v="Federal"/>
    <m/>
    <m/>
    <m/>
    <s v="Federal"/>
    <s v="PAV"/>
    <s v="Governador Valadares"/>
  </r>
  <r>
    <x v="0"/>
    <s v="259BMG0180"/>
    <n v="0"/>
    <x v="223"/>
    <s v="0180"/>
    <n v="-41.963312869893002"/>
    <n v="-18.836188380189501"/>
    <n v="-41.9859542700734"/>
    <n v="-18.822432039906602"/>
    <s v="259"/>
    <s v="MG"/>
    <s v="Eixo Principal"/>
    <s v="-"/>
    <s v="259BMG0180"/>
    <s v="ENTR BR-381(B) (ENTR AV MINAS GERAIS - GOV VALADARES)"/>
    <s v="ENTR BR-116/451"/>
    <n v="168.7"/>
    <n v="171.9"/>
    <n v="3.2"/>
    <x v="3"/>
    <m/>
    <m/>
    <s v="Federal"/>
    <m/>
    <m/>
    <m/>
    <s v="Federal"/>
    <s v="N_PAV"/>
    <s v="Governador Valadares"/>
  </r>
  <r>
    <x v="0"/>
    <s v="259BMG0190"/>
    <n v="0"/>
    <x v="223"/>
    <s v="0190"/>
    <n v="-41.9859542700734"/>
    <n v="-18.822432039906602"/>
    <n v="-42.242836989835098"/>
    <n v="-18.7192415899273"/>
    <s v="259"/>
    <s v="MG"/>
    <s v="Eixo Principal"/>
    <s v="-"/>
    <s v="259BMG0190"/>
    <s v="ENTR BR-116/451"/>
    <s v="ENTR MG-314 (CONCEIÇÃO DE TRONQUEIROS)"/>
    <n v="171.9"/>
    <n v="212.4"/>
    <n v="40.5"/>
    <x v="1"/>
    <m/>
    <m/>
    <s v="Estadual"/>
    <m/>
    <s v="MGT-259"/>
    <s v="PAV"/>
    <s v="Estadual"/>
    <s v="PLA"/>
    <s v="Governador Valadares"/>
  </r>
  <r>
    <x v="0"/>
    <s v="259BMG0210"/>
    <n v="0"/>
    <x v="223"/>
    <s v="0210"/>
    <n v="-42.242836989835098"/>
    <n v="-18.7192415899273"/>
    <n v="-42.438685959889"/>
    <n v="-18.828758409872599"/>
    <s v="259"/>
    <s v="MG"/>
    <s v="Eixo Principal"/>
    <s v="-"/>
    <s v="259BMG0210"/>
    <s v="ENTR MG-314 (CONCEIÇÃO DE TRONQUEIROS)"/>
    <s v="SANTA EFIGÊNIA DE MINAS"/>
    <n v="212.4"/>
    <n v="243"/>
    <n v="30.6"/>
    <x v="1"/>
    <m/>
    <m/>
    <s v="Estadual"/>
    <m/>
    <s v="MGT-259"/>
    <s v="PAV"/>
    <s v="Estadual"/>
    <s v="PLA"/>
    <s v="Governador Valadares"/>
  </r>
  <r>
    <x v="0"/>
    <s v="259BMG0212"/>
    <n v="0"/>
    <x v="223"/>
    <s v="0212"/>
    <n v="-42.438685959889"/>
    <n v="-18.828758409872599"/>
    <n v="-42.478143679587099"/>
    <n v="-18.8237396595575"/>
    <s v="259"/>
    <s v="MG"/>
    <s v="Eixo Principal"/>
    <s v="-"/>
    <s v="259BMG0212"/>
    <s v="SANTA EFIGÊNIA DE MINAS"/>
    <s v="GONZAGA"/>
    <n v="243"/>
    <n v="249.2"/>
    <n v="6.2"/>
    <x v="1"/>
    <m/>
    <m/>
    <s v="Estadual"/>
    <m/>
    <s v="MGT-259"/>
    <s v="PAV"/>
    <s v="Estadual"/>
    <s v="PLA"/>
    <s v="Governador Valadares"/>
  </r>
  <r>
    <x v="0"/>
    <s v="259BMG0215"/>
    <n v="0"/>
    <x v="223"/>
    <s v="0215"/>
    <n v="-42.478143679587099"/>
    <n v="-18.8237396595575"/>
    <n v="-42.6210961600597"/>
    <n v="-18.7995114200159"/>
    <s v="259"/>
    <s v="MG"/>
    <s v="Eixo Principal"/>
    <s v="-"/>
    <s v="259BMG0215"/>
    <s v="GONZAGA"/>
    <s v="DIVINOLÂNDIA DE MINAS"/>
    <n v="249.2"/>
    <n v="267.39999999999998"/>
    <n v="18.2"/>
    <x v="1"/>
    <m/>
    <m/>
    <s v="Estadual"/>
    <m/>
    <s v="MGT-259"/>
    <s v="IMP"/>
    <s v="Estadual"/>
    <s v="PLA"/>
    <s v="Governador Valadares"/>
  </r>
  <r>
    <x v="0"/>
    <s v="259BMG0220"/>
    <n v="0"/>
    <x v="223"/>
    <s v="0220"/>
    <n v="-42.6210961600597"/>
    <n v="-18.7995114200159"/>
    <n v="-42.701245019641803"/>
    <n v="-18.8309441896225"/>
    <s v="259"/>
    <s v="MG"/>
    <s v="Eixo Principal"/>
    <s v="-"/>
    <s v="259BMG0220"/>
    <s v="DIVINOLÂNDIA DE MINAS"/>
    <s v="VIRGINÓPOLIS"/>
    <n v="267.39999999999998"/>
    <n v="279.5"/>
    <n v="12.1"/>
    <x v="1"/>
    <m/>
    <m/>
    <s v="Estadual"/>
    <m/>
    <s v="MGT-259"/>
    <s v="PAV"/>
    <s v="Estadual"/>
    <s v="PLA"/>
    <s v="Governador Valadares"/>
  </r>
  <r>
    <x v="0"/>
    <s v="259BMG0225"/>
    <n v="0"/>
    <x v="223"/>
    <s v="0225"/>
    <n v="-42.701245019641803"/>
    <n v="-18.8309441896225"/>
    <n v="-42.931249400139599"/>
    <n v="-18.770378840111299"/>
    <s v="259"/>
    <s v="MG"/>
    <s v="Eixo Principal"/>
    <s v="-"/>
    <s v="259BMG0225"/>
    <s v="VIRGINÓPOLIS"/>
    <s v="ENTR BR-120(A) (GUANHÃES) (P/S J EVANGELISTA)"/>
    <n v="279.5"/>
    <n v="311.7"/>
    <n v="32.200000000000003"/>
    <x v="1"/>
    <m/>
    <m/>
    <s v="Estadual"/>
    <m/>
    <s v="MGT-259"/>
    <s v="PAV"/>
    <s v="Estadual"/>
    <s v="PLA"/>
    <s v="Governador Valadares"/>
  </r>
  <r>
    <x v="0"/>
    <s v="259BMG0230"/>
    <n v="0"/>
    <x v="223"/>
    <s v="0230"/>
    <n v="-42.931249400139599"/>
    <n v="-18.770378840111299"/>
    <n v="-42.931709059825202"/>
    <n v="-18.770904480357402"/>
    <s v="259"/>
    <s v="MG"/>
    <s v="Eixo Principal"/>
    <s v="Coinc"/>
    <s v="259BMG0230"/>
    <s v="ENTR BR-120(A) (GUANHÃES) (P/S J EVANGELISTA)"/>
    <s v="ENTR BR-120(B) (GUANHÃES) (P/ SRA DO PORTO)"/>
    <n v="311.7"/>
    <n v="311.8"/>
    <n v="0.1"/>
    <x v="1"/>
    <m/>
    <s v="120BMG0140"/>
    <s v="Estadual"/>
    <m/>
    <s v="MGT-120"/>
    <s v="PAV"/>
    <s v="Estadual"/>
    <s v="PLA"/>
    <s v="Contagem"/>
  </r>
  <r>
    <x v="0"/>
    <s v="259BMG0235"/>
    <n v="0"/>
    <x v="223"/>
    <s v="0235"/>
    <n v="-42.931709059825202"/>
    <n v="-18.770904480357402"/>
    <n v="-43.0821634698681"/>
    <n v="-18.667856349890499"/>
    <s v="259"/>
    <s v="MG"/>
    <s v="Eixo Principal"/>
    <s v="-"/>
    <s v="259BMG0235"/>
    <s v="ENTR BR-120(B) (GUANHÃES) (P/ SRA DO PORTO)"/>
    <s v="SABINÓPOLIS"/>
    <n v="311.8"/>
    <n v="333.9"/>
    <n v="22.1"/>
    <x v="1"/>
    <m/>
    <m/>
    <s v="Estadual"/>
    <m/>
    <s v="MGT-259"/>
    <s v="PAV"/>
    <s v="Estadual"/>
    <s v="PLA"/>
    <s v="Contagem"/>
  </r>
  <r>
    <x v="0"/>
    <s v="259BMG0250"/>
    <n v="0"/>
    <x v="223"/>
    <s v="0250"/>
    <n v="-43.0821634698681"/>
    <n v="-18.667856349890499"/>
    <n v="-43.352646459766198"/>
    <n v="-18.603663989601301"/>
    <s v="259"/>
    <s v="MG"/>
    <s v="Eixo Principal"/>
    <s v="-"/>
    <s v="259BMG0250"/>
    <s v="SABINÓPOLIS"/>
    <s v="ENTR MG-010(A) (SERRO)"/>
    <n v="333.9"/>
    <n v="372.8"/>
    <n v="38.9"/>
    <x v="1"/>
    <m/>
    <m/>
    <s v="Estadual"/>
    <m/>
    <s v="MG-251"/>
    <s v="PAV"/>
    <s v="Estadual"/>
    <s v="PLA"/>
    <s v="Contagem"/>
  </r>
  <r>
    <x v="0"/>
    <s v="259BMG0260"/>
    <n v="0"/>
    <x v="223"/>
    <s v="0260"/>
    <n v="-43.352646459766198"/>
    <n v="-18.603663989601301"/>
    <n v="-43.388508449805002"/>
    <n v="-18.608319740263699"/>
    <s v="259"/>
    <s v="MG"/>
    <s v="Eixo Principal"/>
    <s v="-"/>
    <s v="259BMG0260"/>
    <s v="ENTR MG-010(A) (SERRO)"/>
    <s v="ENTR MG-010(B) (SERRO)"/>
    <n v="372.8"/>
    <n v="377.6"/>
    <n v="4.8"/>
    <x v="1"/>
    <m/>
    <m/>
    <s v="Estadual"/>
    <m/>
    <s v="MG-010"/>
    <s v="PAV"/>
    <s v="Estadual"/>
    <s v="PLA"/>
    <s v="Contagem"/>
  </r>
  <r>
    <x v="0"/>
    <s v="259BMG0270"/>
    <n v="0"/>
    <x v="223"/>
    <s v="0270"/>
    <n v="-43.388508449805002"/>
    <n v="-18.608319740263699"/>
    <n v="-43.588127879697801"/>
    <n v="-18.576371050283601"/>
    <s v="259"/>
    <s v="MG"/>
    <s v="Eixo Principal"/>
    <s v="-"/>
    <s v="259BMG0270"/>
    <s v="ENTR MG-010(B) (SERRO)"/>
    <s v="TRINTA RÉIS"/>
    <n v="377.6"/>
    <n v="411.4"/>
    <n v="33.799999999999997"/>
    <x v="1"/>
    <m/>
    <m/>
    <s v="Estadual"/>
    <m/>
    <s v="MGT-259"/>
    <s v="PAV"/>
    <s v="Estadual"/>
    <s v="PLA"/>
    <s v="Contagem"/>
  </r>
  <r>
    <x v="0"/>
    <s v="259BMG0271"/>
    <n v="0"/>
    <x v="223"/>
    <s v="0271"/>
    <n v="-43.588127879697801"/>
    <n v="-18.576371050283601"/>
    <n v="-43.657650449808301"/>
    <n v="-18.442245520014598"/>
    <s v="259"/>
    <s v="MG"/>
    <s v="Eixo Principal"/>
    <s v="-"/>
    <s v="259BMG0271"/>
    <s v="TRINTA RÉIS"/>
    <s v="DATAS"/>
    <n v="411.4"/>
    <n v="430.9"/>
    <n v="19.5"/>
    <x v="1"/>
    <m/>
    <m/>
    <s v="Estadual"/>
    <m/>
    <s v="MGT-259"/>
    <s v="PAV"/>
    <s v="Estadual"/>
    <s v="PLA"/>
    <s v="Contagem"/>
  </r>
  <r>
    <x v="0"/>
    <s v="259BMG0290"/>
    <n v="0"/>
    <x v="223"/>
    <s v="0290"/>
    <n v="-43.657650449808301"/>
    <n v="-18.442245520014598"/>
    <n v="-43.6893569002007"/>
    <n v="-18.416367309603601"/>
    <s v="259"/>
    <s v="MG"/>
    <s v="Eixo Principal"/>
    <s v="-"/>
    <s v="259BMG0290"/>
    <s v="DATAS"/>
    <s v="ENTR BR-367(A)"/>
    <n v="430.9"/>
    <n v="437.4"/>
    <n v="6.5"/>
    <x v="1"/>
    <m/>
    <m/>
    <s v="Estadual"/>
    <m/>
    <s v="MGT-259"/>
    <s v="PAV"/>
    <s v="Estadual"/>
    <s v="PLA"/>
    <s v="Contagem"/>
  </r>
  <r>
    <x v="0"/>
    <s v="259BMG0310"/>
    <n v="0"/>
    <x v="223"/>
    <s v="0310"/>
    <n v="-43.6893569002007"/>
    <n v="-18.416367309603601"/>
    <n v="-43.741095660136502"/>
    <n v="-18.450082429960101"/>
    <s v="259"/>
    <s v="MG"/>
    <s v="Eixo Principal"/>
    <s v="-"/>
    <s v="259BMG0310"/>
    <s v="ENTR BR-367(A)"/>
    <s v="ENTR BR-367(B) (GOUVEIA)"/>
    <n v="437.4"/>
    <n v="444.9"/>
    <n v="7.5"/>
    <x v="1"/>
    <m/>
    <s v="367BMG0350"/>
    <s v="Estadual"/>
    <m/>
    <s v="MGT-259"/>
    <s v="PAV"/>
    <s v="Estadual"/>
    <s v="PLA"/>
    <s v="Contagem"/>
  </r>
  <r>
    <x v="0"/>
    <s v="259BMG0330"/>
    <n v="0"/>
    <x v="223"/>
    <s v="0330"/>
    <n v="-43.741095660136502"/>
    <n v="-18.450082429960101"/>
    <n v="-44.313338619981202"/>
    <n v="-18.695040949679999"/>
    <s v="259"/>
    <s v="MG"/>
    <s v="Eixo Principal"/>
    <s v="-"/>
    <s v="259BMG0330"/>
    <s v="ENTR BR-367(B) (GOUVEIA)"/>
    <s v="ACESSO NOSSA SENHORA DA GLÓRIA"/>
    <n v="444.9"/>
    <n v="522.6"/>
    <n v="77.7"/>
    <x v="1"/>
    <m/>
    <m/>
    <s v="Estadual"/>
    <m/>
    <s v="MGT-259"/>
    <s v="PAV"/>
    <s v="Estadual"/>
    <s v="PLA"/>
    <s v="Contagem"/>
  </r>
  <r>
    <x v="0"/>
    <s v="259BMG0345"/>
    <n v="0"/>
    <x v="223"/>
    <s v="0345"/>
    <n v="-44.313338619981202"/>
    <n v="-18.695040949679999"/>
    <n v="-44.420077620285802"/>
    <n v="-18.747422400223499"/>
    <s v="259"/>
    <s v="MG"/>
    <s v="Eixo Principal"/>
    <s v="-"/>
    <s v="259BMG0345"/>
    <s v="ACESSO NOSSA SENHORA DA GLÓRIA"/>
    <s v="ENTR BR-135(A) (CURVELO)"/>
    <n v="522.6"/>
    <n v="535.9"/>
    <n v="13.3"/>
    <x v="1"/>
    <m/>
    <m/>
    <s v="Estadual"/>
    <m/>
    <s v="MGT-259"/>
    <s v="PAV"/>
    <s v="Estadual"/>
    <s v="PLA"/>
    <s v="Bom Despacho"/>
  </r>
  <r>
    <x v="0"/>
    <s v="259BMG0350"/>
    <n v="0"/>
    <x v="223"/>
    <s v="0350"/>
    <n v="-44.420077620285802"/>
    <n v="-18.747422400223499"/>
    <n v="-44.418105050008002"/>
    <n v="-18.753042660290401"/>
    <s v="259"/>
    <s v="MG"/>
    <s v="Eixo Principal"/>
    <s v="Coinc"/>
    <s v="259BMG0350"/>
    <s v="ENTR BR-135(A) (CURVELO)"/>
    <s v="ENTR BR-135(B)"/>
    <n v="535.9"/>
    <n v="536.6"/>
    <n v="0.7"/>
    <x v="1"/>
    <m/>
    <s v="135BMG0830"/>
    <s v="Estadual"/>
    <m/>
    <s v="MG-135"/>
    <s v="PAV"/>
    <s v="Estadual"/>
    <s v="PLA"/>
    <s v="Bom Despacho"/>
  </r>
  <r>
    <x v="0"/>
    <s v="259BMG0370"/>
    <n v="0"/>
    <x v="223"/>
    <s v="0370"/>
    <n v="-44.418105050008002"/>
    <n v="-18.753042660290401"/>
    <n v="-44.847814070262999"/>
    <n v="-18.754014439814501"/>
    <s v="259"/>
    <s v="MG"/>
    <s v="Eixo Principal"/>
    <s v="-"/>
    <s v="259BMG0370"/>
    <s v="ENTR BR-135(B)"/>
    <s v="ENTR BR-040 (FELIXLÂNDIA)"/>
    <n v="536.6"/>
    <n v="580.1"/>
    <n v="43.5"/>
    <x v="1"/>
    <m/>
    <m/>
    <s v="Estadual"/>
    <m/>
    <s v="MGT-259"/>
    <s v="PAV"/>
    <s v="Estadual"/>
    <s v="PLA"/>
    <s v="Bom Despacho"/>
  </r>
  <r>
    <x v="0"/>
    <s v="262AMG1005"/>
    <n v="0"/>
    <x v="224"/>
    <s v="1005"/>
    <n v="-44.857221489679901"/>
    <n v="-19.8983318904043"/>
    <n v="-44.854336729856101"/>
    <n v="-19.878788599813898"/>
    <s v="262"/>
    <s v="MG"/>
    <s v="Acesso"/>
    <s v="-"/>
    <s v="262AMG1005"/>
    <s v="ENTR BR-262 (KM 429)"/>
    <s v="QUILOMBO DO GAIA"/>
    <n v="0"/>
    <n v="2.5"/>
    <n v="2.5"/>
    <x v="1"/>
    <m/>
    <m/>
    <s v="Federal"/>
    <m/>
    <m/>
    <m/>
    <s v="Federal"/>
    <s v="PLA"/>
    <s v="Bom Despacho"/>
  </r>
  <r>
    <x v="0"/>
    <s v="262BES0010"/>
    <n v="0"/>
    <x v="225"/>
    <s v="0010"/>
    <n v="-40.3532097201523"/>
    <n v="-20.320745710046399"/>
    <n v="-40.354785360256102"/>
    <n v="-20.332505819787599"/>
    <s v="262"/>
    <s v="ES"/>
    <s v="Eixo Principal"/>
    <s v="-"/>
    <s v="262BES0010"/>
    <s v="INÍCIO 2A PONTE SOBRE RIO SANTA MARIA (VITÓRIA)"/>
    <s v="ENTR ES-060 (SÃO TORQUATO)"/>
    <n v="0"/>
    <n v="1.3"/>
    <n v="1.3"/>
    <x v="0"/>
    <m/>
    <m/>
    <s v="Federal"/>
    <m/>
    <m/>
    <m/>
    <s v="Federal"/>
    <s v="PAV"/>
    <s v="Santa Isabel"/>
  </r>
  <r>
    <x v="0"/>
    <s v="262BES0020"/>
    <n v="0"/>
    <x v="225"/>
    <s v="0020"/>
    <n v="-40.354785360256102"/>
    <n v="-20.332505819787599"/>
    <n v="-40.376264429859503"/>
    <n v="-20.335847359667799"/>
    <s v="262"/>
    <s v="ES"/>
    <s v="Eixo Principal"/>
    <s v="-"/>
    <s v="262BES0020"/>
    <s v="ENTR ES-060 (SÃO TORQUATO)"/>
    <s v="ENTR ES-080 (CAMPO GRANDE)"/>
    <n v="1.3"/>
    <n v="3.7"/>
    <n v="2.4"/>
    <x v="0"/>
    <m/>
    <m/>
    <s v="Federal"/>
    <m/>
    <m/>
    <m/>
    <s v="Federal"/>
    <s v="PAV"/>
    <s v="Santa Isabel"/>
  </r>
  <r>
    <x v="0"/>
    <s v="262BES0030"/>
    <n v="0"/>
    <x v="225"/>
    <s v="0030"/>
    <n v="-40.376264429859503"/>
    <n v="-20.335847359667799"/>
    <n v="-40.398772660230001"/>
    <n v="-20.342166080000499"/>
    <s v="262"/>
    <s v="ES"/>
    <s v="Eixo Principal"/>
    <s v="-"/>
    <s v="262BES0030"/>
    <s v="ENTR ES-080 (CAMPO GRANDE)"/>
    <s v="ENTR BR-101(A)/ES-471"/>
    <n v="3.7"/>
    <n v="6.4"/>
    <n v="2.7"/>
    <x v="0"/>
    <m/>
    <m/>
    <s v="Federal"/>
    <m/>
    <m/>
    <m/>
    <s v="Federal"/>
    <s v="PAV"/>
    <s v="Santa Isabel"/>
  </r>
  <r>
    <x v="0"/>
    <s v="262BES0040"/>
    <n v="0"/>
    <x v="225"/>
    <s v="0040"/>
    <n v="-40.398772660230001"/>
    <n v="-20.342166080000499"/>
    <n v="-40.405141380170498"/>
    <n v="-20.3434174704398"/>
    <s v="262"/>
    <s v="ES"/>
    <s v="Eixo Principal"/>
    <s v="-"/>
    <s v="262BES0040"/>
    <s v="ENTR BR-447"/>
    <s v="ENTR BR-101(A) (COMPLEXO RODOVIÁRIO)"/>
    <n v="6.4"/>
    <n v="7.1"/>
    <n v="0.7"/>
    <x v="0"/>
    <m/>
    <s v="101AES2005"/>
    <s v="Concessão Federal"/>
    <m/>
    <m/>
    <m/>
    <s v="Federal"/>
    <s v="PAV"/>
    <s v="Santa Isabel"/>
  </r>
  <r>
    <x v="0"/>
    <s v="262BES0050"/>
    <n v="0"/>
    <x v="225"/>
    <s v="0050"/>
    <n v="-40.405141380170498"/>
    <n v="-20.3434174704398"/>
    <n v="-40.4627144199345"/>
    <n v="-20.385008579882001"/>
    <s v="262"/>
    <s v="ES"/>
    <s v="Eixo Principal"/>
    <s v="Coinc"/>
    <s v="262BES0050"/>
    <s v="ENTR BR-101(A) (COMPLEXO RODOVIÁRIO)"/>
    <s v="ENTR BR-101(B)"/>
    <n v="7.1"/>
    <n v="15.9"/>
    <n v="8.8000000000000007"/>
    <x v="0"/>
    <m/>
    <s v="101BES2370"/>
    <s v="Concessão Federal"/>
    <m/>
    <m/>
    <m/>
    <s v="Federal"/>
    <s v="PAV"/>
    <s v="Santa Isabel"/>
  </r>
  <r>
    <x v="0"/>
    <s v="262BES0070"/>
    <n v="0"/>
    <x v="225"/>
    <s v="0070"/>
    <n v="-40.4627144199345"/>
    <n v="-20.385008579882001"/>
    <n v="-40.640503280202097"/>
    <n v="-20.383274409985901"/>
    <s v="262"/>
    <s v="ES"/>
    <s v="Eixo Principal"/>
    <s v="-"/>
    <s v="262BES0070"/>
    <s v="ENTR BR-101(B)"/>
    <s v="ENTR ES-465 (P/DOMINGOS MARTINS)"/>
    <n v="15.9"/>
    <n v="40.4"/>
    <n v="24.5"/>
    <x v="2"/>
    <m/>
    <m/>
    <s v="Federal"/>
    <m/>
    <m/>
    <m/>
    <s v="Federal"/>
    <s v="PAV"/>
    <s v="Santa Isabel"/>
  </r>
  <r>
    <x v="0"/>
    <s v="262BES0090"/>
    <n v="0"/>
    <x v="225"/>
    <s v="0090"/>
    <n v="-40.640503280202097"/>
    <n v="-20.383274409985901"/>
    <n v="-40.668184669986402"/>
    <n v="-20.387768369914198"/>
    <s v="262"/>
    <s v="ES"/>
    <s v="Eixo Principal"/>
    <s v="-"/>
    <s v="262BES0090"/>
    <s v="ENTR ES-465 (P/DOMINGOS MARTINS)"/>
    <s v="ENTR ES-376 (P/ MARECHAL FLORIANO)"/>
    <n v="40.4"/>
    <n v="43.7"/>
    <n v="3.3"/>
    <x v="2"/>
    <m/>
    <m/>
    <s v="Federal"/>
    <m/>
    <m/>
    <m/>
    <s v="Federal"/>
    <s v="PAV"/>
    <s v="Santa Isabel"/>
  </r>
  <r>
    <x v="0"/>
    <s v="262BES0100"/>
    <n v="0"/>
    <x v="225"/>
    <s v="0100"/>
    <n v="-40.668184669986402"/>
    <n v="-20.387768369914198"/>
    <n v="-40.759204229591397"/>
    <n v="-20.413200539972799"/>
    <s v="262"/>
    <s v="ES"/>
    <s v="Eixo Principal"/>
    <s v="-"/>
    <s v="262BES0100"/>
    <s v="ENTR ES-376 (P/ MARECHAL FLORIANO)"/>
    <s v="ENTR ES-146/470"/>
    <n v="43.7"/>
    <n v="56.2"/>
    <n v="12.5"/>
    <x v="2"/>
    <m/>
    <m/>
    <s v="Federal"/>
    <m/>
    <m/>
    <m/>
    <s v="Federal"/>
    <s v="PAV"/>
    <s v="Santa Isabel"/>
  </r>
  <r>
    <x v="0"/>
    <s v="262BES0110"/>
    <n v="0"/>
    <x v="225"/>
    <s v="0110"/>
    <n v="-40.759204229591397"/>
    <n v="-20.413200539972799"/>
    <n v="-41.003885869637102"/>
    <n v="-20.393534480231999"/>
    <s v="262"/>
    <s v="ES"/>
    <s v="Eixo Principal"/>
    <s v="-"/>
    <s v="262BES0110"/>
    <s v="ENTR ES-146/470"/>
    <s v="ENTR ES-368 (DOMINGOS MARTINS)"/>
    <n v="56.2"/>
    <n v="87.1"/>
    <n v="30.9"/>
    <x v="2"/>
    <m/>
    <m/>
    <s v="Federal"/>
    <m/>
    <m/>
    <m/>
    <s v="Federal"/>
    <s v="PAV"/>
    <s v="Santa Isabel"/>
  </r>
  <r>
    <x v="0"/>
    <s v="262BES0130"/>
    <n v="0"/>
    <x v="225"/>
    <s v="0130"/>
    <n v="-41.003885869637102"/>
    <n v="-20.393534480231999"/>
    <n v="-41.058648390410802"/>
    <n v="-20.373824709842399"/>
    <s v="262"/>
    <s v="ES"/>
    <s v="Eixo Principal"/>
    <s v="-"/>
    <s v="262BES0130"/>
    <s v="ENTR ES-368 (DOMINGOS MARTINS)"/>
    <s v="ENTR ES-164 (P/VARGEM ALTA)"/>
    <n v="87.1"/>
    <n v="93.8"/>
    <n v="6.7"/>
    <x v="2"/>
    <m/>
    <m/>
    <s v="Federal"/>
    <m/>
    <m/>
    <m/>
    <s v="Federal"/>
    <s v="PAV"/>
    <s v="Santa Isabel"/>
  </r>
  <r>
    <x v="0"/>
    <s v="262BES0150"/>
    <n v="0"/>
    <x v="225"/>
    <s v="0150"/>
    <n v="-41.058648390410802"/>
    <n v="-20.373824709842399"/>
    <n v="-41.062479229832498"/>
    <n v="-20.364867269808499"/>
    <s v="262"/>
    <s v="ES"/>
    <s v="Eixo Principal"/>
    <s v="-"/>
    <s v="262BES0150"/>
    <s v="ENTR ES-164 (P/VARGEM ALTA)"/>
    <s v="ENTR ES-165(A) (P/AFONSO CLÁUDIO)"/>
    <n v="93.8"/>
    <n v="95.1"/>
    <n v="1.3"/>
    <x v="2"/>
    <m/>
    <m/>
    <s v="Federal"/>
    <m/>
    <m/>
    <m/>
    <s v="Federal"/>
    <s v="PAV"/>
    <s v="Santa Isabel"/>
  </r>
  <r>
    <x v="0"/>
    <s v="262BES0155"/>
    <n v="0"/>
    <x v="225"/>
    <s v="0155"/>
    <n v="-41.062479229832498"/>
    <n v="-20.364867269808499"/>
    <n v="-41.129575129588503"/>
    <n v="-20.332633519920901"/>
    <s v="262"/>
    <s v="ES"/>
    <s v="Eixo Principal"/>
    <s v="-"/>
    <s v="262BES0155"/>
    <s v="ENTR ES-165(A) (P/AFONSO CLÁUDIO)"/>
    <s v="ENTR ES-166 (VENDA NOVA)"/>
    <n v="95.1"/>
    <n v="103.7"/>
    <n v="8.6"/>
    <x v="2"/>
    <m/>
    <m/>
    <s v="Federal"/>
    <m/>
    <m/>
    <m/>
    <s v="Federal"/>
    <s v="PAV"/>
    <s v="Santa Isabel"/>
  </r>
  <r>
    <x v="0"/>
    <s v="262BES0170"/>
    <n v="0"/>
    <x v="225"/>
    <s v="0170"/>
    <n v="-41.129575129588503"/>
    <n v="-20.332633519920901"/>
    <n v="-41.225625250305001"/>
    <n v="-20.318455529798801"/>
    <s v="262"/>
    <s v="ES"/>
    <s v="Eixo Principal"/>
    <s v="-"/>
    <s v="262BES0170"/>
    <s v="ENTR ES-166 (VENDA NOVA)"/>
    <s v="ENTR ES-165(B) (P/CONCEIÇÃO DO CASTELO)"/>
    <n v="103.7"/>
    <n v="115.5"/>
    <n v="11.8"/>
    <x v="2"/>
    <m/>
    <m/>
    <s v="Federal"/>
    <m/>
    <m/>
    <m/>
    <s v="Federal"/>
    <s v="PAV"/>
    <s v="Santa Isabel"/>
  </r>
  <r>
    <x v="0"/>
    <s v="262BES0190"/>
    <n v="0"/>
    <x v="225"/>
    <s v="0190"/>
    <n v="-41.225625250305001"/>
    <n v="-20.318455529798801"/>
    <n v="-41.2280256901334"/>
    <n v="-20.294282989768099"/>
    <s v="262"/>
    <s v="ES"/>
    <s v="Eixo Principal"/>
    <s v="-"/>
    <s v="262BES0190"/>
    <s v="ENTR ES-165(B) (P/CONCEIÇÃO DO CASTELO)"/>
    <s v="ENTR BR-484(A)"/>
    <n v="115.5"/>
    <n v="120.5"/>
    <n v="5"/>
    <x v="2"/>
    <m/>
    <m/>
    <s v="Federal"/>
    <m/>
    <m/>
    <m/>
    <s v="Federal"/>
    <s v="PAV"/>
    <s v="Santa Isabel"/>
  </r>
  <r>
    <x v="0"/>
    <s v="262BES0195"/>
    <n v="0"/>
    <x v="225"/>
    <s v="0195"/>
    <n v="-41.2280256901334"/>
    <n v="-20.294282989768099"/>
    <n v="-41.362616980189401"/>
    <n v="-20.232582620291598"/>
    <s v="262"/>
    <s v="ES"/>
    <s v="Eixo Principal"/>
    <s v="-"/>
    <s v="262BES0195"/>
    <s v="ENTR BR-484(A)"/>
    <s v="ENTR BR-484(B)/ES-181"/>
    <n v="120.5"/>
    <n v="139.1"/>
    <n v="18.600000000000001"/>
    <x v="2"/>
    <m/>
    <s v="484BES0090"/>
    <s v="Federal"/>
    <m/>
    <m/>
    <m/>
    <s v="Federal"/>
    <s v="PAV"/>
    <s v="Santa Isabel"/>
  </r>
  <r>
    <x v="0"/>
    <s v="262BES0200"/>
    <n v="0"/>
    <x v="225"/>
    <s v="0200"/>
    <n v="-41.362616980189401"/>
    <n v="-20.232582620291598"/>
    <n v="-41.563635040224803"/>
    <n v="-20.251676560124999"/>
    <s v="262"/>
    <s v="ES"/>
    <s v="Eixo Principal"/>
    <s v="-"/>
    <s v="262BES0200"/>
    <s v="ENTR BR-484(B)/ES-181"/>
    <s v="ENTR ES-185(A) (P/LAJINHA)"/>
    <n v="139.1"/>
    <n v="166.4"/>
    <n v="27.3"/>
    <x v="2"/>
    <m/>
    <m/>
    <s v="Federal"/>
    <m/>
    <m/>
    <m/>
    <s v="Federal"/>
    <s v="PAV"/>
    <s v="Santa Isabel"/>
  </r>
  <r>
    <x v="0"/>
    <s v="262BES0205"/>
    <n v="0"/>
    <x v="225"/>
    <s v="0205"/>
    <n v="-41.563635040224803"/>
    <n v="-20.251676560124999"/>
    <n v="-41.580687689884897"/>
    <n v="-20.264184510106901"/>
    <s v="262"/>
    <s v="ES"/>
    <s v="Eixo Principal"/>
    <s v="-"/>
    <s v="262BES0205"/>
    <s v="ENTR ES-185(A) (P/LAJINHA)"/>
    <s v="ENTR ES-185(B) (P/IÚNA)"/>
    <n v="166.4"/>
    <n v="169.3"/>
    <n v="2.9"/>
    <x v="2"/>
    <m/>
    <m/>
    <s v="Federal"/>
    <m/>
    <m/>
    <m/>
    <s v="Federal"/>
    <s v="PAV"/>
    <s v="Santa Isabel"/>
  </r>
  <r>
    <x v="0"/>
    <s v="262BES0210"/>
    <n v="0"/>
    <x v="225"/>
    <s v="0210"/>
    <n v="-41.580687689884897"/>
    <n v="-20.264184510106901"/>
    <n v="-41.7788374000259"/>
    <n v="-20.277848689665198"/>
    <s v="262"/>
    <s v="ES"/>
    <s v="Eixo Principal"/>
    <s v="-"/>
    <s v="262BES0210"/>
    <s v="ENTR ES-185(B) (P/IÚNA)"/>
    <s v="INÍCIO PONTE S/ RIO JOSÉ PEDRO"/>
    <n v="169.3"/>
    <n v="196.3"/>
    <n v="27"/>
    <x v="2"/>
    <m/>
    <m/>
    <s v="Federal"/>
    <m/>
    <m/>
    <m/>
    <s v="Federal"/>
    <s v="PAV"/>
    <s v="Santa Isabel"/>
  </r>
  <r>
    <x v="0"/>
    <s v="262BES0220"/>
    <n v="0"/>
    <x v="225"/>
    <s v="0220"/>
    <n v="-41.7788374000259"/>
    <n v="-20.277848689665198"/>
    <n v="-41.7790413698633"/>
    <n v="-20.276556430434798"/>
    <s v="262"/>
    <s v="ES"/>
    <s v="Eixo Principal"/>
    <s v="-"/>
    <s v="262BES0220"/>
    <s v="INÍCIO PONTE S/ RIO JOSÉ PEDRO"/>
    <s v="FIM PONTE S/ RIO JOSÉ PEDRO (DIV ES/MG)"/>
    <n v="196.3"/>
    <n v="196.5"/>
    <n v="0.2"/>
    <x v="2"/>
    <m/>
    <m/>
    <s v="Federal"/>
    <m/>
    <m/>
    <m/>
    <s v="Federal"/>
    <s v="PAV"/>
    <s v="Santa Isabel"/>
  </r>
  <r>
    <x v="0"/>
    <s v="262BMG0230"/>
    <n v="0"/>
    <x v="226"/>
    <s v="0230"/>
    <n v="-41.7790413698633"/>
    <n v="-20.276556430434798"/>
    <n v="-41.840404069991699"/>
    <n v="-20.243701079940799"/>
    <s v="262"/>
    <s v="MG"/>
    <s v="Eixo Principal"/>
    <s v="-"/>
    <s v="262BMG0230"/>
    <s v="DIV ES/MG"/>
    <s v="ENTR MG-108(A) (P/MUTUM)"/>
    <n v="0"/>
    <n v="10.199999999999999"/>
    <n v="10.199999999999999"/>
    <x v="2"/>
    <m/>
    <m/>
    <s v="Federal"/>
    <m/>
    <m/>
    <m/>
    <s v="Federal"/>
    <s v="PAV"/>
    <s v="Caratinga"/>
  </r>
  <r>
    <x v="0"/>
    <s v="262BMG0240"/>
    <n v="0"/>
    <x v="226"/>
    <s v="0240"/>
    <n v="-41.840404069991699"/>
    <n v="-20.243701079940799"/>
    <n v="-41.878999189660803"/>
    <n v="-20.261050549942802"/>
    <s v="262"/>
    <s v="MG"/>
    <s v="Eixo Principal"/>
    <s v="-"/>
    <s v="262BMG0240"/>
    <s v="ENTR MG-108(A) (P/MUTUM)"/>
    <s v="ENTR MG-108(B) (MARTIM SOARES)"/>
    <n v="10.199999999999999"/>
    <n v="15.3"/>
    <n v="5.0999999999999996"/>
    <x v="2"/>
    <m/>
    <m/>
    <s v="Federal"/>
    <m/>
    <m/>
    <m/>
    <s v="Federal"/>
    <s v="PAV"/>
    <s v="Caratinga"/>
  </r>
  <r>
    <x v="0"/>
    <s v="262BMG0250"/>
    <n v="0"/>
    <x v="226"/>
    <s v="0250"/>
    <n v="-41.878999189660803"/>
    <n v="-20.261050549942802"/>
    <n v="-41.982023950344903"/>
    <n v="-20.247222010287398"/>
    <s v="262"/>
    <s v="MG"/>
    <s v="Eixo Principal"/>
    <s v="-"/>
    <s v="262BMG0250"/>
    <s v="ENTR MG-108(B) (MARTIM SOARES)"/>
    <s v="ENTR MG-111(A) (REDUTO)"/>
    <n v="15.3"/>
    <n v="29"/>
    <n v="13.7"/>
    <x v="2"/>
    <m/>
    <m/>
    <s v="Federal"/>
    <m/>
    <m/>
    <m/>
    <s v="Federal"/>
    <s v="PAV"/>
    <s v="Caratinga"/>
  </r>
  <r>
    <x v="0"/>
    <s v="262BMG0270"/>
    <n v="0"/>
    <x v="226"/>
    <s v="0270"/>
    <n v="-41.982023950344903"/>
    <n v="-20.247222010287398"/>
    <n v="-42.024961420433101"/>
    <n v="-20.257729269989699"/>
    <s v="262"/>
    <s v="MG"/>
    <s v="Eixo Principal"/>
    <s v="-"/>
    <s v="262BMG0270"/>
    <s v="ENTR MG-111(A) (REDUTO)"/>
    <s v="ENTR MG-111(B) (MANHUAÇU)"/>
    <n v="29"/>
    <n v="34.1"/>
    <n v="5.0999999999999996"/>
    <x v="2"/>
    <m/>
    <m/>
    <s v="Federal"/>
    <m/>
    <m/>
    <m/>
    <s v="Federal"/>
    <s v="PAV"/>
    <s v="Caratinga"/>
  </r>
  <r>
    <x v="0"/>
    <s v="262BMG0290"/>
    <n v="0"/>
    <x v="226"/>
    <s v="0290"/>
    <n v="-42.024961420433101"/>
    <n v="-20.257729269989699"/>
    <n v="-42.143698840029401"/>
    <n v="-20.247452049672201"/>
    <s v="262"/>
    <s v="MG"/>
    <s v="Eixo Principal"/>
    <s v="-"/>
    <s v="262BMG0290"/>
    <s v="ENTR MG-111(B) (MANHUAÇU)"/>
    <s v="ENTR BR-116 (REALEZA)"/>
    <n v="34.1"/>
    <n v="50.8"/>
    <n v="16.7"/>
    <x v="2"/>
    <m/>
    <m/>
    <s v="Federal"/>
    <m/>
    <m/>
    <m/>
    <s v="Federal"/>
    <s v="PAV"/>
    <s v="Caratinga"/>
  </r>
  <r>
    <x v="0"/>
    <s v="262BMG0295"/>
    <n v="0"/>
    <x v="226"/>
    <s v="0295"/>
    <n v="-42.143698840029401"/>
    <n v="-20.247452049672201"/>
    <n v="-42.275107639805597"/>
    <n v="-20.306440830080099"/>
    <s v="262"/>
    <s v="MG"/>
    <s v="Eixo Principal"/>
    <s v="-"/>
    <s v="262BMG0295"/>
    <s v="ENTR BR-116 (REALEZA)"/>
    <s v="ACESSO SANTA MARGARIDA"/>
    <n v="50.8"/>
    <n v="67.8"/>
    <n v="17"/>
    <x v="2"/>
    <m/>
    <m/>
    <s v="Federal"/>
    <m/>
    <m/>
    <m/>
    <s v="Federal"/>
    <s v="PAV"/>
    <s v="Caratinga"/>
  </r>
  <r>
    <x v="0"/>
    <s v="262BMG0300"/>
    <n v="0"/>
    <x v="226"/>
    <s v="0300"/>
    <n v="-42.275107639805597"/>
    <n v="-20.306440830080099"/>
    <n v="-42.317108920140498"/>
    <n v="-20.310719420364901"/>
    <s v="262"/>
    <s v="MG"/>
    <s v="Eixo Principal"/>
    <s v="-"/>
    <s v="262BMG0300"/>
    <s v="ACESSO SANTA MARGARIDA"/>
    <s v="ACESSO MATIPÓ"/>
    <n v="67.8"/>
    <n v="72.2"/>
    <n v="4.4000000000000004"/>
    <x v="2"/>
    <m/>
    <m/>
    <s v="Federal"/>
    <m/>
    <m/>
    <m/>
    <s v="Federal"/>
    <s v="PAV"/>
    <s v="Caratinga"/>
  </r>
  <r>
    <x v="0"/>
    <s v="262BMG0310"/>
    <n v="0"/>
    <x v="226"/>
    <s v="0310"/>
    <n v="-42.317108920140498"/>
    <n v="-20.310719420364901"/>
    <n v="-42.480120209579901"/>
    <n v="-20.295544240374301"/>
    <s v="262"/>
    <s v="MG"/>
    <s v="Eixo Principal"/>
    <s v="-"/>
    <s v="262BMG0310"/>
    <s v="ACESSO MATIPÓ"/>
    <s v="TREVO P/ ABRE CAMPO *TRECHO URBANO*"/>
    <n v="72.2"/>
    <n v="96"/>
    <n v="23.8"/>
    <x v="2"/>
    <m/>
    <m/>
    <s v="Federal"/>
    <m/>
    <m/>
    <m/>
    <s v="Federal"/>
    <s v="PAV"/>
    <s v="Caratinga"/>
  </r>
  <r>
    <x v="0"/>
    <s v="262BMG0320"/>
    <n v="0"/>
    <x v="226"/>
    <s v="0320"/>
    <n v="-42.480120209579901"/>
    <n v="-20.295544240374301"/>
    <n v="-42.623832580309198"/>
    <n v="-20.2313682099748"/>
    <s v="262"/>
    <s v="MG"/>
    <s v="Eixo Principal"/>
    <s v="-"/>
    <s v="262BMG0320"/>
    <s v="TREVO P/ ABRE CAMPO"/>
    <s v="ENTR MG-329(A) (P/ SÃO PEDRO DOS FERROS)"/>
    <n v="96"/>
    <n v="116.4"/>
    <n v="20.399999999999999"/>
    <x v="2"/>
    <m/>
    <m/>
    <s v="Federal"/>
    <m/>
    <m/>
    <m/>
    <s v="Federal"/>
    <s v="PAV"/>
    <s v="Caratinga"/>
  </r>
  <r>
    <x v="0"/>
    <s v="262BMG0330"/>
    <n v="0"/>
    <x v="226"/>
    <s v="0330"/>
    <n v="-42.623832580309198"/>
    <n v="-20.2313682099748"/>
    <n v="-42.660116109570701"/>
    <n v="-20.210789830286298"/>
    <s v="262"/>
    <s v="MG"/>
    <s v="Eixo Principal"/>
    <s v="-"/>
    <s v="262BMG0330"/>
    <s v="ENTR MG-329(A) (P/ SÃO PEDRO DOS FERROS)"/>
    <s v="ENTR MG-329(B) (P/ PONTE NOVA)"/>
    <n v="116.4"/>
    <n v="121.2"/>
    <n v="4.8"/>
    <x v="2"/>
    <m/>
    <m/>
    <s v="Federal"/>
    <m/>
    <m/>
    <m/>
    <s v="Federal"/>
    <s v="PAV"/>
    <s v="Caratinga"/>
  </r>
  <r>
    <x v="0"/>
    <s v="262BMG0350"/>
    <n v="0"/>
    <x v="226"/>
    <s v="0350"/>
    <n v="-42.660116109570701"/>
    <n v="-20.210789830286298"/>
    <n v="-42.7489546099672"/>
    <n v="-20.013375559634301"/>
    <s v="262"/>
    <s v="MG"/>
    <s v="Eixo Principal"/>
    <s v="-"/>
    <s v="262BMG0350"/>
    <s v="ENTR MG-329(B) (P/ PONTE NOVA)"/>
    <s v="ENTR MG-320 (P/SÃO JOSÉ DO GOIABAL)"/>
    <n v="121.2"/>
    <n v="147.69999999999999"/>
    <n v="26.5"/>
    <x v="2"/>
    <m/>
    <m/>
    <s v="Federal"/>
    <m/>
    <m/>
    <m/>
    <s v="Federal"/>
    <s v="PAV"/>
    <s v="Caratinga"/>
  </r>
  <r>
    <x v="0"/>
    <s v="262BMG0370"/>
    <n v="0"/>
    <x v="226"/>
    <s v="0370"/>
    <n v="-42.7489546099672"/>
    <n v="-20.013375559634301"/>
    <n v="-42.936365209786501"/>
    <n v="-19.9445138797117"/>
    <s v="262"/>
    <s v="MG"/>
    <s v="Eixo Principal"/>
    <s v="-"/>
    <s v="262BMG0370"/>
    <s v="ENTR MG-320 (P/SÃO JOSÉ DO GOIABAL)"/>
    <s v="ENTR BR-120 (VARGEM LINDA)"/>
    <n v="147.69999999999999"/>
    <n v="172"/>
    <n v="24.3"/>
    <x v="2"/>
    <m/>
    <m/>
    <s v="Federal"/>
    <m/>
    <m/>
    <m/>
    <s v="Federal"/>
    <s v="PAV"/>
    <s v="Caratinga"/>
  </r>
  <r>
    <x v="0"/>
    <s v="262BMG0390"/>
    <n v="0"/>
    <x v="226"/>
    <s v="0390"/>
    <n v="-42.936365209786501"/>
    <n v="-19.9445138797117"/>
    <n v="-43.0385622596405"/>
    <n v="-19.9013680304102"/>
    <s v="262"/>
    <s v="MG"/>
    <s v="Eixo Principal"/>
    <s v="-"/>
    <s v="262BMG0390"/>
    <s v="ENTR BR-120 (VARGEM LINDA)"/>
    <s v="ACESSO SÃO DOMINGOS DO PRATA"/>
    <n v="172"/>
    <n v="185.1"/>
    <n v="13.1"/>
    <x v="2"/>
    <m/>
    <m/>
    <s v="Federal"/>
    <m/>
    <m/>
    <m/>
    <s v="Federal"/>
    <s v="PAV"/>
    <s v="Caratinga"/>
  </r>
  <r>
    <x v="0"/>
    <s v="262BMG0393"/>
    <n v="0"/>
    <x v="226"/>
    <s v="0393"/>
    <n v="-43.0385622596405"/>
    <n v="-19.9013680304102"/>
    <n v="-43.117249950224902"/>
    <n v="-19.860906000011799"/>
    <s v="262"/>
    <s v="MG"/>
    <s v="Eixo Principal"/>
    <s v="-"/>
    <s v="262BMG0393"/>
    <s v="ACESSO SÃO DOMINGOS DO PRATA"/>
    <s v="ENTR BR-381(A)"/>
    <n v="185.1"/>
    <n v="195.8"/>
    <n v="10.7"/>
    <x v="2"/>
    <m/>
    <m/>
    <s v="Federal"/>
    <m/>
    <m/>
    <m/>
    <s v="Federal"/>
    <s v="PAV"/>
    <s v="Caratinga"/>
  </r>
  <r>
    <x v="0"/>
    <s v="262BMG0405"/>
    <n v="0"/>
    <x v="226"/>
    <s v="0405"/>
    <n v="-43.1172499403324"/>
    <n v="-19.860906000011799"/>
    <n v="-43.121836870375198"/>
    <n v="-19.8630637299071"/>
    <s v="262"/>
    <s v="MG"/>
    <s v="Eixo Principal"/>
    <s v="-"/>
    <s v="262BMG0405"/>
    <s v="ENTR BR-381(A)"/>
    <s v="ENTR BR-381(B) (P/JOÃO MONLEVADE)"/>
    <n v="195.8"/>
    <n v="196.4"/>
    <n v="0.6"/>
    <x v="2"/>
    <m/>
    <s v="381BMG0280"/>
    <s v="Federal"/>
    <m/>
    <m/>
    <m/>
    <s v="Federal"/>
    <s v="PAV"/>
    <s v="Contagem"/>
  </r>
  <r>
    <x v="0"/>
    <s v="262BMG0410"/>
    <n v="0"/>
    <x v="226"/>
    <s v="0410"/>
    <n v="-43.121836870375198"/>
    <n v="-19.8630637299071"/>
    <n v="-43.1714327401288"/>
    <n v="-19.929860030415998"/>
    <s v="262"/>
    <s v="MG"/>
    <s v="Eixo Principal"/>
    <s v="-"/>
    <s v="262BMG0410"/>
    <s v="ENTR BR-381 (P/JOÃO MONLEVADE)"/>
    <s v="ENTR MG-123 (RIO PIRACICABA)"/>
    <n v="196.4"/>
    <n v="208.2"/>
    <n v="11.8"/>
    <x v="1"/>
    <m/>
    <m/>
    <s v="Estadual"/>
    <m/>
    <s v="MG-123"/>
    <s v="PAV"/>
    <s v="Estadual"/>
    <s v="PLA"/>
    <s v="Contagem"/>
  </r>
  <r>
    <x v="0"/>
    <s v="262BMG0430"/>
    <n v="0"/>
    <x v="226"/>
    <s v="0430"/>
    <n v="-43.1714327401288"/>
    <n v="-19.929860030415998"/>
    <n v="-43.4181482896118"/>
    <n v="-19.977089139951801"/>
    <s v="262"/>
    <s v="MG"/>
    <s v="Eixo Principal"/>
    <s v="-"/>
    <s v="262BMG0430"/>
    <s v="ENTR MG-123 (RIO PIRACICABA)"/>
    <s v="ENTR MG-129 (SANTA BÁRBARA)"/>
    <n v="208.2"/>
    <n v="228.2"/>
    <n v="20"/>
    <x v="1"/>
    <m/>
    <m/>
    <s v="Federal"/>
    <m/>
    <m/>
    <m/>
    <s v="Federal"/>
    <s v="PLA"/>
    <s v="Contagem"/>
  </r>
  <r>
    <x v="0"/>
    <s v="262BMG0450"/>
    <n v="0"/>
    <x v="226"/>
    <s v="0450"/>
    <n v="-43.4181482896118"/>
    <n v="-19.977089139951801"/>
    <n v="-43.475108579896897"/>
    <n v="-19.938481470243602"/>
    <s v="262"/>
    <s v="MG"/>
    <s v="Eixo Principal"/>
    <s v="-"/>
    <s v="262BMG0450"/>
    <s v="ENTR MG-129 (SANTA BÁRBARA)"/>
    <s v="ENTR MG-436 (BARÃO DE COCAIS)"/>
    <n v="228.2"/>
    <n v="237.8"/>
    <n v="9.6"/>
    <x v="1"/>
    <m/>
    <m/>
    <s v="Estadual"/>
    <m/>
    <s v="MGT-262"/>
    <s v="PAV"/>
    <s v="Estadual"/>
    <s v="PLA"/>
    <s v="Contagem"/>
  </r>
  <r>
    <x v="0"/>
    <s v="262BMG0460"/>
    <n v="0"/>
    <x v="226"/>
    <s v="0460"/>
    <n v="-43.475108579896897"/>
    <n v="-19.938481470243602"/>
    <n v="-43.488568900234398"/>
    <n v="-19.925394870376898"/>
    <s v="262"/>
    <s v="MG"/>
    <s v="Eixo Principal"/>
    <s v="-"/>
    <s v="262BMG0460"/>
    <s v="ENTR MG-436 (BARÃO DE COCAIS)"/>
    <s v="BARÃO DE COCAIS"/>
    <n v="237.8"/>
    <n v="241"/>
    <n v="3.2"/>
    <x v="1"/>
    <m/>
    <m/>
    <s v="Estadual"/>
    <m/>
    <s v="MGT-262"/>
    <s v="PAV"/>
    <s v="Estadual"/>
    <s v="PLA"/>
    <s v="Contagem"/>
  </r>
  <r>
    <x v="0"/>
    <s v="262BMG0465"/>
    <n v="0"/>
    <x v="226"/>
    <s v="0465"/>
    <n v="-43.488568900234398"/>
    <n v="-19.925394870376898"/>
    <n v="-43.655187490010597"/>
    <n v="-19.910474989928701"/>
    <s v="262"/>
    <s v="MG"/>
    <s v="Eixo Principal"/>
    <s v="-"/>
    <s v="262BMG0465"/>
    <s v="BARÃO DE COCAIS"/>
    <s v="INÍCIO DA PAVIMENTAÇÃO"/>
    <n v="241"/>
    <n v="269.7"/>
    <n v="28.7"/>
    <x v="1"/>
    <m/>
    <m/>
    <s v="Estadual"/>
    <m/>
    <s v="MGT-262"/>
    <s v="LEN"/>
    <s v="Estadual"/>
    <s v="PLA"/>
    <s v="Contagem"/>
  </r>
  <r>
    <x v="0"/>
    <s v="262BMG0470"/>
    <n v="0"/>
    <x v="226"/>
    <s v="0470"/>
    <n v="-43.655187490010597"/>
    <n v="-19.910474989928701"/>
    <n v="-43.670691290370698"/>
    <n v="-19.8858023099286"/>
    <s v="262"/>
    <s v="MG"/>
    <s v="Eixo Principal"/>
    <s v="-"/>
    <s v="262BMG0470"/>
    <s v="INÍCIO DA PAVIMENTAÇÃO"/>
    <s v="ENTR MG-435 (CAETÉ)"/>
    <n v="269.7"/>
    <n v="272.5"/>
    <n v="2.8"/>
    <x v="1"/>
    <m/>
    <m/>
    <s v="Estadual"/>
    <m/>
    <s v="MGT-262"/>
    <s v="PAV"/>
    <s v="Estadual"/>
    <s v="PLA"/>
    <s v="Contagem"/>
  </r>
  <r>
    <x v="0"/>
    <s v="262BMG0490"/>
    <n v="0"/>
    <x v="226"/>
    <s v="0490"/>
    <n v="-43.670691290370698"/>
    <n v="-19.8858023099286"/>
    <n v="-43.814431809879999"/>
    <n v="-19.893467979963201"/>
    <s v="262"/>
    <s v="MG"/>
    <s v="Eixo Principal"/>
    <s v="-"/>
    <s v="262BMG0490"/>
    <s v="ENTR MG-435 (CAETÉ)"/>
    <s v="ENTR MG-437 (SABARÁ)"/>
    <n v="272.5"/>
    <n v="299.89999999999998"/>
    <n v="27.4"/>
    <x v="1"/>
    <m/>
    <m/>
    <s v="Estadual"/>
    <m/>
    <s v="MGT-262"/>
    <s v="PAV"/>
    <s v="Estadual"/>
    <s v="PLA"/>
    <s v="Contagem"/>
  </r>
  <r>
    <x v="0"/>
    <s v="262BMG0510"/>
    <n v="0"/>
    <x v="226"/>
    <s v="0510"/>
    <n v="-43.814431809879999"/>
    <n v="-19.893467979963201"/>
    <n v="-43.873633879799598"/>
    <n v="-19.875252550065099"/>
    <s v="262"/>
    <s v="MG"/>
    <s v="Eixo Principal"/>
    <s v="-"/>
    <s v="262BMG0510"/>
    <s v="ENTR MG-437 (SABARÁ)"/>
    <s v="POSTO DA POLÍCIA MILITAR RODOVIÁRIA"/>
    <n v="299.89999999999998"/>
    <n v="315.3"/>
    <n v="15.4"/>
    <x v="1"/>
    <m/>
    <m/>
    <s v="Estadual"/>
    <m/>
    <s v="MGT-262"/>
    <s v="PAV"/>
    <s v="Estadual"/>
    <s v="PLA"/>
    <s v="Contagem"/>
  </r>
  <r>
    <x v="0"/>
    <s v="262BMG0520"/>
    <n v="0"/>
    <x v="226"/>
    <s v="0520"/>
    <n v="-43.873633879799598"/>
    <n v="-19.875252550065099"/>
    <n v="-43.895823469577401"/>
    <n v="-19.855722799667401"/>
    <s v="262"/>
    <s v="MG"/>
    <s v="Eixo Principal"/>
    <s v="-"/>
    <s v="262BMG0520"/>
    <s v="POSTO DA POLÍCIA MILITAR RODOVIÁRIA"/>
    <s v="ENTR BR-381(B)"/>
    <n v="315.3"/>
    <n v="318.60000000000002"/>
    <n v="3.3"/>
    <x v="2"/>
    <m/>
    <m/>
    <s v="Federal"/>
    <m/>
    <m/>
    <m/>
    <s v="Federal"/>
    <s v="PAV"/>
    <s v="Contagem"/>
  </r>
  <r>
    <x v="0"/>
    <s v="262BMG0530"/>
    <n v="0"/>
    <x v="226"/>
    <s v="0530"/>
    <n v="-43.895823469577401"/>
    <n v="-19.855722799667401"/>
    <n v="-43.9271262403836"/>
    <n v="-19.864818059905399"/>
    <s v="262"/>
    <s v="MG"/>
    <s v="Eixo Principal"/>
    <s v="-"/>
    <s v="262BMG0530"/>
    <s v="ENTR BR-381(B)"/>
    <s v="ENTR MG-020"/>
    <n v="318.60000000000002"/>
    <n v="322.60000000000002"/>
    <n v="4"/>
    <x v="0"/>
    <m/>
    <s v="381BMG0370"/>
    <s v="Federal"/>
    <m/>
    <m/>
    <m/>
    <s v="Federal"/>
    <s v="PAV"/>
    <s v="Contagem"/>
  </r>
  <r>
    <x v="0"/>
    <s v="262BMG0550"/>
    <n v="0"/>
    <x v="226"/>
    <s v="0550"/>
    <n v="-43.9271262403836"/>
    <n v="-19.864818059905399"/>
    <n v="-43.952160390289698"/>
    <n v="-19.8785289295664"/>
    <s v="262"/>
    <s v="MG"/>
    <s v="Eixo Principal"/>
    <s v="-"/>
    <s v="262BMG0550"/>
    <s v="ENTR MG-020"/>
    <s v="AVENIDA PRESIDENTE ANTÔNIO CARLOS"/>
    <n v="322.60000000000002"/>
    <n v="325.8"/>
    <n v="3.2"/>
    <x v="0"/>
    <m/>
    <s v="381BMG0390"/>
    <s v="Federal"/>
    <m/>
    <m/>
    <m/>
    <s v="Federal"/>
    <s v="PAV"/>
    <s v="Contagem"/>
  </r>
  <r>
    <x v="0"/>
    <s v="262BMG0570"/>
    <n v="0"/>
    <x v="226"/>
    <s v="0570"/>
    <n v="-43.952160390289698"/>
    <n v="-19.8785289295664"/>
    <n v="-44.0060609999151"/>
    <n v="-19.926556830433299"/>
    <s v="262"/>
    <s v="MG"/>
    <s v="Eixo Principal"/>
    <s v="-"/>
    <s v="262BMG0570"/>
    <s v="AVENIDA PRESIDENTE ANTÔNIO CARLOS"/>
    <s v="ENTR BR-040(A)/135"/>
    <n v="325.8"/>
    <n v="334"/>
    <n v="8.1999999999999993"/>
    <x v="0"/>
    <m/>
    <s v="381BMG0410"/>
    <s v="Federal"/>
    <m/>
    <m/>
    <m/>
    <s v="Federal"/>
    <s v="PAV"/>
    <s v="Contagem"/>
  </r>
  <r>
    <x v="0"/>
    <s v="262BMG0590"/>
    <n v="0"/>
    <x v="226"/>
    <s v="0590"/>
    <n v="-44.0060609999151"/>
    <n v="-19.926556830433299"/>
    <n v="-44.007964219872797"/>
    <n v="-19.947067109859098"/>
    <s v="262"/>
    <s v="MG"/>
    <s v="Eixo Principal"/>
    <s v="Coinc"/>
    <s v="262BMG0590"/>
    <s v="ENTR BR-040(A)/135"/>
    <s v="ENTR BR-040(B)"/>
    <n v="334"/>
    <n v="336.6"/>
    <n v="2.6"/>
    <x v="0"/>
    <m/>
    <s v="381BMG0430;040BMG0370"/>
    <s v="Concessão Federal"/>
    <m/>
    <m/>
    <m/>
    <s v="Federal"/>
    <s v="PAV"/>
    <s v="Contagem"/>
  </r>
  <r>
    <x v="0"/>
    <s v="262BMG0610"/>
    <n v="0"/>
    <x v="226"/>
    <s v="0610"/>
    <n v="-44.007964219872797"/>
    <n v="-19.947067109859098"/>
    <n v="-44.018643549560103"/>
    <n v="-19.952471090168601"/>
    <s v="262"/>
    <s v="MG"/>
    <s v="Eixo Principal"/>
    <s v="-"/>
    <s v="262BMG0610"/>
    <s v="ENTR BR-040(B)"/>
    <s v="ENTR MG-040 (PARQUE INDUSTRIAL) *TRECHO URBANO*"/>
    <n v="336.6"/>
    <n v="337.8"/>
    <n v="1.2"/>
    <x v="0"/>
    <m/>
    <s v="381BMG0450"/>
    <s v="Federal"/>
    <m/>
    <m/>
    <m/>
    <s v="Federal"/>
    <s v="PAV"/>
    <s v="Contagem"/>
  </r>
  <r>
    <x v="0"/>
    <s v="262BMG0630"/>
    <n v="0"/>
    <x v="226"/>
    <s v="0630"/>
    <n v="-44.018643549560103"/>
    <n v="-19.952471090168601"/>
    <n v="-44.033610659704102"/>
    <n v="-19.959387329961199"/>
    <s v="262"/>
    <s v="MG"/>
    <s v="Eixo Principal"/>
    <s v="-"/>
    <s v="262BMG0630"/>
    <s v="ENTR MG-040 (PARQUE INDUSTRIAL)"/>
    <s v="PRAÇA CEMIG *TRECHO URBANO*"/>
    <n v="337.8"/>
    <n v="339.1"/>
    <n v="1.3"/>
    <x v="0"/>
    <m/>
    <s v="381BMG0460"/>
    <s v="Federal"/>
    <m/>
    <m/>
    <m/>
    <s v="Federal"/>
    <s v="PAV"/>
    <s v="Contagem"/>
  </r>
  <r>
    <x v="2"/>
    <s v="262BMG0640"/>
    <s v="BR-060/153/262/DF/GO/MG (Concebra)"/>
    <x v="226"/>
    <s v="0640"/>
    <n v="-44.033610659704102"/>
    <n v="-19.959387329961199"/>
    <n v="-44.203314149828003"/>
    <n v="-19.9858565298549"/>
    <s v="262"/>
    <s v="MG"/>
    <s v="Eixo Principal"/>
    <s v="-"/>
    <s v="262BMG0640"/>
    <s v="PRAÇA CEMIG"/>
    <s v="ENTR BR-381(C) (BETIM) *TRECHO URBANO*"/>
    <n v="339.1"/>
    <n v="360.1"/>
    <n v="21"/>
    <x v="0"/>
    <m/>
    <s v="381BMG0470"/>
    <s v="Concessão Federal"/>
    <m/>
    <m/>
    <m/>
    <s v="Federal"/>
    <s v="PAV"/>
    <s v="Contagem"/>
  </r>
  <r>
    <x v="2"/>
    <s v="262BMG0650"/>
    <s v="BR-060/153/262/DF/GO/MG (Concebra)"/>
    <x v="226"/>
    <s v="0650"/>
    <n v="-44.203314149828003"/>
    <n v="-19.9858565298549"/>
    <n v="-44.339536829860698"/>
    <n v="-19.959065170321299"/>
    <s v="262"/>
    <s v="MG"/>
    <s v="Eixo Principal"/>
    <s v="-"/>
    <s v="262BMG0650"/>
    <s v="ENTR BR-381(C) (BETIM)"/>
    <s v="ENTR MG-050 (P/MATEUS LEME)"/>
    <n v="360.1"/>
    <n v="376"/>
    <n v="15.9"/>
    <x v="0"/>
    <m/>
    <m/>
    <s v="Concessão Federal"/>
    <m/>
    <m/>
    <m/>
    <s v="Federal"/>
    <s v="PAV"/>
    <s v="Bom Despacho"/>
  </r>
  <r>
    <x v="2"/>
    <s v="262BMG0670"/>
    <s v="BR-060/153/262/DF/GO/MG (Concebra)"/>
    <x v="226"/>
    <s v="0670"/>
    <n v="-44.339536829860698"/>
    <n v="-19.959065170321299"/>
    <n v="-44.400854480249997"/>
    <n v="-19.930453990359201"/>
    <s v="262"/>
    <s v="MG"/>
    <s v="Eixo Principal"/>
    <s v="-"/>
    <s v="262BMG0670"/>
    <s v="ENTR MG-050 (P/MATEUS LEME)"/>
    <s v="ACESSO FLORESTAL"/>
    <n v="376"/>
    <n v="383.7"/>
    <n v="7.7"/>
    <x v="0"/>
    <m/>
    <m/>
    <s v="Concessão Federal"/>
    <m/>
    <m/>
    <m/>
    <s v="Federal"/>
    <s v="PAV"/>
    <s v="Bom Despacho"/>
  </r>
  <r>
    <x v="2"/>
    <s v="262BMG0685"/>
    <s v="BR-060/153/262/DF/GO/MG (Concebra)"/>
    <x v="226"/>
    <s v="0685"/>
    <n v="-44.400854480249997"/>
    <n v="-19.930453990359201"/>
    <n v="-44.605066739738199"/>
    <n v="-19.8840599795843"/>
    <s v="262"/>
    <s v="MG"/>
    <s v="Eixo Principal"/>
    <s v="-"/>
    <s v="262BMG0685"/>
    <s v="ACESSO FLORESTAL"/>
    <s v="ENTR BR-352 (PARÁ DE MINAS)"/>
    <n v="383.7"/>
    <n v="407.5"/>
    <n v="23.8"/>
    <x v="0"/>
    <m/>
    <m/>
    <s v="Concessão Federal"/>
    <m/>
    <m/>
    <m/>
    <s v="Federal"/>
    <s v="PAV"/>
    <s v="Bom Despacho"/>
  </r>
  <r>
    <x v="2"/>
    <s v="262BMG0690"/>
    <s v="BR-060/153/262/DF/GO/MG (Concebra)"/>
    <x v="226"/>
    <s v="0690"/>
    <n v="-44.605066739738199"/>
    <n v="-19.8840599795843"/>
    <n v="-44.614727419934397"/>
    <n v="-19.8835199699705"/>
    <s v="262"/>
    <s v="MG"/>
    <s v="Eixo Principal"/>
    <s v="-"/>
    <s v="262BMG0690"/>
    <s v="ENTR BR-352 (PARÁ DE MINAS)"/>
    <s v="ENTR MG-431"/>
    <n v="407.5"/>
    <n v="408.6"/>
    <n v="1.1000000000000001"/>
    <x v="0"/>
    <m/>
    <m/>
    <s v="Concessão Federal"/>
    <m/>
    <m/>
    <m/>
    <s v="Federal"/>
    <s v="PAV"/>
    <s v="Bom Despacho"/>
  </r>
  <r>
    <x v="2"/>
    <s v="262BMG0710"/>
    <s v="BR-060/153/262/DF/GO/MG (Concebra)"/>
    <x v="226"/>
    <s v="0710"/>
    <n v="-44.614727419934397"/>
    <n v="-19.8835199699705"/>
    <n v="-44.6984312896722"/>
    <n v="-19.898057429906402"/>
    <s v="262"/>
    <s v="MG"/>
    <s v="Eixo Principal"/>
    <s v="-"/>
    <s v="262BMG0710"/>
    <s v="ENTR MG-431"/>
    <s v="ENTR MG-430 (P/IGARATINGA)"/>
    <n v="408.6"/>
    <n v="419.1"/>
    <n v="10.5"/>
    <x v="0"/>
    <m/>
    <m/>
    <s v="Concessão Federal"/>
    <m/>
    <m/>
    <m/>
    <s v="Federal"/>
    <s v="PAV"/>
    <s v="Bom Despacho"/>
  </r>
  <r>
    <x v="2"/>
    <s v="262BMG0730"/>
    <s v="BR-060/153/262/DF/GO/MG (Concebra)"/>
    <x v="226"/>
    <s v="0730"/>
    <n v="-44.6984312896722"/>
    <n v="-19.898057429906402"/>
    <n v="-44.861255639735901"/>
    <n v="-19.897647349845201"/>
    <s v="262"/>
    <s v="MG"/>
    <s v="Eixo Principal"/>
    <s v="-"/>
    <s v="262BMG0730"/>
    <s v="ENTR MG-430 (P/IGARATINGA)"/>
    <s v="ACESSO SÃO GONÇALO  DO PARÁ"/>
    <n v="419.1"/>
    <n v="436.9"/>
    <n v="17.8"/>
    <x v="0"/>
    <m/>
    <m/>
    <s v="Concessão Federal"/>
    <m/>
    <m/>
    <m/>
    <s v="Federal"/>
    <s v="PAV"/>
    <s v="Bom Despacho"/>
  </r>
  <r>
    <x v="2"/>
    <s v="262BMG0740"/>
    <s v="BR-060/153/262/DF/GO/MG (Concebra)"/>
    <x v="226"/>
    <s v="0740"/>
    <n v="-44.861255639735901"/>
    <n v="-19.897647349845201"/>
    <n v="-44.908476720124398"/>
    <n v="-19.881573349630301"/>
    <s v="262"/>
    <s v="MG"/>
    <s v="Eixo Principal"/>
    <s v="-"/>
    <s v="262BMG0740"/>
    <s v="ACESSO SÃO GONÇALO  DO PARÁ"/>
    <s v="ENTR BR-494/MG-423"/>
    <n v="436.9"/>
    <n v="442.4"/>
    <n v="5.5"/>
    <x v="0"/>
    <m/>
    <m/>
    <s v="Concessão Federal"/>
    <m/>
    <m/>
    <m/>
    <s v="Federal"/>
    <s v="PAV"/>
    <s v="Bom Despacho"/>
  </r>
  <r>
    <x v="2"/>
    <s v="262BMG0745"/>
    <s v="BR-060/153/262/DF/GO/MG (Concebra)"/>
    <x v="226"/>
    <s v="0745"/>
    <n v="-44.908476720124398"/>
    <n v="-19.881573349630301"/>
    <n v="-45.005239680366898"/>
    <n v="-19.860709009812901"/>
    <s v="262"/>
    <s v="MG"/>
    <s v="Eixo Principal"/>
    <s v="-"/>
    <s v="262BMG0745"/>
    <s v="ENTR BR-494/MG-423"/>
    <s v="FIM DA TRAVESSIA DE NOVA SERRANA"/>
    <n v="442.4"/>
    <n v="452.6"/>
    <n v="10.199999999999999"/>
    <x v="0"/>
    <m/>
    <m/>
    <s v="Concessão Federal"/>
    <m/>
    <m/>
    <m/>
    <s v="Federal"/>
    <s v="PAV"/>
    <s v="Bom Despacho"/>
  </r>
  <r>
    <x v="2"/>
    <s v="262BMG0750"/>
    <s v="BR-060/153/262/DF/GO/MG (Concebra)"/>
    <x v="226"/>
    <s v="0750"/>
    <n v="-45.005239680366898"/>
    <n v="-19.860709009812901"/>
    <n v="-45.259741089779403"/>
    <n v="-19.7828815000811"/>
    <s v="262"/>
    <s v="MG"/>
    <s v="Eixo Principal"/>
    <s v="-"/>
    <s v="262BMG0750"/>
    <s v="FIM DA TRAVESSIA DE NOVA SERRANA"/>
    <s v="ENTR MG-164 (P/BOM DESPACHO)"/>
    <n v="452.6"/>
    <n v="482.1"/>
    <n v="29.5"/>
    <x v="2"/>
    <m/>
    <m/>
    <s v="Concessão Federal"/>
    <m/>
    <m/>
    <m/>
    <s v="Federal"/>
    <s v="PAV"/>
    <s v="Bom Despacho"/>
  </r>
  <r>
    <x v="2"/>
    <s v="262BMG0770"/>
    <s v="BR-060/153/262/DF/GO/MG (Concebra)"/>
    <x v="226"/>
    <s v="0770"/>
    <n v="-45.259741089779403"/>
    <n v="-19.7828815000811"/>
    <n v="-45.395817950138202"/>
    <n v="-19.785261480332998"/>
    <s v="262"/>
    <s v="MG"/>
    <s v="Eixo Principal"/>
    <s v="-"/>
    <s v="262BMG0770"/>
    <s v="ENTR MG-164 (P/BOM DESPACHO)"/>
    <s v="ENTR MG-170 (P/MOEMA)"/>
    <n v="482.1"/>
    <n v="496.5"/>
    <n v="14.4"/>
    <x v="2"/>
    <m/>
    <m/>
    <s v="Concessão Federal"/>
    <m/>
    <m/>
    <m/>
    <s v="Federal"/>
    <s v="PAV"/>
    <s v="Bom Despacho"/>
  </r>
  <r>
    <x v="2"/>
    <s v="262BMG0790"/>
    <s v="BR-060/153/262/DF/GO/MG (Concebra)"/>
    <x v="226"/>
    <s v="0790"/>
    <n v="-45.395817950138202"/>
    <n v="-19.785261480332998"/>
    <n v="-45.683117319808403"/>
    <n v="-19.7827754601193"/>
    <s v="262"/>
    <s v="MG"/>
    <s v="Eixo Principal"/>
    <s v="-"/>
    <s v="262BMG0790"/>
    <s v="ENTR MG-170 (P/MOEMA)"/>
    <s v="ENTR MG-176 (P/LUZ)"/>
    <n v="496.5"/>
    <n v="527.5"/>
    <n v="31"/>
    <x v="2"/>
    <m/>
    <m/>
    <s v="Concessão Federal"/>
    <m/>
    <m/>
    <m/>
    <s v="Federal"/>
    <s v="PAV"/>
    <s v="Bom Despacho"/>
  </r>
  <r>
    <x v="2"/>
    <s v="262BMG0810"/>
    <s v="BR-060/153/262/DF/GO/MG (Concebra)"/>
    <x v="226"/>
    <s v="0810"/>
    <n v="-45.683117319808403"/>
    <n v="-19.7827754601193"/>
    <n v="-45.853205690090398"/>
    <n v="-19.741554220251"/>
    <s v="262"/>
    <s v="MG"/>
    <s v="Eixo Principal"/>
    <s v="-"/>
    <s v="262BMG0810"/>
    <s v="ENTR MG-176 (P/LUZ)"/>
    <s v="ACESSO CÓRREGO DANTA"/>
    <n v="527.5"/>
    <n v="546.9"/>
    <n v="19.399999999999999"/>
    <x v="2"/>
    <m/>
    <m/>
    <s v="Concessão Federal"/>
    <m/>
    <m/>
    <m/>
    <s v="Federal"/>
    <s v="PAV"/>
    <s v="Bom Despacho"/>
  </r>
  <r>
    <x v="2"/>
    <s v="262BMG0820"/>
    <s v="BR-060/153/262/DF/GO/MG (Concebra)"/>
    <x v="226"/>
    <s v="0820"/>
    <n v="-45.853205690090398"/>
    <n v="-19.741554220251"/>
    <n v="-46.015715639864801"/>
    <n v="-19.734259230079299"/>
    <s v="262"/>
    <s v="MG"/>
    <s v="Eixo Principal"/>
    <s v="-"/>
    <s v="262BMG0820"/>
    <s v="ACESSO CÓRREGO DANTA"/>
    <s v="ENTR BR-354(A) (P/BAMBUÍ)"/>
    <n v="546.9"/>
    <n v="570.20000000000005"/>
    <n v="23.3"/>
    <x v="2"/>
    <m/>
    <m/>
    <s v="Concessão Federal"/>
    <m/>
    <m/>
    <m/>
    <s v="Federal"/>
    <s v="PAV"/>
    <s v="Bom Despacho"/>
  </r>
  <r>
    <x v="2"/>
    <s v="262BMG0830"/>
    <s v="BR-060/153/262/DF/GO/MG (Concebra)"/>
    <x v="226"/>
    <s v="0830"/>
    <n v="-46.015715639864801"/>
    <n v="-19.734259230079299"/>
    <n v="-46.070320479806199"/>
    <n v="-19.6492188400773"/>
    <s v="262"/>
    <s v="MG"/>
    <s v="Eixo Principal"/>
    <s v="-"/>
    <s v="262BMG0830"/>
    <s v="ENTR BR-354(A) (P/BAMBUÍ)"/>
    <s v="ENTR BR-354(B)"/>
    <n v="570.20000000000005"/>
    <n v="583.20000000000005"/>
    <n v="13"/>
    <x v="2"/>
    <m/>
    <s v="354BMG0230"/>
    <s v="Concessão Federal"/>
    <m/>
    <m/>
    <m/>
    <s v="Federal"/>
    <s v="PAV"/>
    <s v="Bom Despacho"/>
  </r>
  <r>
    <x v="2"/>
    <s v="262BMG0850"/>
    <s v="BR-060/153/262/DF/GO/MG (Concebra)"/>
    <x v="226"/>
    <s v="0850"/>
    <n v="-46.070320479806199"/>
    <n v="-19.6492188400773"/>
    <n v="-46.160319559799802"/>
    <n v="-19.6664151699241"/>
    <s v="262"/>
    <s v="MG"/>
    <s v="Eixo Principal"/>
    <s v="-"/>
    <s v="262BMG0850"/>
    <s v="ENTR BR-354(B)"/>
    <s v="ACESSO CAMPOS ALTOS"/>
    <n v="583.20000000000005"/>
    <n v="594.29999999999995"/>
    <n v="11.1"/>
    <x v="2"/>
    <m/>
    <m/>
    <s v="Concessão Federal"/>
    <m/>
    <m/>
    <m/>
    <s v="Federal"/>
    <s v="PAV"/>
    <s v="Patos de Minas"/>
  </r>
  <r>
    <x v="2"/>
    <s v="262BMG0870"/>
    <s v="BR-060/153/262/DF/GO/MG (Concebra)"/>
    <x v="226"/>
    <s v="0870"/>
    <n v="-46.160319559799802"/>
    <n v="-19.6664151699241"/>
    <n v="-46.489096389786503"/>
    <n v="-19.593254690151799"/>
    <s v="262"/>
    <s v="MG"/>
    <s v="Eixo Principal"/>
    <s v="-"/>
    <s v="262BMG0870"/>
    <s v="ACESSO CAMPOS ALTOS"/>
    <s v="ENTR MG-187 (P/IBIÁ)"/>
    <n v="594.29999999999995"/>
    <n v="635.20000000000005"/>
    <n v="40.9"/>
    <x v="2"/>
    <m/>
    <m/>
    <s v="Concessão Federal"/>
    <m/>
    <m/>
    <m/>
    <s v="Federal"/>
    <s v="PAV"/>
    <s v="Patos de Minas"/>
  </r>
  <r>
    <x v="2"/>
    <s v="262BMG0890"/>
    <s v="BR-060/153/262/DF/GO/MG (Concebra)"/>
    <x v="226"/>
    <s v="0890"/>
    <n v="-46.489096389786503"/>
    <n v="-19.593254690151799"/>
    <n v="-46.891520689628003"/>
    <n v="-19.553275229667999"/>
    <s v="262"/>
    <s v="MG"/>
    <s v="Eixo Principal"/>
    <s v="-"/>
    <s v="262BMG0890"/>
    <s v="ENTR MG-187 (P/IBIÁ)"/>
    <s v="ENTR BR-146 (P/ARAXÁ)"/>
    <n v="635.20000000000005"/>
    <n v="681.8"/>
    <n v="46.6"/>
    <x v="2"/>
    <m/>
    <m/>
    <s v="Concessão Federal"/>
    <m/>
    <m/>
    <m/>
    <s v="Federal"/>
    <s v="PAV"/>
    <s v="Patos de Minas"/>
  </r>
  <r>
    <x v="2"/>
    <s v="262BMG0910"/>
    <s v="BR-060/153/262/DF/GO/MG (Concebra)"/>
    <x v="226"/>
    <s v="0910"/>
    <n v="-46.891520689628003"/>
    <n v="-19.553275229667999"/>
    <n v="-46.974904559897404"/>
    <n v="-19.562150370043501"/>
    <s v="262"/>
    <s v="MG"/>
    <s v="Eixo Principal"/>
    <s v="-"/>
    <s v="262BMG0910"/>
    <s v="ENTR BR-146 (P/ARAXÁ)"/>
    <s v="ENTR BR-452 (P/UBERLÂNDIA)"/>
    <n v="681.8"/>
    <n v="691.6"/>
    <n v="9.8000000000000007"/>
    <x v="2"/>
    <m/>
    <m/>
    <s v="Concessão Federal"/>
    <m/>
    <m/>
    <m/>
    <s v="Federal"/>
    <s v="PAV"/>
    <s v="Patos de Minas"/>
  </r>
  <r>
    <x v="2"/>
    <s v="262BMG0930"/>
    <s v="BR-060/153/262/DF/GO/MG (Concebra)"/>
    <x v="226"/>
    <s v="0930"/>
    <n v="-46.974904559897404"/>
    <n v="-19.562150370043501"/>
    <n v="-47.341397079611497"/>
    <n v="-19.618152420097999"/>
    <s v="262"/>
    <s v="MG"/>
    <s v="Eixo Principal"/>
    <s v="-"/>
    <s v="262BMG0930"/>
    <s v="ENTR BR-452 (P/UBERLÂNDIA)"/>
    <s v="ENTR BR-462 (PERDIZES)"/>
    <n v="691.6"/>
    <n v="733"/>
    <n v="41.4"/>
    <x v="2"/>
    <m/>
    <m/>
    <s v="Concessão Federal"/>
    <m/>
    <m/>
    <m/>
    <s v="Federal"/>
    <s v="PAV"/>
    <s v="Patos de Minas"/>
  </r>
  <r>
    <x v="2"/>
    <s v="262BMG0950"/>
    <s v="BR-060/153/262/DF/GO/MG (Concebra)"/>
    <x v="226"/>
    <s v="0950"/>
    <n v="-47.341397079611497"/>
    <n v="-19.618152420097999"/>
    <n v="-47.510626619822602"/>
    <n v="-19.642752030181999"/>
    <s v="262"/>
    <s v="MG"/>
    <s v="Eixo Principal"/>
    <s v="-"/>
    <s v="262BMG0950"/>
    <s v="ENTR BR-462 (PERDIZES)"/>
    <s v="ENTR MG-190 (P/SACRAMENTO)"/>
    <n v="733"/>
    <n v="751.6"/>
    <n v="18.600000000000001"/>
    <x v="2"/>
    <m/>
    <m/>
    <s v="Concessão Federal"/>
    <m/>
    <m/>
    <m/>
    <s v="Federal"/>
    <s v="PAV"/>
    <s v="Uberlândia"/>
  </r>
  <r>
    <x v="2"/>
    <s v="262BMG0970"/>
    <s v="BR-060/153/262/DF/GO/MG (Concebra)"/>
    <x v="226"/>
    <s v="0970"/>
    <n v="-47.510626619822602"/>
    <n v="-19.642752030181999"/>
    <n v="-47.667884970415002"/>
    <n v="-19.683267269868502"/>
    <s v="262"/>
    <s v="MG"/>
    <s v="Eixo Principal"/>
    <s v="-"/>
    <s v="262BMG0970"/>
    <s v="ENTR MG-190 (P/SACRAMENTO)"/>
    <s v="ENTR ACESSO PONTE ALTA"/>
    <n v="751.6"/>
    <n v="768.4"/>
    <n v="16.8"/>
    <x v="2"/>
    <m/>
    <m/>
    <s v="Concessão Federal"/>
    <m/>
    <m/>
    <m/>
    <s v="Federal"/>
    <s v="PAV"/>
    <s v="Uberlândia"/>
  </r>
  <r>
    <x v="2"/>
    <s v="262BMG0990"/>
    <s v="BR-060/153/262/DF/GO/MG (Concebra)"/>
    <x v="226"/>
    <s v="0990"/>
    <n v="-47.667884970415002"/>
    <n v="-19.683267269868502"/>
    <n v="-47.883650390353097"/>
    <n v="-19.767102490087701"/>
    <s v="262"/>
    <s v="MG"/>
    <s v="Eixo Principal"/>
    <s v="-"/>
    <s v="262BMG0990"/>
    <s v="ENTR ACESSO PONTE ALTA"/>
    <s v="INÍCIO PISTA DUPLA (UBERABA)"/>
    <n v="768.4"/>
    <n v="794.9"/>
    <n v="26.5"/>
    <x v="2"/>
    <m/>
    <m/>
    <s v="Concessão Federal"/>
    <m/>
    <m/>
    <m/>
    <s v="Federal"/>
    <s v="PAV"/>
    <s v="Uberlândia"/>
  </r>
  <r>
    <x v="2"/>
    <s v="262BMG0995"/>
    <s v="BR-060/153/262/DF/GO/MG (Concebra)"/>
    <x v="226"/>
    <s v="0995"/>
    <n v="-47.883650390353097"/>
    <n v="-19.767102490087701"/>
    <n v="-47.923785869722003"/>
    <n v="-19.777893520069799"/>
    <s v="262"/>
    <s v="MG"/>
    <s v="Eixo Principal"/>
    <s v="-"/>
    <s v="262BMG0995"/>
    <s v="INÍCIO PISTA DUPLA (UBERABA)"/>
    <s v="ENTR BR-050(A)/464(A) (UBERABA)"/>
    <n v="794.9"/>
    <n v="799"/>
    <n v="4.0999999999999996"/>
    <x v="0"/>
    <m/>
    <m/>
    <s v="Concessão Federal"/>
    <m/>
    <m/>
    <m/>
    <s v="Federal"/>
    <s v="PAV"/>
    <s v="Uberlândia"/>
  </r>
  <r>
    <x v="0"/>
    <s v="262BMG1000"/>
    <n v="0"/>
    <x v="226"/>
    <s v="1000"/>
    <n v="-47.923785869722003"/>
    <n v="-19.777893520069799"/>
    <n v="-47.973433199582402"/>
    <n v="-19.770816489589201"/>
    <s v="262"/>
    <s v="MG"/>
    <s v="Eixo Principal"/>
    <s v="Coinc"/>
    <s v="262BMG1000"/>
    <s v="ENTR BR-050(A)/464(A) (UBERABA)"/>
    <s v="ENTR BR-050(B)"/>
    <n v="799"/>
    <n v="804.8"/>
    <n v="5.8"/>
    <x v="0"/>
    <m/>
    <s v="464BMG0055;050BMG0265"/>
    <s v="Concessão Federal"/>
    <m/>
    <m/>
    <m/>
    <s v="Federal"/>
    <s v="PAV"/>
    <s v="Uberlândia"/>
  </r>
  <r>
    <x v="2"/>
    <s v="262BMG1005"/>
    <s v="BR-060/153/262/DF/GO/MG (Concebra)"/>
    <x v="226"/>
    <s v="1005"/>
    <n v="-47.973433199582402"/>
    <n v="-19.770816489589201"/>
    <n v="-48.110548960366202"/>
    <n v="-19.764568929912102"/>
    <s v="262"/>
    <s v="MG"/>
    <s v="Eixo Principal"/>
    <s v="-"/>
    <s v="262BMG1005"/>
    <s v="ENTR BR-050(B)"/>
    <s v="FIM PISTA DUPLA"/>
    <n v="804.8"/>
    <n v="809.6"/>
    <n v="4.8"/>
    <x v="0"/>
    <m/>
    <s v="464BMG0050"/>
    <s v="Concessão Federal"/>
    <m/>
    <m/>
    <m/>
    <s v="Federal"/>
    <s v="PAV"/>
    <s v="Uberlândia"/>
  </r>
  <r>
    <x v="2"/>
    <s v="262BMG1010"/>
    <s v="BR-060/153/262/DF/GO/MG (Concebra)"/>
    <x v="226"/>
    <s v="1010"/>
    <n v="-48.110548960366202"/>
    <n v="-19.764568929912102"/>
    <n v="-48.137391809684203"/>
    <n v="-19.762264859635501"/>
    <s v="262"/>
    <s v="MG"/>
    <s v="Eixo Principal"/>
    <s v="-"/>
    <s v="262BMG1010"/>
    <s v="FIM PISTA DUPLA"/>
    <s v="ENTR BR-464(B)"/>
    <n v="809.6"/>
    <n v="822.1"/>
    <n v="12.5"/>
    <x v="2"/>
    <m/>
    <s v="464BMG0045"/>
    <s v="Concessão Federal"/>
    <m/>
    <m/>
    <m/>
    <s v="Federal"/>
    <s v="PAV"/>
    <s v="Uberlândia"/>
  </r>
  <r>
    <x v="2"/>
    <s v="262BMG1015"/>
    <s v="BR-060/153/262/DF/GO/MG (Concebra)"/>
    <x v="226"/>
    <s v="1015"/>
    <n v="-48.137391809684203"/>
    <n v="-19.762264859635501"/>
    <n v="-48.584699299732797"/>
    <n v="-19.765020820354501"/>
    <s v="262"/>
    <s v="MG"/>
    <s v="Eixo Principal"/>
    <s v="-"/>
    <s v="262BMG1015"/>
    <s v="ENTR BR-464(B)"/>
    <s v="ENTR BR-455 (P/CAMPO FLORIDO)"/>
    <n v="822.1"/>
    <n v="888.9"/>
    <n v="66.8"/>
    <x v="2"/>
    <m/>
    <m/>
    <s v="Concessão Federal"/>
    <m/>
    <m/>
    <m/>
    <s v="Federal"/>
    <s v="PAV"/>
    <s v="Uberlândia"/>
  </r>
  <r>
    <x v="2"/>
    <s v="262BMG1020"/>
    <s v="BR-060/153/262/DF/GO/MG (Concebra)"/>
    <x v="226"/>
    <s v="1020"/>
    <n v="-48.584699299732797"/>
    <n v="-19.765020820354501"/>
    <n v="-48.775267920178301"/>
    <n v="-19.668963659745"/>
    <s v="262"/>
    <s v="MG"/>
    <s v="Eixo Principal"/>
    <s v="-"/>
    <s v="262BMG1020"/>
    <s v="ENTR BR-455 (P/CAMPO FLORIDO)"/>
    <s v="ACESSO POUSO ALTO"/>
    <n v="888.9"/>
    <n v="910.2"/>
    <n v="21.3"/>
    <x v="2"/>
    <m/>
    <m/>
    <s v="Concessão Federal"/>
    <m/>
    <m/>
    <m/>
    <s v="Federal"/>
    <s v="PAV"/>
    <s v="Uberlândia"/>
  </r>
  <r>
    <x v="2"/>
    <s v="262BMG1030"/>
    <s v="BR-060/153/262/DF/GO/MG (Concebra)"/>
    <x v="226"/>
    <s v="1030"/>
    <n v="-48.775267920178301"/>
    <n v="-19.668963659745"/>
    <n v="-48.849149550111598"/>
    <n v="-19.629688999747401"/>
    <s v="262"/>
    <s v="MG"/>
    <s v="Eixo Principal"/>
    <s v="-"/>
    <s v="262BMG1030"/>
    <s v="ACESSO POUSO ALTO"/>
    <s v="ENTR BR-153(A) (P/POUSO ALTO)"/>
    <n v="910.2"/>
    <n v="923.2"/>
    <n v="13"/>
    <x v="2"/>
    <m/>
    <m/>
    <s v="Concessão Federal"/>
    <m/>
    <m/>
    <m/>
    <s v="Federal"/>
    <s v="PAV"/>
    <s v="Uberlândia"/>
  </r>
  <r>
    <x v="0"/>
    <s v="262BMG1040"/>
    <n v="0"/>
    <x v="226"/>
    <s v="1040"/>
    <n v="-48.849149550111598"/>
    <n v="-19.629688999747401"/>
    <n v="-48.973782149826299"/>
    <n v="-19.728921379617901"/>
    <s v="262"/>
    <s v="MG"/>
    <s v="Eixo Principal"/>
    <s v="Coinc"/>
    <s v="262BMG1040"/>
    <s v="ENTR BR-153(A) (P/POUSO ALTO)"/>
    <s v="ENTR BR-364(A)/153(A) (P/COMENDADOR GOMES)"/>
    <n v="923.2"/>
    <n v="941.2"/>
    <n v="18"/>
    <x v="2"/>
    <m/>
    <s v="153BMG0863"/>
    <s v="Concessão Federal"/>
    <m/>
    <m/>
    <m/>
    <s v="Federal"/>
    <s v="PAV"/>
    <s v="Prata"/>
  </r>
  <r>
    <x v="0"/>
    <s v="262BMG1050"/>
    <n v="0"/>
    <x v="226"/>
    <s v="1050"/>
    <n v="-48.973782149826299"/>
    <n v="-19.728921379617901"/>
    <n v="-48.9601756500861"/>
    <n v="-19.942016019923301"/>
    <s v="262"/>
    <s v="MG"/>
    <s v="Eixo Principal"/>
    <s v="Coinc"/>
    <s v="262BMG1050"/>
    <s v="ENTR BR-364(A)/153(A) (P/COMENDADOR GOMES)"/>
    <s v="ENTR BR-364(B)/153(B) (P/FRUTAL)"/>
    <n v="941.2"/>
    <n v="965.8"/>
    <n v="24.6"/>
    <x v="2"/>
    <m/>
    <s v="153BMG0870;364BMG0290"/>
    <s v="Concessão Federal"/>
    <m/>
    <m/>
    <m/>
    <s v="Federal"/>
    <s v="PAV"/>
    <s v="Prata"/>
  </r>
  <r>
    <x v="0"/>
    <s v="262BMG1060"/>
    <n v="0"/>
    <x v="226"/>
    <s v="1060"/>
    <n v="-48.9601756500861"/>
    <n v="-19.942016019923301"/>
    <n v="-49.047119570311899"/>
    <n v="-20.019917310035702"/>
    <s v="262"/>
    <s v="MG"/>
    <s v="Eixo Principal"/>
    <s v="Coinc"/>
    <s v="262BMG1060"/>
    <s v="ENTR BR-364(B)/153(B) (P/FRUTAL)"/>
    <s v="ENTR MG-255"/>
    <n v="965.8"/>
    <n v="978.8"/>
    <n v="13"/>
    <x v="2"/>
    <m/>
    <s v="153BMG0890"/>
    <s v="Concessão Federal"/>
    <m/>
    <m/>
    <m/>
    <s v="Federal"/>
    <s v="PAV"/>
    <s v="Prata"/>
  </r>
  <r>
    <x v="0"/>
    <s v="262BMG1070"/>
    <n v="0"/>
    <x v="226"/>
    <s v="1070"/>
    <n v="-49.047119570311899"/>
    <n v="-20.019917310035702"/>
    <n v="-49.207646380076298"/>
    <n v="-20.3065298503722"/>
    <s v="262"/>
    <s v="MG"/>
    <s v="Eixo Principal"/>
    <s v="Coinc"/>
    <s v="262BMG1070"/>
    <s v="ENTR MG-255"/>
    <s v="ENTR BR-153(B)/FIM PONTE S/RIO GRANDE (DIV MG/SP)"/>
    <n v="978.8"/>
    <n v="1015.4"/>
    <n v="36.6"/>
    <x v="2"/>
    <m/>
    <s v="153BMG0910"/>
    <s v="Concessão Federal"/>
    <m/>
    <m/>
    <m/>
    <s v="Federal"/>
    <s v="PAV"/>
    <s v="Prata"/>
  </r>
  <r>
    <x v="0"/>
    <s v="262BMS1260"/>
    <n v="0"/>
    <x v="227"/>
    <s v="1260"/>
    <n v="-51.621378420377702"/>
    <n v="-20.7910577699001"/>
    <n v="-51.634866070212901"/>
    <n v="-20.789625040163401"/>
    <s v="262"/>
    <s v="MS"/>
    <s v="Eixo Principal"/>
    <s v="-"/>
    <s v="262BMS1260"/>
    <s v="DIV SP/MS (INÍCIO PONTE S/ RIO PARANÁ)"/>
    <s v="FIM PONTE S/ RIO PARANÁ"/>
    <n v="0"/>
    <n v="1.5"/>
    <n v="1.5"/>
    <x v="2"/>
    <m/>
    <m/>
    <s v="Federal"/>
    <m/>
    <m/>
    <m/>
    <s v="Federal"/>
    <s v="PAV"/>
    <s v="Três Lagoas"/>
  </r>
  <r>
    <x v="0"/>
    <s v="262BMS1265"/>
    <n v="0"/>
    <x v="227"/>
    <s v="1265"/>
    <n v="-51.634866070212901"/>
    <n v="-20.789625040163401"/>
    <n v="-51.656488810110403"/>
    <n v="-20.782086869713201"/>
    <s v="262"/>
    <s v="MS"/>
    <s v="Eixo Principal"/>
    <s v="-"/>
    <s v="262BMS1265"/>
    <s v="FIM PONTE S/ RIO PARANÁ"/>
    <s v="TREVO DA CESP"/>
    <n v="1.5"/>
    <n v="4.2"/>
    <n v="2.7"/>
    <x v="2"/>
    <m/>
    <m/>
    <s v="Federal"/>
    <m/>
    <m/>
    <m/>
    <s v="Federal"/>
    <s v="PAV"/>
    <s v="Três Lagoas"/>
  </r>
  <r>
    <x v="0"/>
    <s v="262BMS1275"/>
    <n v="0"/>
    <x v="227"/>
    <s v="1275"/>
    <n v="-51.656488810110403"/>
    <n v="-20.782086869713201"/>
    <n v="-51.662889769846899"/>
    <n v="-20.7819640196237"/>
    <s v="262"/>
    <s v="MS"/>
    <s v="Eixo Principal"/>
    <s v="-"/>
    <s v="262BMS1275"/>
    <s v="TREVO DA CESP"/>
    <s v="INÍCIO DA DUPLICAÇÃO"/>
    <n v="4.2"/>
    <n v="5"/>
    <n v="0.8"/>
    <x v="2"/>
    <m/>
    <m/>
    <s v="Federal"/>
    <m/>
    <m/>
    <m/>
    <s v="Federal"/>
    <s v="PAV"/>
    <s v="Três Lagoas"/>
  </r>
  <r>
    <x v="0"/>
    <s v="262BMS1280"/>
    <n v="0"/>
    <x v="227"/>
    <s v="1280"/>
    <n v="-51.662889769846899"/>
    <n v="-20.7819640196237"/>
    <n v="-51.670185789742298"/>
    <n v="-20.782022880251699"/>
    <s v="262"/>
    <s v="MS"/>
    <s v="Eixo Principal"/>
    <s v="-"/>
    <s v="262BMS1280"/>
    <s v="INÍCIO DA DUPLICAÇÃO"/>
    <s v="ENTR BR-158(A) (TRÊS LAGOAS)"/>
    <n v="5"/>
    <n v="5.7"/>
    <n v="0.7"/>
    <x v="0"/>
    <m/>
    <m/>
    <s v="Federal"/>
    <m/>
    <m/>
    <m/>
    <s v="Federal"/>
    <s v="PAV"/>
    <s v="Três Lagoas"/>
  </r>
  <r>
    <x v="0"/>
    <s v="262BMS1285"/>
    <n v="0"/>
    <x v="227"/>
    <s v="1285"/>
    <n v="-51.670185789742298"/>
    <n v="-20.782022880251699"/>
    <n v="-51.687735869714501"/>
    <n v="-20.8060216298942"/>
    <s v="262"/>
    <s v="MS"/>
    <s v="Eixo Principal"/>
    <s v="Coinc"/>
    <s v="262BMS1285"/>
    <s v="ENTR BR-158(A) (TRÊS LAGOAS)"/>
    <s v="FIM PISTA DUPLA"/>
    <n v="5.7"/>
    <n v="9.1"/>
    <n v="3.4"/>
    <x v="0"/>
    <m/>
    <s v="158BMS0525"/>
    <s v="Federal"/>
    <m/>
    <m/>
    <m/>
    <s v="Federal"/>
    <s v="PAV"/>
    <s v="Três Lagoas"/>
  </r>
  <r>
    <x v="0"/>
    <s v="262BMS1288"/>
    <n v="0"/>
    <x v="227"/>
    <s v="1288"/>
    <n v="-51.687735869714501"/>
    <n v="-20.8060216298942"/>
    <n v="-51.724657639738197"/>
    <n v="-20.816301389897198"/>
    <s v="262"/>
    <s v="MS"/>
    <s v="Eixo Principal"/>
    <s v="Coinc"/>
    <s v="262BMS1288"/>
    <s v="FIM PISTA DUPLA"/>
    <s v="ENTR BR-158(B) (P/BRASILÂNDIA)"/>
    <n v="9.1"/>
    <n v="13.4"/>
    <n v="4.3"/>
    <x v="2"/>
    <m/>
    <s v="158BMS0528"/>
    <s v="Federal"/>
    <m/>
    <m/>
    <m/>
    <s v="Federal"/>
    <s v="PAV"/>
    <s v="Três Lagoas"/>
  </r>
  <r>
    <x v="0"/>
    <s v="262BMS1290"/>
    <n v="0"/>
    <x v="227"/>
    <s v="1290"/>
    <n v="-51.724657639738197"/>
    <n v="-20.816301389897198"/>
    <n v="-52.056019359605699"/>
    <n v="-20.752812419957099"/>
    <s v="262"/>
    <s v="MS"/>
    <s v="Eixo Principal"/>
    <s v="-"/>
    <s v="262BMS1290"/>
    <s v="ENTR BR-158(B) (P/BRASILÂNDIA)"/>
    <s v="ENTR MS-459 (P/ARAPUÁ)"/>
    <n v="13.4"/>
    <n v="49.4"/>
    <n v="36"/>
    <x v="2"/>
    <m/>
    <m/>
    <s v="Federal"/>
    <m/>
    <m/>
    <m/>
    <s v="Federal"/>
    <s v="PAV"/>
    <s v="Três Lagoas"/>
  </r>
  <r>
    <x v="0"/>
    <s v="262BMS1300"/>
    <n v="0"/>
    <x v="227"/>
    <s v="1300"/>
    <n v="-52.056019359605699"/>
    <n v="-20.752812419957099"/>
    <n v="-52.227024309923898"/>
    <n v="-20.681623499624699"/>
    <s v="262"/>
    <s v="MS"/>
    <s v="Eixo Principal"/>
    <s v="-"/>
    <s v="262BMS1300"/>
    <s v="ENTR MS-459 (P/ARAPUÁ)"/>
    <s v="ENTR MS-453 (P/GARCIAS)"/>
    <n v="49.4"/>
    <n v="69.099999999999994"/>
    <n v="19.7"/>
    <x v="2"/>
    <m/>
    <m/>
    <s v="Federal"/>
    <m/>
    <m/>
    <m/>
    <s v="Federal"/>
    <s v="PAV"/>
    <s v="Três Lagoas"/>
  </r>
  <r>
    <x v="0"/>
    <s v="262BMS1305"/>
    <n v="0"/>
    <x v="227"/>
    <s v="1305"/>
    <n v="-52.227024309923898"/>
    <n v="-20.681623499624699"/>
    <n v="-52.840838569844003"/>
    <n v="-20.445961500322898"/>
    <s v="262"/>
    <s v="MS"/>
    <s v="Eixo Principal"/>
    <s v="-"/>
    <s v="262BMS1305"/>
    <s v="ENTR MS-453 (P/GARCIAS)"/>
    <s v="ENTR MS-124/377 (P/INOCÊNCIA)"/>
    <n v="69.099999999999994"/>
    <n v="139.6"/>
    <n v="70.5"/>
    <x v="2"/>
    <m/>
    <m/>
    <s v="Federal"/>
    <m/>
    <m/>
    <m/>
    <s v="Federal"/>
    <s v="PAV"/>
    <s v="Três Lagoas"/>
  </r>
  <r>
    <x v="0"/>
    <s v="262BMS1310"/>
    <n v="0"/>
    <x v="227"/>
    <s v="1310"/>
    <n v="-52.840838569844003"/>
    <n v="-20.445961500322898"/>
    <n v="-52.8754935797648"/>
    <n v="-20.445274599942699"/>
    <s v="262"/>
    <s v="MS"/>
    <s v="Eixo Principal"/>
    <s v="-"/>
    <s v="262BMS1310"/>
    <s v="ENTR MS-124/377 (P/INOCÊNCIA)"/>
    <s v="INICIO DUPLICAÇÃO (ÁGUA CLARA) *TRECHO URBANO*"/>
    <n v="139.6"/>
    <n v="143.30000000000001"/>
    <n v="3.7"/>
    <x v="2"/>
    <m/>
    <m/>
    <s v="Federal"/>
    <m/>
    <m/>
    <m/>
    <s v="Federal"/>
    <s v="PAV"/>
    <s v="Três Lagoas"/>
  </r>
  <r>
    <x v="0"/>
    <s v="262BMS1314"/>
    <n v="0"/>
    <x v="227"/>
    <s v="1314"/>
    <n v="-52.8754935797648"/>
    <n v="-20.445274599942699"/>
    <n v="-52.8842206395707"/>
    <n v="-20.443436800268"/>
    <s v="262"/>
    <s v="MS"/>
    <s v="Eixo Principal"/>
    <s v="-"/>
    <s v="262BMS1314"/>
    <s v="INICIO DUPLICAÇÃO (ÁGUA CLARA)"/>
    <s v="FINAL PISTA DUPLA *TRECHO URBANO*"/>
    <n v="143.30000000000001"/>
    <n v="144.19999999999999"/>
    <n v="0.9"/>
    <x v="0"/>
    <m/>
    <m/>
    <s v="Federal"/>
    <m/>
    <m/>
    <m/>
    <s v="Federal"/>
    <s v="PAV"/>
    <s v="Campo Grande"/>
  </r>
  <r>
    <x v="0"/>
    <s v="262BMS1316"/>
    <n v="0"/>
    <x v="227"/>
    <s v="1316"/>
    <n v="-52.8842206395707"/>
    <n v="-20.443436800268"/>
    <n v="-53.3030095303655"/>
    <n v="-20.4463022903183"/>
    <s v="262"/>
    <s v="MS"/>
    <s v="Eixo Principal"/>
    <s v="-"/>
    <s v="262BMS1316"/>
    <s v="FINAL PISTA DUPLA"/>
    <s v="ENTR MS-338 (P/SANTA RITA DO PARDO)"/>
    <n v="144.19999999999999"/>
    <n v="191.1"/>
    <n v="46.9"/>
    <x v="2"/>
    <m/>
    <m/>
    <s v="Federal"/>
    <m/>
    <m/>
    <m/>
    <s v="Federal"/>
    <s v="PAV"/>
    <s v="Campo Grande"/>
  </r>
  <r>
    <x v="0"/>
    <s v="262BMS1320"/>
    <n v="0"/>
    <x v="227"/>
    <s v="1320"/>
    <n v="-53.3030095303655"/>
    <n v="-20.4463022903183"/>
    <n v="-53.760748210061799"/>
    <n v="-20.457267549557699"/>
    <s v="262"/>
    <s v="MS"/>
    <s v="Eixo Principal"/>
    <s v="-"/>
    <s v="262BMS1320"/>
    <s v="ENTR MS-338 (P/SANTA RITA DO PARDO)"/>
    <s v="ENTR MS-340 (RIBAS DO RIO PARDO)"/>
    <n v="191.1"/>
    <n v="239.4"/>
    <n v="48.3"/>
    <x v="2"/>
    <m/>
    <m/>
    <s v="Federal"/>
    <m/>
    <m/>
    <m/>
    <s v="Federal"/>
    <s v="PAV"/>
    <s v="Campo Grande"/>
  </r>
  <r>
    <x v="0"/>
    <s v="262BMS1325"/>
    <n v="0"/>
    <x v="227"/>
    <s v="1325"/>
    <n v="-53.760748210061799"/>
    <n v="-20.457267549557699"/>
    <n v="-54.524208629624503"/>
    <n v="-20.4684158604035"/>
    <s v="262"/>
    <s v="MS"/>
    <s v="Eixo Principal"/>
    <s v="-"/>
    <s v="262BMS1325"/>
    <s v="ENTR MS-340 (RIBAS DO RIO PARDO)"/>
    <s v="INÍCIO PISTA DUPLA"/>
    <n v="239.4"/>
    <n v="324.8"/>
    <n v="85.4"/>
    <x v="2"/>
    <m/>
    <m/>
    <s v="Federal"/>
    <m/>
    <m/>
    <m/>
    <s v="Federal"/>
    <s v="PAV"/>
    <s v="Campo Grande"/>
  </r>
  <r>
    <x v="0"/>
    <s v="262BMS1328"/>
    <n v="0"/>
    <x v="227"/>
    <s v="1328"/>
    <n v="-54.524208629624503"/>
    <n v="-20.4684158604035"/>
    <n v="-54.555620900084399"/>
    <n v="-20.463766590255801"/>
    <s v="262"/>
    <s v="MS"/>
    <s v="Eixo Principal"/>
    <s v="-"/>
    <s v="262BMS1328"/>
    <s v="INÍCIO PISTA DUPLA"/>
    <s v="ENTR BR-163(A) (CAMPO GRANDE)"/>
    <n v="324.8"/>
    <n v="328.2"/>
    <n v="3.4"/>
    <x v="0"/>
    <m/>
    <m/>
    <s v="Federal"/>
    <m/>
    <m/>
    <m/>
    <s v="Federal"/>
    <s v="PAV"/>
    <s v="Campo Grande"/>
  </r>
  <r>
    <x v="0"/>
    <s v="262BMS1330"/>
    <n v="0"/>
    <x v="227"/>
    <s v="1330"/>
    <n v="-54.555620900084399"/>
    <n v="-20.463766590255801"/>
    <n v="-54.555956660171702"/>
    <n v="-20.554703610083401"/>
    <s v="262"/>
    <s v="MS"/>
    <s v="Eixo Principal"/>
    <s v="Coinc"/>
    <s v="262BMS1330"/>
    <s v="ENTR BR-163(A) (CAMPO GRANDE)"/>
    <s v="ENTR MS-040 (CAMPO GRANDE) (TRÊS BARRAS)"/>
    <n v="328.2"/>
    <n v="339.4"/>
    <n v="11.2"/>
    <x v="2"/>
    <m/>
    <s v="163BMS0396"/>
    <s v="Concessão Federal"/>
    <m/>
    <m/>
    <m/>
    <s v="Federal"/>
    <s v="PAV"/>
    <s v="Coxim"/>
  </r>
  <r>
    <x v="0"/>
    <s v="262BMS1332"/>
    <n v="0"/>
    <x v="227"/>
    <s v="1332"/>
    <n v="-54.555956660171702"/>
    <n v="-20.554703610083401"/>
    <n v="-54.582547280232703"/>
    <n v="-20.5829547896317"/>
    <s v="262"/>
    <s v="MS"/>
    <s v="Eixo Principal"/>
    <s v="Coinc"/>
    <s v="262BMS1332"/>
    <s v="ENTR MS-040 (CAMPO GRANDE) (TRÊS BARRAS)"/>
    <s v="ENTR BR-163(B) (CAMPO GRANDE)"/>
    <n v="339.4"/>
    <n v="343.7"/>
    <n v="4.3"/>
    <x v="2"/>
    <m/>
    <s v="163BMS0392"/>
    <s v="Concessão Federal"/>
    <m/>
    <m/>
    <m/>
    <s v="Federal"/>
    <s v="PAV"/>
    <s v="Coxim"/>
  </r>
  <r>
    <x v="0"/>
    <s v="262BMS1333"/>
    <n v="0"/>
    <x v="227"/>
    <s v="1333"/>
    <n v="-54.582547280232703"/>
    <n v="-20.5829547896317"/>
    <n v="-54.668951410279298"/>
    <n v="-20.551872539785801"/>
    <s v="262"/>
    <s v="MS"/>
    <s v="Eixo Principal"/>
    <s v="-"/>
    <s v="262BMS1333"/>
    <s v="ENTR BR-163(B) (CAMPO GRANDE)"/>
    <s v="ENTR BR-060(A) (CAMPO GRANDE) (SAÍDA P/ SIDROLÂNDIA)"/>
    <n v="343.7"/>
    <n v="354.6"/>
    <n v="10.9"/>
    <x v="2"/>
    <m/>
    <m/>
    <s v="Federal"/>
    <m/>
    <m/>
    <m/>
    <s v="Federal"/>
    <s v="PAV"/>
    <s v="Campo Grande"/>
  </r>
  <r>
    <x v="0"/>
    <s v="262BMS1335"/>
    <n v="0"/>
    <x v="227"/>
    <s v="1335"/>
    <n v="-54.668951410279298"/>
    <n v="-20.551872539785801"/>
    <n v="-54.749948989754003"/>
    <n v="-20.477676229874"/>
    <s v="262"/>
    <s v="MS"/>
    <s v="Eixo Principal"/>
    <s v="Coinc"/>
    <s v="262BMS1335"/>
    <s v="ENTR BR-060(A) (CAMPO GRANDE) (SAÍDA P/ SIDROLÂNDIA)"/>
    <s v="ENTR BR-060(B) (INDUBRASIL)"/>
    <n v="354.6"/>
    <n v="366.8"/>
    <n v="12.2"/>
    <x v="2"/>
    <m/>
    <s v="060BMS0500"/>
    <s v="Federal"/>
    <m/>
    <m/>
    <m/>
    <s v="Federal"/>
    <s v="PAV"/>
    <s v="Campo Grande"/>
  </r>
  <r>
    <x v="0"/>
    <s v="262BMS1336"/>
    <n v="0"/>
    <x v="227"/>
    <s v="1336"/>
    <n v="-54.749948989754003"/>
    <n v="-20.477676229874"/>
    <n v="-54.872311439820997"/>
    <n v="-20.4348634301031"/>
    <s v="262"/>
    <s v="MS"/>
    <s v="Eixo Principal"/>
    <s v="-"/>
    <s v="262BMS1336"/>
    <s v="ENTR BR-060(B) (INDUBRASIL)"/>
    <s v="ENTR MS-352/355 (TERENOS)"/>
    <n v="366.8"/>
    <n v="383.9"/>
    <n v="17.100000000000001"/>
    <x v="2"/>
    <m/>
    <m/>
    <s v="Federal"/>
    <m/>
    <m/>
    <m/>
    <s v="Federal"/>
    <s v="PAV"/>
    <s v="Campo Grande"/>
  </r>
  <r>
    <x v="0"/>
    <s v="262BMS1338"/>
    <n v="0"/>
    <x v="227"/>
    <s v="1338"/>
    <n v="-54.872311439820997"/>
    <n v="-20.4348634301031"/>
    <n v="-55.016999639721497"/>
    <n v="-20.419828039832101"/>
    <s v="262"/>
    <s v="MS"/>
    <s v="Eixo Principal"/>
    <s v="-"/>
    <s v="262BMS1338"/>
    <s v="ENTR MS-352/355 (TERENOS)"/>
    <s v="ENTR MS-347/356 (PEDRO CELESTINO)"/>
    <n v="383.9"/>
    <n v="399.5"/>
    <n v="15.6"/>
    <x v="2"/>
    <m/>
    <m/>
    <s v="Federal"/>
    <m/>
    <m/>
    <m/>
    <s v="Federal"/>
    <s v="PAV"/>
    <s v="Campo Grande"/>
  </r>
  <r>
    <x v="0"/>
    <s v="262BMS1350"/>
    <n v="0"/>
    <x v="227"/>
    <s v="1350"/>
    <n v="-55.016999639721497"/>
    <n v="-20.419828039832101"/>
    <n v="-55.400389659854802"/>
    <n v="-20.526515419950599"/>
    <s v="262"/>
    <s v="MS"/>
    <s v="Eixo Principal"/>
    <s v="-"/>
    <s v="262BMS1350"/>
    <s v="ENTR MS-347/356 (PEDRO CELESTINO)"/>
    <s v="ENTR MS-162 (P/ DOIS IRMÃOS DO BURITI)"/>
    <n v="399.5"/>
    <n v="443.8"/>
    <n v="44.3"/>
    <x v="2"/>
    <m/>
    <m/>
    <s v="Federal"/>
    <m/>
    <m/>
    <m/>
    <s v="Federal"/>
    <s v="PAV"/>
    <s v="Campo Grande"/>
  </r>
  <r>
    <x v="0"/>
    <s v="262BMS1352"/>
    <n v="0"/>
    <x v="227"/>
    <s v="1352"/>
    <n v="-55.400389659854802"/>
    <n v="-20.526515419950599"/>
    <n v="-55.556511830356598"/>
    <n v="-20.540820639860598"/>
    <s v="262"/>
    <s v="MS"/>
    <s v="Eixo Principal"/>
    <s v="-"/>
    <s v="262BMS1352"/>
    <s v="ENTR MS-162 (P/ DOIS IRMÃOS DO BURITI)"/>
    <s v="ACESSO PIRAPUTANGA"/>
    <n v="443.8"/>
    <n v="462"/>
    <n v="18.2"/>
    <x v="2"/>
    <m/>
    <m/>
    <s v="Federal"/>
    <m/>
    <m/>
    <m/>
    <s v="Federal"/>
    <s v="PAV"/>
    <s v="Campo Grande"/>
  </r>
  <r>
    <x v="0"/>
    <s v="262BMS1360"/>
    <n v="0"/>
    <x v="227"/>
    <s v="1360"/>
    <n v="-55.556511830356598"/>
    <n v="-20.540820639860598"/>
    <n v="-55.812706789986301"/>
    <n v="-20.498990630013498"/>
    <s v="262"/>
    <s v="MS"/>
    <s v="Eixo Principal"/>
    <s v="-"/>
    <s v="262BMS1360"/>
    <s v="ACESSO PIRAPUTANGA"/>
    <s v="ENTR BR-419 (P/AQUIDAUANA)"/>
    <n v="462"/>
    <n v="489.6"/>
    <n v="27.6"/>
    <x v="2"/>
    <m/>
    <m/>
    <s v="Federal"/>
    <m/>
    <m/>
    <m/>
    <s v="Federal"/>
    <s v="PAV"/>
    <s v="Campo Grande"/>
  </r>
  <r>
    <x v="0"/>
    <s v="262BMS1362"/>
    <n v="0"/>
    <x v="227"/>
    <s v="1362"/>
    <n v="-55.812706789986301"/>
    <n v="-20.498990630013498"/>
    <n v="-56.129420429709"/>
    <n v="-20.355737159941899"/>
    <s v="262"/>
    <s v="MS"/>
    <s v="Eixo Principal"/>
    <s v="-"/>
    <s v="262BMS1362"/>
    <s v="ENTR BR-419 (P/AQUIDAUANA)"/>
    <s v="ENTR MS-442 (P/ TAUNAY)"/>
    <n v="489.6"/>
    <n v="528.4"/>
    <n v="38.799999999999997"/>
    <x v="2"/>
    <m/>
    <m/>
    <s v="Federal"/>
    <m/>
    <m/>
    <m/>
    <s v="Federal"/>
    <s v="PAV"/>
    <s v="Anastácio"/>
  </r>
  <r>
    <x v="0"/>
    <s v="262BMS1364"/>
    <n v="0"/>
    <x v="227"/>
    <s v="1364"/>
    <n v="-56.129420429709"/>
    <n v="-20.355737159941899"/>
    <n v="-56.249548659842702"/>
    <n v="-20.308497829610999"/>
    <s v="262"/>
    <s v="MS"/>
    <s v="Eixo Principal"/>
    <s v="-"/>
    <s v="262BMS1364"/>
    <s v="ENTR MS-442 (P/ TAUNAY)"/>
    <s v="ENTR MS-446 (P/ AGACHI)"/>
    <n v="528.4"/>
    <n v="542.20000000000005"/>
    <n v="13.8"/>
    <x v="2"/>
    <m/>
    <m/>
    <s v="Federal"/>
    <m/>
    <m/>
    <m/>
    <s v="Federal"/>
    <s v="PAV"/>
    <s v="Anastácio"/>
  </r>
  <r>
    <x v="0"/>
    <s v="262BMS1370"/>
    <n v="0"/>
    <x v="227"/>
    <s v="1370"/>
    <n v="-56.249548659842702"/>
    <n v="-20.308497829610999"/>
    <n v="-56.3667850102199"/>
    <n v="-20.240099180032999"/>
    <s v="262"/>
    <s v="MS"/>
    <s v="Eixo Principal"/>
    <s v="-"/>
    <s v="262BMS1370"/>
    <s v="ENTR MS-446 (P/ AGACHI)"/>
    <s v="INÍCIO PISTA DUPLA (MIRANDA)"/>
    <n v="542.20000000000005"/>
    <n v="556.79999999999995"/>
    <n v="14.6"/>
    <x v="2"/>
    <m/>
    <m/>
    <s v="Federal"/>
    <m/>
    <m/>
    <m/>
    <s v="Federal"/>
    <s v="PAV"/>
    <s v="Anastácio"/>
  </r>
  <r>
    <x v="0"/>
    <s v="262BMS1380"/>
    <n v="0"/>
    <x v="227"/>
    <s v="1380"/>
    <n v="-56.3667850102199"/>
    <n v="-20.240099180032999"/>
    <n v="-56.3775604000923"/>
    <n v="-20.234010580024101"/>
    <s v="262"/>
    <s v="MS"/>
    <s v="Eixo Principal"/>
    <s v="-"/>
    <s v="262BMS1380"/>
    <s v="INÍCIO PISTA DUPLA (MIRANDA)"/>
    <s v="ENTR MS-446 (MIRANDA)"/>
    <n v="556.79999999999995"/>
    <n v="558.1"/>
    <n v="1.3"/>
    <x v="0"/>
    <m/>
    <m/>
    <s v="Federal"/>
    <m/>
    <m/>
    <m/>
    <s v="Federal"/>
    <s v="PAV"/>
    <s v="Anastácio"/>
  </r>
  <r>
    <x v="0"/>
    <s v="262BMS1390"/>
    <n v="0"/>
    <x v="227"/>
    <s v="1390"/>
    <n v="-56.3775604000923"/>
    <n v="-20.234010580024101"/>
    <n v="-56.760920120267301"/>
    <n v="-20.0763423202418"/>
    <s v="262"/>
    <s v="MS"/>
    <s v="Eixo Principal"/>
    <s v="-"/>
    <s v="262BMS1390"/>
    <s v="ENTR MS-446 (MIRANDA)"/>
    <s v="ENTR MS-185/243 (P/ GUAICURUS)"/>
    <n v="558.1"/>
    <n v="603.5"/>
    <n v="45.4"/>
    <x v="2"/>
    <m/>
    <m/>
    <s v="Federal"/>
    <m/>
    <m/>
    <m/>
    <s v="Federal"/>
    <s v="PAV"/>
    <s v="Anastácio"/>
  </r>
  <r>
    <x v="0"/>
    <s v="262BMS1395"/>
    <n v="0"/>
    <x v="227"/>
    <s v="1395"/>
    <n v="-56.760920120267301"/>
    <n v="-20.0763423202418"/>
    <n v="-57.014701140345302"/>
    <n v="-19.6704395497453"/>
    <s v="262"/>
    <s v="MS"/>
    <s v="Eixo Principal"/>
    <s v="-"/>
    <s v="262BMS1395"/>
    <s v="ENTR MS-185/243 (P/ GUAICURUS)"/>
    <s v="ENTR MS-325 (MORRO DO AZEITE)"/>
    <n v="603.5"/>
    <n v="656.4"/>
    <n v="52.9"/>
    <x v="2"/>
    <m/>
    <m/>
    <s v="Federal"/>
    <m/>
    <m/>
    <m/>
    <s v="Federal"/>
    <s v="PAV"/>
    <s v="Anastácio"/>
  </r>
  <r>
    <x v="0"/>
    <s v="262BMS1412"/>
    <n v="0"/>
    <x v="227"/>
    <s v="1412"/>
    <n v="-57.014701140345302"/>
    <n v="-19.6704395497453"/>
    <n v="-57.0273393301459"/>
    <n v="-19.648969920325399"/>
    <s v="262"/>
    <s v="MS"/>
    <s v="Eixo Principal"/>
    <s v="-"/>
    <s v="262BMS1412"/>
    <s v="ENTR MS-325 (MORRO DO AZEITE)"/>
    <s v="ENTR MS-184 (BURACO DAS PIRANHAS)"/>
    <n v="656.4"/>
    <n v="659.2"/>
    <n v="2.8"/>
    <x v="2"/>
    <m/>
    <m/>
    <s v="Federal"/>
    <m/>
    <m/>
    <m/>
    <s v="Federal"/>
    <s v="PAV"/>
    <s v="Anastácio"/>
  </r>
  <r>
    <x v="0"/>
    <s v="262BMS1420"/>
    <n v="0"/>
    <x v="227"/>
    <s v="1420"/>
    <n v="-57.0273393301459"/>
    <n v="-19.648969920325399"/>
    <n v="-57.420799839840598"/>
    <n v="-19.5203384698444"/>
    <s v="262"/>
    <s v="MS"/>
    <s v="Eixo Principal"/>
    <s v="-"/>
    <s v="262BMS1420"/>
    <s v="ENTR MS-184 (BURACO DAS PIRANHAS)"/>
    <s v="INÍCIO PONTE SOBRE O RIO PARAGUAI"/>
    <n v="659.2"/>
    <n v="706.1"/>
    <n v="46.9"/>
    <x v="2"/>
    <m/>
    <m/>
    <s v="Federal"/>
    <m/>
    <m/>
    <m/>
    <s v="Federal"/>
    <s v="PAV"/>
    <s v="Anastácio"/>
  </r>
  <r>
    <x v="0"/>
    <s v="262BMS1430"/>
    <n v="0"/>
    <x v="227"/>
    <s v="1430"/>
    <n v="-57.420799839840598"/>
    <n v="-19.5203384698444"/>
    <n v="-57.432128370327902"/>
    <n v="-19.506999950087501"/>
    <s v="262"/>
    <s v="MS"/>
    <s v="Eixo Principal"/>
    <s v="-"/>
    <s v="262BMS1430"/>
    <s v="INÍCIO PONTE SOBRE O RIO PARAGUAI"/>
    <s v="FIM PONTE S/ O RIO PARAGUAI (MORRINHO)"/>
    <n v="706.1"/>
    <n v="708"/>
    <n v="1.9"/>
    <x v="2"/>
    <m/>
    <m/>
    <s v="Convênio de Administração"/>
    <m/>
    <m/>
    <m/>
    <s v="Federal"/>
    <s v="PAV"/>
    <s v="Anastácio"/>
  </r>
  <r>
    <x v="0"/>
    <s v="262BMS1440"/>
    <n v="0"/>
    <x v="227"/>
    <s v="1440"/>
    <n v="-57.432128370327902"/>
    <n v="-19.506999950087501"/>
    <n v="-57.463737200211497"/>
    <n v="-19.419706770051299"/>
    <s v="262"/>
    <s v="MS"/>
    <s v="Eixo Principal"/>
    <s v="-"/>
    <s v="262BMS1440"/>
    <s v="FIM PONTE S/ O RIO PARAGUAI (MORRINHO)"/>
    <s v="ENTR MS-433 (P/ALBUQUERQE)"/>
    <n v="708"/>
    <n v="719.7"/>
    <n v="11.7"/>
    <x v="2"/>
    <m/>
    <m/>
    <s v="Federal"/>
    <m/>
    <m/>
    <m/>
    <s v="Federal"/>
    <s v="PAV"/>
    <s v="Anastácio"/>
  </r>
  <r>
    <x v="0"/>
    <s v="262BMS1450"/>
    <n v="0"/>
    <x v="227"/>
    <s v="1450"/>
    <n v="-57.463737200211497"/>
    <n v="-19.419706770051299"/>
    <n v="-57.587354479725398"/>
    <n v="-19.3216557000504"/>
    <s v="262"/>
    <s v="MS"/>
    <s v="Eixo Principal"/>
    <s v="-"/>
    <s v="262BMS1450"/>
    <s v="ENTR MS-433 (P/ALBUQUERQE)"/>
    <s v="ENTR BR-454"/>
    <n v="719.7"/>
    <n v="737.4"/>
    <n v="17.7"/>
    <x v="2"/>
    <m/>
    <m/>
    <s v="Federal"/>
    <m/>
    <m/>
    <m/>
    <s v="Federal"/>
    <s v="PAV"/>
    <s v="Anastácio"/>
  </r>
  <r>
    <x v="0"/>
    <s v="262BMS1452"/>
    <n v="0"/>
    <x v="227"/>
    <s v="1452"/>
    <n v="-57.587354479725398"/>
    <n v="-19.3216557000504"/>
    <n v="-57.621953380044403"/>
    <n v="-19.0882251903402"/>
    <s v="262"/>
    <s v="MS"/>
    <s v="Eixo Principal"/>
    <s v="-"/>
    <s v="262BMS1452"/>
    <s v="ENTR BR-454"/>
    <s v="ENTR MS-228(A)"/>
    <n v="737.4"/>
    <n v="766.3"/>
    <n v="28.9"/>
    <x v="2"/>
    <m/>
    <m/>
    <s v="Federal"/>
    <m/>
    <m/>
    <m/>
    <s v="Federal"/>
    <s v="PAV"/>
    <s v="Anastácio"/>
  </r>
  <r>
    <x v="0"/>
    <s v="262BMS1460"/>
    <n v="0"/>
    <x v="227"/>
    <s v="1460"/>
    <n v="-57.621953380044403"/>
    <n v="-19.0882251903402"/>
    <n v="-57.621252149866699"/>
    <n v="-19.0739034903537"/>
    <s v="262"/>
    <s v="MS"/>
    <s v="Eixo Principal"/>
    <s v="-"/>
    <s v="262BMS1460"/>
    <s v="ENTR MS-228(A)"/>
    <s v="ENTR BR-359(A) (P/LADÁRIO)"/>
    <n v="766.3"/>
    <n v="767.9"/>
    <n v="1.6"/>
    <x v="2"/>
    <m/>
    <m/>
    <s v="Federal"/>
    <m/>
    <m/>
    <m/>
    <s v="Federal"/>
    <s v="PAV"/>
    <s v="Anastácio"/>
  </r>
  <r>
    <x v="0"/>
    <s v="262BMS1465"/>
    <n v="0"/>
    <x v="227"/>
    <s v="1465"/>
    <n v="-57.621252149866699"/>
    <n v="-19.0739034903537"/>
    <n v="-57.694248470090699"/>
    <n v="-19.018372880204101"/>
    <s v="262"/>
    <s v="MS"/>
    <s v="Eixo Principal"/>
    <s v="-"/>
    <s v="262BMS1465"/>
    <s v="ENTR BR-359(A) (P/LADÁRIO)"/>
    <s v="ENTR MS-428 (CONTORNO DE CORUMBÁ)"/>
    <n v="767.9"/>
    <n v="779.8"/>
    <n v="11.9"/>
    <x v="2"/>
    <m/>
    <s v="359BMS0115"/>
    <s v="Federal"/>
    <m/>
    <m/>
    <m/>
    <s v="Federal"/>
    <s v="PAV"/>
    <s v="Anastácio"/>
  </r>
  <r>
    <x v="0"/>
    <s v="262BMS1470"/>
    <n v="0"/>
    <x v="227"/>
    <s v="1470"/>
    <n v="-57.694248470090699"/>
    <n v="-19.018372880204101"/>
    <n v="-57.708119679879303"/>
    <n v="-19.028360669908899"/>
    <s v="262"/>
    <s v="MS"/>
    <s v="Eixo Principal"/>
    <s v="-"/>
    <s v="262BMS1470"/>
    <s v="ENTR MS-428 (CONTORNO DE CORUMBÁ)"/>
    <s v="FRONT BRASIL/BOLIVIA (CORUMBÁ)"/>
    <n v="779.8"/>
    <n v="781.6"/>
    <n v="1.8"/>
    <x v="2"/>
    <m/>
    <s v="359BMS0120"/>
    <s v="Federal"/>
    <m/>
    <m/>
    <m/>
    <s v="Federal"/>
    <s v="PAV"/>
    <s v="Anastácio"/>
  </r>
  <r>
    <x v="0"/>
    <s v="262BSP1110"/>
    <n v="0"/>
    <x v="228"/>
    <s v="1110"/>
    <n v="-49.207646380076298"/>
    <n v="-20.3065298503722"/>
    <n v="-49.442210319750401"/>
    <n v="-20.393615889561602"/>
    <s v="262"/>
    <s v="SP"/>
    <s v="Eixo Principal"/>
    <s v="-"/>
    <s v="262BSP1110"/>
    <s v="ENTR BR-153(B)/FIM PONTE S/RIO GRANDE (DIV MG/SP)"/>
    <s v="ENTR SP-423 (PALESTINA)"/>
    <n v="0"/>
    <n v="37.1"/>
    <n v="37.1"/>
    <x v="1"/>
    <m/>
    <m/>
    <s v="Federal"/>
    <m/>
    <m/>
    <m/>
    <s v="Federal"/>
    <s v="PLA"/>
    <s v="São José do Rio Preto"/>
  </r>
  <r>
    <x v="0"/>
    <s v="262BSP1130"/>
    <n v="0"/>
    <x v="228"/>
    <s v="1130"/>
    <n v="-49.442210319750401"/>
    <n v="-20.393615889561602"/>
    <n v="-49.716009549800802"/>
    <n v="-20.5447619798814"/>
    <s v="262"/>
    <s v="SP"/>
    <s v="Eixo Principal"/>
    <s v="-"/>
    <s v="262BSP1130"/>
    <s v="ENTR SP-423 (PALESTINA)"/>
    <s v="ENTR SP-320"/>
    <n v="37.1"/>
    <n v="76.2"/>
    <n v="39.1"/>
    <x v="1"/>
    <m/>
    <m/>
    <s v="Federal"/>
    <m/>
    <m/>
    <m/>
    <s v="Federal"/>
    <s v="PLA"/>
    <s v="São José do Rio Preto"/>
  </r>
  <r>
    <x v="0"/>
    <s v="262BSP1150"/>
    <n v="0"/>
    <x v="228"/>
    <s v="1150"/>
    <n v="-49.716009549800802"/>
    <n v="-20.5447619798814"/>
    <n v="-50.061453970324401"/>
    <n v="-20.6872011399206"/>
    <s v="262"/>
    <s v="SP"/>
    <s v="Eixo Principal"/>
    <s v="-"/>
    <s v="262BSP1150"/>
    <s v="ENTR SP-320"/>
    <s v="ENTR BR-154/456 (NHANDEARA)"/>
    <n v="76.2"/>
    <n v="111.2"/>
    <n v="35"/>
    <x v="1"/>
    <m/>
    <m/>
    <s v="Federal"/>
    <m/>
    <m/>
    <m/>
    <s v="Federal"/>
    <s v="PLA"/>
    <s v="São José do Rio Preto"/>
  </r>
  <r>
    <x v="0"/>
    <s v="262BSP1170"/>
    <n v="0"/>
    <x v="228"/>
    <s v="1170"/>
    <n v="-50.061453970324401"/>
    <n v="-20.6872011399206"/>
    <n v="-50.156383030352501"/>
    <n v="-20.6762081096165"/>
    <s v="262"/>
    <s v="SP"/>
    <s v="Eixo Principal"/>
    <s v="-"/>
    <s v="262BSP1170"/>
    <s v="ENTR BR-154/456 (NHANDEARA)"/>
    <s v="ENTR SP-473"/>
    <n v="111.2"/>
    <n v="120.7"/>
    <n v="9.5"/>
    <x v="1"/>
    <m/>
    <m/>
    <s v="Estadual"/>
    <m/>
    <s v="SP-310"/>
    <s v="PAV"/>
    <s v="Estadual"/>
    <s v="PLA"/>
    <s v="São José do Rio Preto"/>
  </r>
  <r>
    <x v="0"/>
    <s v="262BSP1177"/>
    <n v="0"/>
    <x v="228"/>
    <s v="1177"/>
    <n v="-50.156383030352501"/>
    <n v="-20.6762081096165"/>
    <n v="-50.488471950120299"/>
    <n v="-20.653406540179599"/>
    <s v="262"/>
    <s v="SP"/>
    <s v="Eixo Principal"/>
    <s v="-"/>
    <s v="262BSP1177"/>
    <s v="ENTR SP-473"/>
    <s v="ENTR SP-463"/>
    <n v="120.7"/>
    <n v="157.80000000000001"/>
    <n v="37.1"/>
    <x v="1"/>
    <m/>
    <m/>
    <s v="Estadual"/>
    <m/>
    <s v="SP-310"/>
    <s v="PAV"/>
    <s v="Estadual"/>
    <s v="PLA"/>
    <s v="São José do Rio Preto"/>
  </r>
  <r>
    <x v="0"/>
    <s v="262BSP1190"/>
    <n v="0"/>
    <x v="228"/>
    <s v="1190"/>
    <n v="-50.488471950120299"/>
    <n v="-20.653406540179599"/>
    <n v="-50.553657000070402"/>
    <n v="-20.661833640110299"/>
    <s v="262"/>
    <s v="SP"/>
    <s v="Eixo Principal"/>
    <s v="-"/>
    <s v="262BSP1190"/>
    <s v="ENTR SP-463"/>
    <s v="ACESSO AURIFLAMA"/>
    <n v="157.80000000000001"/>
    <n v="164.7"/>
    <n v="6.9"/>
    <x v="1"/>
    <m/>
    <m/>
    <s v="Estadual"/>
    <m/>
    <s v="SP-310"/>
    <s v="PAV"/>
    <s v="Estadual"/>
    <s v="PLA"/>
    <s v="São José do Rio Preto"/>
  </r>
  <r>
    <x v="0"/>
    <s v="262BSP1193"/>
    <n v="0"/>
    <x v="228"/>
    <s v="1193"/>
    <n v="-50.553657000070402"/>
    <n v="-20.661833640110299"/>
    <n v="-50.931607819744997"/>
    <n v="-20.619973529954301"/>
    <s v="262"/>
    <s v="SP"/>
    <s v="Eixo Principal"/>
    <s v="-"/>
    <s v="262BSP1193"/>
    <s v="ACESSO AURIFLAMA"/>
    <s v="ACESSO SUD MENUCCI"/>
    <n v="164.7"/>
    <n v="204.8"/>
    <n v="40.1"/>
    <x v="1"/>
    <m/>
    <m/>
    <s v="Estadual"/>
    <m/>
    <s v="SP-310"/>
    <s v="PAV"/>
    <s v="Estadual"/>
    <s v="PLA"/>
    <s v="São José do Rio Preto"/>
  </r>
  <r>
    <x v="0"/>
    <s v="262BSP1197"/>
    <n v="0"/>
    <x v="228"/>
    <s v="1197"/>
    <n v="-50.931607819744997"/>
    <n v="-20.619973529954301"/>
    <n v="-51.0849798598326"/>
    <n v="-20.621170749730201"/>
    <s v="262"/>
    <s v="SP"/>
    <s v="Eixo Principal"/>
    <s v="-"/>
    <s v="262BSP1197"/>
    <s v="ACESSO SUD MENUCCI"/>
    <s v="ACESSO PEREIRA BARRETO"/>
    <n v="204.8"/>
    <n v="221.3"/>
    <n v="16.5"/>
    <x v="1"/>
    <m/>
    <m/>
    <s v="Estadual"/>
    <m/>
    <s v="SP-310"/>
    <s v="PAV"/>
    <s v="Estadual"/>
    <s v="PLA"/>
    <s v="São José do Rio Preto"/>
  </r>
  <r>
    <x v="0"/>
    <s v="262BSP1200"/>
    <n v="0"/>
    <x v="228"/>
    <s v="1200"/>
    <n v="-51.0849798598326"/>
    <n v="-20.621170749730201"/>
    <n v="-51.255140850369898"/>
    <n v="-20.529817190011201"/>
    <s v="262"/>
    <s v="SP"/>
    <s v="Eixo Principal"/>
    <s v="-"/>
    <s v="262BSP1200"/>
    <s v="ACESSO PEREIRA BARRETO"/>
    <s v="ENTR SP-310/563"/>
    <n v="221.3"/>
    <n v="242.4"/>
    <n v="21.1"/>
    <x v="1"/>
    <m/>
    <m/>
    <s v="Estadual"/>
    <m/>
    <s v="SP-310"/>
    <s v="PAV"/>
    <s v="Estadual"/>
    <s v="PLA"/>
    <s v="São José do Rio Preto"/>
  </r>
  <r>
    <x v="0"/>
    <s v="262BSP1210"/>
    <n v="0"/>
    <x v="228"/>
    <s v="1210"/>
    <n v="-51.255140850369898"/>
    <n v="-20.529817190011201"/>
    <n v="-51.309909140294501"/>
    <n v="-20.670238169755599"/>
    <s v="262"/>
    <s v="SP"/>
    <s v="Eixo Principal"/>
    <s v="-"/>
    <s v="262BSP1210"/>
    <s v="ENTR SP-310/563"/>
    <s v="BARRAGEM TRÊS IRMÃOS"/>
    <n v="242.4"/>
    <n v="260.2"/>
    <n v="17.8"/>
    <x v="1"/>
    <m/>
    <m/>
    <s v="Estadual"/>
    <m/>
    <s v="SP-563"/>
    <s v="PAV"/>
    <s v="Estadual"/>
    <s v="PLA"/>
    <s v="São José do Rio Preto"/>
  </r>
  <r>
    <x v="0"/>
    <s v="262BSP1217"/>
    <n v="0"/>
    <x v="228"/>
    <s v="1217"/>
    <n v="-51.309909140294501"/>
    <n v="-20.670238169755599"/>
    <n v="-51.252599629769001"/>
    <n v="-20.803605719927901"/>
    <s v="262"/>
    <s v="SP"/>
    <s v="Eixo Principal"/>
    <s v="-"/>
    <s v="262BSP1217"/>
    <s v="BARRAGEM TRÊS IRMÃOS"/>
    <s v="ACESSO PEREIRA BARRETO"/>
    <n v="260.2"/>
    <n v="276"/>
    <n v="15.8"/>
    <x v="1"/>
    <m/>
    <m/>
    <s v="Estadual"/>
    <m/>
    <s v="SP-563"/>
    <s v="PAV"/>
    <s v="Estadual"/>
    <s v="PLA"/>
    <s v="São José do Rio Preto"/>
  </r>
  <r>
    <x v="0"/>
    <s v="262BSP1220"/>
    <n v="0"/>
    <x v="228"/>
    <s v="1220"/>
    <n v="-51.252599629769001"/>
    <n v="-20.803605719927901"/>
    <n v="-51.356097289957901"/>
    <n v="-20.890455050360199"/>
    <s v="262"/>
    <s v="SP"/>
    <s v="Eixo Principal"/>
    <s v="-"/>
    <s v="262BSP1220"/>
    <s v="ACESSO PEREIRA BARRETO"/>
    <s v="ENTR SP-300 (ANDRADINA)"/>
    <n v="276"/>
    <n v="291"/>
    <n v="15"/>
    <x v="1"/>
    <m/>
    <m/>
    <s v="Estadual"/>
    <m/>
    <s v="SP-563"/>
    <s v="PAV"/>
    <s v="Estadual"/>
    <s v="PLA"/>
    <s v="São José do Rio Preto"/>
  </r>
  <r>
    <x v="0"/>
    <s v="262BSP1230"/>
    <n v="0"/>
    <x v="228"/>
    <s v="1230"/>
    <n v="-51.356097289957901"/>
    <n v="-20.890455050360199"/>
    <n v="-51.482698180076902"/>
    <n v="-20.840245869950799"/>
    <s v="262"/>
    <s v="SP"/>
    <s v="Eixo Principal"/>
    <s v="-"/>
    <s v="262BSP1230"/>
    <s v="ENTR SP-300 (ANDRADINA)"/>
    <s v="ACESSO CASTILHO"/>
    <n v="291"/>
    <n v="305.3"/>
    <n v="14.3"/>
    <x v="1"/>
    <m/>
    <m/>
    <s v="Estadual"/>
    <m/>
    <s v="SP-300"/>
    <s v="DUP"/>
    <s v="Estadual"/>
    <s v="PLA"/>
    <s v="São José do Rio Preto"/>
  </r>
  <r>
    <x v="0"/>
    <s v="262BSP1240"/>
    <n v="0"/>
    <x v="228"/>
    <s v="1240"/>
    <n v="-51.482698180076902"/>
    <n v="-20.840245869950799"/>
    <n v="-51.562282109831401"/>
    <n v="-20.7987116498227"/>
    <s v="262"/>
    <s v="SP"/>
    <s v="Eixo Principal"/>
    <s v="-"/>
    <s v="262BSP1240"/>
    <s v="ACESSO CASTILHO"/>
    <s v="ENTR SP-595"/>
    <n v="305.3"/>
    <n v="314.8"/>
    <n v="9.5"/>
    <x v="1"/>
    <m/>
    <m/>
    <s v="Estadual"/>
    <m/>
    <s v="SP-300"/>
    <s v="DUP"/>
    <s v="Estadual"/>
    <s v="PLA"/>
    <s v="São José do Rio Preto"/>
  </r>
  <r>
    <x v="0"/>
    <s v="262BSP1245"/>
    <n v="0"/>
    <x v="228"/>
    <s v="1245"/>
    <n v="-51.562282109831401"/>
    <n v="-20.7987116498227"/>
    <n v="-51.593689010439398"/>
    <n v="-20.778183949629501"/>
    <s v="262"/>
    <s v="SP"/>
    <s v="Eixo Principal"/>
    <s v="-"/>
    <s v="262BSP1245"/>
    <s v="ENTR SP-595"/>
    <s v="ACESSO BARRAGEM CESP"/>
    <n v="314.8"/>
    <n v="318.7"/>
    <n v="3.9"/>
    <x v="1"/>
    <m/>
    <m/>
    <s v="Estadual"/>
    <m/>
    <s v="SP-300"/>
    <s v="DUP"/>
    <s v="Estadual"/>
    <s v="PLA"/>
    <s v="São José do Rio Preto"/>
  </r>
  <r>
    <x v="0"/>
    <s v="262BSP1255"/>
    <n v="0"/>
    <x v="228"/>
    <s v="1255"/>
    <n v="-51.593689010439398"/>
    <n v="-20.778183949629501"/>
    <n v="-51.621378420377702"/>
    <n v="-20.7910577699001"/>
    <s v="262"/>
    <s v="SP"/>
    <s v="Eixo Principal"/>
    <s v="-"/>
    <s v="262BSP1255"/>
    <s v="ACESSO BARRAGEM CESP"/>
    <s v="DIV SP/MS (INÍCIO PONTE S/ RIO PARANÁ)"/>
    <n v="318.7"/>
    <n v="322.10000000000002"/>
    <n v="3.4"/>
    <x v="2"/>
    <m/>
    <m/>
    <s v="Federal"/>
    <m/>
    <m/>
    <m/>
    <s v="Federal"/>
    <s v="PAV"/>
    <s v="São José do Rio Preto"/>
  </r>
  <r>
    <x v="0"/>
    <s v="262NMG1005"/>
    <n v="0"/>
    <x v="229"/>
    <s v="1005"/>
    <n v="-47.8313643003221"/>
    <n v="-19.758890970242"/>
    <n v="-47.881712919715397"/>
    <n v="-19.838064159832999"/>
    <s v="262"/>
    <s v="MG"/>
    <s v="Anel"/>
    <s v="-"/>
    <s v="262NMG1005"/>
    <s v="ENTR BR-262"/>
    <s v="ENTR BR-050 (ANEL ROD DE UBERABA)"/>
    <n v="0"/>
    <n v="10"/>
    <n v="10"/>
    <x v="1"/>
    <m/>
    <m/>
    <s v="Federal"/>
    <m/>
    <m/>
    <m/>
    <s v="Federal"/>
    <s v="PLA"/>
    <s v="Uberlândia"/>
  </r>
  <r>
    <x v="0"/>
    <s v="262NMG1010"/>
    <n v="0"/>
    <x v="229"/>
    <s v="1010"/>
    <n v="-47.881712919715397"/>
    <n v="-19.838064159832999"/>
    <n v="-48.020606373984897"/>
    <n v="-19.8191708092853"/>
    <s v="262"/>
    <s v="MG"/>
    <s v="Anel"/>
    <s v="-"/>
    <s v="262NMG1010"/>
    <s v="ENTR BR-050 (ANEL ROD DE UBERABA)"/>
    <s v="ENTR MG-427 (ANEL ROD DE UBERABA)"/>
    <n v="10"/>
    <n v="27"/>
    <n v="17"/>
    <x v="1"/>
    <m/>
    <m/>
    <s v="Federal"/>
    <m/>
    <m/>
    <m/>
    <s v="Federal"/>
    <s v="PLA"/>
    <s v="Uberlândia"/>
  </r>
  <r>
    <x v="0"/>
    <s v="262NMG1015"/>
    <n v="0"/>
    <x v="229"/>
    <s v="1015"/>
    <n v="-48.020606373984897"/>
    <n v="-19.8191708092853"/>
    <n v="-48.031172940378802"/>
    <n v="-19.7613414897179"/>
    <s v="262"/>
    <s v="MG"/>
    <s v="Anel"/>
    <s v="-"/>
    <s v="262NMG1015"/>
    <s v="ENTR MG-427 (ANEL ROD DE UBERABA)"/>
    <s v="ENTR BR-262 (ANEL ROD DE UBERABA)"/>
    <n v="27"/>
    <n v="34"/>
    <n v="7"/>
    <x v="1"/>
    <m/>
    <m/>
    <s v="Federal"/>
    <m/>
    <m/>
    <m/>
    <s v="Federal"/>
    <s v="PLA"/>
    <s v="Uberlândia"/>
  </r>
  <r>
    <x v="0"/>
    <s v="262NMG1020"/>
    <n v="0"/>
    <x v="229"/>
    <s v="1020"/>
    <n v="-48.031172940378802"/>
    <n v="-19.7613414897179"/>
    <n v="-47.9884603097954"/>
    <n v="-19.695998990061199"/>
    <s v="262"/>
    <s v="MG"/>
    <s v="Anel"/>
    <s v="-"/>
    <s v="262NMG1020"/>
    <s v="ENTR BR-262 (ANEL ROD DE UBERABA)"/>
    <s v="ENTR BR-050 (ANEL ROD DE UBERABA)"/>
    <n v="34"/>
    <n v="45"/>
    <n v="11"/>
    <x v="1"/>
    <m/>
    <m/>
    <s v="Federal"/>
    <m/>
    <m/>
    <m/>
    <s v="Federal"/>
    <s v="PLA"/>
    <s v="Uberlândia"/>
  </r>
  <r>
    <x v="0"/>
    <s v="262NMG1025"/>
    <n v="0"/>
    <x v="229"/>
    <s v="1025"/>
    <n v="-47.9884603097954"/>
    <n v="-19.695998990061199"/>
    <n v="-47.8313643003221"/>
    <n v="-19.758890970242"/>
    <s v="262"/>
    <s v="MG"/>
    <s v="Anel"/>
    <s v="-"/>
    <s v="262NMG1025"/>
    <s v="ENTR BR-050 (ANEL ROD DE UBERABA)"/>
    <s v="ENTR BR-262 (ANEL ROD DE UBERABA)"/>
    <n v="45"/>
    <n v="66"/>
    <n v="21"/>
    <x v="1"/>
    <m/>
    <m/>
    <s v="Federal"/>
    <m/>
    <m/>
    <m/>
    <s v="Federal"/>
    <s v="PLA"/>
    <s v="Uberlândia"/>
  </r>
  <r>
    <x v="0"/>
    <s v="265AMG1005"/>
    <n v="0"/>
    <x v="230"/>
    <s v="1005"/>
    <n v="-43.745202229898901"/>
    <n v="-21.217616269874799"/>
    <n v="-43.795274299669103"/>
    <n v="-21.199297700328501"/>
    <s v="265"/>
    <s v="MG"/>
    <s v="Acesso"/>
    <s v="-"/>
    <s v="265AMG1005"/>
    <s v="ENTR BR-265"/>
    <s v="ENTR BR-040 (CONTORNO DE BARBACENA)"/>
    <n v="0"/>
    <n v="5.3"/>
    <n v="5.3"/>
    <x v="2"/>
    <m/>
    <m/>
    <s v="Federal"/>
    <m/>
    <m/>
    <m/>
    <s v="Federal"/>
    <s v="PAV"/>
    <s v="Juiz de Fora"/>
  </r>
  <r>
    <x v="0"/>
    <s v="265AMG2005"/>
    <n v="0"/>
    <x v="230"/>
    <s v="2005"/>
    <n v="-46.392415470197697"/>
    <n v="-20.887551529779198"/>
    <n v="-46.396702429573402"/>
    <n v="-20.870680500005001"/>
    <s v="265"/>
    <s v="MG"/>
    <s v="Acesso"/>
    <s v="-"/>
    <s v="265AMG2005"/>
    <s v="ENTR BR-265 (KM 540,2)"/>
    <s v="ALPINÓPOLIS"/>
    <n v="0"/>
    <n v="2.4"/>
    <n v="2.4"/>
    <x v="5"/>
    <s v="EOP"/>
    <m/>
    <s v="Federal"/>
    <m/>
    <m/>
    <m/>
    <s v="Federal"/>
    <s v="N_PAV"/>
    <s v="Passos"/>
  </r>
  <r>
    <x v="0"/>
    <s v="265BMG0010"/>
    <n v="0"/>
    <x v="231"/>
    <s v="0010"/>
    <n v="-42.386499479667201"/>
    <n v="-21.130835750169599"/>
    <n v="-42.394115480145203"/>
    <n v="-21.1302949698369"/>
    <s v="265"/>
    <s v="MG"/>
    <s v="Eixo Principal"/>
    <s v="-"/>
    <s v="265BMG0010"/>
    <s v="ENTR BR-116/356(A) (MURIAÉ)"/>
    <s v="ENTR BR-356(B)"/>
    <n v="0"/>
    <n v="0.8"/>
    <n v="0.8"/>
    <x v="2"/>
    <m/>
    <s v="356BMG0205"/>
    <s v="Federal"/>
    <m/>
    <m/>
    <m/>
    <s v="Federal"/>
    <s v="PAV"/>
    <s v="Leopoldina"/>
  </r>
  <r>
    <x v="0"/>
    <s v="265BMG0015"/>
    <n v="0"/>
    <x v="231"/>
    <s v="0015"/>
    <n v="-42.394115480145203"/>
    <n v="-21.1302949698369"/>
    <n v="-42.613289040156999"/>
    <n v="-21.189675469747101"/>
    <s v="265"/>
    <s v="MG"/>
    <s v="Eixo Principal"/>
    <s v="-"/>
    <s v="265BMG0015"/>
    <s v="ENTR BR-356(B)"/>
    <s v="ENTR MG-447 (MIRAÍ)"/>
    <n v="0.8"/>
    <n v="32.700000000000003"/>
    <n v="31.9"/>
    <x v="1"/>
    <m/>
    <m/>
    <s v="Estadual"/>
    <m/>
    <s v="MGT-265"/>
    <s v="PAV"/>
    <s v="Estadual"/>
    <s v="PLA"/>
    <s v="Leopoldina"/>
  </r>
  <r>
    <x v="0"/>
    <s v="265BMG0030"/>
    <n v="0"/>
    <x v="231"/>
    <s v="0030"/>
    <n v="-42.613289040156999"/>
    <n v="-21.189675469747101"/>
    <n v="-42.798650680384497"/>
    <n v="-21.1497373798761"/>
    <s v="265"/>
    <s v="MG"/>
    <s v="Eixo Principal"/>
    <s v="-"/>
    <s v="265BMG0030"/>
    <s v="ENTR MG-447 (MIRAÍ)"/>
    <s v="ENTR BR-120(A) (GUIDOVAL)"/>
    <n v="32.700000000000003"/>
    <n v="63.7"/>
    <n v="31"/>
    <x v="1"/>
    <m/>
    <m/>
    <s v="Federal"/>
    <m/>
    <m/>
    <m/>
    <s v="Federal"/>
    <s v="PLA"/>
    <s v="Leopoldina"/>
  </r>
  <r>
    <x v="0"/>
    <s v="265BMG0050"/>
    <n v="0"/>
    <x v="231"/>
    <s v="0050"/>
    <n v="-42.798650680384497"/>
    <n v="-21.1497373798761"/>
    <n v="-42.953213840146503"/>
    <n v="-21.108762789870799"/>
    <s v="265"/>
    <s v="MG"/>
    <s v="Eixo Principal"/>
    <s v="Coinc"/>
    <s v="265BMG0050"/>
    <s v="ENTR BR-120(A) (GUIDOVAL)"/>
    <s v="ENTR BR-120(B)/MG-124/447 (UBÁ)"/>
    <n v="63.7"/>
    <n v="82.9"/>
    <n v="19.2"/>
    <x v="1"/>
    <m/>
    <s v="120BMG0360"/>
    <s v="Estadual"/>
    <m/>
    <s v="MGT-120"/>
    <s v="PAV"/>
    <s v="Estadual"/>
    <s v="PLA"/>
    <s v="Leopoldina"/>
  </r>
  <r>
    <x v="0"/>
    <s v="265BMG0070"/>
    <n v="0"/>
    <x v="231"/>
    <s v="0070"/>
    <n v="-42.953213840146503"/>
    <n v="-21.108762789870799"/>
    <n v="-43.086870749885101"/>
    <n v="-21.262926170406299"/>
    <s v="265"/>
    <s v="MG"/>
    <s v="Eixo Principal"/>
    <s v="-"/>
    <s v="265BMG0070"/>
    <s v="ENTR BR-120(B)/MG-124/447 (UBÁ)"/>
    <s v="ENTR MG-285 (P/PIRAÚBA)"/>
    <n v="82.9"/>
    <n v="108.4"/>
    <n v="25.5"/>
    <x v="1"/>
    <m/>
    <m/>
    <s v="Estadual"/>
    <m/>
    <s v="MGT-265"/>
    <s v="PAV"/>
    <s v="Estadual"/>
    <s v="PLA"/>
    <s v="Leopoldina"/>
  </r>
  <r>
    <x v="0"/>
    <s v="265BMG0090"/>
    <n v="0"/>
    <x v="231"/>
    <s v="0090"/>
    <n v="-43.086870749885101"/>
    <n v="-21.262926170406299"/>
    <n v="-43.165727729750799"/>
    <n v="-21.262545410042598"/>
    <s v="265"/>
    <s v="MG"/>
    <s v="Eixo Principal"/>
    <s v="-"/>
    <s v="265BMG0090"/>
    <s v="ENTR MG-285 (P/PIRAÚBA)"/>
    <s v="ENTR MG-133 (RIO POMBA)"/>
    <n v="108.4"/>
    <n v="118.1"/>
    <n v="9.6999999999999993"/>
    <x v="1"/>
    <m/>
    <m/>
    <s v="Estadual"/>
    <m/>
    <s v="MGT-265"/>
    <s v="PAV"/>
    <s v="Estadual"/>
    <s v="PLA"/>
    <s v="Juiz de Fora"/>
  </r>
  <r>
    <x v="0"/>
    <s v="265BMG0110"/>
    <n v="0"/>
    <x v="231"/>
    <s v="0110"/>
    <n v="-43.165727729750799"/>
    <n v="-21.262545410042598"/>
    <n v="-43.316807270239202"/>
    <n v="-21.233715290128401"/>
    <s v="265"/>
    <s v="MG"/>
    <s v="Eixo Principal"/>
    <s v="-"/>
    <s v="265BMG0110"/>
    <s v="ENTR MG-133 (RIO POMBA)"/>
    <s v="ACESSO MERCÊS"/>
    <n v="118.1"/>
    <n v="139"/>
    <n v="20.9"/>
    <x v="1"/>
    <m/>
    <m/>
    <s v="Estadual"/>
    <m/>
    <s v="MGT-265"/>
    <s v="PAV"/>
    <s v="Estadual"/>
    <s v="PLA"/>
    <s v="Juiz de Fora"/>
  </r>
  <r>
    <x v="0"/>
    <s v="265BMG0125"/>
    <n v="0"/>
    <x v="231"/>
    <s v="0125"/>
    <n v="-43.316807270239202"/>
    <n v="-21.233715290128401"/>
    <n v="-43.424115210448498"/>
    <n v="-21.233480860253401"/>
    <s v="265"/>
    <s v="MG"/>
    <s v="Eixo Principal"/>
    <s v="-"/>
    <s v="265BMG0125"/>
    <s v="ACESSO MERCÊS"/>
    <s v="ENTR MG-448/452 (P/PAIVA)"/>
    <n v="139"/>
    <n v="151.30000000000001"/>
    <n v="12.3"/>
    <x v="1"/>
    <m/>
    <m/>
    <s v="Estadual"/>
    <m/>
    <s v="MGT-265"/>
    <s v="PAV"/>
    <s v="Estadual"/>
    <s v="PLA"/>
    <s v="Juiz de Fora"/>
  </r>
  <r>
    <x v="0"/>
    <s v="265BMG0130"/>
    <n v="0"/>
    <x v="231"/>
    <s v="0130"/>
    <n v="-43.424115210448498"/>
    <n v="-21.233480860253401"/>
    <n v="-43.5208685704281"/>
    <n v="-21.1504366603235"/>
    <s v="265"/>
    <s v="MG"/>
    <s v="Eixo Principal"/>
    <s v="-"/>
    <s v="265BMG0130"/>
    <s v="ENTR MG-448/452 (P/PAIVA)"/>
    <s v="ENTR MG-132 (DESTÊRRO DO MELO)"/>
    <n v="151.30000000000001"/>
    <n v="175.6"/>
    <n v="24.3"/>
    <x v="1"/>
    <m/>
    <m/>
    <s v="Federal"/>
    <m/>
    <m/>
    <m/>
    <s v="Federal"/>
    <s v="PLA"/>
    <s v="Juiz de Fora"/>
  </r>
  <r>
    <x v="0"/>
    <s v="265BMG0150"/>
    <n v="0"/>
    <x v="231"/>
    <s v="0150"/>
    <n v="-43.5208685704281"/>
    <n v="-21.1504366603235"/>
    <n v="-43.711950999638802"/>
    <n v="-21.194218770080099"/>
    <s v="265"/>
    <s v="MG"/>
    <s v="Eixo Principal"/>
    <s v="-"/>
    <s v="265BMG0150"/>
    <s v="ENTR MG-132 (DESTÊRRO DO MELO)"/>
    <s v="PINHEIRO GROSSO"/>
    <n v="175.6"/>
    <n v="201.7"/>
    <n v="26.1"/>
    <x v="1"/>
    <m/>
    <m/>
    <s v="Estadual"/>
    <m/>
    <s v="MGT-265"/>
    <s v="PAV"/>
    <s v="Estadual"/>
    <s v="PLA"/>
    <s v="Juiz de Fora"/>
  </r>
  <r>
    <x v="0"/>
    <s v="265BMG0160"/>
    <n v="0"/>
    <x v="231"/>
    <s v="0160"/>
    <n v="-43.711950999638802"/>
    <n v="-21.194218770080099"/>
    <n v="-43.749061659667802"/>
    <n v="-21.198738150245301"/>
    <s v="265"/>
    <s v="MG"/>
    <s v="Eixo Principal"/>
    <s v="-"/>
    <s v="265BMG0160"/>
    <s v="PINHEIRO GROSSO"/>
    <s v="ENTR BR-040"/>
    <n v="201.7"/>
    <n v="206.6"/>
    <n v="4.9000000000000004"/>
    <x v="1"/>
    <m/>
    <m/>
    <s v="Estadual"/>
    <m/>
    <s v="MGT-265"/>
    <s v="PAV"/>
    <s v="Estadual"/>
    <s v="PLA"/>
    <s v="Juiz de Fora"/>
  </r>
  <r>
    <x v="0"/>
    <s v="265BMG0170"/>
    <n v="0"/>
    <x v="231"/>
    <s v="0170"/>
    <n v="-43.749061659667802"/>
    <n v="-21.198738150245301"/>
    <n v="-43.795274299669103"/>
    <n v="-21.199297700328501"/>
    <s v="265"/>
    <s v="MG"/>
    <s v="Eixo Principal"/>
    <s v="-"/>
    <s v="265BMG0170"/>
    <s v="ENTR BR-040"/>
    <s v="ENTR MG-135/338 (BARBACENA)"/>
    <n v="206.6"/>
    <n v="211"/>
    <n v="4.4000000000000004"/>
    <x v="2"/>
    <m/>
    <m/>
    <s v="Federal"/>
    <m/>
    <m/>
    <m/>
    <s v="Federal"/>
    <s v="PAV"/>
    <s v="Juiz de Fora"/>
  </r>
  <r>
    <x v="0"/>
    <s v="265BMG0190"/>
    <n v="0"/>
    <x v="231"/>
    <s v="0190"/>
    <n v="-43.795274299669103"/>
    <n v="-21.199297700328501"/>
    <n v="-44.176131669740599"/>
    <n v="-21.1517849302302"/>
    <s v="265"/>
    <s v="MG"/>
    <s v="Eixo Principal"/>
    <s v="-"/>
    <s v="265BMG0190"/>
    <s v="ENTR MG-135/338 (BARBACENA)"/>
    <s v="ACESSO TIRADENTES"/>
    <n v="211"/>
    <n v="256.60000000000002"/>
    <n v="45.6"/>
    <x v="2"/>
    <m/>
    <m/>
    <s v="Federal"/>
    <m/>
    <m/>
    <m/>
    <s v="Federal"/>
    <s v="PAV"/>
    <s v="Juiz de Fora"/>
  </r>
  <r>
    <x v="0"/>
    <s v="265BMG0205"/>
    <n v="0"/>
    <x v="231"/>
    <s v="0205"/>
    <n v="-44.176131669740599"/>
    <n v="-21.1517849302302"/>
    <n v="-44.280935810139503"/>
    <n v="-21.167746769697601"/>
    <s v="265"/>
    <s v="MG"/>
    <s v="Eixo Principal"/>
    <s v="-"/>
    <s v="265BMG0205"/>
    <s v="ACESSO TIRADENTES"/>
    <s v="ENTR BR-383(A)/494(A) (SÃO JOÃO DEL REY)"/>
    <n v="256.60000000000002"/>
    <n v="269"/>
    <n v="12.4"/>
    <x v="2"/>
    <m/>
    <m/>
    <s v="Federal"/>
    <m/>
    <m/>
    <m/>
    <s v="Federal"/>
    <s v="PAV"/>
    <s v="Juiz de Fora"/>
  </r>
  <r>
    <x v="0"/>
    <s v="265BMG0210"/>
    <n v="0"/>
    <x v="231"/>
    <s v="0210"/>
    <n v="-44.280935810139503"/>
    <n v="-21.167746769697601"/>
    <n v="-44.376034139663702"/>
    <n v="-21.228498529783199"/>
    <s v="265"/>
    <s v="MG"/>
    <s v="Eixo Principal"/>
    <s v="-"/>
    <s v="265BMG0210"/>
    <s v="ENTR BR-383(A)/494(A) (SÃO JOÃO DEL REY)"/>
    <s v="ENTR BR-383(B)/494(B) (P/MADRE DE DEUS DE MINAS)"/>
    <n v="269"/>
    <n v="281.89999999999998"/>
    <n v="12.9"/>
    <x v="2"/>
    <m/>
    <s v="383BMG0115;494BMG0115"/>
    <s v="Federal"/>
    <m/>
    <m/>
    <m/>
    <s v="Federal"/>
    <s v="PAV"/>
    <s v="Oliveira"/>
  </r>
  <r>
    <x v="0"/>
    <s v="265BMG0220"/>
    <n v="0"/>
    <x v="231"/>
    <s v="0220"/>
    <n v="-44.376034139663702"/>
    <n v="-21.228498529783199"/>
    <n v="-44.5824366602236"/>
    <n v="-21.2698122100654"/>
    <s v="265"/>
    <s v="MG"/>
    <s v="Eixo Principal"/>
    <s v="-"/>
    <s v="265BMG0220"/>
    <s v="ENTR BR-383(B)/494(B) (P/MADRE DE DEUS DE MINAS)"/>
    <s v="ENTR MG-332 (P/NAZARENO)"/>
    <n v="281.89999999999998"/>
    <n v="307.2"/>
    <n v="25.3"/>
    <x v="2"/>
    <m/>
    <m/>
    <s v="Federal"/>
    <m/>
    <m/>
    <m/>
    <s v="Federal"/>
    <s v="PAV"/>
    <s v="Oliveira"/>
  </r>
  <r>
    <x v="0"/>
    <s v="265BMG0225"/>
    <n v="0"/>
    <x v="231"/>
    <s v="0225"/>
    <n v="-44.5824366602236"/>
    <n v="-21.2698122100654"/>
    <n v="-44.661281810407097"/>
    <n v="-21.2950617799771"/>
    <s v="265"/>
    <s v="MG"/>
    <s v="Eixo Principal"/>
    <s v="-"/>
    <s v="265BMG0225"/>
    <s v="ENTR MG-332 (P/NAZARENO)"/>
    <s v="ENTR MG-451 (ITUTINGA)"/>
    <n v="307.2"/>
    <n v="316.5"/>
    <n v="9.3000000000000007"/>
    <x v="2"/>
    <m/>
    <m/>
    <s v="Federal"/>
    <m/>
    <m/>
    <m/>
    <s v="Federal"/>
    <s v="PAV"/>
    <s v="Oliveira"/>
  </r>
  <r>
    <x v="0"/>
    <s v="265BMG0230"/>
    <n v="0"/>
    <x v="231"/>
    <s v="0230"/>
    <n v="-44.661281810407097"/>
    <n v="-21.2950617799771"/>
    <n v="-44.986191210256003"/>
    <n v="-21.263955439991399"/>
    <s v="265"/>
    <s v="MG"/>
    <s v="Eixo Principal"/>
    <s v="-"/>
    <s v="265BMG0230"/>
    <s v="ENTR MG-451 (ITUTINGA)"/>
    <s v="ENTR BR-354 (LAVRAS)"/>
    <n v="316.5"/>
    <n v="353.4"/>
    <n v="36.9"/>
    <x v="2"/>
    <m/>
    <m/>
    <s v="Federal"/>
    <m/>
    <m/>
    <m/>
    <s v="Federal"/>
    <s v="PAV"/>
    <s v="Oliveira"/>
  </r>
  <r>
    <x v="0"/>
    <s v="265BMG0250"/>
    <n v="0"/>
    <x v="231"/>
    <s v="0250"/>
    <n v="-44.986191210256003"/>
    <n v="-21.263955439991399"/>
    <n v="-45.012039209741701"/>
    <n v="-21.255275109858299"/>
    <s v="265"/>
    <s v="MG"/>
    <s v="Eixo Principal"/>
    <s v="-"/>
    <s v="265BMG0250"/>
    <s v="ENTR BR-354 (LAVRAS)"/>
    <s v="ENTR MG-335"/>
    <n v="353.4"/>
    <n v="356.9"/>
    <n v="3.5"/>
    <x v="2"/>
    <m/>
    <m/>
    <s v="Federal"/>
    <m/>
    <m/>
    <m/>
    <s v="Federal"/>
    <s v="PAV"/>
    <s v="Oliveira"/>
  </r>
  <r>
    <x v="0"/>
    <s v="265BMG0255"/>
    <n v="0"/>
    <x v="231"/>
    <s v="0255"/>
    <n v="-45.012039209741701"/>
    <n v="-21.255275109858299"/>
    <n v="-45.064228430197801"/>
    <n v="-21.216874859786898"/>
    <s v="265"/>
    <s v="MG"/>
    <s v="Eixo Principal"/>
    <s v="-"/>
    <s v="265BMG0255"/>
    <s v="ENTR MG-335"/>
    <s v="ACESSO RIBEIRÃO VERMELHO"/>
    <n v="356.9"/>
    <n v="364.1"/>
    <n v="7.2"/>
    <x v="0"/>
    <m/>
    <m/>
    <s v="Federal"/>
    <m/>
    <m/>
    <m/>
    <s v="Federal"/>
    <s v="PAV"/>
    <s v="Oliveira"/>
  </r>
  <r>
    <x v="0"/>
    <s v="265BMG0260"/>
    <n v="0"/>
    <x v="231"/>
    <s v="0260"/>
    <n v="-45.064228430197801"/>
    <n v="-21.216874859786898"/>
    <n v="-45.119264409624698"/>
    <n v="-21.184433010374999"/>
    <s v="265"/>
    <s v="MG"/>
    <s v="Eixo Principal"/>
    <s v="-"/>
    <s v="265BMG0260"/>
    <s v="ACESSO RIBEIRÃO VERMELHO"/>
    <s v="ENTR BR-381(A) (P/PERDÕES)"/>
    <n v="364.1"/>
    <n v="371.4"/>
    <n v="7.3"/>
    <x v="0"/>
    <m/>
    <m/>
    <s v="Federal"/>
    <m/>
    <m/>
    <m/>
    <s v="Federal"/>
    <s v="PAV"/>
    <s v="Oliveira"/>
  </r>
  <r>
    <x v="0"/>
    <s v="265BMG0265"/>
    <n v="0"/>
    <x v="231"/>
    <s v="0265"/>
    <n v="-45.119264409624698"/>
    <n v="-21.184433010374999"/>
    <n v="-45.130249179655799"/>
    <n v="-21.224746780339601"/>
    <s v="265"/>
    <s v="MG"/>
    <s v="Eixo Principal"/>
    <s v="-"/>
    <s v="265BMG0265"/>
    <s v="ENTR BR-381(A) (P/PERDÕES)"/>
    <s v="ENTR BR-381(B) (P/CARMO DA CACHOEIRA)"/>
    <n v="371.4"/>
    <n v="376.2"/>
    <n v="4.8"/>
    <x v="0"/>
    <m/>
    <s v="381BMG0660"/>
    <s v="Concessão Federal"/>
    <m/>
    <m/>
    <m/>
    <s v="Federal"/>
    <s v="PAV"/>
    <s v="Oliveira"/>
  </r>
  <r>
    <x v="0"/>
    <s v="265BMG0270"/>
    <n v="0"/>
    <x v="231"/>
    <s v="0270"/>
    <n v="-45.130249179655799"/>
    <n v="-21.224746780339601"/>
    <n v="-45.231405710305197"/>
    <n v="-21.2312618298694"/>
    <s v="265"/>
    <s v="MG"/>
    <s v="Eixo Principal"/>
    <s v="-"/>
    <s v="265BMG0270"/>
    <s v="ENTR BR-381(B) (P/CARMO DA CACHOEIRA)"/>
    <s v="NEPOMUCENO"/>
    <n v="376.2"/>
    <n v="387.8"/>
    <n v="11.6"/>
    <x v="2"/>
    <m/>
    <m/>
    <s v="Federal"/>
    <m/>
    <m/>
    <m/>
    <s v="Federal"/>
    <s v="PAV"/>
    <s v="Oliveira"/>
  </r>
  <r>
    <x v="0"/>
    <s v="265BMG0290"/>
    <n v="0"/>
    <x v="231"/>
    <s v="0290"/>
    <n v="-45.231405710305197"/>
    <n v="-21.2312618298694"/>
    <n v="-45.413357839892299"/>
    <n v="-21.243315910001101"/>
    <s v="265"/>
    <s v="MG"/>
    <s v="Eixo Principal"/>
    <s v="-"/>
    <s v="265BMG0290"/>
    <s v="NEPOMUCENO"/>
    <s v="ACESSO COQUEIRAL"/>
    <n v="387.8"/>
    <n v="410.1"/>
    <n v="22.3"/>
    <x v="2"/>
    <m/>
    <m/>
    <s v="Federal"/>
    <m/>
    <m/>
    <m/>
    <s v="Federal"/>
    <s v="PAV"/>
    <s v="Oliveira"/>
  </r>
  <r>
    <x v="0"/>
    <s v="265BMG0305"/>
    <n v="0"/>
    <x v="231"/>
    <s v="0305"/>
    <n v="-45.413357839892299"/>
    <n v="-21.243315910001101"/>
    <n v="-45.511882689834202"/>
    <n v="-21.241902500399998"/>
    <s v="265"/>
    <s v="MG"/>
    <s v="Eixo Principal"/>
    <s v="-"/>
    <s v="265BMG0305"/>
    <s v="ACESSO COQUEIRAL"/>
    <s v="ENTR MG-167 (SANTANA DA VARGEM)"/>
    <n v="410.1"/>
    <n v="421"/>
    <n v="10.9"/>
    <x v="2"/>
    <m/>
    <m/>
    <s v="Federal"/>
    <m/>
    <m/>
    <m/>
    <s v="Federal"/>
    <s v="PAV"/>
    <s v="Oliveira"/>
  </r>
  <r>
    <x v="0"/>
    <s v="265BMG0310"/>
    <n v="0"/>
    <x v="231"/>
    <s v="0310"/>
    <n v="-45.511882689834202"/>
    <n v="-21.241902500399998"/>
    <n v="-45.563981499646403"/>
    <n v="-21.157277250044999"/>
    <s v="265"/>
    <s v="MG"/>
    <s v="Eixo Principal"/>
    <s v="-"/>
    <s v="265BMG0310"/>
    <s v="ENTR MG-167 (SANTANA DA VARGEM)"/>
    <s v="ENTR BR-369(A)"/>
    <n v="421"/>
    <n v="433"/>
    <n v="12"/>
    <x v="2"/>
    <m/>
    <m/>
    <s v="Federal"/>
    <m/>
    <m/>
    <m/>
    <s v="Federal"/>
    <s v="PAV"/>
    <s v="Oliveira"/>
  </r>
  <r>
    <x v="0"/>
    <s v="265BMG0311"/>
    <n v="0"/>
    <x v="231"/>
    <s v="0311"/>
    <n v="-45.563981499646403"/>
    <n v="-21.157277250044999"/>
    <n v="-45.5787166395612"/>
    <n v="-21.089875310097401"/>
    <s v="265"/>
    <s v="MG"/>
    <s v="Eixo Principal"/>
    <s v="-"/>
    <s v="265BMG0311"/>
    <s v="ENTR BR-369(A)"/>
    <s v="BOA ESPERANÇA"/>
    <n v="433"/>
    <n v="441"/>
    <n v="8"/>
    <x v="2"/>
    <m/>
    <s v="369BMG0051"/>
    <s v="Federal"/>
    <m/>
    <m/>
    <m/>
    <s v="Federal"/>
    <s v="PAV"/>
    <s v="Oliveira"/>
  </r>
  <r>
    <x v="0"/>
    <s v="265BMG0330"/>
    <n v="0"/>
    <x v="231"/>
    <s v="0330"/>
    <n v="-45.5787166395612"/>
    <n v="-21.089875310097401"/>
    <n v="-45.601482749629099"/>
    <n v="-21.057139639582601"/>
    <s v="265"/>
    <s v="MG"/>
    <s v="Eixo Principal"/>
    <s v="-"/>
    <s v="265BMG0330"/>
    <s v="BOA ESPERANÇA"/>
    <s v="ENTR BR-369(B)"/>
    <n v="441"/>
    <n v="446.4"/>
    <n v="5.4"/>
    <x v="2"/>
    <m/>
    <s v="369BMG0050"/>
    <s v="Federal"/>
    <m/>
    <m/>
    <m/>
    <s v="Federal"/>
    <s v="PAV"/>
    <s v="Oliveira"/>
  </r>
  <r>
    <x v="0"/>
    <s v="265BMG0350"/>
    <n v="0"/>
    <x v="231"/>
    <s v="0350"/>
    <n v="-45.601482749629099"/>
    <n v="-21.057139639582601"/>
    <n v="-45.831557219689799"/>
    <n v="-20.935108470079701"/>
    <s v="265"/>
    <s v="MG"/>
    <s v="Eixo Principal"/>
    <s v="-"/>
    <s v="265BMG0350"/>
    <s v="ENTR BR-369(B)"/>
    <s v="ENTR MG-170 (INICIO TRAV URBANA DE ILICÍNEA)"/>
    <n v="446.4"/>
    <n v="480.2"/>
    <n v="33.799999999999997"/>
    <x v="2"/>
    <m/>
    <m/>
    <s v="Federal"/>
    <m/>
    <m/>
    <m/>
    <s v="Federal"/>
    <s v="PAV"/>
    <s v="Oliveira"/>
  </r>
  <r>
    <x v="0"/>
    <s v="265BMG0360"/>
    <n v="0"/>
    <x v="231"/>
    <s v="0360"/>
    <n v="-45.831557219689799"/>
    <n v="-20.935108470079701"/>
    <n v="-45.837914160310198"/>
    <n v="-20.9360754598145"/>
    <s v="265"/>
    <s v="MG"/>
    <s v="Eixo Principal"/>
    <s v="-"/>
    <s v="265BMG0360"/>
    <s v="ENTR MG-170 (INICIO TRAV URBANA DE ILICÍNEA)"/>
    <s v="FIM TRAV URBANA DE ILICÍNEA *TRECHO MUNICIPAL*"/>
    <n v="480.2"/>
    <n v="484.2"/>
    <n v="4"/>
    <x v="2"/>
    <m/>
    <m/>
    <s v="Federal"/>
    <m/>
    <m/>
    <m/>
    <s v="Federal"/>
    <s v="PAV"/>
    <s v="Oliveira"/>
  </r>
  <r>
    <x v="0"/>
    <s v="265BMG0370"/>
    <n v="0"/>
    <x v="231"/>
    <s v="0370"/>
    <n v="-45.837914160310198"/>
    <n v="-20.9360754598145"/>
    <n v="-46.1980731703404"/>
    <n v="-20.926100530415098"/>
    <s v="265"/>
    <s v="MG"/>
    <s v="Eixo Principal"/>
    <s v="-"/>
    <s v="265BMG0370"/>
    <s v="FIM TRAV URBANA DE ILICÍNEA"/>
    <s v="ENTR MG-265(A)"/>
    <n v="484.2"/>
    <n v="528"/>
    <n v="43.8"/>
    <x v="5"/>
    <s v="EOP"/>
    <m/>
    <s v="Federal"/>
    <m/>
    <m/>
    <m/>
    <s v="Federal"/>
    <s v="N_PAV"/>
    <s v="Oliveira"/>
  </r>
  <r>
    <x v="0"/>
    <s v="265BMG0390"/>
    <n v="0"/>
    <x v="231"/>
    <s v="0390"/>
    <n v="-46.1980731703404"/>
    <n v="-20.926100530415098"/>
    <n v="-46.364623489882"/>
    <n v="-20.873817669849501"/>
    <s v="265"/>
    <s v="MG"/>
    <s v="Eixo Principal"/>
    <s v="-"/>
    <s v="265BMG0390"/>
    <s v="ENTR MG-265(A)"/>
    <s v="ENTR MG-265(B) (P/ALPINÓPOLIS)"/>
    <n v="528"/>
    <n v="546.79999999999995"/>
    <n v="18.8"/>
    <x v="1"/>
    <m/>
    <m/>
    <s v="Estadual"/>
    <m/>
    <s v="MGT-265"/>
    <s v="PAV"/>
    <s v="Estadual"/>
    <s v="PLA"/>
    <s v="Passos"/>
  </r>
  <r>
    <x v="0"/>
    <s v="265BMG0400"/>
    <n v="0"/>
    <x v="231"/>
    <s v="0400"/>
    <n v="-46.364623489882"/>
    <n v="-20.873817669849501"/>
    <n v="-46.392415470197697"/>
    <n v="-20.887551529779198"/>
    <s v="265"/>
    <s v="MG"/>
    <s v="Eixo Principal"/>
    <s v="-"/>
    <s v="265BMG0400"/>
    <s v="ENTR MG-265(B) (P/ALPINÓPOLIS)"/>
    <s v="ACESSO A ALPINÓPOLIS"/>
    <n v="546.79999999999995"/>
    <n v="550.70000000000005"/>
    <n v="3.9"/>
    <x v="5"/>
    <s v="EOP"/>
    <m/>
    <s v="Federal"/>
    <m/>
    <m/>
    <m/>
    <s v="Federal"/>
    <s v="N_PAV"/>
    <s v="Passos"/>
  </r>
  <r>
    <x v="0"/>
    <s v="265BMG0410"/>
    <n v="0"/>
    <x v="231"/>
    <s v="0410"/>
    <n v="-46.392415470197697"/>
    <n v="-20.887551529779198"/>
    <n v="-46.511176739814601"/>
    <n v="-20.995144379709298"/>
    <s v="265"/>
    <s v="MG"/>
    <s v="Eixo Principal"/>
    <s v="-"/>
    <s v="265BMG0410"/>
    <s v="ACESSO A ALPINÓPOLIS"/>
    <s v="ENTR BR-146(A)"/>
    <n v="550.70000000000005"/>
    <n v="569.79999999999995"/>
    <n v="19.100000000000001"/>
    <x v="5"/>
    <s v="EOP"/>
    <m/>
    <s v="Federal"/>
    <m/>
    <m/>
    <m/>
    <s v="Federal"/>
    <s v="N_PAV"/>
    <s v="Passos"/>
  </r>
  <r>
    <x v="0"/>
    <s v="265BMG0412"/>
    <n v="0"/>
    <x v="231"/>
    <s v="0412"/>
    <n v="-46.511176739814601"/>
    <n v="-20.995144379709298"/>
    <n v="-46.523614030063399"/>
    <n v="-21.007601869630498"/>
    <s v="265"/>
    <s v="MG"/>
    <s v="Eixo Principal"/>
    <s v="Coinc"/>
    <s v="265BMG0412"/>
    <s v="ENTR BR-146(A)"/>
    <s v="ACESSO P/ BOM JESUS DA PENHA"/>
    <n v="569.79999999999995"/>
    <n v="571.9"/>
    <n v="2.1"/>
    <x v="2"/>
    <m/>
    <s v="146BMG0210"/>
    <s v="Federal"/>
    <m/>
    <m/>
    <m/>
    <s v="Federal"/>
    <s v="PAV"/>
    <s v="Passos"/>
  </r>
  <r>
    <x v="0"/>
    <s v="265BMG0415"/>
    <n v="0"/>
    <x v="231"/>
    <s v="0415"/>
    <n v="-46.523614030063399"/>
    <n v="-21.007601869630498"/>
    <n v="-46.535544049618103"/>
    <n v="-21.020615160361299"/>
    <s v="265"/>
    <s v="MG"/>
    <s v="Eixo Principal"/>
    <s v="Coinc"/>
    <s v="265BMG0415"/>
    <s v="ACESSO P/ BOM JESUS DA PENHA"/>
    <s v="ENTR BR-146(B)"/>
    <n v="571.9"/>
    <n v="574"/>
    <n v="2.1"/>
    <x v="5"/>
    <s v="EOP"/>
    <s v="146BMG0220"/>
    <s v="Federal"/>
    <m/>
    <m/>
    <m/>
    <s v="Federal"/>
    <s v="N_PAV"/>
    <s v="Passos"/>
  </r>
  <r>
    <x v="0"/>
    <s v="265BMG0417"/>
    <n v="0"/>
    <x v="231"/>
    <s v="0417"/>
    <n v="-46.535544049618103"/>
    <n v="-21.020615160361299"/>
    <n v="-46.750567529767601"/>
    <n v="-21.0029177399616"/>
    <s v="265"/>
    <s v="MG"/>
    <s v="Eixo Principal"/>
    <s v="-"/>
    <s v="265BMG0417"/>
    <s v="ENTR BR-146(B)"/>
    <s v="ACESSO P/ JACUÍ"/>
    <n v="574"/>
    <n v="603"/>
    <n v="29"/>
    <x v="5"/>
    <s v="EOP"/>
    <m/>
    <s v="Federal"/>
    <m/>
    <m/>
    <m/>
    <s v="Federal"/>
    <s v="N_PAV"/>
    <s v="Passos"/>
  </r>
  <r>
    <x v="0"/>
    <s v="265BMG0420"/>
    <n v="0"/>
    <x v="231"/>
    <s v="0420"/>
    <n v="-46.750567529767601"/>
    <n v="-21.0029177399616"/>
    <n v="-46.952489869811501"/>
    <n v="-20.925329670227999"/>
    <s v="265"/>
    <s v="MG"/>
    <s v="Eixo Principal"/>
    <s v="-"/>
    <s v="265BMG0420"/>
    <s v="ACESSO P/ JACUÍ"/>
    <s v="ACESSO P/ SÃO SEBASTIÃO DO PARAÍSO"/>
    <n v="603"/>
    <n v="631"/>
    <n v="28"/>
    <x v="2"/>
    <m/>
    <m/>
    <s v="Federal"/>
    <m/>
    <m/>
    <m/>
    <s v="Federal"/>
    <s v="PAV"/>
    <s v="Passos"/>
  </r>
  <r>
    <x v="0"/>
    <s v="265BMG0440"/>
    <n v="0"/>
    <x v="231"/>
    <s v="0440"/>
    <n v="-46.952489869811501"/>
    <n v="-20.925329670227999"/>
    <n v="-46.983641440300097"/>
    <n v="-20.932734339917801"/>
    <s v="265"/>
    <s v="MG"/>
    <s v="Eixo Principal"/>
    <s v="-"/>
    <s v="265BMG0440"/>
    <s v="ACESSO P/ SÃO SEBASTIÃO DO PARAÍSO"/>
    <s v="ENTR BR-491/MG-050 (SÃO SEBASTIÃO DO PARAÍSO)"/>
    <n v="631"/>
    <n v="634.9"/>
    <n v="3.9"/>
    <x v="2"/>
    <m/>
    <m/>
    <s v="Federal"/>
    <m/>
    <m/>
    <m/>
    <s v="Federal"/>
    <s v="PAV"/>
    <s v="Passos"/>
  </r>
  <r>
    <x v="0"/>
    <s v="265BMG0470"/>
    <n v="0"/>
    <x v="231"/>
    <s v="0470"/>
    <n v="-46.983641440300097"/>
    <n v="-20.932734339917801"/>
    <n v="-47.070661669800103"/>
    <n v="-20.972301990044699"/>
    <s v="265"/>
    <s v="MG"/>
    <s v="Eixo Principal"/>
    <s v="-"/>
    <s v="265BMG0470"/>
    <s v="ENTR BR-491/MG-050 (SÃO SEBASTIÃO DO PARAÍSO)"/>
    <s v="ACESSO ITAMOGI"/>
    <n v="634.9"/>
    <n v="646.5"/>
    <n v="11.6"/>
    <x v="2"/>
    <m/>
    <m/>
    <s v="Convênio de Administração"/>
    <m/>
    <m/>
    <m/>
    <s v="Federal"/>
    <s v="PAV"/>
    <s v="Passos"/>
  </r>
  <r>
    <x v="0"/>
    <s v="265BMG0480"/>
    <n v="0"/>
    <x v="231"/>
    <s v="0480"/>
    <n v="-47.070661669800103"/>
    <n v="-20.972301990044699"/>
    <n v="-47.1491992797229"/>
    <n v="-21.024555309679702"/>
    <s v="265"/>
    <s v="MG"/>
    <s v="Eixo Principal"/>
    <s v="-"/>
    <s v="265BMG0480"/>
    <s v="ACESSO ITAMOGI"/>
    <s v="DIV MG/SP"/>
    <n v="646.5"/>
    <n v="657.3"/>
    <n v="10.8"/>
    <x v="2"/>
    <m/>
    <m/>
    <s v="Convênio de Administração"/>
    <m/>
    <m/>
    <m/>
    <s v="Federal"/>
    <s v="PAV"/>
    <s v="Passos"/>
  </r>
  <r>
    <x v="0"/>
    <s v="265BSP0490"/>
    <n v="0"/>
    <x v="232"/>
    <s v="0490"/>
    <n v="-47.1491992797229"/>
    <n v="-21.024555309679702"/>
    <n v="-47.307053049858297"/>
    <n v="-21.025851999869801"/>
    <s v="265"/>
    <s v="SP"/>
    <s v="Eixo Principal"/>
    <s v="-"/>
    <s v="265BSP0490"/>
    <s v="DIV MG/SP"/>
    <s v="ENTR SP-338"/>
    <n v="0"/>
    <n v="16.399999999999999"/>
    <n v="16.399999999999999"/>
    <x v="1"/>
    <m/>
    <m/>
    <s v="Estadual"/>
    <m/>
    <s v="SP-351"/>
    <s v="PAV"/>
    <s v="Estadual"/>
    <s v="PLA"/>
    <s v="São José do Rio Preto"/>
  </r>
  <r>
    <x v="0"/>
    <s v="265BSP0510"/>
    <n v="0"/>
    <x v="232"/>
    <s v="0510"/>
    <n v="-47.307053049858297"/>
    <n v="-21.025851999869801"/>
    <n v="-47.384282960090502"/>
    <n v="-21.015818940091901"/>
    <s v="265"/>
    <s v="SP"/>
    <s v="Eixo Principal"/>
    <s v="-"/>
    <s v="265BSP0510"/>
    <s v="ENTR SP-338"/>
    <s v="ACESSO ALTINÓPOLIS"/>
    <n v="16.399999999999999"/>
    <n v="25"/>
    <n v="8.6"/>
    <x v="1"/>
    <m/>
    <m/>
    <s v="Estadual"/>
    <m/>
    <s v="SP-351"/>
    <s v="PAV"/>
    <s v="Estadual"/>
    <s v="PLA"/>
    <s v="São José do Rio Preto"/>
  </r>
  <r>
    <x v="0"/>
    <s v="265BSP0515"/>
    <n v="0"/>
    <x v="232"/>
    <s v="0515"/>
    <n v="-47.384282960090502"/>
    <n v="-21.015818940091901"/>
    <n v="-47.619126450425298"/>
    <n v="-20.898190829742902"/>
    <s v="265"/>
    <s v="SP"/>
    <s v="Eixo Principal"/>
    <s v="-"/>
    <s v="265BSP0515"/>
    <s v="ACESSO ALTINÓPOLIS"/>
    <s v="ENTR SP-334 (BATATAIS)"/>
    <n v="25"/>
    <n v="52"/>
    <n v="27"/>
    <x v="1"/>
    <m/>
    <m/>
    <s v="Estadual"/>
    <m/>
    <s v="SP-351"/>
    <s v="PAV"/>
    <s v="Estadual"/>
    <s v="PLA"/>
    <s v="São José do Rio Preto"/>
  </r>
  <r>
    <x v="0"/>
    <s v="265BSP0530"/>
    <n v="0"/>
    <x v="232"/>
    <s v="0530"/>
    <n v="-47.619126450425298"/>
    <n v="-20.898190829742902"/>
    <n v="-47.872160349720303"/>
    <n v="-20.919568749897799"/>
    <s v="265"/>
    <s v="SP"/>
    <s v="Eixo Principal"/>
    <s v="-"/>
    <s v="265BSP0530"/>
    <s v="ENTR SP-334 (BATATAIS)"/>
    <s v="ENTR SP-328"/>
    <n v="52"/>
    <n v="77"/>
    <n v="25"/>
    <x v="1"/>
    <m/>
    <m/>
    <s v="Federal"/>
    <m/>
    <m/>
    <m/>
    <s v="Federal"/>
    <s v="PLA"/>
    <s v="São José do Rio Preto"/>
  </r>
  <r>
    <x v="0"/>
    <s v="265BSP0545"/>
    <n v="0"/>
    <x v="232"/>
    <s v="0545"/>
    <n v="-47.872160349720303"/>
    <n v="-20.919568749897799"/>
    <n v="-47.889843809943798"/>
    <n v="-20.908485950166401"/>
    <s v="265"/>
    <s v="SP"/>
    <s v="Eixo Principal"/>
    <s v="-"/>
    <s v="265BSP0545"/>
    <s v="ENTR SP-328"/>
    <s v="ENTR BR-050 (PORANGABA)"/>
    <n v="77"/>
    <n v="83"/>
    <n v="6"/>
    <x v="1"/>
    <m/>
    <m/>
    <s v="Federal"/>
    <m/>
    <m/>
    <m/>
    <s v="Federal"/>
    <s v="PLA"/>
    <s v="São José do Rio Preto"/>
  </r>
  <r>
    <x v="0"/>
    <s v="265BSP0550"/>
    <n v="0"/>
    <x v="232"/>
    <s v="0550"/>
    <n v="-47.889843809943798"/>
    <n v="-20.908485950166401"/>
    <n v="-48.203354259691302"/>
    <n v="-21.000749020350899"/>
    <s v="265"/>
    <s v="SP"/>
    <s v="Eixo Principal"/>
    <s v="-"/>
    <s v="265BSP0550"/>
    <s v="ENTR BR-050 (PORANGABA)"/>
    <s v="ENTR SP-322 (PITANGUEIRAS)"/>
    <n v="83"/>
    <n v="125"/>
    <n v="42"/>
    <x v="1"/>
    <m/>
    <m/>
    <s v="Federal"/>
    <m/>
    <m/>
    <m/>
    <s v="Federal"/>
    <s v="PLA"/>
    <s v="São José do Rio Preto"/>
  </r>
  <r>
    <x v="0"/>
    <s v="265BSP0570"/>
    <n v="0"/>
    <x v="232"/>
    <s v="0570"/>
    <n v="-48.203354259691302"/>
    <n v="-21.000749020350899"/>
    <n v="-48.4389893099086"/>
    <n v="-20.935987069947199"/>
    <s v="265"/>
    <s v="SP"/>
    <s v="Eixo Principal"/>
    <s v="-"/>
    <s v="265BSP0570"/>
    <s v="ENTR SP-322 (PITANGUEIRAS)"/>
    <s v="ENTR SP-351(A)"/>
    <n v="125"/>
    <n v="150.69999999999999"/>
    <n v="25.7"/>
    <x v="1"/>
    <m/>
    <m/>
    <s v="Estadual"/>
    <m/>
    <s v="SP-322"/>
    <s v="PAV"/>
    <s v="Estadual"/>
    <s v="PLA"/>
    <s v="São José do Rio Preto"/>
  </r>
  <r>
    <x v="0"/>
    <s v="265BSP0585"/>
    <n v="0"/>
    <x v="232"/>
    <s v="0585"/>
    <n v="-48.4389893099086"/>
    <n v="-20.935987069947199"/>
    <n v="-48.452689629622597"/>
    <n v="-20.932175729626099"/>
    <s v="265"/>
    <s v="SP"/>
    <s v="Eixo Principal"/>
    <s v="-"/>
    <s v="265BSP0585"/>
    <s v="ENTR SP-351(A)"/>
    <s v="ENTR BR-364"/>
    <n v="150.69999999999999"/>
    <n v="151.9"/>
    <n v="1.2"/>
    <x v="1"/>
    <m/>
    <m/>
    <s v="Estadual"/>
    <m/>
    <s v="SP-322"/>
    <s v="PAV"/>
    <s v="Estadual"/>
    <s v="PLA"/>
    <s v="São José do Rio Preto"/>
  </r>
  <r>
    <x v="0"/>
    <s v="265BSP0590"/>
    <n v="0"/>
    <x v="232"/>
    <s v="0590"/>
    <n v="-48.452689629622597"/>
    <n v="-20.932175729626099"/>
    <n v="-48.491164400216803"/>
    <n v="-20.932918530066001"/>
    <s v="265"/>
    <s v="SP"/>
    <s v="Eixo Principal"/>
    <s v="-"/>
    <s v="265BSP0590"/>
    <s v="ENTR BR-364"/>
    <s v="ENTR SP-351(B) (BEBEDOURO)"/>
    <n v="151.9"/>
    <n v="156.30000000000001"/>
    <n v="4.4000000000000004"/>
    <x v="1"/>
    <m/>
    <m/>
    <s v="Estadual"/>
    <m/>
    <s v="SP-322"/>
    <s v="PAV"/>
    <s v="Estadual"/>
    <s v="PLA"/>
    <s v="São José do Rio Preto"/>
  </r>
  <r>
    <x v="0"/>
    <s v="265BSP0610"/>
    <n v="0"/>
    <x v="232"/>
    <s v="0610"/>
    <n v="-48.491164400216803"/>
    <n v="-20.932918530066001"/>
    <n v="-48.798763009904903"/>
    <n v="-20.8086306198072"/>
    <s v="265"/>
    <s v="SP"/>
    <s v="Eixo Principal"/>
    <s v="-"/>
    <s v="265BSP0610"/>
    <s v="ENTR SP-351(B) (BEBEDOURO)"/>
    <s v="ENTR SP-373 (P/SEVERÍNIA)"/>
    <n v="156.30000000000001"/>
    <n v="192.6"/>
    <n v="36.299999999999997"/>
    <x v="1"/>
    <m/>
    <m/>
    <s v="Estadual"/>
    <m/>
    <s v="SP-322"/>
    <s v="PAV"/>
    <s v="Estadual"/>
    <s v="PLA"/>
    <s v="São José do Rio Preto"/>
  </r>
  <r>
    <x v="0"/>
    <s v="265BSP0623"/>
    <n v="0"/>
    <x v="232"/>
    <s v="0623"/>
    <n v="-48.798763009904903"/>
    <n v="-20.8086306198072"/>
    <n v="-48.864722150406799"/>
    <n v="-20.725840939707499"/>
    <s v="265"/>
    <s v="SP"/>
    <s v="Eixo Principal"/>
    <s v="-"/>
    <s v="265BSP0623"/>
    <s v="ENTR SP-373 (P/SEVERÍNIA)"/>
    <s v="ACESSO OLÍMPIA (I)"/>
    <n v="192.6"/>
    <n v="204.1"/>
    <n v="11.5"/>
    <x v="1"/>
    <m/>
    <m/>
    <s v="Estadual"/>
    <m/>
    <s v="SP-322"/>
    <s v="PAV"/>
    <s v="Estadual"/>
    <s v="PLA"/>
    <s v="São José do Rio Preto"/>
  </r>
  <r>
    <x v="0"/>
    <s v="265BSP0625"/>
    <n v="0"/>
    <x v="232"/>
    <s v="0625"/>
    <n v="-48.864722150406799"/>
    <n v="-20.725840939707499"/>
    <n v="-48.904679730385197"/>
    <n v="-20.684542590168299"/>
    <s v="265"/>
    <s v="SP"/>
    <s v="Eixo Principal"/>
    <s v="-"/>
    <s v="265BSP0625"/>
    <s v="ACESSO OLÍMPIA (I)"/>
    <s v="ENTR SP-425"/>
    <n v="204.1"/>
    <n v="210.4"/>
    <n v="6.3"/>
    <x v="1"/>
    <m/>
    <m/>
    <s v="Estadual"/>
    <m/>
    <s v="SP-322"/>
    <s v="PAV"/>
    <s v="Estadual"/>
    <s v="PLA"/>
    <s v="São José do Rio Preto"/>
  </r>
  <r>
    <x v="0"/>
    <s v="265BSP0630"/>
    <n v="0"/>
    <x v="232"/>
    <s v="0630"/>
    <n v="-48.904679730385197"/>
    <n v="-20.684542590168299"/>
    <n v="-48.917511519940597"/>
    <n v="-20.690625289725201"/>
    <s v="265"/>
    <s v="SP"/>
    <s v="Eixo Principal"/>
    <s v="-"/>
    <s v="265BSP0630"/>
    <s v="ENTR SP-425"/>
    <s v="ACESSO OLÍMPIA (II)"/>
    <n v="210.4"/>
    <n v="211.9"/>
    <n v="1.5"/>
    <x v="1"/>
    <m/>
    <m/>
    <s v="Estadual"/>
    <m/>
    <s v="SP-425"/>
    <s v="PAV"/>
    <s v="Estadual"/>
    <s v="PLA"/>
    <s v="São José do Rio Preto"/>
  </r>
  <r>
    <x v="0"/>
    <s v="265BSP0640"/>
    <n v="0"/>
    <x v="232"/>
    <s v="0640"/>
    <n v="-48.917511519940597"/>
    <n v="-20.690625289725201"/>
    <n v="-48.941414960332096"/>
    <n v="-20.701395020164"/>
    <s v="265"/>
    <s v="SP"/>
    <s v="Eixo Principal"/>
    <s v="-"/>
    <s v="265BSP0640"/>
    <s v="ACESSO OLÍMPIA (II)"/>
    <s v="FIM DA PISTA DUPLA"/>
    <n v="211.9"/>
    <n v="215.7"/>
    <n v="3.8"/>
    <x v="1"/>
    <m/>
    <m/>
    <s v="Estadual"/>
    <m/>
    <s v="SP-425"/>
    <s v="DUP"/>
    <s v="Estadual"/>
    <s v="PLA"/>
    <s v="São José do Rio Preto"/>
  </r>
  <r>
    <x v="0"/>
    <s v="265BSP0650"/>
    <n v="0"/>
    <x v="232"/>
    <s v="0650"/>
    <n v="-48.941414960332096"/>
    <n v="-20.701395020164"/>
    <n v="-49.355419679974197"/>
    <n v="-20.8025643202871"/>
    <s v="265"/>
    <s v="SP"/>
    <s v="Eixo Principal"/>
    <s v="-"/>
    <s v="265BSP0650"/>
    <s v="FIM DA PISTA DUPLA"/>
    <s v="ENTR BR-153/456 (SÃO JOSÉ DO RIO PRETO)"/>
    <n v="215.7"/>
    <n v="259.2"/>
    <n v="43.5"/>
    <x v="1"/>
    <m/>
    <m/>
    <s v="Estadual"/>
    <m/>
    <s v="SP-425"/>
    <s v="PAV"/>
    <s v="Estadual"/>
    <s v="PLA"/>
    <s v="São José do Rio Preto"/>
  </r>
  <r>
    <x v="0"/>
    <s v="267AMS1005"/>
    <n v="0"/>
    <x v="233"/>
    <s v="1005"/>
    <n v="-57.845923520054299"/>
    <n v="-21.701372879554601"/>
    <n v="-57.870295670009099"/>
    <n v="-21.699409129827401"/>
    <s v="267"/>
    <s v="MS"/>
    <s v="Acesso"/>
    <s v="-"/>
    <s v="267AMS1005"/>
    <s v="ENTR BR-267 (P/PONTE INTERNACIONAL)"/>
    <s v="DIQUE PORTO MURTINHO"/>
    <n v="0"/>
    <n v="2.7"/>
    <n v="2.7"/>
    <x v="2"/>
    <m/>
    <m/>
    <s v="Federal"/>
    <m/>
    <m/>
    <m/>
    <s v="Federal"/>
    <s v="PAV"/>
    <s v="Jardim"/>
  </r>
  <r>
    <x v="0"/>
    <s v="267AMS1010"/>
    <n v="0"/>
    <x v="233"/>
    <s v="1010"/>
    <n v="-57.870295670009099"/>
    <n v="-21.699409129827401"/>
    <n v="-57.885963330443303"/>
    <n v="-21.695272660304902"/>
    <s v="267"/>
    <s v="MS"/>
    <s v="Acesso"/>
    <s v="-"/>
    <s v="267AMS1010"/>
    <s v="DIQUE PORTO MURTINHO"/>
    <s v="FRONT BRASIL/PARAGUAI (PORTO MURTINHO)"/>
    <n v="2.7"/>
    <n v="4.5"/>
    <n v="1.8"/>
    <x v="2"/>
    <m/>
    <m/>
    <s v="Federal"/>
    <m/>
    <m/>
    <m/>
    <s v="Federal"/>
    <s v="PAV"/>
    <s v="Jardim"/>
  </r>
  <r>
    <x v="0"/>
    <s v="267BMG0010"/>
    <n v="0"/>
    <x v="234"/>
    <s v="0010"/>
    <n v="-42.650880760138897"/>
    <n v="-21.520448450235701"/>
    <n v="-42.679956189926202"/>
    <n v="-21.571697829691001"/>
    <s v="267"/>
    <s v="MG"/>
    <s v="Eixo Principal"/>
    <s v="Coinc"/>
    <s v="267BMG0010"/>
    <s v="ENTR BR-116(A)/120 (LEOPOLDINA)"/>
    <s v="ENTR BR-116(B)"/>
    <n v="0"/>
    <n v="7.7"/>
    <n v="7.7"/>
    <x v="2"/>
    <m/>
    <s v="116BMG1430"/>
    <s v="Federal"/>
    <m/>
    <m/>
    <m/>
    <s v="Federal"/>
    <s v="PAV"/>
    <s v="Leopoldina"/>
  </r>
  <r>
    <x v="0"/>
    <s v="267BMG0030"/>
    <n v="0"/>
    <x v="234"/>
    <s v="0030"/>
    <n v="-42.679956189926202"/>
    <n v="-21.571697829691001"/>
    <n v="-43.065990680025799"/>
    <n v="-21.7294855599106"/>
    <s v="267"/>
    <s v="MG"/>
    <s v="Eixo Principal"/>
    <s v="-"/>
    <s v="267BMG0030"/>
    <s v="ENTR BR-116(B)"/>
    <s v="ENTR MG-126 (BICAS)"/>
    <n v="7.7"/>
    <n v="62"/>
    <n v="54.3"/>
    <x v="2"/>
    <m/>
    <m/>
    <s v="Federal"/>
    <m/>
    <m/>
    <m/>
    <s v="Federal"/>
    <s v="PAV"/>
    <s v="Leopoldina"/>
  </r>
  <r>
    <x v="0"/>
    <s v="267BMG0050"/>
    <n v="0"/>
    <x v="234"/>
    <s v="0050"/>
    <n v="-43.065990680025799"/>
    <n v="-21.7294855599106"/>
    <n v="-43.305175169998002"/>
    <n v="-21.791362069703698"/>
    <s v="267"/>
    <s v="MG"/>
    <s v="Eixo Principal"/>
    <s v="-"/>
    <s v="267BMG0050"/>
    <s v="ENTR MG-126 (BICAS)"/>
    <s v="ENTR ANTIGA ESTRADA UNIÃO E INDÚSTRIA(B)"/>
    <n v="62"/>
    <n v="93.2"/>
    <n v="31.2"/>
    <x v="2"/>
    <m/>
    <m/>
    <s v="Federal"/>
    <m/>
    <m/>
    <m/>
    <s v="Federal"/>
    <s v="PAV"/>
    <s v="Juiz de Fora"/>
  </r>
  <r>
    <x v="0"/>
    <s v="267BMG0060"/>
    <n v="0"/>
    <x v="234"/>
    <s v="0060"/>
    <n v="-43.305175169998002"/>
    <n v="-21.791362069703698"/>
    <n v="-43.339199120243102"/>
    <n v="-21.761625819875601"/>
    <s v="267"/>
    <s v="MG"/>
    <s v="Eixo Principal"/>
    <s v="-"/>
    <s v="267BMG0060"/>
    <s v="ENTR ANTIGA ESTRADA UNIÃO E INDÚSTRIA(A)"/>
    <s v="ENTR AV. PRES ITAMAR FRANCO (JUIZ DE FORA)"/>
    <n v="93.2"/>
    <n v="100.7"/>
    <n v="7.5"/>
    <x v="2"/>
    <m/>
    <m/>
    <s v="Federal"/>
    <m/>
    <m/>
    <m/>
    <s v="Federal"/>
    <s v="PAV"/>
    <s v="Juiz de Fora"/>
  </r>
  <r>
    <x v="0"/>
    <s v="267BMG0070"/>
    <n v="0"/>
    <x v="234"/>
    <s v="0070"/>
    <n v="-43.339199120243102"/>
    <n v="-21.761625819875601"/>
    <n v="-43.353860180303002"/>
    <n v="-21.7454483202836"/>
    <s v="267"/>
    <s v="MG"/>
    <s v="Eixo Principal"/>
    <s v="-"/>
    <s v="267BMG0070"/>
    <s v="ENTR AV. PRES ITAMAR FRANCO (JUIZ DE FORA)"/>
    <s v="ENTR BR-440/MG-353 (JUIZ DE FORA) *TRECHO MUNICIPAL*"/>
    <n v="100.7"/>
    <n v="103"/>
    <n v="2.2999999999999998"/>
    <x v="2"/>
    <m/>
    <m/>
    <s v="Federal"/>
    <m/>
    <m/>
    <m/>
    <s v="Federal"/>
    <s v="PAV"/>
    <s v="Juiz de Fora"/>
  </r>
  <r>
    <x v="0"/>
    <s v="267BMG0090"/>
    <n v="0"/>
    <x v="234"/>
    <s v="0090"/>
    <n v="-43.353860180303002"/>
    <n v="-21.7454483202836"/>
    <n v="-43.4157937403887"/>
    <n v="-21.709086089551299"/>
    <s v="267"/>
    <s v="MG"/>
    <s v="Eixo Principal"/>
    <s v="-"/>
    <s v="267BMG0090"/>
    <s v="ENTR BR-440/MG-353 (JUIZ DE FORA)"/>
    <s v="ENTR ANTIGA ESTRADA UNIÃO E INDÚSTRIA(B) *TRECHO MUNICIPAL*"/>
    <n v="103"/>
    <n v="111.9"/>
    <n v="8.9"/>
    <x v="2"/>
    <m/>
    <m/>
    <s v="Federal"/>
    <m/>
    <m/>
    <m/>
    <s v="Federal"/>
    <s v="PAV"/>
    <s v="Juiz de Fora"/>
  </r>
  <r>
    <x v="0"/>
    <s v="267BMG0110"/>
    <n v="0"/>
    <x v="234"/>
    <s v="0110"/>
    <n v="-43.4157937403887"/>
    <n v="-21.709086089551299"/>
    <n v="-43.437036930409903"/>
    <n v="-21.730530830233501"/>
    <s v="267"/>
    <s v="MG"/>
    <s v="Eixo Principal"/>
    <s v="-"/>
    <s v="267BMG0110"/>
    <s v="ENTR ANTIGA ESTRADA UNIÃO E INDÚSTRIA(B)"/>
    <s v="ENTR BR-040(A)"/>
    <n v="111.9"/>
    <n v="115.5"/>
    <n v="3.6"/>
    <x v="2"/>
    <m/>
    <m/>
    <s v="Federal"/>
    <m/>
    <m/>
    <m/>
    <s v="Federal"/>
    <s v="PAV"/>
    <s v="Juiz de Fora"/>
  </r>
  <r>
    <x v="0"/>
    <s v="267BMG0120"/>
    <n v="0"/>
    <x v="234"/>
    <s v="0120"/>
    <n v="-43.437036930409903"/>
    <n v="-21.730530830233501"/>
    <n v="-43.450930849878702"/>
    <n v="-21.703213289961202"/>
    <s v="267"/>
    <s v="MG"/>
    <s v="Eixo Principal"/>
    <s v="Coinc"/>
    <s v="267BMG0120"/>
    <s v="ENTR BR-040(A)"/>
    <s v="ENTR BR-040(B)"/>
    <n v="115.5"/>
    <n v="118.7"/>
    <n v="3.2"/>
    <x v="2"/>
    <m/>
    <s v="040BMG0590"/>
    <s v="Concessão Federal"/>
    <m/>
    <m/>
    <m/>
    <s v="Federal"/>
    <s v="PAV"/>
    <s v="Juiz de Fora"/>
  </r>
  <r>
    <x v="0"/>
    <s v="267BMG0130"/>
    <n v="0"/>
    <x v="234"/>
    <s v="0130"/>
    <n v="-43.450930849878702"/>
    <n v="-21.703213289961202"/>
    <n v="-43.677258610296498"/>
    <n v="-21.795092390101601"/>
    <s v="267"/>
    <s v="MG"/>
    <s v="Eixo Principal"/>
    <s v="-"/>
    <s v="267BMG0130"/>
    <s v="ENTR BR-040(B)"/>
    <s v="ENTR MG-135"/>
    <n v="118.7"/>
    <n v="138.4"/>
    <n v="19.7"/>
    <x v="2"/>
    <m/>
    <m/>
    <s v="Federal"/>
    <m/>
    <m/>
    <m/>
    <s v="Federal"/>
    <s v="PAV"/>
    <s v="Juiz de Fora"/>
  </r>
  <r>
    <x v="0"/>
    <s v="267BMG0140"/>
    <n v="0"/>
    <x v="234"/>
    <s v="0140"/>
    <n v="-43.677258610296498"/>
    <n v="-21.795092390101601"/>
    <n v="-43.807606120126302"/>
    <n v="-21.8483647396409"/>
    <s v="267"/>
    <s v="MG"/>
    <s v="Eixo Principal"/>
    <s v="-"/>
    <s v="267BMG0140"/>
    <s v="ENTR MG-135"/>
    <s v="ACESSO LIMA DUARTE"/>
    <n v="138.4"/>
    <n v="162.6"/>
    <n v="24.2"/>
    <x v="2"/>
    <m/>
    <m/>
    <s v="Federal"/>
    <m/>
    <m/>
    <m/>
    <s v="Federal"/>
    <s v="PAV"/>
    <s v="Juiz de Fora"/>
  </r>
  <r>
    <x v="0"/>
    <s v="267BMG0150"/>
    <n v="0"/>
    <x v="234"/>
    <s v="0150"/>
    <n v="-43.807606120126302"/>
    <n v="-21.8483647396409"/>
    <n v="-44.193405760367497"/>
    <n v="-21.9367549702656"/>
    <s v="267"/>
    <s v="MG"/>
    <s v="Eixo Principal"/>
    <s v="-"/>
    <s v="267BMG0150"/>
    <s v="ACESSO LIMA DUARTE"/>
    <s v="ENTR MG-457 (BOM JARDIM DE MINAS)"/>
    <n v="162.6"/>
    <n v="213.6"/>
    <n v="51"/>
    <x v="2"/>
    <m/>
    <m/>
    <s v="Federal"/>
    <m/>
    <m/>
    <m/>
    <s v="Federal"/>
    <s v="PAV"/>
    <s v="Juiz de Fora"/>
  </r>
  <r>
    <x v="0"/>
    <s v="267BMG0165"/>
    <n v="0"/>
    <x v="234"/>
    <s v="0165"/>
    <n v="-44.193405760367497"/>
    <n v="-21.9367549702656"/>
    <n v="-44.2216268503987"/>
    <n v="-21.942295509929799"/>
    <s v="267"/>
    <s v="MG"/>
    <s v="Eixo Principal"/>
    <s v="-"/>
    <s v="267BMG0165"/>
    <s v="ENTR MG-457 (BOM JARDIM DE MINAS)"/>
    <s v="ENTR BR-494 (P/ ARANTINA)"/>
    <n v="213.6"/>
    <n v="216.8"/>
    <n v="3.2"/>
    <x v="2"/>
    <m/>
    <m/>
    <s v="Federal"/>
    <m/>
    <m/>
    <m/>
    <s v="Federal"/>
    <s v="PAV"/>
    <s v="Caxambu"/>
  </r>
  <r>
    <x v="0"/>
    <s v="267BMG0168"/>
    <n v="0"/>
    <x v="234"/>
    <s v="0168"/>
    <n v="-44.2216268503987"/>
    <n v="-21.942295509929799"/>
    <n v="-44.349261209936799"/>
    <n v="-21.950932730161199"/>
    <s v="267"/>
    <s v="MG"/>
    <s v="Eixo Principal"/>
    <s v="-"/>
    <s v="267BMG0168"/>
    <s v="ENTR BR-494 (P/ ARANTINA)"/>
    <s v="ENTR MG-814 (P/ LIBERDADE)"/>
    <n v="216.8"/>
    <n v="233.1"/>
    <n v="16.3"/>
    <x v="2"/>
    <m/>
    <m/>
    <s v="Federal"/>
    <m/>
    <m/>
    <m/>
    <s v="Federal"/>
    <s v="PAV"/>
    <s v="Caxambu"/>
  </r>
  <r>
    <x v="0"/>
    <s v="267BMG0172"/>
    <n v="0"/>
    <x v="234"/>
    <s v="0172"/>
    <n v="-44.349261209936799"/>
    <n v="-21.950932730161199"/>
    <n v="-44.492034600316501"/>
    <n v="-21.9383860400836"/>
    <s v="267"/>
    <s v="MG"/>
    <s v="Eixo Principal"/>
    <s v="-"/>
    <s v="267BMG0172"/>
    <s v="ENTR MG-814 (P/ LIBERDADE)"/>
    <s v="ACESSO P/ CARVALHOS"/>
    <n v="233.1"/>
    <n v="251.5"/>
    <n v="18.399999999999999"/>
    <x v="2"/>
    <m/>
    <m/>
    <s v="Federal"/>
    <m/>
    <m/>
    <m/>
    <s v="Federal"/>
    <s v="PAV"/>
    <s v="Caxambu"/>
  </r>
  <r>
    <x v="0"/>
    <s v="267BMG0175"/>
    <n v="0"/>
    <x v="234"/>
    <s v="0175"/>
    <n v="-44.492034600316501"/>
    <n v="-21.9383860400836"/>
    <n v="-44.5197916302794"/>
    <n v="-21.933487440093199"/>
    <s v="267"/>
    <s v="MG"/>
    <s v="Eixo Principal"/>
    <s v="-"/>
    <s v="267BMG0175"/>
    <s v="ACESSO P/ CARVALHOS"/>
    <s v="ACESSO P/ SERITINGA"/>
    <n v="251.5"/>
    <n v="255"/>
    <n v="3.5"/>
    <x v="2"/>
    <m/>
    <m/>
    <s v="Federal"/>
    <m/>
    <m/>
    <m/>
    <s v="Federal"/>
    <s v="PAV"/>
    <s v="Caxambu"/>
  </r>
  <r>
    <x v="0"/>
    <s v="267BMG0180"/>
    <n v="0"/>
    <x v="234"/>
    <s v="0180"/>
    <n v="-44.5197916302794"/>
    <n v="-21.933487440093199"/>
    <n v="-44.641906040131602"/>
    <n v="-21.933955819605298"/>
    <s v="267"/>
    <s v="MG"/>
    <s v="Eixo Principal"/>
    <s v="-"/>
    <s v="267BMG0180"/>
    <s v="ACESSO P/ SERITINGA"/>
    <s v="ACESSO P/ AIURUOCA"/>
    <n v="255"/>
    <n v="271"/>
    <n v="16"/>
    <x v="2"/>
    <m/>
    <m/>
    <s v="Federal"/>
    <m/>
    <m/>
    <m/>
    <s v="Federal"/>
    <s v="PAV"/>
    <s v="Caxambu"/>
  </r>
  <r>
    <x v="0"/>
    <s v="267BMG0190"/>
    <n v="0"/>
    <x v="234"/>
    <s v="0190"/>
    <n v="-44.641906040131602"/>
    <n v="-21.933955819605298"/>
    <n v="-44.819400869754297"/>
    <n v="-21.923267879808702"/>
    <s v="267"/>
    <s v="MG"/>
    <s v="Eixo Principal"/>
    <s v="-"/>
    <s v="267BMG0190"/>
    <s v="ACESSO P/ AIURUOCA"/>
    <s v="ENTR BR-354(A)/383(A) (P/ CRUZÍLIA)"/>
    <n v="271"/>
    <n v="291.5"/>
    <n v="20.5"/>
    <x v="2"/>
    <m/>
    <m/>
    <s v="Federal"/>
    <m/>
    <m/>
    <m/>
    <s v="Federal"/>
    <s v="PAV"/>
    <s v="Caxambu"/>
  </r>
  <r>
    <x v="0"/>
    <s v="267BMG0210"/>
    <n v="0"/>
    <x v="234"/>
    <s v="0210"/>
    <n v="-44.819400869754297"/>
    <n v="-21.923267879808702"/>
    <n v="-44.872666870079897"/>
    <n v="-21.9359424004214"/>
    <s v="267"/>
    <s v="MG"/>
    <s v="Eixo Principal"/>
    <s v="-"/>
    <s v="267BMG0210"/>
    <s v="ENTR BR-354(A)/383(A) (P/ CRUZÍLIA)"/>
    <s v="ACESSO BAEPENDI"/>
    <n v="291.5"/>
    <n v="297.60000000000002"/>
    <n v="6.1"/>
    <x v="2"/>
    <m/>
    <s v="383BMG0190;354BMG0470"/>
    <s v="Federal"/>
    <m/>
    <m/>
    <m/>
    <s v="Federal"/>
    <s v="PAV"/>
    <s v="Caxambu"/>
  </r>
  <r>
    <x v="0"/>
    <s v="267BMG0230"/>
    <n v="0"/>
    <x v="234"/>
    <s v="0230"/>
    <n v="-44.872666870079897"/>
    <n v="-21.9359424004214"/>
    <n v="-44.923995430344803"/>
    <n v="-21.969451790068"/>
    <s v="267"/>
    <s v="MG"/>
    <s v="Eixo Principal"/>
    <s v="-"/>
    <s v="267BMG0230"/>
    <s v="ACESSO BAEPENDI"/>
    <s v="ENTR BR-354(B) (CAXAMBÚ)"/>
    <n v="297.60000000000002"/>
    <n v="304.60000000000002"/>
    <n v="7"/>
    <x v="2"/>
    <m/>
    <s v="383BMG0210;354BMG0490"/>
    <s v="Federal"/>
    <m/>
    <m/>
    <m/>
    <s v="Federal"/>
    <s v="PAV"/>
    <s v="Caxambu"/>
  </r>
  <r>
    <x v="0"/>
    <s v="267BMG0240"/>
    <n v="0"/>
    <x v="234"/>
    <s v="0240"/>
    <n v="-44.923995430344803"/>
    <n v="-21.969451790068"/>
    <n v="-44.973409489556197"/>
    <n v="-21.9560533799594"/>
    <s v="267"/>
    <s v="MG"/>
    <s v="Eixo Principal"/>
    <s v="-"/>
    <s v="267BMG0240"/>
    <s v="ENTR BR-354(B) (CAXAMBÚ)"/>
    <s v="ENTR BR-383(B)"/>
    <n v="304.60000000000002"/>
    <n v="310.7"/>
    <n v="6.1"/>
    <x v="1"/>
    <m/>
    <s v="383BMG0220"/>
    <s v="Estadual"/>
    <m/>
    <s v="MGT-267"/>
    <s v="PAV"/>
    <s v="Estadual"/>
    <s v="PLA"/>
    <s v="Caxambu"/>
  </r>
  <r>
    <x v="0"/>
    <s v="267BMG0250"/>
    <n v="0"/>
    <x v="234"/>
    <s v="0250"/>
    <n v="-44.973409489556197"/>
    <n v="-21.9560533799594"/>
    <n v="-45.110913660337097"/>
    <n v="-21.926423910235201"/>
    <s v="267"/>
    <s v="MG"/>
    <s v="Eixo Principal"/>
    <s v="-"/>
    <s v="267BMG0250"/>
    <s v="ENTR BR-383(B)"/>
    <s v="ACESSO CONCEIÇÃO DO RIO VERDE"/>
    <n v="310.7"/>
    <n v="327.9"/>
    <n v="17.2"/>
    <x v="1"/>
    <m/>
    <m/>
    <s v="Estadual"/>
    <m/>
    <s v="MGT-267"/>
    <s v="PAV"/>
    <s v="Estadual"/>
    <s v="PLA"/>
    <s v="Caxambu"/>
  </r>
  <r>
    <x v="0"/>
    <s v="267BMG0270"/>
    <n v="0"/>
    <x v="234"/>
    <s v="0270"/>
    <n v="-45.110913660337097"/>
    <n v="-21.926423910235201"/>
    <n v="-45.247154330407902"/>
    <n v="-21.901105499918799"/>
    <s v="267"/>
    <s v="MG"/>
    <s v="Eixo Principal"/>
    <s v="-"/>
    <s v="267BMG0270"/>
    <s v="ACESSO CONCEIÇÃO DO RIO VERDE"/>
    <s v="ENTR BR-460"/>
    <n v="327.9"/>
    <n v="345.3"/>
    <n v="17.399999999999999"/>
    <x v="1"/>
    <m/>
    <m/>
    <s v="Estadual"/>
    <m/>
    <s v="MGT-267"/>
    <s v="PAV"/>
    <s v="Estadual"/>
    <s v="PLA"/>
    <s v="Caxambu"/>
  </r>
  <r>
    <x v="0"/>
    <s v="267BMG0290"/>
    <n v="0"/>
    <x v="234"/>
    <s v="0290"/>
    <n v="-45.247154330407902"/>
    <n v="-21.901105499918799"/>
    <n v="-45.317597319760402"/>
    <n v="-21.870310079846199"/>
    <s v="267"/>
    <s v="MG"/>
    <s v="Eixo Principal"/>
    <s v="-"/>
    <s v="267BMG0290"/>
    <s v="ENTR BR-460"/>
    <s v="ENTR MG-167 (CAMBUQUIRA)"/>
    <n v="345.3"/>
    <n v="354.5"/>
    <n v="9.1999999999999993"/>
    <x v="1"/>
    <m/>
    <m/>
    <s v="Estadual"/>
    <m/>
    <s v="MGT-267"/>
    <s v="PAV"/>
    <s v="Estadual"/>
    <s v="PLA"/>
    <s v="Caxambu"/>
  </r>
  <r>
    <x v="0"/>
    <s v="267BMG0310"/>
    <n v="0"/>
    <x v="234"/>
    <s v="0310"/>
    <n v="-45.317597319760402"/>
    <n v="-21.870310079846199"/>
    <n v="-45.396907190114597"/>
    <n v="-21.829713920061199"/>
    <s v="267"/>
    <s v="MG"/>
    <s v="Eixo Principal"/>
    <s v="-"/>
    <s v="267BMG0310"/>
    <s v="ENTR MG-167 (CAMBUQUIRA)"/>
    <s v="CAMPANHA"/>
    <n v="354.5"/>
    <n v="366.3"/>
    <n v="11.8"/>
    <x v="1"/>
    <m/>
    <m/>
    <s v="Estadual"/>
    <m/>
    <s v="MGT-267"/>
    <s v="PAV"/>
    <s v="Estadual"/>
    <s v="PLA"/>
    <s v="Caxambu"/>
  </r>
  <r>
    <x v="0"/>
    <s v="267BMG0330"/>
    <n v="0"/>
    <x v="234"/>
    <s v="0330"/>
    <n v="-45.396907190114597"/>
    <n v="-21.829713920061199"/>
    <n v="-45.437202509588097"/>
    <n v="-21.787154769576802"/>
    <s v="267"/>
    <s v="MG"/>
    <s v="Eixo Principal"/>
    <s v="-"/>
    <s v="267BMG0330"/>
    <s v="CAMPANHA"/>
    <s v="ENTR BR-381 (PALMELA)"/>
    <n v="366.3"/>
    <n v="373.4"/>
    <n v="7.1"/>
    <x v="1"/>
    <m/>
    <m/>
    <s v="Estadual"/>
    <m/>
    <s v="MGT-267"/>
    <s v="PAV"/>
    <s v="Estadual"/>
    <s v="PLA"/>
    <s v="Caxambu"/>
  </r>
  <r>
    <x v="0"/>
    <s v="267BMG0350"/>
    <n v="0"/>
    <x v="234"/>
    <s v="0350"/>
    <n v="-45.437202509588097"/>
    <n v="-21.787154769576802"/>
    <n v="-45.545704879876197"/>
    <n v="-21.758126090146899"/>
    <s v="267"/>
    <s v="MG"/>
    <s v="Eixo Principal"/>
    <s v="-"/>
    <s v="267BMG0350"/>
    <s v="ENTR BR-381 (PALMELA)"/>
    <s v="MONSENHOR PAULO"/>
    <n v="373.4"/>
    <n v="388.4"/>
    <n v="15"/>
    <x v="1"/>
    <m/>
    <m/>
    <s v="Estadual"/>
    <m/>
    <s v="MGT-267"/>
    <s v="PAV"/>
    <s v="Estadual"/>
    <s v="PLA"/>
    <s v="Caxambu"/>
  </r>
  <r>
    <x v="0"/>
    <s v="267BMG0360"/>
    <n v="0"/>
    <x v="234"/>
    <s v="0360"/>
    <n v="-45.545704879876197"/>
    <n v="-21.758126090146899"/>
    <n v="-45.841579619803497"/>
    <n v="-21.777096839947099"/>
    <s v="267"/>
    <s v="MG"/>
    <s v="Eixo Principal"/>
    <s v="-"/>
    <s v="267BMG0360"/>
    <s v="MONSENHOR PAULO"/>
    <s v="CARVALHÓPOLIS"/>
    <n v="388.4"/>
    <n v="424.4"/>
    <n v="36"/>
    <x v="1"/>
    <m/>
    <m/>
    <s v="Federal"/>
    <m/>
    <m/>
    <m/>
    <s v="Federal"/>
    <s v="PLA"/>
    <s v="Caxambu"/>
  </r>
  <r>
    <x v="0"/>
    <s v="267BMG0370"/>
    <n v="0"/>
    <x v="234"/>
    <s v="0370"/>
    <n v="-45.841579619803497"/>
    <n v="-21.777096839947099"/>
    <n v="-45.898941950210698"/>
    <n v="-21.690756770408498"/>
    <s v="267"/>
    <s v="MG"/>
    <s v="Eixo Principal"/>
    <s v="-"/>
    <s v="267BMG0370"/>
    <s v="CARVALHÓPOLIS"/>
    <s v="ENTR MG-179/453 (MACHADO)"/>
    <n v="424.4"/>
    <n v="436.4"/>
    <n v="12"/>
    <x v="1"/>
    <m/>
    <m/>
    <s v="Estadual"/>
    <m/>
    <s v="MGT-267"/>
    <s v="PAV"/>
    <s v="Estadual"/>
    <s v="PLA"/>
    <s v="Caxambu"/>
  </r>
  <r>
    <x v="0"/>
    <s v="267BMG0390"/>
    <n v="0"/>
    <x v="234"/>
    <s v="0390"/>
    <n v="-45.898941950210698"/>
    <n v="-21.690756770408498"/>
    <n v="-46.027259809792298"/>
    <n v="-21.636081390343801"/>
    <s v="267"/>
    <s v="MG"/>
    <s v="Eixo Principal"/>
    <s v="-"/>
    <s v="267BMG0390"/>
    <s v="ENTR MG-179/453 (MACHADO)"/>
    <s v="ACESSO SERRANIA"/>
    <n v="436.4"/>
    <n v="452.9"/>
    <n v="16.5"/>
    <x v="1"/>
    <m/>
    <m/>
    <s v="Estadual"/>
    <m/>
    <s v="MG-267"/>
    <s v="PAV"/>
    <s v="Estadual"/>
    <s v="PLA"/>
    <s v="Caxambu"/>
  </r>
  <r>
    <x v="0"/>
    <s v="267BMG0393"/>
    <n v="0"/>
    <x v="234"/>
    <s v="0393"/>
    <n v="-46.027259809792298"/>
    <n v="-21.636081390343801"/>
    <n v="-46.404225139778298"/>
    <n v="-21.745630110141398"/>
    <s v="267"/>
    <s v="MG"/>
    <s v="Eixo Principal"/>
    <s v="-"/>
    <s v="267BMG0393"/>
    <s v="ACESSO SERRANIA"/>
    <s v="ENTR BR-146(A)"/>
    <n v="452.9"/>
    <n v="500.5"/>
    <n v="47.6"/>
    <x v="1"/>
    <m/>
    <m/>
    <s v="Estadual"/>
    <m/>
    <s v="MG-267"/>
    <s v="PAV"/>
    <s v="Estadual"/>
    <s v="PLA"/>
    <s v="Caxambu"/>
  </r>
  <r>
    <x v="0"/>
    <s v="267BMG0400"/>
    <n v="0"/>
    <x v="234"/>
    <s v="0400"/>
    <n v="-46.404225139778298"/>
    <n v="-21.745630110141398"/>
    <n v="-46.471237710152103"/>
    <n v="-21.808462240440001"/>
    <s v="267"/>
    <s v="MG"/>
    <s v="Eixo Principal"/>
    <s v="Coinc"/>
    <s v="267BMG0400"/>
    <s v="ENTR BR-146(A)"/>
    <s v="ENTR BR-459(A)"/>
    <n v="500.5"/>
    <n v="512.20000000000005"/>
    <n v="11.7"/>
    <x v="2"/>
    <m/>
    <s v="146BMG0290"/>
    <s v="Federal"/>
    <m/>
    <m/>
    <m/>
    <s v="Federal"/>
    <s v="PAV"/>
    <s v="Caxambu"/>
  </r>
  <r>
    <x v="0"/>
    <s v="267BMG0405"/>
    <n v="0"/>
    <x v="234"/>
    <s v="0405"/>
    <n v="-46.471237710152103"/>
    <n v="-21.808462240440001"/>
    <n v="-46.494480739694303"/>
    <n v="-21.8057898501214"/>
    <s v="267"/>
    <s v="MG"/>
    <s v="Eixo Principal"/>
    <s v="Coinc"/>
    <s v="267BMG0405"/>
    <s v="ENTR BR-459(A)"/>
    <s v="FIM DO TRECHO DUPLICADO *TRECHO URBANO*"/>
    <n v="512.20000000000005"/>
    <n v="514.70000000000005"/>
    <n v="2.5"/>
    <x v="2"/>
    <m/>
    <s v="146BMG0295;459BMG0010"/>
    <s v="Federal"/>
    <m/>
    <m/>
    <m/>
    <s v="Federal"/>
    <s v="PAV"/>
    <s v="Caxambu"/>
  </r>
  <r>
    <x v="0"/>
    <s v="267BMG0410"/>
    <n v="0"/>
    <x v="234"/>
    <s v="0410"/>
    <n v="-46.494480739694303"/>
    <n v="-21.8057898501214"/>
    <n v="-46.542116219587697"/>
    <n v="-21.787886199888099"/>
    <s v="267"/>
    <s v="MG"/>
    <s v="Eixo Principal"/>
    <s v="Coinc"/>
    <s v="267BMG0410"/>
    <s v="FIM DO TRECHO DUPLICADO"/>
    <s v="ENTR R. LUIZ CASSARO/BR-459(B) (DEER POÇOS DE CALDAS)"/>
    <n v="514.70000000000005"/>
    <n v="520"/>
    <n v="5.3"/>
    <x v="0"/>
    <m/>
    <s v="459BMG0005;146BMG0300"/>
    <s v="Federal"/>
    <m/>
    <m/>
    <m/>
    <s v="Federal"/>
    <s v="PAV"/>
    <s v="Caxambu"/>
  </r>
  <r>
    <x v="0"/>
    <s v="267BMG0420"/>
    <n v="0"/>
    <x v="234"/>
    <s v="0420"/>
    <n v="-46.542116219587697"/>
    <n v="-21.787886199888099"/>
    <n v="-46.571746159657401"/>
    <n v="-21.786379759917899"/>
    <s v="267"/>
    <s v="MG"/>
    <s v="Eixo Principal"/>
    <s v="Coinc"/>
    <s v="267BMG0420"/>
    <s v="ENTR R. LUIZ CASSARO/BR-459(B) (DEER POÇOS DE CALDAS)"/>
    <s v="ENTR BR-146(B) (POÇOS DE CALDAS) *TRECHO MUNICIPAL*"/>
    <n v="520"/>
    <n v="522.20000000000005"/>
    <n v="2.2000000000000002"/>
    <x v="1"/>
    <m/>
    <s v="146BMG0302"/>
    <s v="Estadual"/>
    <m/>
    <s v="MG-146"/>
    <s v="DUP"/>
    <s v="Estadual"/>
    <s v="PLA"/>
    <s v="Caxambu"/>
  </r>
  <r>
    <x v="0"/>
    <s v="267BMG0430"/>
    <n v="0"/>
    <x v="234"/>
    <s v="0430"/>
    <n v="-46.571746159657401"/>
    <n v="-21.786379759917899"/>
    <n v="-46.681480520209703"/>
    <n v="-21.845891249681301"/>
    <s v="267"/>
    <s v="MG"/>
    <s v="Eixo Principal"/>
    <s v="-"/>
    <s v="267BMG0430"/>
    <s v="ENTR BR-146(B) (POÇOS DE CALDAS)"/>
    <s v="DIV MG/SP"/>
    <n v="522.20000000000005"/>
    <n v="535.29999999999995"/>
    <n v="13.1"/>
    <x v="1"/>
    <m/>
    <m/>
    <s v="Estadual"/>
    <m/>
    <s v="MGT-267"/>
    <s v="DUP"/>
    <s v="Estadual"/>
    <s v="PLA"/>
    <s v="Caxambu"/>
  </r>
  <r>
    <x v="0"/>
    <s v="267BMS0870"/>
    <n v="0"/>
    <x v="235"/>
    <s v="0870"/>
    <n v="-52.154374369881197"/>
    <n v="-21.777926930383501"/>
    <n v="-52.172714690430503"/>
    <n v="-21.762527320079599"/>
    <s v="267"/>
    <s v="MS"/>
    <s v="Eixo Principal"/>
    <s v="-"/>
    <s v="267BMS0870"/>
    <s v="DIV SP/MS (INÍCIO TRAVESSIA RIO PARANÁ)"/>
    <s v="FIM TRAV RIO PARANÁ (PONTE M. JOPPERT)"/>
    <n v="0"/>
    <n v="2.5"/>
    <n v="2.5"/>
    <x v="2"/>
    <m/>
    <m/>
    <s v="Federal"/>
    <m/>
    <m/>
    <m/>
    <s v="Federal"/>
    <s v="PAV"/>
    <s v="Dourados"/>
  </r>
  <r>
    <x v="0"/>
    <s v="267BMS0880"/>
    <n v="0"/>
    <x v="235"/>
    <s v="0880"/>
    <n v="-52.172714690430503"/>
    <n v="-21.762527320079599"/>
    <n v="-52.405930280158202"/>
    <n v="-21.7218682895898"/>
    <s v="267"/>
    <s v="MS"/>
    <s v="Eixo Principal"/>
    <s v="-"/>
    <s v="267BMS0880"/>
    <s v="FIM TRAV RIO PARANÁ (PONTE M. JOPPERT)"/>
    <s v="INCÍO DA PISTA DUPLA"/>
    <n v="2.5"/>
    <n v="27.2"/>
    <n v="24.7"/>
    <x v="2"/>
    <m/>
    <m/>
    <s v="Federal"/>
    <m/>
    <m/>
    <m/>
    <s v="Federal"/>
    <s v="PAV"/>
    <s v="Dourados"/>
  </r>
  <r>
    <x v="0"/>
    <s v="267BMS0885"/>
    <n v="0"/>
    <x v="235"/>
    <s v="0885"/>
    <n v="-52.405930280158202"/>
    <n v="-21.7218682895898"/>
    <n v="-52.434262039861203"/>
    <n v="-21.722554580229598"/>
    <s v="267"/>
    <s v="MS"/>
    <s v="Eixo Principal"/>
    <s v="-"/>
    <s v="267BMS0885"/>
    <s v="INCÍO DA PISTA DUPLA"/>
    <s v="FIM PISTA DUPLA (BATAGUASSU)"/>
    <n v="27.2"/>
    <n v="30.2"/>
    <n v="3"/>
    <x v="0"/>
    <m/>
    <m/>
    <s v="Federal"/>
    <m/>
    <m/>
    <m/>
    <s v="Federal"/>
    <s v="PAV"/>
    <s v="Dourados"/>
  </r>
  <r>
    <x v="0"/>
    <s v="267BMS0890"/>
    <n v="0"/>
    <x v="235"/>
    <s v="0890"/>
    <n v="-52.434262039861203"/>
    <n v="-21.722554580229598"/>
    <n v="-53.262066539838798"/>
    <n v="-21.7562257696035"/>
    <s v="267"/>
    <s v="MS"/>
    <s v="Eixo Principal"/>
    <s v="-"/>
    <s v="267BMS0890"/>
    <s v="FIM PISTA DUPLA (BATAGUASSU)"/>
    <s v="ENTR MS-134 (CASA VERDE)"/>
    <n v="30.2"/>
    <n v="123.8"/>
    <n v="93.6"/>
    <x v="2"/>
    <m/>
    <m/>
    <s v="Federal"/>
    <m/>
    <m/>
    <m/>
    <s v="Federal"/>
    <s v="PAV"/>
    <s v="Dourados"/>
  </r>
  <r>
    <x v="0"/>
    <s v="267BMS0910"/>
    <n v="0"/>
    <x v="235"/>
    <s v="0910"/>
    <n v="-53.262066539838798"/>
    <n v="-21.7562257696035"/>
    <n v="-53.2700821495715"/>
    <n v="-21.751784929930501"/>
    <s v="267"/>
    <s v="MS"/>
    <s v="Eixo Principal"/>
    <s v="-"/>
    <s v="267BMS0910"/>
    <s v="ENTR MS-134 (CASA VERDE)"/>
    <s v="FIM DUPLICAÇÃO (CASA VERDE)"/>
    <n v="123.8"/>
    <n v="124.8"/>
    <n v="1"/>
    <x v="0"/>
    <m/>
    <m/>
    <s v="Federal"/>
    <m/>
    <m/>
    <m/>
    <s v="Federal"/>
    <s v="PAV"/>
    <s v="Dourados"/>
  </r>
  <r>
    <x v="0"/>
    <s v="267BMS0915"/>
    <n v="0"/>
    <x v="235"/>
    <s v="0915"/>
    <n v="-53.2700821495715"/>
    <n v="-21.751784929930501"/>
    <n v="-53.360475670415802"/>
    <n v="-21.702024569677999"/>
    <s v="267"/>
    <s v="MS"/>
    <s v="Eixo Principal"/>
    <s v="-"/>
    <s v="267BMS0915"/>
    <s v="FIM DUPLICAÇÃO (CASA VERDE)"/>
    <s v="ENTR MS-141 (P/ ANGÉLICA)"/>
    <n v="124.8"/>
    <n v="135.6"/>
    <n v="10.8"/>
    <x v="2"/>
    <m/>
    <m/>
    <s v="Federal"/>
    <m/>
    <m/>
    <m/>
    <s v="Federal"/>
    <s v="PAV"/>
    <s v="Dourados"/>
  </r>
  <r>
    <x v="0"/>
    <s v="267BMS0920"/>
    <n v="0"/>
    <x v="235"/>
    <s v="0920"/>
    <n v="-53.360475670415802"/>
    <n v="-21.702024569677999"/>
    <n v="-53.859306289953203"/>
    <n v="-21.5996906502032"/>
    <s v="267"/>
    <s v="MS"/>
    <s v="Eixo Principal"/>
    <s v="-"/>
    <s v="267BMS0920"/>
    <s v="ENTR MS-141 (P/ ANGÉLICA)"/>
    <s v="ENTR MS-145"/>
    <n v="135.6"/>
    <n v="189.2"/>
    <n v="53.6"/>
    <x v="2"/>
    <m/>
    <m/>
    <s v="Federal"/>
    <m/>
    <m/>
    <m/>
    <s v="Federal"/>
    <s v="PAV"/>
    <s v="Dourados"/>
  </r>
  <r>
    <x v="0"/>
    <s v="267BMS0930"/>
    <n v="0"/>
    <x v="235"/>
    <s v="0930"/>
    <n v="-53.859306289953203"/>
    <n v="-21.5996906502032"/>
    <n v="-54.1614812196825"/>
    <n v="-21.540449000221098"/>
    <s v="267"/>
    <s v="MS"/>
    <s v="Eixo Principal"/>
    <s v="-"/>
    <s v="267BMS0930"/>
    <s v="ENTR MS-145"/>
    <s v="ENTR MS-375 (ZUZU)"/>
    <n v="189.2"/>
    <n v="222.9"/>
    <n v="33.700000000000003"/>
    <x v="2"/>
    <m/>
    <m/>
    <s v="Federal"/>
    <m/>
    <m/>
    <m/>
    <s v="Federal"/>
    <s v="PAV"/>
    <s v="Dourados"/>
  </r>
  <r>
    <x v="0"/>
    <s v="267BMS0950"/>
    <n v="0"/>
    <x v="235"/>
    <s v="0950"/>
    <n v="-54.1614812196825"/>
    <n v="-21.540449000221098"/>
    <n v="-54.374110590331398"/>
    <n v="-21.474504300133201"/>
    <s v="267"/>
    <s v="MS"/>
    <s v="Eixo Principal"/>
    <s v="-"/>
    <s v="267BMS0950"/>
    <s v="ENTR MS-375 (ZUZU)"/>
    <s v="INÍCIO DUPLICAÇÃO (NOVA ALVORADA DO SUL)"/>
    <n v="222.9"/>
    <n v="246.7"/>
    <n v="23.8"/>
    <x v="2"/>
    <m/>
    <m/>
    <s v="Federal"/>
    <m/>
    <m/>
    <m/>
    <s v="Federal"/>
    <s v="PAV"/>
    <s v="Dourados"/>
  </r>
  <r>
    <x v="0"/>
    <s v="267BMS0952"/>
    <n v="0"/>
    <x v="235"/>
    <s v="0952"/>
    <n v="-54.374110590331398"/>
    <n v="-21.474504300133201"/>
    <n v="-54.385983559593498"/>
    <n v="-21.471763809552101"/>
    <s v="267"/>
    <s v="MS"/>
    <s v="Eixo Principal"/>
    <s v="-"/>
    <s v="267BMS0952"/>
    <s v="INÍCIO DUPLICAÇÃO (NOVA ALVORADA DO SUL)"/>
    <s v="ENTR BR-163(A) (NOVA ALVORADA DO SUL)"/>
    <n v="246.7"/>
    <n v="248.1"/>
    <n v="1.4"/>
    <x v="0"/>
    <m/>
    <m/>
    <s v="Federal"/>
    <m/>
    <m/>
    <m/>
    <s v="Federal"/>
    <s v="PAV"/>
    <s v="Dourados"/>
  </r>
  <r>
    <x v="0"/>
    <s v="267BMS0954"/>
    <n v="0"/>
    <x v="235"/>
    <s v="0954"/>
    <n v="-54.385983559593498"/>
    <n v="-21.471763809552101"/>
    <n v="-54.423344369646799"/>
    <n v="-21.642744940426599"/>
    <s v="267"/>
    <s v="MS"/>
    <s v="Eixo Principal"/>
    <s v="Coinc"/>
    <s v="267BMS0954"/>
    <s v="ENTR BR-163(A) (NOVA ALVORADA DO SUL)"/>
    <s v="PONTE S/RIO VACARIA (AROEIRA)"/>
    <n v="248.1"/>
    <n v="268.2"/>
    <n v="20.100000000000001"/>
    <x v="2"/>
    <m/>
    <s v="163BMS0360"/>
    <s v="Concessão Federal"/>
    <m/>
    <m/>
    <m/>
    <s v="Federal"/>
    <s v="PAV"/>
    <s v="Dourados"/>
  </r>
  <r>
    <x v="0"/>
    <s v="267BMS0960"/>
    <n v="0"/>
    <x v="235"/>
    <s v="0960"/>
    <n v="-54.423344369646799"/>
    <n v="-21.642744940426599"/>
    <n v="-54.526976759969401"/>
    <n v="-21.783598799844601"/>
    <s v="267"/>
    <s v="MS"/>
    <s v="Eixo Principal"/>
    <s v="Coinc"/>
    <s v="267BMS0960"/>
    <s v="PONTE S/RIO VACARIA (AROEIRA)"/>
    <s v="ENTR BR-163(B) (RIO BRILHANTE)"/>
    <n v="268.2"/>
    <n v="289"/>
    <n v="20.8"/>
    <x v="2"/>
    <m/>
    <s v="163BMS0334"/>
    <s v="Concessão Federal"/>
    <m/>
    <m/>
    <m/>
    <s v="Federal"/>
    <s v="PAV"/>
    <s v="Dourados"/>
  </r>
  <r>
    <x v="0"/>
    <s v="267BMS0972"/>
    <n v="0"/>
    <x v="235"/>
    <s v="0972"/>
    <n v="-54.526976759969401"/>
    <n v="-21.783598799844601"/>
    <n v="-54.593343260083302"/>
    <n v="-21.757915979738598"/>
    <s v="267"/>
    <s v="MS"/>
    <s v="Eixo Principal"/>
    <s v="-"/>
    <s v="267BMS0972"/>
    <s v="ENTR BR-163(B) (RIO BRILHANTE)"/>
    <s v="ENTR MS-156"/>
    <n v="289"/>
    <n v="297"/>
    <n v="8"/>
    <x v="2"/>
    <m/>
    <m/>
    <s v="Federal"/>
    <m/>
    <m/>
    <m/>
    <s v="Federal"/>
    <s v="PAV"/>
    <s v="Dourados"/>
  </r>
  <r>
    <x v="0"/>
    <s v="267BMS0975"/>
    <n v="0"/>
    <x v="235"/>
    <s v="0975"/>
    <n v="-54.593343260083302"/>
    <n v="-21.757915979738598"/>
    <n v="-54.957484059841399"/>
    <n v="-21.6102217095642"/>
    <s v="267"/>
    <s v="MS"/>
    <s v="Eixo Principal"/>
    <s v="-"/>
    <s v="267BMS0975"/>
    <s v="ENTR MS-156"/>
    <s v="ENTR MS-470 (P/PIRAPORA)"/>
    <n v="297"/>
    <n v="342.6"/>
    <n v="45.6"/>
    <x v="2"/>
    <m/>
    <m/>
    <s v="Federal"/>
    <m/>
    <m/>
    <m/>
    <s v="Federal"/>
    <s v="PAV"/>
    <s v="Dourados"/>
  </r>
  <r>
    <x v="0"/>
    <s v="267BMS0980"/>
    <n v="0"/>
    <x v="235"/>
    <s v="0980"/>
    <n v="-54.957484059841399"/>
    <n v="-21.6102217095642"/>
    <n v="-55.095506390307598"/>
    <n v="-21.648359239786998"/>
    <s v="267"/>
    <s v="MS"/>
    <s v="Eixo Principal"/>
    <s v="-"/>
    <s v="267BMS0980"/>
    <s v="ENTR MS-470 (P/PIRAPORA)"/>
    <s v="ENTR MS-157 (P/ITAPORÃ)"/>
    <n v="342.6"/>
    <n v="357.8"/>
    <n v="15.2"/>
    <x v="2"/>
    <m/>
    <m/>
    <s v="Federal"/>
    <m/>
    <m/>
    <m/>
    <s v="Federal"/>
    <s v="PAV"/>
    <s v="Dourados"/>
  </r>
  <r>
    <x v="0"/>
    <s v="267BMS0985"/>
    <n v="0"/>
    <x v="235"/>
    <s v="0985"/>
    <n v="-55.095506390307598"/>
    <n v="-21.648359239786998"/>
    <n v="-55.121733829952198"/>
    <n v="-21.642706329833199"/>
    <s v="267"/>
    <s v="MS"/>
    <s v="Eixo Principal"/>
    <s v="-"/>
    <s v="267BMS0985"/>
    <s v="ENTR MS-157 (P/ITAPORÃ)"/>
    <s v="ENTR MS-162(A)"/>
    <n v="357.8"/>
    <n v="360.6"/>
    <n v="2.8"/>
    <x v="2"/>
    <m/>
    <m/>
    <s v="Federal"/>
    <m/>
    <m/>
    <m/>
    <s v="Federal"/>
    <s v="PAV"/>
    <s v="Dourados"/>
  </r>
  <r>
    <x v="0"/>
    <s v="267BMS0990"/>
    <n v="0"/>
    <x v="235"/>
    <s v="0990"/>
    <n v="-55.121733829952198"/>
    <n v="-21.642706329833199"/>
    <n v="-55.1293326803588"/>
    <n v="-21.644476659670001"/>
    <s v="267"/>
    <s v="MS"/>
    <s v="Eixo Principal"/>
    <s v="-"/>
    <s v="267BMS0990"/>
    <s v="ENTR MS-162(A)"/>
    <s v="INÍCIO DA PISTA DUPLA"/>
    <n v="360.6"/>
    <n v="361.3"/>
    <n v="0.7"/>
    <x v="2"/>
    <m/>
    <m/>
    <s v="Federal"/>
    <m/>
    <m/>
    <m/>
    <s v="Federal"/>
    <s v="PAV"/>
    <s v="Dourados"/>
  </r>
  <r>
    <x v="0"/>
    <s v="267BMS0995"/>
    <n v="0"/>
    <x v="235"/>
    <s v="0995"/>
    <n v="-55.1293326803588"/>
    <n v="-21.644476659670001"/>
    <n v="-55.157229410109103"/>
    <n v="-21.635651330044801"/>
    <s v="267"/>
    <s v="MS"/>
    <s v="Eixo Principal"/>
    <s v="-"/>
    <s v="267BMS0995"/>
    <s v="INÍCIO DA PISTA DUPLA"/>
    <s v="ENTR R. 11 DE JUNHO (ACESSO À MARACAJÚ)"/>
    <n v="361.3"/>
    <n v="364.5"/>
    <n v="3.2"/>
    <x v="0"/>
    <m/>
    <m/>
    <s v="Federal"/>
    <m/>
    <m/>
    <m/>
    <s v="Federal"/>
    <s v="PAV"/>
    <s v="Dourados"/>
  </r>
  <r>
    <x v="0"/>
    <s v="267BMS1000"/>
    <n v="0"/>
    <x v="235"/>
    <s v="1000"/>
    <n v="-55.157229410109103"/>
    <n v="-21.635651330044801"/>
    <n v="-55.187344900446703"/>
    <n v="-21.644725869902899"/>
    <s v="267"/>
    <s v="MS"/>
    <s v="Eixo Principal"/>
    <s v="-"/>
    <s v="267BMS1000"/>
    <s v="ENTR R. 11 DE JUNHO (ACESSO À MARACAJÚ)"/>
    <s v="FIM DA PISTA DUPLA (ENTR MS-162- CONTORNO MARACAJÚ)"/>
    <n v="364.5"/>
    <n v="367.8"/>
    <n v="3.3"/>
    <x v="0"/>
    <m/>
    <m/>
    <s v="Federal"/>
    <m/>
    <m/>
    <m/>
    <s v="Federal"/>
    <s v="PAV"/>
    <s v="Dourados"/>
  </r>
  <r>
    <x v="0"/>
    <s v="267BMS1010"/>
    <n v="0"/>
    <x v="235"/>
    <s v="1010"/>
    <n v="-55.187344900446703"/>
    <n v="-21.644725869902899"/>
    <n v="-55.436924859894297"/>
    <n v="-21.618494719655502"/>
    <s v="267"/>
    <s v="MS"/>
    <s v="Eixo Principal"/>
    <s v="-"/>
    <s v="267BMS1010"/>
    <s v="FIM DA PISTA DUPLA (ENTR MS-162- CONTORNO MARACAJÚ)"/>
    <s v="ENTR MS-164 (P/VISTA ALEGRE)"/>
    <n v="367.8"/>
    <n v="395.3"/>
    <n v="27.5"/>
    <x v="2"/>
    <m/>
    <m/>
    <s v="Federal"/>
    <m/>
    <m/>
    <m/>
    <s v="Federal"/>
    <s v="PAV"/>
    <s v="Dourados"/>
  </r>
  <r>
    <x v="0"/>
    <s v="267BMS1030"/>
    <n v="0"/>
    <x v="235"/>
    <s v="1030"/>
    <n v="-55.436924859894297"/>
    <n v="-21.618494719655502"/>
    <n v="-55.624489590022499"/>
    <n v="-21.598681809617801"/>
    <s v="267"/>
    <s v="MS"/>
    <s v="Eixo Principal"/>
    <s v="-"/>
    <s v="267BMS1030"/>
    <s v="ENTR MS-164 (P/VISTA ALEGRE)"/>
    <s v="ENTR MS-166 (POSTO POLACO)"/>
    <n v="395.3"/>
    <n v="417"/>
    <n v="21.7"/>
    <x v="2"/>
    <m/>
    <m/>
    <s v="Federal"/>
    <m/>
    <m/>
    <m/>
    <s v="Federal"/>
    <s v="PAV"/>
    <s v="Jardim"/>
  </r>
  <r>
    <x v="0"/>
    <s v="267BMS1050"/>
    <n v="0"/>
    <x v="235"/>
    <s v="1050"/>
    <n v="-55.624489590022499"/>
    <n v="-21.598681809617801"/>
    <n v="-56.056998629682901"/>
    <n v="-21.419359990171301"/>
    <s v="267"/>
    <s v="MS"/>
    <s v="Eixo Principal"/>
    <s v="-"/>
    <s v="267BMS1050"/>
    <s v="ENTR MS-166 (POSTO POLACO)"/>
    <s v="ENTR BR-060(A)/419(A)"/>
    <n v="417"/>
    <n v="469"/>
    <n v="52"/>
    <x v="2"/>
    <m/>
    <m/>
    <s v="Federal"/>
    <m/>
    <m/>
    <m/>
    <s v="Federal"/>
    <s v="PAV"/>
    <s v="Jardim"/>
  </r>
  <r>
    <x v="0"/>
    <s v="267BMS1052"/>
    <n v="0"/>
    <x v="235"/>
    <s v="1052"/>
    <n v="-56.056998629682901"/>
    <n v="-21.419359990171301"/>
    <n v="-56.0913491399508"/>
    <n v="-21.440520379611701"/>
    <s v="267"/>
    <s v="MS"/>
    <s v="Eixo Principal"/>
    <s v="Coinc"/>
    <s v="267BMS1052"/>
    <s v="ENTR BR-060(A)/419(A)"/>
    <s v="INÍCIO DA PISTA DUPLA"/>
    <n v="469"/>
    <n v="473"/>
    <n v="4"/>
    <x v="2"/>
    <m/>
    <s v="419BMS0152;060BMS0612"/>
    <s v="Federal"/>
    <m/>
    <m/>
    <m/>
    <s v="Federal"/>
    <s v="PAV"/>
    <s v="Jardim"/>
  </r>
  <r>
    <x v="0"/>
    <s v="267BMS1060"/>
    <n v="0"/>
    <x v="235"/>
    <s v="1060"/>
    <n v="-56.0913491399508"/>
    <n v="-21.440520379611701"/>
    <n v="-56.120499850187898"/>
    <n v="-21.458202599670098"/>
    <s v="267"/>
    <s v="MS"/>
    <s v="Eixo Principal"/>
    <s v="Coinc"/>
    <s v="267BMS1060"/>
    <s v="INÍCIO DA PISTA DUPLA"/>
    <s v="ENTR MS-382 (GUIA LOPES DA LAGUNA )(FIM PISTA DUPLA)"/>
    <n v="473"/>
    <n v="476.6"/>
    <n v="3.6"/>
    <x v="0"/>
    <m/>
    <s v="419BMS0160;060BMS0620"/>
    <s v="Federal"/>
    <m/>
    <m/>
    <m/>
    <s v="Federal"/>
    <s v="PAV"/>
    <s v="Jardim"/>
  </r>
  <r>
    <x v="0"/>
    <s v="267BMS1070"/>
    <n v="0"/>
    <x v="235"/>
    <s v="1070"/>
    <n v="-56.120499850187898"/>
    <n v="-21.458202599670098"/>
    <n v="-56.143425349799898"/>
    <n v="-21.482694909842099"/>
    <s v="267"/>
    <s v="MS"/>
    <s v="Eixo Principal"/>
    <s v="Coinc"/>
    <s v="267BMS1070"/>
    <s v="ENTR MS-382 (GUIA LOPES DA LAGUNA )(FIM PISTA DUPLA)"/>
    <s v="ENTR BR-060(B)/419(B) (JARDIM)"/>
    <n v="476.6"/>
    <n v="480.5"/>
    <n v="3.9"/>
    <x v="2"/>
    <m/>
    <s v="060BMS0630;419BMS0170"/>
    <s v="Federal"/>
    <m/>
    <m/>
    <m/>
    <s v="Federal"/>
    <s v="PAV"/>
    <s v="Jardim"/>
  </r>
  <r>
    <x v="0"/>
    <s v="267BMS1090"/>
    <n v="0"/>
    <x v="235"/>
    <s v="1090"/>
    <n v="-56.143425349799898"/>
    <n v="-21.482694909842099"/>
    <n v="-56.453905950299301"/>
    <n v="-21.496181010145399"/>
    <s v="267"/>
    <s v="MS"/>
    <s v="Eixo Principal"/>
    <s v="-"/>
    <s v="267BMS1090"/>
    <s v="ENTR BR-060(B)/419(B) (JARDIM)"/>
    <s v="ENTR MS-178 (P/BONITO)"/>
    <n v="480.5"/>
    <n v="515.6"/>
    <n v="35.1"/>
    <x v="2"/>
    <m/>
    <m/>
    <s v="Federal"/>
    <m/>
    <m/>
    <m/>
    <s v="Federal"/>
    <s v="PAV"/>
    <s v="Jardim"/>
  </r>
  <r>
    <x v="0"/>
    <s v="267BMS1110"/>
    <n v="0"/>
    <x v="235"/>
    <s v="1110"/>
    <n v="-56.453905950299301"/>
    <n v="-21.496181010145399"/>
    <n v="-56.604908829878497"/>
    <n v="-21.550295810403199"/>
    <s v="267"/>
    <s v="MS"/>
    <s v="Eixo Principal"/>
    <s v="-"/>
    <s v="267BMS1110"/>
    <s v="ENTR MS-178 (P/BONITO)"/>
    <s v="ENTR MS-472 (P/BELA VISTA)"/>
    <n v="515.6"/>
    <n v="532.29999999999995"/>
    <n v="16.7"/>
    <x v="2"/>
    <m/>
    <m/>
    <s v="Federal"/>
    <m/>
    <m/>
    <m/>
    <s v="Federal"/>
    <s v="PAV"/>
    <s v="Jardim"/>
  </r>
  <r>
    <x v="0"/>
    <s v="267BMS1115"/>
    <n v="0"/>
    <x v="235"/>
    <s v="1115"/>
    <n v="-56.604908829878497"/>
    <n v="-21.550295810403199"/>
    <n v="-57.167453460308799"/>
    <n v="-21.765738479846899"/>
    <s v="267"/>
    <s v="MS"/>
    <s v="Eixo Principal"/>
    <s v="-"/>
    <s v="267BMS1115"/>
    <s v="ENTR MS-472 (P/BELA VISTA)"/>
    <s v="INÍCIO PONTE S/RIO PERDIDO"/>
    <n v="532.29999999999995"/>
    <n v="604.6"/>
    <n v="72.3"/>
    <x v="2"/>
    <m/>
    <m/>
    <s v="Federal"/>
    <m/>
    <m/>
    <m/>
    <s v="Federal"/>
    <s v="PAV"/>
    <s v="Jardim"/>
  </r>
  <r>
    <x v="0"/>
    <s v="267BMS1120"/>
    <n v="0"/>
    <x v="235"/>
    <s v="1120"/>
    <n v="-57.167453460308799"/>
    <n v="-21.765738479846899"/>
    <n v="-57.224052949783697"/>
    <n v="-21.7717501896195"/>
    <s v="267"/>
    <s v="MS"/>
    <s v="Eixo Principal"/>
    <s v="-"/>
    <s v="267BMS1120"/>
    <s v="INÍCIO PONTE S/RIO PERDIDO"/>
    <s v="ENTR MS-384 (P/CARACOL)"/>
    <n v="604.6"/>
    <n v="611.1"/>
    <n v="6.5"/>
    <x v="2"/>
    <m/>
    <m/>
    <s v="Federal"/>
    <m/>
    <m/>
    <m/>
    <s v="Federal"/>
    <s v="PAV"/>
    <s v="Jardim"/>
  </r>
  <r>
    <x v="0"/>
    <s v="267BMS1122"/>
    <n v="0"/>
    <x v="235"/>
    <s v="1122"/>
    <n v="-57.224052949783697"/>
    <n v="-21.7717501896195"/>
    <n v="-57.561631080409903"/>
    <n v="-21.746430569714899"/>
    <s v="267"/>
    <s v="MS"/>
    <s v="Eixo Principal"/>
    <s v="-"/>
    <s v="267BMS1122"/>
    <s v="ENTR MS-384 (P/CARACOL)"/>
    <s v="ENTR MS-467"/>
    <n v="611.1"/>
    <n v="647.4"/>
    <n v="36.299999999999997"/>
    <x v="2"/>
    <m/>
    <m/>
    <s v="Federal"/>
    <m/>
    <m/>
    <m/>
    <s v="Federal"/>
    <s v="PAV"/>
    <s v="Jardim"/>
  </r>
  <r>
    <x v="0"/>
    <s v="267BMS1130"/>
    <n v="0"/>
    <x v="235"/>
    <s v="1130"/>
    <n v="-57.561631080409903"/>
    <n v="-21.746430569714899"/>
    <n v="-57.845923520054299"/>
    <n v="-21.701372879554601"/>
    <s v="267"/>
    <s v="MS"/>
    <s v="Eixo Principal"/>
    <s v="-"/>
    <s v="267BMS1130"/>
    <s v="ENTR MS-467"/>
    <s v="ACESSO A PORTO MURTINHO"/>
    <n v="647.4"/>
    <n v="678.1"/>
    <n v="30.7"/>
    <x v="2"/>
    <m/>
    <m/>
    <s v="Federal"/>
    <m/>
    <m/>
    <m/>
    <s v="Federal"/>
    <s v="PAV"/>
    <s v="Jardim"/>
  </r>
  <r>
    <x v="0"/>
    <s v="267BMS1145"/>
    <n v="0"/>
    <x v="235"/>
    <s v="1145"/>
    <n v="-57.845923520054299"/>
    <n v="-21.701372879554601"/>
    <n v="-57.934673209700797"/>
    <n v="-21.6456252000429"/>
    <s v="267"/>
    <s v="MS"/>
    <s v="Eixo Principal"/>
    <s v="-"/>
    <s v="267BMS1145"/>
    <s v="ACESSO APORTO MURTINHO"/>
    <s v="FRONT BRASIL/PARAGUAI"/>
    <n v="678.1"/>
    <n v="691.2"/>
    <n v="13.1"/>
    <x v="1"/>
    <m/>
    <m/>
    <s v="Federal"/>
    <m/>
    <m/>
    <m/>
    <s v="Federal"/>
    <s v="PLA"/>
    <s v="Jardim"/>
  </r>
  <r>
    <x v="0"/>
    <s v="267BSP0450"/>
    <n v="0"/>
    <x v="236"/>
    <s v="0450"/>
    <n v="-46.681480520209703"/>
    <n v="-21.845891249681301"/>
    <n v="-46.878209350081399"/>
    <n v="-21.8282929696447"/>
    <s v="267"/>
    <s v="SP"/>
    <s v="Eixo Principal"/>
    <s v="-"/>
    <s v="267BSP0450"/>
    <s v="DIV MG/SP"/>
    <s v="ENTR SP-344(A) (P/VARGEM GRANDE DO SUL)"/>
    <n v="0"/>
    <n v="27.7"/>
    <n v="27.7"/>
    <x v="1"/>
    <m/>
    <m/>
    <s v="Estadual"/>
    <m/>
    <s v="SP-215"/>
    <s v="PAV"/>
    <s v="Estadual"/>
    <s v="PLA"/>
    <s v="Taubaté"/>
  </r>
  <r>
    <x v="0"/>
    <s v="267BSP0465"/>
    <n v="0"/>
    <x v="236"/>
    <s v="0465"/>
    <n v="-46.878209350081399"/>
    <n v="-21.8282929696447"/>
    <n v="-46.883969139963803"/>
    <n v="-21.849523359615301"/>
    <s v="267"/>
    <s v="SP"/>
    <s v="Eixo Principal"/>
    <s v="-"/>
    <s v="267BSP0465"/>
    <s v="ENTR SP-344(A) (P/VARGEM GRANDE DO SUL)"/>
    <s v="ENTR SP-344(B)"/>
    <n v="27.7"/>
    <n v="30"/>
    <n v="2.2999999999999998"/>
    <x v="1"/>
    <m/>
    <m/>
    <s v="Estadual"/>
    <m/>
    <s v="SP-215"/>
    <s v="PAV"/>
    <s v="Estadual"/>
    <s v="PLA"/>
    <s v="Taubaté"/>
  </r>
  <r>
    <x v="0"/>
    <s v="267BSP0470"/>
    <n v="0"/>
    <x v="236"/>
    <s v="0470"/>
    <n v="-46.883969139963803"/>
    <n v="-21.849523359615301"/>
    <n v="-47.059728549632801"/>
    <n v="-21.774902340370598"/>
    <s v="267"/>
    <s v="SP"/>
    <s v="Eixo Principal"/>
    <s v="-"/>
    <s v="267BSP0470"/>
    <s v="ENTR SP-344(B)"/>
    <s v="ENTR BR-369(A)/SP-340(A)"/>
    <n v="30"/>
    <n v="50"/>
    <n v="20"/>
    <x v="1"/>
    <m/>
    <m/>
    <s v="Estadual"/>
    <m/>
    <s v="SP-215"/>
    <s v="PAV"/>
    <s v="Estadual"/>
    <s v="PLA"/>
    <s v="Taubaté"/>
  </r>
  <r>
    <x v="0"/>
    <s v="267BSP0490"/>
    <n v="0"/>
    <x v="236"/>
    <s v="0490"/>
    <n v="-47.059728549632801"/>
    <n v="-21.774902340370598"/>
    <n v="-47.064071540369198"/>
    <n v="-21.786319529622499"/>
    <s v="267"/>
    <s v="SP"/>
    <s v="Eixo Principal"/>
    <s v="-"/>
    <s v="267BSP0490"/>
    <s v="ENTR BR-369(A)/SP-340(A)"/>
    <s v="ENTR SP-340(B) (CASA BRANCA)"/>
    <n v="50"/>
    <n v="51.8"/>
    <n v="1.8"/>
    <x v="1"/>
    <m/>
    <s v="369BSP0210"/>
    <s v="Estadual"/>
    <m/>
    <s v="SP-215"/>
    <s v="PAV"/>
    <s v="Estadual"/>
    <s v="PLA"/>
    <s v="Taubaté"/>
  </r>
  <r>
    <x v="0"/>
    <s v="267BSP0510"/>
    <n v="0"/>
    <x v="236"/>
    <s v="0510"/>
    <n v="-47.064071540369198"/>
    <n v="-21.786319529622499"/>
    <n v="-47.247633249574697"/>
    <n v="-21.812585230024201"/>
    <s v="267"/>
    <s v="SP"/>
    <s v="Eixo Principal"/>
    <s v="-"/>
    <s v="267BSP0510"/>
    <s v="ENTR SP-340(B) (CASA BRANCA)"/>
    <s v="ENTR SP-332 (SANTA CRUZ DAS PALMEIRAS)"/>
    <n v="51.8"/>
    <n v="71"/>
    <n v="19.2"/>
    <x v="1"/>
    <m/>
    <s v="369BSP0230"/>
    <s v="Estadual"/>
    <m/>
    <s v="SP-215"/>
    <s v="PAV"/>
    <s v="Estadual"/>
    <s v="PLA"/>
    <s v="Taubaté"/>
  </r>
  <r>
    <x v="0"/>
    <s v="267BSP0525"/>
    <n v="0"/>
    <x v="236"/>
    <s v="0525"/>
    <n v="-47.247633249574697"/>
    <n v="-21.812585230024201"/>
    <n v="-47.292005429706698"/>
    <n v="-21.822822190391701"/>
    <s v="267"/>
    <s v="SP"/>
    <s v="Eixo Principal"/>
    <s v="-"/>
    <s v="267BSP0525"/>
    <s v="ENTR SP-332 (SANTA CRUZ DAS PALMEIRAS)"/>
    <s v="ENTR BR-369(B)"/>
    <n v="71"/>
    <n v="76"/>
    <n v="5"/>
    <x v="1"/>
    <m/>
    <s v="369BSP0243"/>
    <s v="Estadual"/>
    <m/>
    <s v="SP-215"/>
    <s v="PAV"/>
    <s v="Estadual"/>
    <s v="PLA"/>
    <s v="Taubaté"/>
  </r>
  <r>
    <x v="0"/>
    <s v="267BSP0530"/>
    <n v="0"/>
    <x v="236"/>
    <s v="0530"/>
    <n v="-47.292005429706698"/>
    <n v="-21.822822190391701"/>
    <n v="-47.495078580012397"/>
    <n v="-21.835047669614099"/>
    <s v="267"/>
    <s v="SP"/>
    <s v="Eixo Principal"/>
    <s v="-"/>
    <s v="267BSP0530"/>
    <s v="ENTR BR-369(B)"/>
    <s v="ENTR BR-050(A) (PORTO FERREIRA)"/>
    <n v="76"/>
    <n v="97.5"/>
    <n v="21.5"/>
    <x v="1"/>
    <m/>
    <m/>
    <s v="Estadual"/>
    <m/>
    <s v="SP-215"/>
    <s v="PAV"/>
    <s v="Estadual"/>
    <s v="PLA"/>
    <s v="São José do Rio Preto"/>
  </r>
  <r>
    <x v="0"/>
    <s v="267BSP0540"/>
    <n v="0"/>
    <x v="236"/>
    <s v="0540"/>
    <n v="-47.495078580012397"/>
    <n v="-21.835047669614099"/>
    <n v="-47.495024500180399"/>
    <n v="-21.850593610406701"/>
    <s v="267"/>
    <s v="SP"/>
    <s v="Eixo Principal"/>
    <s v="Coinc"/>
    <s v="267BSP0540"/>
    <s v="ENTR BR-050(A) (PORTO FERREIRA)"/>
    <s v="ENTR BR-050(B)"/>
    <n v="97.5"/>
    <n v="99.7"/>
    <n v="2.2000000000000002"/>
    <x v="1"/>
    <m/>
    <s v="050BSP0487"/>
    <s v="Estadual"/>
    <m/>
    <s v="SP-330"/>
    <s v="DUP"/>
    <s v="Estadual"/>
    <s v="PLA"/>
    <s v="São José do Rio Preto"/>
  </r>
  <r>
    <x v="0"/>
    <s v="267BSP0550"/>
    <n v="0"/>
    <x v="236"/>
    <s v="0550"/>
    <n v="-47.495024500180399"/>
    <n v="-21.850593610406701"/>
    <n v="-47.861471849646001"/>
    <n v="-22.045117840415902"/>
    <s v="267"/>
    <s v="SP"/>
    <s v="Eixo Principal"/>
    <s v="-"/>
    <s v="267BSP0550"/>
    <s v="ENTR BR-050(B)"/>
    <s v="ENTR BR-364(A) (SÃO CARLOS)"/>
    <n v="99.7"/>
    <n v="146.80000000000001"/>
    <n v="47.1"/>
    <x v="1"/>
    <m/>
    <m/>
    <s v="Estadual"/>
    <m/>
    <s v="SP-215"/>
    <s v="PAV"/>
    <s v="Estadual"/>
    <s v="PLA"/>
    <s v="São José do Rio Preto"/>
  </r>
  <r>
    <x v="0"/>
    <s v="267BSP0570"/>
    <n v="0"/>
    <x v="236"/>
    <s v="0570"/>
    <n v="-47.861471849646001"/>
    <n v="-22.045117840415902"/>
    <n v="-47.888568549698697"/>
    <n v="-21.9899672199112"/>
    <s v="267"/>
    <s v="SP"/>
    <s v="Eixo Principal"/>
    <s v="-"/>
    <s v="267BSP0570"/>
    <s v="ENTR BR-364(A) (SÃO CARLOS)"/>
    <s v="ENTR SP-318"/>
    <n v="146.80000000000001"/>
    <n v="154.5"/>
    <n v="7.7"/>
    <x v="1"/>
    <m/>
    <s v="364BSP0070"/>
    <s v="Estadual"/>
    <m/>
    <s v="SP-310"/>
    <s v="DUP"/>
    <s v="Estadual"/>
    <s v="PLA"/>
    <s v="São José do Rio Preto"/>
  </r>
  <r>
    <x v="0"/>
    <s v="267BSP0590"/>
    <n v="0"/>
    <x v="236"/>
    <s v="0590"/>
    <n v="-47.888568549698697"/>
    <n v="-21.9899672199112"/>
    <n v="-48.177501320229602"/>
    <n v="-21.818996489696101"/>
    <s v="267"/>
    <s v="SP"/>
    <s v="Eixo Principal"/>
    <s v="-"/>
    <s v="267BSP0590"/>
    <s v="ENTR SP-318"/>
    <s v="ENTR SP-255 (ARARAQUARA)"/>
    <n v="154.5"/>
    <n v="190.8"/>
    <n v="36.299999999999997"/>
    <x v="1"/>
    <m/>
    <s v="364BSP0090"/>
    <s v="Estadual"/>
    <m/>
    <s v="SP-310"/>
    <s v="DUP"/>
    <s v="Estadual"/>
    <s v="PLA"/>
    <s v="São José do Rio Preto"/>
  </r>
  <r>
    <x v="0"/>
    <s v="267BSP0610"/>
    <n v="0"/>
    <x v="236"/>
    <s v="0610"/>
    <n v="-48.177501320229602"/>
    <n v="-21.818996489696101"/>
    <n v="-48.2958663701368"/>
    <n v="-21.725031549666198"/>
    <s v="267"/>
    <s v="SP"/>
    <s v="Eixo Principal"/>
    <s v="-"/>
    <s v="267BSP0610"/>
    <s v="ENTR SP-255 (ARARAQUARA)"/>
    <s v="ENTR BR-364(B)"/>
    <n v="190.8"/>
    <n v="206.3"/>
    <n v="15.5"/>
    <x v="1"/>
    <m/>
    <s v="364BSP0110"/>
    <s v="Estadual"/>
    <m/>
    <s v="SP-310"/>
    <s v="DUP"/>
    <s v="Estadual"/>
    <s v="PLA"/>
    <s v="São José do Rio Preto"/>
  </r>
  <r>
    <x v="0"/>
    <s v="267BSP0630"/>
    <n v="0"/>
    <x v="236"/>
    <s v="0630"/>
    <n v="-48.2958663701368"/>
    <n v="-21.725031549666198"/>
    <n v="-48.685519039671803"/>
    <n v="-21.769748389576399"/>
    <s v="267"/>
    <s v="SP"/>
    <s v="Eixo Principal"/>
    <s v="-"/>
    <s v="267BSP0630"/>
    <s v="ENTR BR-364(B)"/>
    <s v="ACESSO TABATINGA"/>
    <n v="206.3"/>
    <n v="247"/>
    <n v="40.700000000000003"/>
    <x v="1"/>
    <m/>
    <m/>
    <s v="Estadual"/>
    <m/>
    <s v="SP-331"/>
    <s v="PAV"/>
    <s v="Estadual"/>
    <s v="PLA"/>
    <s v="São José do Rio Preto"/>
  </r>
  <r>
    <x v="0"/>
    <s v="267BSP0645"/>
    <n v="0"/>
    <x v="236"/>
    <s v="0645"/>
    <n v="-48.685519039671803"/>
    <n v="-21.769748389576399"/>
    <n v="-48.845384139966001"/>
    <n v="-21.7833987195751"/>
    <s v="267"/>
    <s v="SP"/>
    <s v="Eixo Principal"/>
    <s v="-"/>
    <s v="267BSP0645"/>
    <s v="ACESSO TABATINGA"/>
    <s v="ENTR SP-304 (IBITINGA)"/>
    <n v="247"/>
    <n v="264.8"/>
    <n v="17.8"/>
    <x v="1"/>
    <m/>
    <m/>
    <s v="Estadual"/>
    <m/>
    <s v="SP-331"/>
    <s v="PAV"/>
    <s v="Estadual"/>
    <s v="PLA"/>
    <s v="São José do Rio Preto"/>
  </r>
  <r>
    <x v="0"/>
    <s v="267BSP0650"/>
    <n v="0"/>
    <x v="236"/>
    <s v="0650"/>
    <n v="-48.845384139966001"/>
    <n v="-21.7833987195751"/>
    <n v="-48.866894159737598"/>
    <n v="-21.767428639619901"/>
    <s v="267"/>
    <s v="SP"/>
    <s v="Eixo Principal"/>
    <s v="-"/>
    <s v="267BSP0650"/>
    <s v="ENTR SP-304 (IBITINGA)"/>
    <s v="ENTR SP-317"/>
    <n v="264.8"/>
    <n v="266.60000000000002"/>
    <n v="1.8"/>
    <x v="1"/>
    <m/>
    <m/>
    <s v="Estadual"/>
    <m/>
    <s v="SP-331"/>
    <s v="PAV"/>
    <s v="Estadual"/>
    <s v="PLA"/>
    <s v="São José do Rio Preto"/>
  </r>
  <r>
    <x v="0"/>
    <s v="267BSP0655"/>
    <n v="0"/>
    <x v="236"/>
    <s v="0655"/>
    <n v="-48.866894159737598"/>
    <n v="-21.767428639619901"/>
    <n v="-48.974825970442097"/>
    <n v="-21.7145990595988"/>
    <s v="267"/>
    <s v="SP"/>
    <s v="Eixo Principal"/>
    <s v="-"/>
    <s v="267BSP0655"/>
    <s v="ENTR SP-317"/>
    <s v="ENTR SP-304 (P/CAMBARATIBA)"/>
    <n v="266.60000000000002"/>
    <n v="279"/>
    <n v="12.4"/>
    <x v="1"/>
    <m/>
    <m/>
    <s v="Estadual"/>
    <m/>
    <s v="SP-331"/>
    <s v="PAV"/>
    <s v="Estadual"/>
    <s v="PLA"/>
    <s v="São José do Rio Preto"/>
  </r>
  <r>
    <x v="0"/>
    <s v="267BSP0670"/>
    <n v="0"/>
    <x v="236"/>
    <s v="0670"/>
    <n v="-48.974825970442097"/>
    <n v="-21.7145990595988"/>
    <n v="-49.029846209934497"/>
    <n v="-21.8927936004442"/>
    <s v="267"/>
    <s v="SP"/>
    <s v="Eixo Principal"/>
    <s v="-"/>
    <s v="267BSP0670"/>
    <s v="ENTR SP-304 (P/CAMBARATIBA)"/>
    <s v="ENTR SP-321 (IACANGA)"/>
    <n v="279"/>
    <n v="300"/>
    <n v="21"/>
    <x v="1"/>
    <m/>
    <m/>
    <s v="Estadual"/>
    <m/>
    <s v="SP-331"/>
    <s v="PAV"/>
    <s v="Estadual"/>
    <s v="PLA"/>
    <s v="São José do Rio Preto"/>
  </r>
  <r>
    <x v="0"/>
    <s v="267BSP0690"/>
    <n v="0"/>
    <x v="236"/>
    <s v="0690"/>
    <n v="-49.029846209934497"/>
    <n v="-21.8927936004442"/>
    <n v="-49.446321670308798"/>
    <n v="-21.982832370217601"/>
    <s v="267"/>
    <s v="SP"/>
    <s v="Eixo Principal"/>
    <s v="-"/>
    <s v="267BSP0690"/>
    <s v="ENTR SP-321 (IACANGA)"/>
    <s v="ENTR SP-300 (PIRAJUÍ)"/>
    <n v="300"/>
    <n v="346.2"/>
    <n v="46.2"/>
    <x v="1"/>
    <m/>
    <m/>
    <s v="Estadual"/>
    <m/>
    <s v="SP-331"/>
    <s v="PAV"/>
    <s v="Estadual"/>
    <s v="PLA"/>
    <s v="São José do Rio Preto"/>
  </r>
  <r>
    <x v="0"/>
    <s v="267BSP0710"/>
    <n v="0"/>
    <x v="236"/>
    <s v="0710"/>
    <n v="-49.446321670308798"/>
    <n v="-21.982832370217601"/>
    <n v="-49.561473640396102"/>
    <n v="-21.874572799794802"/>
    <s v="267"/>
    <s v="SP"/>
    <s v="Eixo Principal"/>
    <s v="-"/>
    <s v="267BSP0710"/>
    <s v="ENTR SP-300 (PIRAJUÍ)"/>
    <s v="ENTR SP-333 (P/GUARANTÃ)"/>
    <n v="346.2"/>
    <n v="363.1"/>
    <n v="16.899999999999999"/>
    <x v="1"/>
    <m/>
    <m/>
    <s v="Estadual"/>
    <m/>
    <s v="SP-300"/>
    <s v="DUP"/>
    <s v="Estadual"/>
    <s v="PLA"/>
    <s v="São José do Rio Preto"/>
  </r>
  <r>
    <x v="0"/>
    <s v="267BSP0730"/>
    <n v="0"/>
    <x v="236"/>
    <s v="0730"/>
    <n v="-49.561473640396102"/>
    <n v="-21.874572799794802"/>
    <n v="-49.7682359095595"/>
    <n v="-21.681003399786999"/>
    <s v="267"/>
    <s v="SP"/>
    <s v="Eixo Principal"/>
    <s v="-"/>
    <s v="267BSP0730"/>
    <s v="ENTR SP-333 (P/GUARANTÃ)"/>
    <s v="ACESSO LINS (I)"/>
    <n v="363.1"/>
    <n v="391.4"/>
    <n v="28.3"/>
    <x v="1"/>
    <m/>
    <m/>
    <s v="Estadual"/>
    <m/>
    <s v="SP-300"/>
    <s v="DUP"/>
    <s v="Estadual"/>
    <s v="PLA"/>
    <s v="São José do Rio Preto"/>
  </r>
  <r>
    <x v="0"/>
    <s v="267BSP0745"/>
    <n v="0"/>
    <x v="236"/>
    <s v="0745"/>
    <n v="-49.7682359095595"/>
    <n v="-21.681003399786999"/>
    <n v="-49.789661769874698"/>
    <n v="-21.666216059623402"/>
    <s v="267"/>
    <s v="SP"/>
    <s v="Eixo Principal"/>
    <s v="-"/>
    <s v="267BSP0745"/>
    <s v="ACESSO LINS (I)"/>
    <s v="ENTR BR-153/154"/>
    <n v="391.4"/>
    <n v="396.3"/>
    <n v="4.9000000000000004"/>
    <x v="1"/>
    <m/>
    <m/>
    <s v="Estadual"/>
    <m/>
    <s v="SP-300"/>
    <s v="DUP"/>
    <s v="Estadual"/>
    <s v="PLA"/>
    <s v="São José do Rio Preto"/>
  </r>
  <r>
    <x v="0"/>
    <s v="267BSP0750"/>
    <n v="0"/>
    <x v="236"/>
    <s v="0750"/>
    <n v="-49.789661769874698"/>
    <n v="-21.666216059623402"/>
    <n v="-50.509120270084303"/>
    <n v="-21.6459281600564"/>
    <s v="267"/>
    <s v="SP"/>
    <s v="Eixo Principal"/>
    <s v="-"/>
    <s v="267BSP0750"/>
    <s v="ENTR BR-153/154"/>
    <s v="ENTR SP-425 (SANTÓPOLIS DO AGUAPEÍ)"/>
    <n v="396.3"/>
    <n v="456.2"/>
    <n v="59.9"/>
    <x v="1"/>
    <m/>
    <m/>
    <s v="Federal"/>
    <m/>
    <m/>
    <m/>
    <s v="Federal"/>
    <s v="PLA"/>
    <s v="São José do Rio Preto"/>
  </r>
  <r>
    <x v="0"/>
    <s v="267BSP0770"/>
    <n v="0"/>
    <x v="236"/>
    <s v="0770"/>
    <n v="-50.509120270084303"/>
    <n v="-21.6459281600564"/>
    <n v="-50.727989940183498"/>
    <n v="-21.712878320178199"/>
    <s v="267"/>
    <s v="SP"/>
    <s v="Eixo Principal"/>
    <s v="-"/>
    <s v="267BSP0770"/>
    <s v="ENTR SP-425 (SANTÓPOLIS DO AGUAPEÍ)"/>
    <s v="ACESSO RINÓPOLIS"/>
    <n v="456.2"/>
    <n v="479.7"/>
    <n v="23.5"/>
    <x v="1"/>
    <m/>
    <m/>
    <s v="Estadual"/>
    <m/>
    <s v="SP-425"/>
    <s v="PAV"/>
    <s v="Estadual"/>
    <s v="PLA"/>
    <s v="São José do Rio Preto"/>
  </r>
  <r>
    <x v="0"/>
    <s v="267BSP0783"/>
    <n v="0"/>
    <x v="236"/>
    <s v="0783"/>
    <n v="-50.727989940183498"/>
    <n v="-21.712878320178199"/>
    <n v="-50.787045020411298"/>
    <n v="-21.7954017397984"/>
    <s v="267"/>
    <s v="SP"/>
    <s v="Eixo Principal"/>
    <s v="-"/>
    <s v="267BSP0783"/>
    <s v="ACESSO RINÓPOLIS"/>
    <s v="ENTR SP-294 (PARAPUÃ)"/>
    <n v="479.7"/>
    <n v="490.9"/>
    <n v="11.2"/>
    <x v="1"/>
    <m/>
    <m/>
    <s v="Estadual"/>
    <m/>
    <s v="SP-425"/>
    <s v="PAV"/>
    <s v="Estadual"/>
    <s v="PLA"/>
    <s v="São José do Rio Preto"/>
  </r>
  <r>
    <x v="0"/>
    <s v="267BSP0790"/>
    <n v="0"/>
    <x v="236"/>
    <s v="0790"/>
    <n v="-50.787045020411298"/>
    <n v="-21.7954017397984"/>
    <n v="-51.300461129977101"/>
    <n v="-21.803269580126901"/>
    <s v="267"/>
    <s v="SP"/>
    <s v="Eixo Principal"/>
    <s v="-"/>
    <s v="267BSP0790"/>
    <s v="ENTR SP-294 (PARAPUÃ)"/>
    <s v="AMELIÓPOLIS"/>
    <n v="490.9"/>
    <n v="585.70000000000005"/>
    <n v="94.8"/>
    <x v="1"/>
    <m/>
    <m/>
    <s v="Federal"/>
    <m/>
    <m/>
    <m/>
    <s v="Federal"/>
    <s v="PLA"/>
    <s v="São José do Rio Preto"/>
  </r>
  <r>
    <x v="0"/>
    <s v="267BSP0810"/>
    <n v="0"/>
    <x v="236"/>
    <s v="0810"/>
    <n v="-51.300461129977101"/>
    <n v="-21.803269580126901"/>
    <n v="-51.483076559935199"/>
    <n v="-21.833856319713298"/>
    <s v="267"/>
    <s v="SP"/>
    <s v="Eixo Principal"/>
    <s v="-"/>
    <s v="267BSP0810"/>
    <s v="AMELIÓPOLIS"/>
    <s v="EMILIANÓPOLIS"/>
    <n v="585.70000000000005"/>
    <n v="613.5"/>
    <n v="27.8"/>
    <x v="1"/>
    <m/>
    <m/>
    <s v="Federal"/>
    <m/>
    <m/>
    <m/>
    <s v="Federal"/>
    <s v="PLA"/>
    <s v="São José do Rio Preto"/>
  </r>
  <r>
    <x v="0"/>
    <s v="267BSP0830"/>
    <n v="0"/>
    <x v="236"/>
    <s v="0830"/>
    <n v="-51.483076559935199"/>
    <n v="-21.833856319713298"/>
    <n v="-51.834987359578903"/>
    <n v="-21.896203930367001"/>
    <s v="267"/>
    <s v="SP"/>
    <s v="Eixo Principal"/>
    <s v="-"/>
    <s v="267BSP0830"/>
    <s v="EMILIANÓPOLIS"/>
    <s v="ENTR BR-158/374/SP--270/563 (PRESIDENTE WENCESLAU)"/>
    <n v="613.5"/>
    <n v="669.3"/>
    <n v="55.8"/>
    <x v="1"/>
    <m/>
    <m/>
    <s v="Federal"/>
    <m/>
    <m/>
    <m/>
    <s v="Federal"/>
    <s v="PLA"/>
    <s v="São José do Rio Preto"/>
  </r>
  <r>
    <x v="0"/>
    <s v="267BSP0850"/>
    <n v="0"/>
    <x v="236"/>
    <s v="0850"/>
    <n v="-51.834987359578903"/>
    <n v="-21.896203930367001"/>
    <n v="-51.975251059588601"/>
    <n v="-21.858006490007401"/>
    <s v="267"/>
    <s v="SP"/>
    <s v="Eixo Principal"/>
    <s v="-"/>
    <s v="267BSP0850"/>
    <s v="ENTR BR-158/374/SP--270/563 (PRESIDENTE WENCESLAU)"/>
    <s v="ENTR SP-634/270 (ACESSO CAIUÁ)"/>
    <n v="669.3"/>
    <n v="684.8"/>
    <n v="15.5"/>
    <x v="1"/>
    <m/>
    <m/>
    <s v="Estadual"/>
    <m/>
    <s v="SP-270"/>
    <s v="DUP"/>
    <s v="Estadual"/>
    <s v="PLA"/>
    <s v="São José do Rio Preto"/>
  </r>
  <r>
    <x v="0"/>
    <s v="267BSP0859"/>
    <n v="0"/>
    <x v="236"/>
    <s v="0859"/>
    <n v="-51.975251059588601"/>
    <n v="-21.858006490007401"/>
    <n v="-52.136764840225098"/>
    <n v="-21.788993640344099"/>
    <s v="267"/>
    <s v="SP"/>
    <s v="Eixo Principal"/>
    <s v="-"/>
    <s v="267BSP0859"/>
    <s v="ENTR SP-634/270 (ACESSO CAIUÁ)"/>
    <s v="ENTR AV. PRESIDENTE VARGAS (PRESIDENTE EPITÁCIO)"/>
    <n v="684.8"/>
    <n v="702.9"/>
    <n v="18.100000000000001"/>
    <x v="1"/>
    <m/>
    <m/>
    <s v="Estadual"/>
    <m/>
    <s v="SP-270"/>
    <s v="DUP"/>
    <s v="Estadual"/>
    <s v="PLA"/>
    <s v="São José do Rio Preto"/>
  </r>
  <r>
    <x v="0"/>
    <s v="267BSP0865"/>
    <n v="0"/>
    <x v="236"/>
    <s v="0865"/>
    <n v="-52.136764840225098"/>
    <n v="-21.788993640344099"/>
    <n v="-52.154374369881197"/>
    <n v="-21.777926930383501"/>
    <s v="267"/>
    <s v="SP"/>
    <s v="Eixo Principal"/>
    <s v="-"/>
    <s v="267BSP0865"/>
    <s v="ACESSO PRESIDENTE EPITÁCIO"/>
    <s v="DIV SP/MS (INÍCIO TRAVESSIA RIO PARANÁ)"/>
    <n v="702.9"/>
    <n v="705.2"/>
    <n v="2.2999999999999998"/>
    <x v="1"/>
    <m/>
    <m/>
    <s v="Estadual"/>
    <m/>
    <s v="SP-270"/>
    <s v="DUP"/>
    <s v="Estadual"/>
    <s v="PLA"/>
    <s v="São José do Rio Preto"/>
  </r>
  <r>
    <x v="0"/>
    <s v="272BPR0230"/>
    <n v="0"/>
    <x v="237"/>
    <s v="0230"/>
    <n v="-49.553263650297097"/>
    <n v="-23.726310680193698"/>
    <n v="-49.624978610174601"/>
    <n v="-23.7550811498751"/>
    <s v="272"/>
    <s v="PR"/>
    <s v="Eixo Principal"/>
    <s v="-"/>
    <s v="272BPR0230"/>
    <s v="DIV SP/PR"/>
    <s v="ENTR PR-151 (SANTANA DO ITARARÉ)"/>
    <n v="0"/>
    <n v="8.9"/>
    <n v="8.9"/>
    <x v="1"/>
    <m/>
    <m/>
    <s v="Estadual"/>
    <m/>
    <s v="PRT-272"/>
    <s v="PAV"/>
    <s v="Estadual"/>
    <s v="PLA"/>
    <s v="Londrina"/>
  </r>
  <r>
    <x v="0"/>
    <s v="272BPR0250"/>
    <n v="0"/>
    <x v="237"/>
    <s v="0250"/>
    <n v="-49.624978610174601"/>
    <n v="-23.7550811498751"/>
    <n v="-49.784632330217804"/>
    <n v="-23.734368510398301"/>
    <s v="272"/>
    <s v="PR"/>
    <s v="Eixo Principal"/>
    <s v="-"/>
    <s v="272BPR0250"/>
    <s v="ENTR PR-151 (SANTANA DO ITARARÉ)"/>
    <s v="ENTR PR-092(A)"/>
    <n v="8.9"/>
    <n v="28"/>
    <n v="19.100000000000001"/>
    <x v="1"/>
    <m/>
    <m/>
    <s v="Estadual"/>
    <m/>
    <s v="PRT-272"/>
    <s v="LEN"/>
    <s v="Estadual"/>
    <s v="PLA"/>
    <s v="Londrina"/>
  </r>
  <r>
    <x v="0"/>
    <s v="272BPR0260"/>
    <n v="0"/>
    <x v="237"/>
    <s v="0260"/>
    <n v="-49.784632330217804"/>
    <n v="-23.734368510398301"/>
    <n v="-49.827527819952799"/>
    <n v="-23.6765886202685"/>
    <s v="272"/>
    <s v="PR"/>
    <s v="Eixo Principal"/>
    <s v="-"/>
    <s v="272BPR0260"/>
    <s v="ENTR PR-092(A)"/>
    <s v="ENTR PR-424 (SIQUEIRA CAMPOS)"/>
    <n v="28"/>
    <n v="35"/>
    <n v="7"/>
    <x v="1"/>
    <m/>
    <m/>
    <s v="Estadual"/>
    <m/>
    <s v="PR-092"/>
    <s v="PAV"/>
    <s v="Estadual"/>
    <s v="PLA"/>
    <s v="Londrina"/>
  </r>
  <r>
    <x v="0"/>
    <s v="272BPR0270"/>
    <n v="0"/>
    <x v="237"/>
    <s v="0270"/>
    <n v="-49.827527819952799"/>
    <n v="-23.6765886202685"/>
    <n v="-49.946748969589201"/>
    <n v="-23.778766320309298"/>
    <s v="272"/>
    <s v="PR"/>
    <s v="Eixo Principal"/>
    <s v="-"/>
    <s v="272BPR0270"/>
    <s v="ENTR PR-424 (SIQUEIRA CAMPOS)"/>
    <s v="ENTR PR-422 (TOMAZINA)"/>
    <n v="35"/>
    <n v="54.3"/>
    <n v="19.3"/>
    <x v="1"/>
    <m/>
    <m/>
    <s v="Estadual"/>
    <m/>
    <s v="PRT-272"/>
    <s v="PAV"/>
    <s v="Estadual"/>
    <s v="PLA"/>
    <s v="Londrina"/>
  </r>
  <r>
    <x v="0"/>
    <s v="272BPR0280"/>
    <n v="0"/>
    <x v="237"/>
    <s v="0280"/>
    <n v="-49.946748969589201"/>
    <n v="-23.778766320309298"/>
    <n v="-50.139826419753398"/>
    <n v="-23.809877379936999"/>
    <s v="272"/>
    <s v="PR"/>
    <s v="Eixo Principal"/>
    <s v="-"/>
    <s v="272BPR0280"/>
    <s v="ENTR PR-422 (TOMAZINA)"/>
    <s v="INÍCIO PISTA DUPLA (JAPIRA)"/>
    <n v="54.3"/>
    <n v="77.900000000000006"/>
    <n v="23.6"/>
    <x v="1"/>
    <m/>
    <m/>
    <s v="Estadual"/>
    <m/>
    <s v="PRT-272"/>
    <s v="PAV"/>
    <s v="Estadual"/>
    <s v="PLA"/>
    <s v="Londrina"/>
  </r>
  <r>
    <x v="0"/>
    <s v="272BPR0290"/>
    <n v="0"/>
    <x v="237"/>
    <s v="0290"/>
    <n v="-50.139826419753398"/>
    <n v="-23.809877379936999"/>
    <n v="-50.143402080141797"/>
    <n v="-23.8140729699915"/>
    <s v="272"/>
    <s v="PR"/>
    <s v="Eixo Principal"/>
    <s v="-"/>
    <s v="272BPR0290"/>
    <s v="INÍCIO PISTA DUPLA (JAPIRA)"/>
    <s v="FIM PISTA DUPLA (JAPIRA)"/>
    <n v="77.900000000000006"/>
    <n v="78.5"/>
    <n v="0.6"/>
    <x v="1"/>
    <m/>
    <m/>
    <s v="Estadual"/>
    <m/>
    <s v="PRT-272"/>
    <s v="DUP"/>
    <s v="Estadual"/>
    <s v="PLA"/>
    <s v="Londrina"/>
  </r>
  <r>
    <x v="0"/>
    <s v="272BPR0295"/>
    <n v="0"/>
    <x v="237"/>
    <s v="0295"/>
    <n v="-50.143402080141797"/>
    <n v="-23.8140729699915"/>
    <n v="-50.179105769715399"/>
    <n v="-23.814184330342499"/>
    <s v="272"/>
    <s v="PR"/>
    <s v="Eixo Principal"/>
    <s v="-"/>
    <s v="272BPR0295"/>
    <s v="FIM PISTA DUPLA (JAPIRA)"/>
    <s v="ENTR BR-153(A)"/>
    <n v="78.5"/>
    <n v="83.1"/>
    <n v="4.5999999999999996"/>
    <x v="1"/>
    <m/>
    <m/>
    <s v="Estadual"/>
    <m/>
    <s v="PRT-272"/>
    <s v="PAV"/>
    <s v="Estadual"/>
    <s v="PLA"/>
    <s v="Londrina"/>
  </r>
  <r>
    <x v="0"/>
    <s v="272BPR0298"/>
    <n v="0"/>
    <x v="237"/>
    <s v="0298"/>
    <n v="-50.179105769715399"/>
    <n v="-23.814184330342499"/>
    <n v="-50.193119690221401"/>
    <n v="-23.8380095602929"/>
    <s v="272"/>
    <s v="PR"/>
    <s v="Eixo Principal"/>
    <s v="Coinc"/>
    <s v="272BPR0298"/>
    <s v="ENTR BR-153(A)"/>
    <s v="ACESSO IBAITÍ (JARDIM SÃO RAFAEL)"/>
    <n v="83.1"/>
    <n v="86.1"/>
    <n v="3"/>
    <x v="2"/>
    <m/>
    <s v="153BPR1298"/>
    <s v="Federal"/>
    <m/>
    <m/>
    <m/>
    <s v="Federal"/>
    <s v="PAV"/>
    <s v="Ponta Grossa"/>
  </r>
  <r>
    <x v="0"/>
    <s v="272BPR0300"/>
    <n v="0"/>
    <x v="237"/>
    <s v="0300"/>
    <n v="-50.193119690221401"/>
    <n v="-23.8380095602929"/>
    <n v="-50.193998510422801"/>
    <n v="-23.8555546499271"/>
    <s v="272"/>
    <s v="PR"/>
    <s v="Eixo Principal"/>
    <s v="Coinc"/>
    <s v="272BPR0300"/>
    <s v="ACESSO IBAITÍ (JARDIM SÃO RAFAEL)"/>
    <s v="ACESSO II IBAITÍ (VILA SANTO ANTÔNIO)"/>
    <n v="86.1"/>
    <n v="88.2"/>
    <n v="2.1"/>
    <x v="2"/>
    <m/>
    <s v="153BPR1300"/>
    <s v="Federal"/>
    <m/>
    <m/>
    <m/>
    <s v="Federal"/>
    <s v="PAV"/>
    <s v="Ponta Grossa"/>
  </r>
  <r>
    <x v="0"/>
    <s v="272BPR0305"/>
    <n v="0"/>
    <x v="237"/>
    <s v="0305"/>
    <n v="-50.193998510422801"/>
    <n v="-23.8555546499271"/>
    <n v="-50.202726220438699"/>
    <n v="-23.873676999993499"/>
    <s v="272"/>
    <s v="PR"/>
    <s v="Eixo Principal"/>
    <s v="Coinc"/>
    <s v="272BPR0305"/>
    <s v="ACESSO II IBAITÍ (VILA SANTO ANTÔNIO)"/>
    <s v="ENTR BR-153(B)"/>
    <n v="88.2"/>
    <n v="90.5"/>
    <n v="2.2999999999999998"/>
    <x v="2"/>
    <m/>
    <s v="153BPR1305"/>
    <s v="Federal"/>
    <m/>
    <m/>
    <m/>
    <s v="Federal"/>
    <s v="PAV"/>
    <s v="Ponta Grossa"/>
  </r>
  <r>
    <x v="0"/>
    <s v="272BPR0310"/>
    <n v="0"/>
    <x v="237"/>
    <s v="0310"/>
    <n v="-50.202726220438699"/>
    <n v="-23.873676999993499"/>
    <n v="-50.2142965300607"/>
    <n v="-23.880441669847102"/>
    <s v="272"/>
    <s v="PR"/>
    <s v="Eixo Principal"/>
    <s v="-"/>
    <s v="272BPR0310"/>
    <s v="ENTR BR-153(B)"/>
    <s v="ENTR PR-435"/>
    <n v="90.5"/>
    <n v="92"/>
    <n v="1.5"/>
    <x v="1"/>
    <m/>
    <m/>
    <s v="Estadual"/>
    <m/>
    <s v="PRT-272"/>
    <s v="PAV"/>
    <s v="Estadual"/>
    <s v="PLA"/>
    <s v="Londrina"/>
  </r>
  <r>
    <x v="0"/>
    <s v="272BPR0320"/>
    <n v="0"/>
    <x v="237"/>
    <s v="0320"/>
    <n v="-50.2142965300607"/>
    <n v="-23.880441669847102"/>
    <n v="-50.4107149796125"/>
    <n v="-23.8457166701881"/>
    <s v="272"/>
    <s v="PR"/>
    <s v="Eixo Principal"/>
    <s v="-"/>
    <s v="272BPR0320"/>
    <s v="ENTR PR-435"/>
    <s v="ENTR PR-160 (FIGUEIRA)"/>
    <n v="92"/>
    <n v="116.6"/>
    <n v="24.6"/>
    <x v="1"/>
    <m/>
    <m/>
    <s v="Estadual"/>
    <m/>
    <s v="PRT-272"/>
    <s v="PAV"/>
    <s v="Estadual"/>
    <s v="PLA"/>
    <s v="Londrina"/>
  </r>
  <r>
    <x v="0"/>
    <s v="272BPR0330"/>
    <n v="0"/>
    <x v="237"/>
    <s v="0330"/>
    <n v="-50.4107149796125"/>
    <n v="-23.8457166701881"/>
    <n v="-50.587846070339801"/>
    <n v="-23.9083358302343"/>
    <s v="272"/>
    <s v="PR"/>
    <s v="Eixo Principal"/>
    <s v="-"/>
    <s v="272BPR0330"/>
    <s v="ENTR PR-160 (FIGUEIRA)"/>
    <s v="ENTR PR-090 (SAPOPEMA)"/>
    <n v="116.6"/>
    <n v="131.6"/>
    <n v="15"/>
    <x v="1"/>
    <m/>
    <m/>
    <s v="Federal"/>
    <m/>
    <m/>
    <m/>
    <s v="Federal"/>
    <s v="PLA"/>
    <s v="Londrina"/>
  </r>
  <r>
    <x v="0"/>
    <s v="272BPR0350"/>
    <n v="0"/>
    <x v="237"/>
    <s v="0350"/>
    <n v="-50.587846070339801"/>
    <n v="-23.9083358302343"/>
    <n v="-51.192663509813002"/>
    <n v="-23.907572730297201"/>
    <s v="272"/>
    <s v="PR"/>
    <s v="Eixo Principal"/>
    <s v="-"/>
    <s v="272BPR0350"/>
    <s v="ENTR PR-090 (SAPOPEMA)"/>
    <s v="ENTR BR-376/PR-445 (P/MAUÁ DA SERRA)"/>
    <n v="131.6"/>
    <n v="196.6"/>
    <n v="65"/>
    <x v="1"/>
    <m/>
    <m/>
    <s v="Federal"/>
    <m/>
    <m/>
    <m/>
    <s v="Federal"/>
    <s v="PLA"/>
    <s v="Londrina"/>
  </r>
  <r>
    <x v="0"/>
    <s v="272BPR0370"/>
    <n v="0"/>
    <x v="237"/>
    <s v="0370"/>
    <n v="-51.192663509813002"/>
    <n v="-23.907572730297201"/>
    <n v="-51.316524760109502"/>
    <n v="-23.986895979865501"/>
    <s v="272"/>
    <s v="PR"/>
    <s v="Eixo Principal"/>
    <s v="-"/>
    <s v="272BPR0370"/>
    <s v="ENTR BR-376/PR-445 (P/MAUÁ DA SERRA)"/>
    <s v="FAXINAL"/>
    <n v="196.6"/>
    <n v="213.7"/>
    <n v="17.100000000000001"/>
    <x v="1"/>
    <m/>
    <m/>
    <s v="Estadual"/>
    <m/>
    <s v="PRT-272"/>
    <s v="PAV"/>
    <s v="Estadual"/>
    <s v="PLA"/>
    <s v="Londrina"/>
  </r>
  <r>
    <x v="0"/>
    <s v="272BPR0390"/>
    <n v="0"/>
    <x v="237"/>
    <s v="0390"/>
    <n v="-51.316524760109502"/>
    <n v="-23.986895979865501"/>
    <n v="-51.408843349940497"/>
    <n v="-24.0089343603324"/>
    <s v="272"/>
    <s v="PR"/>
    <s v="Eixo Principal"/>
    <s v="-"/>
    <s v="272BPR0390"/>
    <s v="FAXINAL"/>
    <s v="ENTR PR-451 (P/GRANDES RIOS)"/>
    <n v="213.7"/>
    <n v="224.7"/>
    <n v="11"/>
    <x v="1"/>
    <m/>
    <m/>
    <s v="Estadual"/>
    <m/>
    <s v="PRT-272"/>
    <s v="PAV"/>
    <s v="Estadual"/>
    <s v="PLA"/>
    <s v="Londrina"/>
  </r>
  <r>
    <x v="0"/>
    <s v="272BPR0397"/>
    <n v="0"/>
    <x v="237"/>
    <s v="0397"/>
    <n v="-51.408843349940497"/>
    <n v="-24.0089343603324"/>
    <n v="-51.503355920439297"/>
    <n v="-23.989091349985699"/>
    <s v="272"/>
    <s v="PR"/>
    <s v="Eixo Principal"/>
    <s v="-"/>
    <s v="272BPR0397"/>
    <s v="ENTR PR-451 (P/GRANDES RIOS)"/>
    <s v="ENTR PR-453 (P/BORRAZÓPOLIS)"/>
    <n v="224.7"/>
    <n v="236.4"/>
    <n v="11.7"/>
    <x v="1"/>
    <m/>
    <m/>
    <s v="Estadual"/>
    <m/>
    <s v="PRT-272"/>
    <s v="PAV"/>
    <s v="Estadual"/>
    <s v="PLA"/>
    <s v="Londrina"/>
  </r>
  <r>
    <x v="0"/>
    <s v="272BPR0405"/>
    <n v="0"/>
    <x v="237"/>
    <s v="0405"/>
    <n v="-51.503355920439297"/>
    <n v="-23.989091349985699"/>
    <n v="-51.611075840077802"/>
    <n v="-24.038627350072002"/>
    <s v="272"/>
    <s v="PR"/>
    <s v="Eixo Principal"/>
    <s v="-"/>
    <s v="272BPR0405"/>
    <s v="ENTR PR-453 (P/BORRAZÓPOLIS)"/>
    <s v="ENTR BR-466 (PORTO UBÁ)"/>
    <n v="236.4"/>
    <n v="251.6"/>
    <n v="15.2"/>
    <x v="1"/>
    <m/>
    <m/>
    <s v="Estadual"/>
    <m/>
    <s v="PRT-272"/>
    <s v="PAV"/>
    <s v="Estadual"/>
    <s v="PLA"/>
    <s v="Londrina"/>
  </r>
  <r>
    <x v="0"/>
    <s v="272BPR0410"/>
    <n v="0"/>
    <x v="237"/>
    <s v="0410"/>
    <n v="-51.611075849970398"/>
    <n v="-24.038627320394401"/>
    <n v="-51.782338969567697"/>
    <n v="-24.035106140036302"/>
    <s v="272"/>
    <s v="PR"/>
    <s v="Eixo Principal"/>
    <s v="-"/>
    <s v="272BPR0410"/>
    <s v="ENTR BR-466 (PORTO UBÁ)"/>
    <s v="ENTR PR-082"/>
    <n v="251.6"/>
    <n v="282.60000000000002"/>
    <n v="31"/>
    <x v="1"/>
    <m/>
    <m/>
    <s v="Federal"/>
    <m/>
    <m/>
    <m/>
    <s v="Federal"/>
    <s v="PLA"/>
    <s v="Londrina"/>
  </r>
  <r>
    <x v="0"/>
    <s v="272BPR0430"/>
    <n v="0"/>
    <x v="237"/>
    <s v="0430"/>
    <n v="-51.782338969567697"/>
    <n v="-24.035106140036302"/>
    <n v="-52.012652119699503"/>
    <n v="-24.027393049649501"/>
    <s v="272"/>
    <s v="PR"/>
    <s v="Eixo Principal"/>
    <s v="-"/>
    <s v="272BPR0430"/>
    <s v="ENTR PR-082"/>
    <s v="ENTR BR-369(A) (BARBOSA FERRAZ)"/>
    <n v="282.60000000000002"/>
    <n v="307.60000000000002"/>
    <n v="25"/>
    <x v="1"/>
    <m/>
    <m/>
    <s v="Federal"/>
    <m/>
    <m/>
    <m/>
    <s v="Federal"/>
    <s v="PLA"/>
    <s v="Londrina"/>
  </r>
  <r>
    <x v="0"/>
    <s v="272BPR0440"/>
    <n v="0"/>
    <x v="237"/>
    <s v="0440"/>
    <n v="-52.012652119699503"/>
    <n v="-24.027393049649501"/>
    <n v="-52.3217850996026"/>
    <n v="-24.010022100239599"/>
    <s v="272"/>
    <s v="PR"/>
    <s v="Eixo Principal"/>
    <s v="-"/>
    <s v="272BPR0440"/>
    <s v="ENTR BR-369(A) (BARBOSA FERRAZ)"/>
    <s v="ENTR BR-158(A)/369(B) (ANEL VIÁRIO CAMPO MOURÃO)"/>
    <n v="307.60000000000002"/>
    <n v="344.5"/>
    <n v="36.9"/>
    <x v="1"/>
    <m/>
    <s v="369BPR0770"/>
    <s v="Federal"/>
    <m/>
    <m/>
    <m/>
    <s v="Federal"/>
    <s v="PLA"/>
    <s v="Londrina"/>
  </r>
  <r>
    <x v="0"/>
    <s v="272BPR0445"/>
    <n v="0"/>
    <x v="237"/>
    <s v="0445"/>
    <n v="-52.3217850996026"/>
    <n v="-24.010022100239599"/>
    <n v="-52.357170570365398"/>
    <n v="-23.989014100020601"/>
    <s v="272"/>
    <s v="PR"/>
    <s v="Eixo Principal"/>
    <s v="Coinc"/>
    <s v="272BPR0445"/>
    <s v="ENTR BR-158(A)/369(B) (ANEL VIÁRIO CAMPO MOURÃO)"/>
    <s v="ENTR BR-158(B)"/>
    <n v="344.5"/>
    <n v="354.3"/>
    <n v="9.8000000000000007"/>
    <x v="2"/>
    <m/>
    <s v="158BPR0875"/>
    <s v="Convênio de Administração"/>
    <m/>
    <m/>
    <m/>
    <s v="Federal"/>
    <s v="PAV"/>
    <s v="Campo Mourão"/>
  </r>
  <r>
    <x v="0"/>
    <s v="272BPR0450"/>
    <n v="0"/>
    <x v="237"/>
    <s v="0450"/>
    <n v="-52.357170570365398"/>
    <n v="-23.989014100020601"/>
    <n v="-52.413882789858803"/>
    <n v="-24.0172930902039"/>
    <s v="272"/>
    <s v="PR"/>
    <s v="Eixo Principal"/>
    <s v="-"/>
    <s v="272BPR0450"/>
    <s v="ENTR BR-158(B)"/>
    <s v="ENTR PR-558 (P/ARARUNA)"/>
    <n v="354.3"/>
    <n v="360.9"/>
    <n v="6.6"/>
    <x v="1"/>
    <m/>
    <m/>
    <s v="Federal"/>
    <m/>
    <m/>
    <m/>
    <s v="Federal"/>
    <s v="PLA"/>
    <s v="Campo Mourão"/>
  </r>
  <r>
    <x v="0"/>
    <s v="272BPR0452"/>
    <n v="0"/>
    <x v="237"/>
    <s v="0452"/>
    <n v="-52.413882789858803"/>
    <n v="-24.0172930902039"/>
    <n v="-52.422115639824803"/>
    <n v="-24.032732539575001"/>
    <s v="272"/>
    <s v="PR"/>
    <s v="Eixo Principal"/>
    <s v="-"/>
    <s v="272BPR0452"/>
    <s v="ENTR PR-558 (P/ARARUNA)"/>
    <s v="ENTR BR-487(A)"/>
    <n v="360.9"/>
    <n v="362.8"/>
    <n v="1.9"/>
    <x v="1"/>
    <m/>
    <m/>
    <s v="Federal"/>
    <m/>
    <m/>
    <m/>
    <s v="Federal"/>
    <s v="PLA"/>
    <s v="Campo Mourão"/>
  </r>
  <r>
    <x v="0"/>
    <s v="272BPR0455"/>
    <n v="0"/>
    <x v="237"/>
    <s v="0455"/>
    <n v="-52.422115639824803"/>
    <n v="-24.032732539575001"/>
    <n v="-52.396120870082001"/>
    <n v="-24.0452232396607"/>
    <s v="272"/>
    <s v="PR"/>
    <s v="Eixo Principal"/>
    <s v="-"/>
    <s v="272BPR0455"/>
    <s v="ENTR BR-487(A)"/>
    <s v="AVENIDA PERIMETRAL TANCREDO NEVES"/>
    <n v="362.8"/>
    <n v="365.8"/>
    <n v="3"/>
    <x v="2"/>
    <m/>
    <s v="487BPR0155"/>
    <s v="Federal"/>
    <m/>
    <m/>
    <m/>
    <s v="Federal"/>
    <s v="PAV"/>
    <s v="Campo Mourão"/>
  </r>
  <r>
    <x v="0"/>
    <s v="272BPR0458"/>
    <n v="0"/>
    <x v="237"/>
    <s v="0458"/>
    <n v="-52.396120870082001"/>
    <n v="-24.0452232396607"/>
    <n v="-52.3936654699854"/>
    <n v="-24.046950330093601"/>
    <s v="272"/>
    <s v="PR"/>
    <s v="Eixo Principal"/>
    <s v="-"/>
    <s v="272BPR0458"/>
    <s v="AVENIDA PERIMETRAL TANCREDO NEVES"/>
    <s v="ENTR BR-487(B)"/>
    <n v="365.8"/>
    <n v="366"/>
    <n v="0.2"/>
    <x v="0"/>
    <m/>
    <s v="487BPR0158"/>
    <s v="Federal"/>
    <m/>
    <m/>
    <m/>
    <s v="Federal"/>
    <s v="PAV"/>
    <s v="Campo Mourão"/>
  </r>
  <r>
    <x v="0"/>
    <s v="272BPR0460"/>
    <n v="0"/>
    <x v="237"/>
    <s v="0460"/>
    <n v="-52.3936654699854"/>
    <n v="-24.046950330093601"/>
    <n v="-52.4151088697784"/>
    <n v="-24.056735220154199"/>
    <s v="272"/>
    <s v="PR"/>
    <s v="Eixo Principal"/>
    <s v="-"/>
    <s v="272BPR0460"/>
    <s v="ENTR BR-487(B)"/>
    <s v="CONJUNTO COHAPAR (FIM PISTA DUPLA)"/>
    <n v="366"/>
    <n v="369"/>
    <n v="3"/>
    <x v="0"/>
    <m/>
    <m/>
    <s v="Federal"/>
    <m/>
    <m/>
    <m/>
    <s v="Federal"/>
    <s v="PAV"/>
    <s v="Campo Mourão"/>
  </r>
  <r>
    <x v="0"/>
    <s v="272BPR0470"/>
    <n v="0"/>
    <x v="237"/>
    <s v="0470"/>
    <n v="-52.4151088697784"/>
    <n v="-24.056735220154199"/>
    <n v="-52.776965459887997"/>
    <n v="-24.133947730303401"/>
    <s v="272"/>
    <s v="PR"/>
    <s v="Eixo Principal"/>
    <s v="-"/>
    <s v="272BPR0470"/>
    <s v="CONJUNTO COHAPAR (FIM PISTA DUPLA)"/>
    <s v="ENTR PR-468(A) (JANIÓPOLIS)"/>
    <n v="369"/>
    <n v="409.3"/>
    <n v="40.299999999999997"/>
    <x v="2"/>
    <m/>
    <m/>
    <s v="Federal"/>
    <m/>
    <m/>
    <m/>
    <s v="Federal"/>
    <s v="PAV"/>
    <s v="Campo Mourão"/>
  </r>
  <r>
    <x v="0"/>
    <s v="272BPR0490"/>
    <n v="0"/>
    <x v="237"/>
    <s v="0490"/>
    <n v="-52.776965459887997"/>
    <n v="-24.133947730303401"/>
    <n v="-52.863204710029301"/>
    <n v="-24.138849729731099"/>
    <s v="272"/>
    <s v="PR"/>
    <s v="Eixo Principal"/>
    <s v="-"/>
    <s v="272BPR0490"/>
    <s v="ENTR PR-468(A) (JANIÓPOLIS)"/>
    <s v="ENTR PR-468(B)"/>
    <n v="409.3"/>
    <n v="418.3"/>
    <n v="9"/>
    <x v="2"/>
    <m/>
    <m/>
    <s v="Federal"/>
    <m/>
    <m/>
    <m/>
    <s v="Federal"/>
    <s v="PAV"/>
    <s v="Campo Mourão"/>
  </r>
  <r>
    <x v="0"/>
    <s v="272BPR0500"/>
    <n v="0"/>
    <x v="237"/>
    <s v="0500"/>
    <n v="-52.863204710029301"/>
    <n v="-24.138849729731099"/>
    <n v="-53.018330459582998"/>
    <n v="-24.172290310449299"/>
    <s v="272"/>
    <s v="PR"/>
    <s v="Eixo Principal"/>
    <s v="-"/>
    <s v="272BPR0500"/>
    <s v="ENTR PR-468(B)"/>
    <s v="ENTR PR-180 (GOIO ERÊ)"/>
    <n v="418.3"/>
    <n v="437"/>
    <n v="18.7"/>
    <x v="2"/>
    <m/>
    <m/>
    <s v="Federal"/>
    <m/>
    <m/>
    <m/>
    <s v="Federal"/>
    <s v="PAV"/>
    <s v="Campo Mourão"/>
  </r>
  <r>
    <x v="0"/>
    <s v="272BPR0510"/>
    <n v="0"/>
    <x v="237"/>
    <s v="0510"/>
    <n v="-53.018330459582998"/>
    <n v="-24.172290310449299"/>
    <n v="-53.4896994098997"/>
    <n v="-24.082424080107099"/>
    <s v="272"/>
    <s v="PR"/>
    <s v="Eixo Principal"/>
    <s v="-"/>
    <s v="272BPR0510"/>
    <s v="ENTR PR-180 (GOIO ERÊ)"/>
    <s v="ENTR PR-486"/>
    <n v="437"/>
    <n v="488"/>
    <n v="51"/>
    <x v="1"/>
    <m/>
    <m/>
    <s v="Federal"/>
    <m/>
    <m/>
    <m/>
    <s v="Federal"/>
    <s v="PLA"/>
    <s v="Campo Mourão"/>
  </r>
  <r>
    <x v="0"/>
    <s v="272BPR0530"/>
    <n v="0"/>
    <x v="237"/>
    <s v="0530"/>
    <n v="-53.4896994098997"/>
    <n v="-24.082424080107099"/>
    <n v="-53.731324630227398"/>
    <n v="-24.021660000208701"/>
    <s v="272"/>
    <s v="PR"/>
    <s v="Eixo Principal"/>
    <s v="-"/>
    <s v="272BPR0530"/>
    <s v="ENTR PR-486"/>
    <s v="ENTR PR-272/490 (IPORÃ)"/>
    <n v="488"/>
    <n v="510"/>
    <n v="22"/>
    <x v="1"/>
    <m/>
    <m/>
    <s v="Federal"/>
    <m/>
    <m/>
    <m/>
    <s v="Federal"/>
    <s v="PLA"/>
    <s v="Campo Mourão"/>
  </r>
  <r>
    <x v="0"/>
    <s v="272BPR0550"/>
    <n v="0"/>
    <x v="237"/>
    <s v="0550"/>
    <n v="-53.731324630227398"/>
    <n v="-24.021660000208701"/>
    <n v="-53.839760709688903"/>
    <n v="-24.06385256994"/>
    <s v="272"/>
    <s v="PR"/>
    <s v="Eixo Principal"/>
    <s v="-"/>
    <s v="272BPR0550"/>
    <s v="ENTR PR-272/490 (IPORÃ)"/>
    <s v="ENTR PR-182 (FRANCISCO ALVES)"/>
    <n v="510"/>
    <n v="526.1"/>
    <n v="16.100000000000001"/>
    <x v="1"/>
    <m/>
    <m/>
    <s v="Estadual"/>
    <m/>
    <s v="PRT-272"/>
    <s v="PAV"/>
    <s v="Estadual"/>
    <s v="PLA"/>
    <s v="Campo Mourão"/>
  </r>
  <r>
    <x v="0"/>
    <s v="272BPR0560"/>
    <n v="0"/>
    <x v="237"/>
    <s v="0560"/>
    <n v="-53.839760709688903"/>
    <n v="-24.06385256994"/>
    <n v="-54.0939980295853"/>
    <n v="-24.081758120440799"/>
    <s v="272"/>
    <s v="PR"/>
    <s v="Eixo Principal"/>
    <s v="-"/>
    <s v="272BPR0560"/>
    <s v="ENTR PR-182 (FRANCISCO ALVES)"/>
    <s v="ENTR PR-496 (P/TERRA ROXA)"/>
    <n v="526.1"/>
    <n v="553.1"/>
    <n v="27"/>
    <x v="2"/>
    <m/>
    <m/>
    <s v="Federal"/>
    <m/>
    <m/>
    <m/>
    <s v="Federal"/>
    <s v="PAV"/>
    <s v="Campo Mourão"/>
  </r>
  <r>
    <x v="0"/>
    <s v="272BPR0565"/>
    <n v="0"/>
    <x v="237"/>
    <s v="0565"/>
    <n v="-54.0939980295853"/>
    <n v="-24.081758120440799"/>
    <n v="-54.230931180329598"/>
    <n v="-24.102574819572201"/>
    <s v="272"/>
    <s v="PR"/>
    <s v="Eixo Principal"/>
    <s v="-"/>
    <s v="272BPR0565"/>
    <s v="ENTR PR-496 (P/TERRA ROXA)"/>
    <s v="ENTR BR-163(A)"/>
    <n v="553.1"/>
    <n v="567.79999999999995"/>
    <n v="14.7"/>
    <x v="2"/>
    <m/>
    <m/>
    <s v="Federal"/>
    <m/>
    <m/>
    <m/>
    <s v="Federal"/>
    <s v="PAV"/>
    <s v="Campo Mourão"/>
  </r>
  <r>
    <x v="0"/>
    <s v="272BPR0568"/>
    <n v="0"/>
    <x v="237"/>
    <s v="0568"/>
    <n v="-54.230931180329598"/>
    <n v="-24.102574819572201"/>
    <n v="-54.239015640359398"/>
    <n v="-24.1062685195764"/>
    <s v="272"/>
    <s v="PR"/>
    <s v="Eixo Principal"/>
    <s v="Coinc"/>
    <s v="272BPR0568"/>
    <s v="ENTR BR-163(A)"/>
    <s v="ENTR BR-163(B)"/>
    <n v="567.79999999999995"/>
    <n v="568.70000000000005"/>
    <n v="0.9"/>
    <x v="2"/>
    <m/>
    <s v="163BPR0128"/>
    <s v="Federal"/>
    <m/>
    <m/>
    <m/>
    <s v="Federal"/>
    <s v="PAV"/>
    <s v="Foz do Iguaçú"/>
  </r>
  <r>
    <x v="0"/>
    <s v="272BPR0570"/>
    <n v="0"/>
    <x v="237"/>
    <s v="0570"/>
    <n v="-54.239015640359398"/>
    <n v="-24.1062685195764"/>
    <n v="-54.263484230013098"/>
    <n v="-24.1054859996791"/>
    <s v="272"/>
    <s v="PR"/>
    <s v="Eixo Principal"/>
    <s v="-"/>
    <s v="272BPR0570"/>
    <s v="ENTR BR-163(B)"/>
    <s v="AV THOMAZ LUIZ ZEBALLOS (GUAÍRA)"/>
    <n v="568.70000000000005"/>
    <n v="571.4"/>
    <n v="2.7"/>
    <x v="2"/>
    <m/>
    <m/>
    <s v="Federal"/>
    <m/>
    <m/>
    <m/>
    <s v="Federal"/>
    <s v="PAV"/>
    <s v="Foz do Iguaçú"/>
  </r>
  <r>
    <x v="0"/>
    <s v="272BSP0010"/>
    <n v="0"/>
    <x v="238"/>
    <s v="0010"/>
    <n v="-46.711223389947399"/>
    <n v="-23.572938790292799"/>
    <n v="-46.918528530367297"/>
    <n v="-23.603181829677599"/>
    <s v="272"/>
    <s v="SP"/>
    <s v="Eixo Principal"/>
    <s v="-"/>
    <s v="272BSP0010"/>
    <s v="ENTR BR-116 (SÃO PAULO)"/>
    <s v="ENTR SP-029 (COTIA)"/>
    <n v="0"/>
    <n v="23"/>
    <n v="23"/>
    <x v="1"/>
    <m/>
    <m/>
    <s v="Estadual"/>
    <m/>
    <s v="SP-270"/>
    <s v="DUP"/>
    <s v="Estadual"/>
    <s v="PLA"/>
    <s v="Taubaté"/>
  </r>
  <r>
    <x v="0"/>
    <s v="272BSP0030"/>
    <n v="0"/>
    <x v="238"/>
    <s v="0030"/>
    <n v="-46.918528530367297"/>
    <n v="-23.603181829677599"/>
    <n v="-47.031432250198101"/>
    <n v="-23.6057751498032"/>
    <s v="272"/>
    <s v="SP"/>
    <s v="Eixo Principal"/>
    <s v="-"/>
    <s v="272BSP0030"/>
    <s v="ENTR SP-029 (COTIA)"/>
    <s v="ENTR SP-250"/>
    <n v="23"/>
    <n v="35.4"/>
    <n v="12.4"/>
    <x v="1"/>
    <m/>
    <m/>
    <s v="Estadual"/>
    <m/>
    <s v="SP-270"/>
    <s v="DUP"/>
    <s v="Estadual"/>
    <s v="PLA"/>
    <s v="Taubaté"/>
  </r>
  <r>
    <x v="0"/>
    <s v="272BSP0050"/>
    <n v="0"/>
    <x v="238"/>
    <s v="0050"/>
    <n v="-47.031432250198101"/>
    <n v="-23.6057751498032"/>
    <n v="-47.085816079948003"/>
    <n v="-23.555070049942699"/>
    <s v="272"/>
    <s v="SP"/>
    <s v="Eixo Principal"/>
    <s v="-"/>
    <s v="272BSP0050"/>
    <s v="ENTR SP-250"/>
    <s v="ENTR SP-274 (MAILASQUI)"/>
    <n v="35.4"/>
    <n v="44.4"/>
    <n v="9"/>
    <x v="1"/>
    <m/>
    <m/>
    <s v="Estadual"/>
    <m/>
    <s v="SP-270"/>
    <s v="DUP"/>
    <s v="Estadual"/>
    <s v="PLA"/>
    <s v="Taubaté"/>
  </r>
  <r>
    <x v="0"/>
    <s v="272BSP0063"/>
    <n v="0"/>
    <x v="238"/>
    <s v="0063"/>
    <n v="-47.085816079948003"/>
    <n v="-23.555070049942699"/>
    <n v="-47.123046880409099"/>
    <n v="-23.5460560002841"/>
    <s v="272"/>
    <s v="SP"/>
    <s v="Eixo Principal"/>
    <s v="-"/>
    <s v="272BSP0063"/>
    <s v="ENTR SP-274 (MAILASQUI)"/>
    <s v="SÃO ROQUE"/>
    <n v="44.4"/>
    <n v="48.7"/>
    <n v="4.3"/>
    <x v="1"/>
    <m/>
    <m/>
    <s v="Estadual"/>
    <m/>
    <s v="SP-270"/>
    <s v="DUP"/>
    <s v="Estadual"/>
    <s v="PLA"/>
    <s v="Taubaté"/>
  </r>
  <r>
    <x v="0"/>
    <s v="272BSP0070"/>
    <n v="0"/>
    <x v="238"/>
    <s v="0070"/>
    <n v="-47.123046880409099"/>
    <n v="-23.5460560002841"/>
    <n v="-47.4503909096127"/>
    <n v="-23.526689369818499"/>
    <s v="272"/>
    <s v="SP"/>
    <s v="Eixo Principal"/>
    <s v="-"/>
    <s v="272BSP0070"/>
    <s v="SÃO ROQUE"/>
    <s v="ENTR SP-079(A) (SOROCABA)"/>
    <n v="48.7"/>
    <n v="89.1"/>
    <n v="40.4"/>
    <x v="1"/>
    <m/>
    <m/>
    <s v="Estadual"/>
    <m/>
    <s v="SP-270"/>
    <s v="DUP"/>
    <s v="Estadual"/>
    <s v="PLA"/>
    <s v="Taubaté"/>
  </r>
  <r>
    <x v="0"/>
    <s v="272BSP0090"/>
    <n v="0"/>
    <x v="238"/>
    <s v="0090"/>
    <n v="-47.4503909096127"/>
    <n v="-23.526689369818499"/>
    <n v="-47.488569650369001"/>
    <n v="-23.534122299804199"/>
    <s v="272"/>
    <s v="SP"/>
    <s v="Eixo Principal"/>
    <s v="-"/>
    <s v="272BSP0090"/>
    <s v="ENTR SP-079(A) (SOROCABA)"/>
    <s v="ENTR BR-478/SP-070(B)/264"/>
    <n v="89.1"/>
    <n v="92.2"/>
    <n v="3.1"/>
    <x v="1"/>
    <m/>
    <m/>
    <s v="Estadual"/>
    <m/>
    <s v="SP-270"/>
    <s v="DUP"/>
    <s v="Estadual"/>
    <s v="PLA"/>
    <s v="Taubaté"/>
  </r>
  <r>
    <x v="0"/>
    <s v="272BSP0097"/>
    <n v="0"/>
    <x v="238"/>
    <s v="0097"/>
    <n v="-47.488569650369001"/>
    <n v="-23.534122299804199"/>
    <n v="-47.597155049665702"/>
    <n v="-23.5188605897443"/>
    <s v="272"/>
    <s v="SP"/>
    <s v="Eixo Principal"/>
    <s v="-"/>
    <s v="272BSP0097"/>
    <s v="ENTR BR-478/SP-070(B)/264"/>
    <s v="ENTR SP-268 (P/ARAÇOIABA DA SERRA)"/>
    <n v="92.2"/>
    <n v="105"/>
    <n v="12.8"/>
    <x v="1"/>
    <m/>
    <m/>
    <s v="Estadual"/>
    <m/>
    <s v="SP-270"/>
    <s v="DUP"/>
    <s v="Estadual"/>
    <s v="PLA"/>
    <s v="Taubaté"/>
  </r>
  <r>
    <x v="0"/>
    <s v="272BSP0103"/>
    <n v="0"/>
    <x v="238"/>
    <s v="0103"/>
    <n v="-47.597155049665702"/>
    <n v="-23.5188605897443"/>
    <n v="-47.720340380304201"/>
    <n v="-23.536259679840299"/>
    <s v="272"/>
    <s v="SP"/>
    <s v="Eixo Principal"/>
    <s v="-"/>
    <s v="272BSP0103"/>
    <s v="ENTR SP-268 (P/ARAÇOIABA DA SERRA)"/>
    <s v="ENTR SP-141 (P/CAPELA DO ALTO)"/>
    <n v="105"/>
    <n v="119.1"/>
    <n v="14.1"/>
    <x v="1"/>
    <m/>
    <m/>
    <s v="Estadual"/>
    <m/>
    <s v="SP-270"/>
    <s v="PAV"/>
    <s v="Estadual"/>
    <s v="PLA"/>
    <s v="Taubaté"/>
  </r>
  <r>
    <x v="0"/>
    <s v="272BSP0110"/>
    <n v="0"/>
    <x v="238"/>
    <s v="0110"/>
    <n v="-47.720340380304201"/>
    <n v="-23.536259679840299"/>
    <n v="-47.986230709679397"/>
    <n v="-23.5922278299503"/>
    <s v="272"/>
    <s v="SP"/>
    <s v="Eixo Principal"/>
    <s v="-"/>
    <s v="272BSP0110"/>
    <s v="ENTR SP-141 (P/CAPELA DO ALTO)"/>
    <s v="ENTR BR-373(A) (ITAPETININGA)"/>
    <n v="119.1"/>
    <n v="148.30000000000001"/>
    <n v="29.2"/>
    <x v="1"/>
    <m/>
    <m/>
    <s v="Estadual"/>
    <m/>
    <s v="SP-270"/>
    <s v="PAV"/>
    <s v="Estadual"/>
    <s v="PLA"/>
    <s v="Taubaté"/>
  </r>
  <r>
    <x v="0"/>
    <s v="272BSP0130"/>
    <n v="0"/>
    <x v="238"/>
    <s v="0130"/>
    <n v="-47.986230709679397"/>
    <n v="-23.5922278299503"/>
    <n v="-48.0821704404134"/>
    <n v="-23.6189734796423"/>
    <s v="272"/>
    <s v="SP"/>
    <s v="Eixo Principal"/>
    <s v="-"/>
    <s v="272BSP0130"/>
    <s v="ENTR BR-373(A) (ITAPETININGA)"/>
    <s v="ENTR BR-373(B)"/>
    <n v="148.30000000000001"/>
    <n v="159"/>
    <n v="10.7"/>
    <x v="1"/>
    <m/>
    <s v="373BSP0130"/>
    <s v="Estadual"/>
    <m/>
    <s v="SP-270"/>
    <s v="DUP"/>
    <s v="Estadual"/>
    <s v="PLA"/>
    <s v="Taubaté"/>
  </r>
  <r>
    <x v="0"/>
    <s v="272BSP0150"/>
    <n v="0"/>
    <x v="238"/>
    <s v="0150"/>
    <n v="-48.0821704404134"/>
    <n v="-23.6189734796423"/>
    <n v="-48.485472660234997"/>
    <n v="-23.708064540246301"/>
    <s v="272"/>
    <s v="SP"/>
    <s v="Eixo Principal"/>
    <s v="-"/>
    <s v="272BSP0150"/>
    <s v="ENTR BR-373(B)"/>
    <s v="ENTR SP-189"/>
    <n v="159"/>
    <n v="215.3"/>
    <n v="56.3"/>
    <x v="1"/>
    <m/>
    <m/>
    <s v="Federal"/>
    <m/>
    <m/>
    <m/>
    <s v="Federal"/>
    <s v="PLA"/>
    <s v="Taubaté"/>
  </r>
  <r>
    <x v="0"/>
    <s v="272BSP0170"/>
    <n v="0"/>
    <x v="238"/>
    <s v="0170"/>
    <n v="-48.485472660234997"/>
    <n v="-23.708064540246301"/>
    <n v="-49.244513990228398"/>
    <n v="-23.5256663397297"/>
    <s v="272"/>
    <s v="SP"/>
    <s v="Eixo Principal"/>
    <s v="-"/>
    <s v="272BSP0170"/>
    <s v="ENTR SP-189"/>
    <s v="ENTR SP-255"/>
    <n v="215.3"/>
    <n v="301.3"/>
    <n v="86"/>
    <x v="1"/>
    <m/>
    <m/>
    <s v="Federal"/>
    <m/>
    <m/>
    <m/>
    <s v="Federal"/>
    <s v="PLA"/>
    <s v="Taubaté"/>
  </r>
  <r>
    <x v="0"/>
    <s v="272BSP0190"/>
    <n v="0"/>
    <x v="238"/>
    <s v="0190"/>
    <n v="-49.244513990228398"/>
    <n v="-23.5256663397297"/>
    <n v="-49.4764553197571"/>
    <n v="-23.710584869596001"/>
    <s v="272"/>
    <s v="SP"/>
    <s v="Eixo Principal"/>
    <s v="-"/>
    <s v="272BSP0190"/>
    <s v="ENTR SP-255"/>
    <s v="ENTR SP-281 (ITAPORANGA) *TRECHO MUNICIPAL*"/>
    <n v="301.3"/>
    <n v="328.5"/>
    <n v="27.2"/>
    <x v="1"/>
    <m/>
    <m/>
    <s v="Estadual"/>
    <m/>
    <s v="SP-255"/>
    <s v="PAV"/>
    <s v="Estadual"/>
    <s v="PLA"/>
    <s v="Taubaté"/>
  </r>
  <r>
    <x v="0"/>
    <s v="272BSP0210"/>
    <n v="0"/>
    <x v="238"/>
    <s v="0210"/>
    <n v="-49.4764553197571"/>
    <n v="-23.710584869596001"/>
    <n v="-49.553263650297097"/>
    <n v="-23.726310680193698"/>
    <s v="272"/>
    <s v="SP"/>
    <s v="Eixo Principal"/>
    <s v="-"/>
    <s v="272BSP0210"/>
    <s v="ENTR SP-281 (ITAPORANGA)"/>
    <s v="DIV SP/PR *TRECHO MUNICIPAL*"/>
    <n v="328.5"/>
    <n v="336.9"/>
    <n v="8.4"/>
    <x v="1"/>
    <m/>
    <m/>
    <s v="Estadual"/>
    <m/>
    <s v="SP-281"/>
    <s v="PAV"/>
    <s v="Estadual"/>
    <s v="PLA"/>
    <s v="Taubaté"/>
  </r>
  <r>
    <x v="0"/>
    <s v="277APR1005"/>
    <n v="0"/>
    <x v="239"/>
    <s v="1005"/>
    <n v="-48.544407369804198"/>
    <n v="-25.5204267703791"/>
    <n v="-48.522646029990199"/>
    <n v="-25.503664420076799"/>
    <s v="277"/>
    <s v="PR"/>
    <s v="Acesso"/>
    <s v="-"/>
    <s v="277APR1005"/>
    <s v="ENTR BR-277 (PONTE S/ RIO EMBOGUAÇÚ)"/>
    <s v="PORTO PARANAGUÁ"/>
    <n v="0"/>
    <n v="2.9"/>
    <n v="2.9"/>
    <x v="2"/>
    <m/>
    <m/>
    <s v="Convênio de Administração"/>
    <m/>
    <m/>
    <m/>
    <s v="Federal"/>
    <s v="PAV"/>
    <s v="Colombo"/>
  </r>
  <r>
    <x v="0"/>
    <s v="277APR2005"/>
    <n v="0"/>
    <x v="239"/>
    <s v="2005"/>
    <n v="-48.565008860270602"/>
    <n v="-25.556669019859299"/>
    <n v="-48.551726040024597"/>
    <n v="-25.551312239568102"/>
    <s v="277"/>
    <s v="PR"/>
    <s v="Acesso"/>
    <s v="-"/>
    <s v="277APR2005"/>
    <s v="ENTR BR-277"/>
    <s v="ENTR AV CURITIBA (FIM DA CONCESSÃO)"/>
    <n v="0"/>
    <n v="1.5"/>
    <n v="1.5"/>
    <x v="0"/>
    <m/>
    <m/>
    <s v="Convênio de Administração"/>
    <m/>
    <m/>
    <m/>
    <s v="Federal"/>
    <s v="PAV"/>
    <s v="Colombo"/>
  </r>
  <r>
    <x v="0"/>
    <s v="277APR2010"/>
    <n v="0"/>
    <x v="239"/>
    <s v="2010"/>
    <n v="-48.551726040024597"/>
    <n v="-25.551312239568102"/>
    <n v="-48.513887100009597"/>
    <n v="-25.5036750896336"/>
    <s v="277"/>
    <s v="PR"/>
    <s v="Acesso"/>
    <s v="-"/>
    <s v="277APR2010"/>
    <s v="ENTR AV CURITIBA (FIM DA CONCESSÃO)"/>
    <s v="PORTO DE PARANAGUÁ"/>
    <n v="1.5"/>
    <n v="8.1"/>
    <n v="6.6"/>
    <x v="0"/>
    <m/>
    <m/>
    <s v="Federal"/>
    <m/>
    <m/>
    <m/>
    <s v="Federal"/>
    <s v="PAV"/>
    <s v="Colombo"/>
  </r>
  <r>
    <x v="0"/>
    <s v="277APR3005"/>
    <n v="0"/>
    <x v="239"/>
    <s v="3005"/>
    <n v="-49.128205529761303"/>
    <n v="-25.511554569887402"/>
    <n v="-49.162772850386702"/>
    <n v="-25.496002309558801"/>
    <s v="277"/>
    <s v="PR"/>
    <s v="Acesso"/>
    <s v="-"/>
    <s v="277APR3005"/>
    <s v="ENTR BR-116 (CONTORNO LESTE DE CURITIBA)"/>
    <s v="ACESSO S J DOS PINHAIS (AV RUI BARBOSA)"/>
    <n v="0"/>
    <n v="3.9"/>
    <n v="3.9"/>
    <x v="0"/>
    <m/>
    <m/>
    <s v="Concessão Estadual"/>
    <m/>
    <m/>
    <m/>
    <s v="Federal"/>
    <s v="PAV"/>
    <s v="Colombo"/>
  </r>
  <r>
    <x v="0"/>
    <s v="277APR3010"/>
    <n v="0"/>
    <x v="239"/>
    <s v="3010"/>
    <n v="-49.162772850386702"/>
    <n v="-25.496002309558801"/>
    <n v="-49.233897089678898"/>
    <n v="-25.443626399738399"/>
    <s v="277"/>
    <s v="PR"/>
    <s v="Acesso"/>
    <s v="-"/>
    <s v="277APR3010"/>
    <s v="ACESSO S J DOS PINHAIS (AV RUI BARBOSA)"/>
    <s v="ENTR BR-476 (CURITIBA)"/>
    <n v="3.9"/>
    <n v="13.3"/>
    <n v="9.4"/>
    <x v="0"/>
    <m/>
    <m/>
    <s v="Concessão Estadual"/>
    <m/>
    <m/>
    <m/>
    <s v="Federal"/>
    <s v="PAV"/>
    <s v="Colombo"/>
  </r>
  <r>
    <x v="0"/>
    <s v="277APR4005"/>
    <n v="0"/>
    <x v="239"/>
    <s v="4005"/>
    <n v="-49.365677519901503"/>
    <n v="-25.432071929875601"/>
    <n v="-49.314672610352602"/>
    <n v="-25.4318433896606"/>
    <s v="277"/>
    <s v="PR"/>
    <s v="Acesso"/>
    <s v="-"/>
    <s v="277APR4005"/>
    <s v="ACESSO OESTE DE CURITIBA"/>
    <s v="PONTE SOBRE O RIO BARIGUI"/>
    <n v="0"/>
    <n v="5.3"/>
    <n v="5.3"/>
    <x v="0"/>
    <m/>
    <m/>
    <s v="Concessão Estadual"/>
    <m/>
    <m/>
    <m/>
    <s v="Federal"/>
    <s v="PAV"/>
    <s v="Colombo"/>
  </r>
  <r>
    <x v="0"/>
    <s v="277APR4505"/>
    <n v="0"/>
    <x v="239"/>
    <s v="4505"/>
    <n v="-49.573122709944997"/>
    <n v="-25.446399819895699"/>
    <n v="-49.581166609651198"/>
    <n v="-25.4619777100032"/>
    <s v="277"/>
    <s v="PR"/>
    <s v="Acesso"/>
    <s v="-"/>
    <s v="277APR4505"/>
    <s v="ENTR BR-277/PR-431 (I)"/>
    <s v="ENTR BR-277/PR-431 (II) (FIM DO CONT DE CAMPO LARGO)"/>
    <n v="0"/>
    <n v="1.6"/>
    <n v="1.6"/>
    <x v="2"/>
    <m/>
    <m/>
    <s v="Concessão Estadual"/>
    <m/>
    <m/>
    <m/>
    <s v="Federal"/>
    <s v="PAV"/>
    <s v="Colombo"/>
  </r>
  <r>
    <x v="0"/>
    <s v="277APR5005"/>
    <n v="0"/>
    <x v="239"/>
    <s v="5005"/>
    <n v="-54.515652110056799"/>
    <n v="-25.492691950073301"/>
    <n v="-54.550870250261802"/>
    <n v="-25.574873719946101"/>
    <s v="277"/>
    <s v="PR"/>
    <s v="Acesso"/>
    <s v="-"/>
    <s v="277APR5005"/>
    <s v="ENTR BR-277 (KM 722,6)(ACESSO 2A PONTE RIO PARANÁ)"/>
    <s v="ENTR BR-469(A)"/>
    <n v="0"/>
    <n v="10.7"/>
    <n v="10.7"/>
    <x v="1"/>
    <m/>
    <m/>
    <s v="Federal"/>
    <m/>
    <m/>
    <m/>
    <s v="Federal"/>
    <s v="PLA"/>
    <s v="Foz do Iguaçú"/>
  </r>
  <r>
    <x v="0"/>
    <s v="277APR5010"/>
    <n v="0"/>
    <x v="239"/>
    <s v="5010"/>
    <n v="-54.550870250261802"/>
    <n v="-25.574873719946101"/>
    <n v="-54.564440140400102"/>
    <n v="-25.5838436704489"/>
    <s v="277"/>
    <s v="PR"/>
    <s v="Acesso"/>
    <s v="-"/>
    <s v="277APR5010"/>
    <s v="ENTR BR-469(A)"/>
    <s v="ENTR BR-469(B) (ACESSO À PONTE TANCREDO NEVES)"/>
    <n v="10.7"/>
    <n v="12.5"/>
    <n v="1.8"/>
    <x v="2"/>
    <m/>
    <s v="469APR1005"/>
    <s v="Federal"/>
    <m/>
    <m/>
    <m/>
    <s v="Federal"/>
    <s v="PAV"/>
    <s v="Foz do Iguaçú"/>
  </r>
  <r>
    <x v="0"/>
    <s v="277APR5015"/>
    <n v="0"/>
    <x v="239"/>
    <s v="5015"/>
    <n v="-54.564440140400102"/>
    <n v="-25.5838436704489"/>
    <n v="-54.590459279971697"/>
    <n v="-25.588356050291399"/>
    <s v="277"/>
    <s v="PR"/>
    <s v="Acesso"/>
    <s v="-"/>
    <s v="277APR5015"/>
    <s v="ENTR BR-469(B) (ACESSO À PONTE TANCREDO NEVES)"/>
    <s v="INÍCIO PONTE INTER BRA/PAR (2ª PONTE)"/>
    <n v="12.5"/>
    <n v="15"/>
    <n v="2.5"/>
    <x v="1"/>
    <m/>
    <m/>
    <s v="Federal"/>
    <m/>
    <m/>
    <m/>
    <s v="Federal"/>
    <s v="PLA"/>
    <s v="Foz do Iguaçú"/>
  </r>
  <r>
    <x v="0"/>
    <s v="277APR5020"/>
    <n v="0"/>
    <x v="239"/>
    <s v="5020"/>
    <n v="-54.590459279971697"/>
    <n v="-25.588356050291399"/>
    <n v="-54.598415830326203"/>
    <n v="-25.588756319648301"/>
    <s v="277"/>
    <s v="PR"/>
    <s v="Acesso"/>
    <s v="-"/>
    <s v="277APR5020"/>
    <s v="INÍCIO PONTE INTER BRA/PAR (2ª PONTE)"/>
    <s v="FRONT BRASIL/PARAGUAI (2º PONTE INTER)"/>
    <n v="15"/>
    <n v="15.8"/>
    <n v="0.8"/>
    <x v="4"/>
    <m/>
    <m/>
    <s v="Federal"/>
    <m/>
    <m/>
    <m/>
    <s v="Federal"/>
    <s v="N_PAV"/>
    <s v="Foz do Iguaçú"/>
  </r>
  <r>
    <x v="0"/>
    <s v="277BPR0010"/>
    <n v="0"/>
    <x v="240"/>
    <s v="0010"/>
    <n v="-48.544407369804198"/>
    <n v="-25.5204267703791"/>
    <n v="-48.565008860270602"/>
    <n v="-25.556669019859299"/>
    <s v="277"/>
    <s v="PR"/>
    <s v="Eixo Principal"/>
    <s v="-"/>
    <s v="277BPR0010"/>
    <s v="PONTE S/ RIO EMBOGUAÇU"/>
    <s v="ACESSO PARANAGUÁ"/>
    <n v="0"/>
    <n v="4.7"/>
    <n v="4.7"/>
    <x v="2"/>
    <m/>
    <m/>
    <s v="Convênio de Administração"/>
    <m/>
    <m/>
    <m/>
    <s v="Federal"/>
    <s v="PAV"/>
    <s v="Colombo"/>
  </r>
  <r>
    <x v="0"/>
    <s v="277BPR0015"/>
    <n v="0"/>
    <x v="240"/>
    <s v="0015"/>
    <n v="-48.565008520326799"/>
    <n v="-25.556668820209801"/>
    <n v="-48.582200199779301"/>
    <n v="-25.5607432895711"/>
    <s v="277"/>
    <s v="PR"/>
    <s v="Eixo Principal"/>
    <s v="-"/>
    <s v="277BPR0015"/>
    <s v="ACESSO PARANAGUÁ"/>
    <s v="ENTR PR-407"/>
    <n v="4.7"/>
    <n v="6.5"/>
    <n v="1.8"/>
    <x v="0"/>
    <m/>
    <m/>
    <s v="Convênio de Administração"/>
    <m/>
    <m/>
    <m/>
    <s v="Federal"/>
    <s v="PAV"/>
    <s v="Colombo"/>
  </r>
  <r>
    <x v="0"/>
    <s v="277BPR0020"/>
    <n v="0"/>
    <x v="240"/>
    <s v="0020"/>
    <n v="-48.582200199779301"/>
    <n v="-25.5607432895711"/>
    <n v="-48.6151419301559"/>
    <n v="-25.568195070246201"/>
    <s v="277"/>
    <s v="PR"/>
    <s v="Eixo Principal"/>
    <s v="-"/>
    <s v="277BPR0020"/>
    <s v="ENTR PR-407"/>
    <s v="ENTR PR-508 (P/MATINHOS)"/>
    <n v="6.5"/>
    <n v="9.9"/>
    <n v="3.4"/>
    <x v="0"/>
    <m/>
    <m/>
    <s v="Convênio de Administração"/>
    <m/>
    <m/>
    <m/>
    <s v="Federal"/>
    <s v="PAV"/>
    <s v="Colombo"/>
  </r>
  <r>
    <x v="0"/>
    <s v="277BPR0025"/>
    <n v="0"/>
    <x v="240"/>
    <s v="0025"/>
    <n v="-48.6151419301559"/>
    <n v="-25.568195070246201"/>
    <n v="-48.743956110286199"/>
    <n v="-25.529123690305902"/>
    <s v="277"/>
    <s v="PR"/>
    <s v="Eixo Principal"/>
    <s v="-"/>
    <s v="277BPR0025"/>
    <s v="ENTR PR-508 (P/MATINHOS)"/>
    <s v="ENTR BR-101/PR-408 (P/MORRETES)"/>
    <n v="9.9"/>
    <n v="23.8"/>
    <n v="13.9"/>
    <x v="0"/>
    <m/>
    <m/>
    <s v="Convênio de Administração"/>
    <m/>
    <m/>
    <m/>
    <s v="Federal"/>
    <s v="PAV"/>
    <s v="Colombo"/>
  </r>
  <r>
    <x v="0"/>
    <s v="277BPR0030"/>
    <n v="0"/>
    <x v="240"/>
    <s v="0030"/>
    <n v="-48.743956110286199"/>
    <n v="-25.529123690305902"/>
    <n v="-48.790417679931899"/>
    <n v="-25.5473001399894"/>
    <s v="277"/>
    <s v="PR"/>
    <s v="Eixo Principal"/>
    <s v="-"/>
    <s v="277BPR0030"/>
    <s v="ENTR BR-101/PR-408 (P/MORRETES)"/>
    <s v="ENTR PR-804 (ACESSO MORRETES)"/>
    <n v="23.8"/>
    <n v="29"/>
    <n v="5.2"/>
    <x v="0"/>
    <m/>
    <m/>
    <s v="Convênio de Administração"/>
    <m/>
    <m/>
    <m/>
    <s v="Federal"/>
    <s v="PAV"/>
    <s v="Colombo"/>
  </r>
  <r>
    <x v="0"/>
    <s v="277BPR0033"/>
    <n v="0"/>
    <x v="240"/>
    <s v="0033"/>
    <n v="-48.790417679931899"/>
    <n v="-25.5473001399894"/>
    <n v="-49.128205529761303"/>
    <n v="-25.511554569887402"/>
    <s v="277"/>
    <s v="PR"/>
    <s v="Eixo Principal"/>
    <s v="-"/>
    <s v="277BPR0033"/>
    <s v="ENTR PR-804 (ACESSO MORRETES)"/>
    <s v="ENTR BR-116(A) (CONTORNO LESTE CURITIBA)"/>
    <n v="29"/>
    <n v="70.400000000000006"/>
    <n v="41.4"/>
    <x v="0"/>
    <m/>
    <m/>
    <s v="Convênio de Administração"/>
    <m/>
    <m/>
    <m/>
    <s v="Federal"/>
    <s v="PAV"/>
    <s v="Colombo"/>
  </r>
  <r>
    <x v="0"/>
    <s v="277BPR0038"/>
    <n v="0"/>
    <x v="240"/>
    <s v="0038"/>
    <n v="-49.128205529761303"/>
    <n v="-25.511554569887402"/>
    <n v="-49.181893820243502"/>
    <n v="-25.568944049927801"/>
    <s v="277"/>
    <s v="PR"/>
    <s v="Eixo Principal"/>
    <s v="Coinc"/>
    <s v="277BPR0038"/>
    <s v="ENTR BR-116(A) (CONTORNO LESTE CURITIBA)"/>
    <s v="ENTR BR-376(A)"/>
    <n v="70.400000000000006"/>
    <n v="79.900000000000006"/>
    <n v="9.5"/>
    <x v="0"/>
    <m/>
    <s v="116BPR2760"/>
    <s v="Convênio de Administração"/>
    <m/>
    <m/>
    <m/>
    <s v="Federal"/>
    <s v="PAV"/>
    <s v="Colombo"/>
  </r>
  <r>
    <x v="0"/>
    <s v="277BPR0041"/>
    <n v="0"/>
    <x v="240"/>
    <s v="0041"/>
    <n v="-49.181893820243502"/>
    <n v="-25.568944049927801"/>
    <n v="-49.303409099949903"/>
    <n v="-25.544169439867598"/>
    <s v="277"/>
    <s v="PR"/>
    <s v="Eixo Principal"/>
    <s v="Coinc"/>
    <s v="277BPR0041"/>
    <s v="ENTR BR-376(A)"/>
    <s v="ENTR BR-116(B)"/>
    <n v="79.900000000000006"/>
    <n v="92.7"/>
    <n v="12.8"/>
    <x v="0"/>
    <m/>
    <s v="116BPR2770;376BPR0470"/>
    <s v="Convênio de Administração"/>
    <m/>
    <m/>
    <m/>
    <s v="Federal"/>
    <s v="PAV"/>
    <s v="Colombo"/>
  </r>
  <r>
    <x v="0"/>
    <s v="277BPR0051"/>
    <n v="0"/>
    <x v="240"/>
    <s v="0051"/>
    <n v="-49.303409099949903"/>
    <n v="-25.544169439867598"/>
    <n v="-49.310956240238198"/>
    <n v="-25.540531309871898"/>
    <s v="277"/>
    <s v="PR"/>
    <s v="Eixo Principal"/>
    <s v="-"/>
    <s v="277BPR0051"/>
    <s v="ENTR BR-116(B)"/>
    <s v="ENTR BR-476(B)"/>
    <n v="92.7"/>
    <n v="93.6"/>
    <n v="0.9"/>
    <x v="0"/>
    <m/>
    <s v="376BPR0460;476BPR0085"/>
    <s v="Federal"/>
    <m/>
    <m/>
    <m/>
    <s v="Federal"/>
    <s v="PAV"/>
    <s v="Colombo"/>
  </r>
  <r>
    <x v="0"/>
    <s v="277BPR0053"/>
    <n v="0"/>
    <x v="240"/>
    <s v="0053"/>
    <n v="-49.310956240238198"/>
    <n v="-25.540531309871898"/>
    <n v="-49.365711999908797"/>
    <n v="-25.432076910321001"/>
    <s v="277"/>
    <s v="PR"/>
    <s v="Eixo Principal"/>
    <s v="-"/>
    <s v="277BPR0053"/>
    <s v="ENTR BR-476(B)"/>
    <s v="ACESSO OESTE CURITIBA"/>
    <n v="93.6"/>
    <n v="107.3"/>
    <n v="13.7"/>
    <x v="0"/>
    <m/>
    <s v="376BPR0455"/>
    <s v="Federal"/>
    <m/>
    <m/>
    <m/>
    <s v="Federal"/>
    <s v="PAV"/>
    <s v="Colombo"/>
  </r>
  <r>
    <x v="0"/>
    <s v="277BPR0055"/>
    <n v="0"/>
    <x v="240"/>
    <s v="0055"/>
    <n v="-49.365711999908797"/>
    <n v="-25.432076910321001"/>
    <n v="-49.500850999573899"/>
    <n v="-25.4451226099204"/>
    <s v="277"/>
    <s v="PR"/>
    <s v="Eixo Principal"/>
    <s v="-"/>
    <s v="277BPR0055"/>
    <s v="ACESSO OESTE CURITIBA"/>
    <s v="ENTR BR-376 (INÍCIO CONT CAMPO LARGO)"/>
    <n v="107.3"/>
    <n v="122.2"/>
    <n v="14.9"/>
    <x v="0"/>
    <m/>
    <s v="376BPR0450"/>
    <s v="Convênio de Administração"/>
    <m/>
    <m/>
    <m/>
    <s v="Federal"/>
    <s v="PAV"/>
    <s v="Colombo"/>
  </r>
  <r>
    <x v="0"/>
    <s v="277BPR0058"/>
    <n v="0"/>
    <x v="240"/>
    <s v="0058"/>
    <n v="-49.500850999573899"/>
    <n v="-25.4451226099204"/>
    <n v="-49.519236750275702"/>
    <n v="-25.434976929841401"/>
    <s v="277"/>
    <s v="PR"/>
    <s v="Eixo Principal"/>
    <s v="-"/>
    <s v="277BPR0058"/>
    <s v="ENTR BR-376 (INÍCIO CONT CAMPO LARGO)"/>
    <s v="ENTR PR-510 (P/BATÉIAS)"/>
    <n v="122.2"/>
    <n v="124.3"/>
    <n v="2.1"/>
    <x v="2"/>
    <m/>
    <s v="376VPR1005"/>
    <s v="Convênio de Administração"/>
    <m/>
    <m/>
    <m/>
    <s v="Federal"/>
    <s v="PAV"/>
    <s v="Colombo"/>
  </r>
  <r>
    <x v="0"/>
    <s v="277BPR0060"/>
    <n v="0"/>
    <x v="240"/>
    <s v="0060"/>
    <n v="-49.519236750275702"/>
    <n v="-25.434976929841401"/>
    <n v="-49.573122709944997"/>
    <n v="-25.446399819895699"/>
    <s v="277"/>
    <s v="PR"/>
    <s v="Eixo Principal"/>
    <s v="-"/>
    <s v="277BPR0060"/>
    <s v="ENTR PR-510 (P/BATÉIAS)"/>
    <s v="ENTR PR-423"/>
    <n v="124.3"/>
    <n v="130.19999999999999"/>
    <n v="5.9"/>
    <x v="2"/>
    <m/>
    <s v="376VPR1010"/>
    <s v="Convênio de Administração"/>
    <m/>
    <m/>
    <m/>
    <s v="Federal"/>
    <s v="PAV"/>
    <s v="Colombo"/>
  </r>
  <r>
    <x v="0"/>
    <s v="277BPR0065"/>
    <n v="0"/>
    <x v="240"/>
    <s v="0065"/>
    <n v="-49.573122709944997"/>
    <n v="-25.446399819895699"/>
    <n v="-49.609581529663799"/>
    <n v="-25.449193650166698"/>
    <s v="277"/>
    <s v="PR"/>
    <s v="Eixo Principal"/>
    <s v="-"/>
    <s v="277BPR0065"/>
    <s v="ENTR PR-423"/>
    <s v="ACESSO FÁBRICA CIMENTO ITAMBÉ"/>
    <n v="130.19999999999999"/>
    <n v="134"/>
    <n v="3.8"/>
    <x v="2"/>
    <m/>
    <s v="376VPR1015"/>
    <s v="Convênio de Administração"/>
    <m/>
    <m/>
    <m/>
    <s v="Federal"/>
    <s v="PAV"/>
    <s v="Colombo"/>
  </r>
  <r>
    <x v="0"/>
    <s v="277BPR0070"/>
    <n v="0"/>
    <x v="240"/>
    <s v="0070"/>
    <n v="-49.609581529663799"/>
    <n v="-25.449193650166698"/>
    <n v="-49.666789999558702"/>
    <n v="-25.4718722301192"/>
    <s v="277"/>
    <s v="PR"/>
    <s v="Eixo Principal"/>
    <s v="-"/>
    <s v="277BPR0070"/>
    <s v="ACESSO FÁBRICA CIMENTO ITAMBÉ"/>
    <s v="ACESSO SANTA"/>
    <n v="134"/>
    <n v="140.5"/>
    <n v="6.5"/>
    <x v="2"/>
    <m/>
    <s v="376VPR1020"/>
    <s v="Convênio de Administração"/>
    <m/>
    <m/>
    <m/>
    <s v="Federal"/>
    <s v="PAV"/>
    <s v="Colombo"/>
  </r>
  <r>
    <x v="0"/>
    <s v="277BPR0075"/>
    <n v="0"/>
    <x v="240"/>
    <s v="0075"/>
    <n v="-49.666789999558702"/>
    <n v="-25.4718722301192"/>
    <n v="-49.7288211297912"/>
    <n v="-25.464375709970898"/>
    <s v="277"/>
    <s v="PR"/>
    <s v="Eixo Principal"/>
    <s v="-"/>
    <s v="277BPR0075"/>
    <s v="ACESSO SANTA"/>
    <s v="ENTR BR-376(B)/PR-082 (SÃO LUIS PURUNÃ)"/>
    <n v="140.5"/>
    <n v="147.5"/>
    <n v="7"/>
    <x v="0"/>
    <m/>
    <s v="376BPR0425"/>
    <s v="Concessão Estadual"/>
    <m/>
    <m/>
    <m/>
    <s v="Federal"/>
    <s v="PAV"/>
    <s v="Colombo"/>
  </r>
  <r>
    <x v="0"/>
    <s v="277BPR0080"/>
    <n v="0"/>
    <x v="240"/>
    <s v="0080"/>
    <n v="-49.7288211297912"/>
    <n v="-25.464375709970898"/>
    <n v="-49.790866779578103"/>
    <n v="-25.4700041098017"/>
    <s v="277"/>
    <s v="PR"/>
    <s v="Eixo Principal"/>
    <s v="-"/>
    <s v="277BPR0080"/>
    <s v="ENTR BR-376(B)/PR-082 (SÃO LUIS PURUNÃ)"/>
    <s v="ENTR PR-951 (ACESSO COLÔNIA WITMARSUN)"/>
    <n v="147.5"/>
    <n v="153.9"/>
    <n v="6.4"/>
    <x v="2"/>
    <m/>
    <m/>
    <s v="Convênio de Administração"/>
    <m/>
    <m/>
    <m/>
    <s v="Federal"/>
    <s v="PAV"/>
    <s v="Colombo"/>
  </r>
  <r>
    <x v="0"/>
    <s v="277BPR0085"/>
    <n v="0"/>
    <x v="240"/>
    <s v="0085"/>
    <n v="-49.790866779578103"/>
    <n v="-25.4700041098017"/>
    <n v="-49.895803439577001"/>
    <n v="-25.472910859848199"/>
    <s v="277"/>
    <s v="PR"/>
    <s v="Eixo Principal"/>
    <s v="-"/>
    <s v="277BPR0085"/>
    <s v="ENTR PR-951 (ACESSO COLÔNIA WITMARSUN)"/>
    <s v="ENTR PR-427"/>
    <n v="153.9"/>
    <n v="164.7"/>
    <n v="10.8"/>
    <x v="2"/>
    <m/>
    <m/>
    <s v="Convênio de Administração"/>
    <m/>
    <m/>
    <m/>
    <s v="Federal"/>
    <s v="PAV"/>
    <s v="Colombo"/>
  </r>
  <r>
    <x v="0"/>
    <s v="277BPR0090"/>
    <n v="0"/>
    <x v="240"/>
    <s v="0090"/>
    <n v="-49.895803439577001"/>
    <n v="-25.472910859848199"/>
    <n v="-49.994825739616097"/>
    <n v="-25.4347432796785"/>
    <s v="277"/>
    <s v="PR"/>
    <s v="Eixo Principal"/>
    <s v="-"/>
    <s v="277BPR0090"/>
    <s v="ENTR PR-427"/>
    <s v="ENTR PR-151(A) (P/PALMEIRA)"/>
    <n v="164.7"/>
    <n v="176"/>
    <n v="11.3"/>
    <x v="2"/>
    <m/>
    <m/>
    <s v="Convênio de Administração"/>
    <m/>
    <m/>
    <m/>
    <s v="Federal"/>
    <s v="PAV"/>
    <s v="Colombo"/>
  </r>
  <r>
    <x v="0"/>
    <s v="277BPR0110"/>
    <n v="0"/>
    <x v="240"/>
    <s v="0110"/>
    <n v="-49.994825739616097"/>
    <n v="-25.4347432796785"/>
    <n v="-50.574937150429001"/>
    <n v="-25.464732450342201"/>
    <s v="277"/>
    <s v="PR"/>
    <s v="Eixo Principal"/>
    <s v="-"/>
    <s v="277BPR0110"/>
    <s v="ENTR PR-151(A) (P/PALMEIRA)"/>
    <s v="ENTR PR-438"/>
    <n v="176"/>
    <n v="240.6"/>
    <n v="64.599999999999994"/>
    <x v="2"/>
    <m/>
    <m/>
    <s v="Convênio de Administração"/>
    <m/>
    <m/>
    <m/>
    <s v="Federal"/>
    <s v="PAV"/>
    <s v="Colombo"/>
  </r>
  <r>
    <x v="0"/>
    <s v="277BPR0130"/>
    <n v="0"/>
    <x v="240"/>
    <s v="0130"/>
    <n v="-50.574937150429001"/>
    <n v="-25.464732450342201"/>
    <n v="-50.619187940071299"/>
    <n v="-25.453936810435401"/>
    <s v="277"/>
    <s v="PR"/>
    <s v="Eixo Principal"/>
    <s v="-"/>
    <s v="277BPR0130"/>
    <s v="ENTR PR-438"/>
    <s v="ENTR BR-153 (P/IRATÍ)"/>
    <n v="240.6"/>
    <n v="245.3"/>
    <n v="4.7"/>
    <x v="2"/>
    <m/>
    <m/>
    <s v="Convênio de Administração"/>
    <m/>
    <m/>
    <m/>
    <s v="Federal"/>
    <s v="PAV"/>
    <s v="Colombo"/>
  </r>
  <r>
    <x v="0"/>
    <s v="277BPR0135"/>
    <n v="0"/>
    <x v="240"/>
    <s v="0135"/>
    <n v="-50.619187600127503"/>
    <n v="-25.453936779858399"/>
    <n v="-50.651274350430803"/>
    <n v="-25.4531996901135"/>
    <s v="277"/>
    <s v="PR"/>
    <s v="Eixo Principal"/>
    <s v="-"/>
    <s v="277BPR0135"/>
    <s v="ENTR BR-153 (P/IRATÍ)"/>
    <s v="ACESSO IRATÍ"/>
    <n v="245.3"/>
    <n v="249"/>
    <n v="3.7"/>
    <x v="2"/>
    <m/>
    <m/>
    <s v="Convênio de Administração"/>
    <m/>
    <m/>
    <m/>
    <s v="Federal"/>
    <s v="PAV"/>
    <s v="Colombo"/>
  </r>
  <r>
    <x v="0"/>
    <s v="277BPR0140"/>
    <n v="0"/>
    <x v="240"/>
    <s v="0140"/>
    <n v="-50.651274350430803"/>
    <n v="-25.4531996901135"/>
    <n v="-50.933200090112003"/>
    <n v="-25.346436200370299"/>
    <s v="277"/>
    <s v="PR"/>
    <s v="Eixo Principal"/>
    <s v="-"/>
    <s v="277BPR0140"/>
    <s v="ACESSO IRATÍ"/>
    <s v="PONTE S/ RIO PONTE ALTA"/>
    <n v="249"/>
    <n v="281.2"/>
    <n v="32.200000000000003"/>
    <x v="2"/>
    <m/>
    <m/>
    <s v="Convênio de Administração"/>
    <m/>
    <m/>
    <m/>
    <s v="Federal"/>
    <s v="PAV"/>
    <s v="Colombo"/>
  </r>
  <r>
    <x v="0"/>
    <s v="277BPR0150"/>
    <n v="0"/>
    <x v="240"/>
    <s v="0150"/>
    <n v="-50.933200090112003"/>
    <n v="-25.346436200370299"/>
    <n v="-50.967650940438403"/>
    <n v="-25.321560779906001"/>
    <s v="277"/>
    <s v="PR"/>
    <s v="Eixo Principal"/>
    <s v="-"/>
    <s v="277BPR0150"/>
    <s v="PONTE S/ RIO PONTE ALTA"/>
    <s v="ENTR PR-160 (P/PRUDENTÓPOLIS)"/>
    <n v="281.2"/>
    <n v="285.7"/>
    <n v="4.5"/>
    <x v="2"/>
    <m/>
    <m/>
    <s v="Convênio de Administração"/>
    <m/>
    <m/>
    <m/>
    <s v="Federal"/>
    <s v="PAV"/>
    <s v="Colombo"/>
  </r>
  <r>
    <x v="0"/>
    <s v="277BPR0160"/>
    <n v="0"/>
    <x v="240"/>
    <s v="0160"/>
    <n v="-50.967650940438403"/>
    <n v="-25.321560779906001"/>
    <n v="-51.128449849980498"/>
    <n v="-25.2920636697025"/>
    <s v="277"/>
    <s v="PR"/>
    <s v="Eixo Principal"/>
    <s v="-"/>
    <s v="277BPR0160"/>
    <s v="ENTR PR-160 (P/PRUDENTÓPOLIS)"/>
    <s v="ENTR BR-373(A)/PR-452 (RELÓGIO)"/>
    <n v="285.7"/>
    <n v="303.8"/>
    <n v="18.100000000000001"/>
    <x v="2"/>
    <m/>
    <m/>
    <s v="Convênio de Administração"/>
    <m/>
    <m/>
    <m/>
    <s v="Federal"/>
    <s v="PAV"/>
    <s v="Colombo"/>
  </r>
  <r>
    <x v="0"/>
    <s v="277BPR0170"/>
    <n v="0"/>
    <x v="240"/>
    <s v="0170"/>
    <n v="-51.128449849980498"/>
    <n v="-25.2920636697025"/>
    <n v="-51.289047559597101"/>
    <n v="-25.3774167998453"/>
    <s v="277"/>
    <s v="PR"/>
    <s v="Eixo Principal"/>
    <s v="-"/>
    <s v="277BPR0170"/>
    <s v="ENTR BR-373(A)/PR-452 (RELÓGIO)"/>
    <s v="ENTR PR-364 (ACESSO VILA GUARÁ)"/>
    <n v="303.8"/>
    <n v="327.2"/>
    <n v="23.4"/>
    <x v="2"/>
    <m/>
    <s v="373BPR0400"/>
    <s v="Convênio de Administração"/>
    <m/>
    <m/>
    <m/>
    <s v="Federal"/>
    <s v="PAV"/>
    <s v="Ponta Grossa"/>
  </r>
  <r>
    <x v="0"/>
    <s v="277BPR0190"/>
    <n v="0"/>
    <x v="240"/>
    <s v="0190"/>
    <n v="-51.289047559597101"/>
    <n v="-25.3774167998453"/>
    <n v="-51.430361239679399"/>
    <n v="-25.3400095299158"/>
    <s v="277"/>
    <s v="PR"/>
    <s v="Eixo Principal"/>
    <s v="-"/>
    <s v="277BPR0190"/>
    <s v="ENTR PR-364 (ACESSO VILA GUARÁ)"/>
    <s v="ACESSO GUARAPUAVA"/>
    <n v="327.2"/>
    <n v="343.9"/>
    <n v="16.7"/>
    <x v="2"/>
    <m/>
    <s v="373BPR0410"/>
    <s v="Convênio de Administração"/>
    <m/>
    <m/>
    <m/>
    <s v="Federal"/>
    <s v="PAV"/>
    <s v="Ponta Grossa"/>
  </r>
  <r>
    <x v="0"/>
    <s v="277BPR0205"/>
    <n v="0"/>
    <x v="240"/>
    <s v="0205"/>
    <n v="-51.430361239679399"/>
    <n v="-25.3400095299158"/>
    <n v="-51.476031910444199"/>
    <n v="-25.364138049931"/>
    <s v="277"/>
    <s v="PR"/>
    <s v="Eixo Principal"/>
    <s v="-"/>
    <s v="277BPR0205"/>
    <s v="ACESSO GUARAPUAVA"/>
    <s v="ENTR BR-466 (P/GUARAPUAVA)"/>
    <n v="343.9"/>
    <n v="349.3"/>
    <n v="5.4"/>
    <x v="2"/>
    <m/>
    <s v="373BPR0425"/>
    <s v="Convênio de Administração"/>
    <m/>
    <m/>
    <m/>
    <s v="Federal"/>
    <s v="PAV"/>
    <s v="Ponta Grossa"/>
  </r>
  <r>
    <x v="0"/>
    <s v="277BPR0210"/>
    <n v="0"/>
    <x v="240"/>
    <s v="0210"/>
    <n v="-51.476031619963202"/>
    <n v="-25.3641379096367"/>
    <n v="-51.521166290292001"/>
    <n v="-25.390590009821"/>
    <s v="277"/>
    <s v="PR"/>
    <s v="Eixo Principal"/>
    <s v="-"/>
    <s v="277BPR0210"/>
    <s v="ENTR BR-466 (P/GUARAPUAVA)"/>
    <s v="ENTR PR-170"/>
    <n v="349.3"/>
    <n v="355"/>
    <n v="5.7"/>
    <x v="2"/>
    <m/>
    <s v="373BPR0430"/>
    <s v="Convênio de Administração"/>
    <m/>
    <m/>
    <m/>
    <s v="Federal"/>
    <s v="PAV"/>
    <s v="Pato Branco"/>
  </r>
  <r>
    <x v="0"/>
    <s v="277BPR0215"/>
    <n v="0"/>
    <x v="240"/>
    <s v="0215"/>
    <n v="-51.521166290292001"/>
    <n v="-25.390590009821"/>
    <n v="-51.675820560370497"/>
    <n v="-25.413750049924801"/>
    <s v="277"/>
    <s v="PR"/>
    <s v="Eixo Principal"/>
    <s v="-"/>
    <s v="277BPR0215"/>
    <s v="ENTR PR-170"/>
    <s v="ENTR PR-364"/>
    <n v="355"/>
    <n v="373"/>
    <n v="18"/>
    <x v="2"/>
    <m/>
    <s v="373BPR0435"/>
    <s v="Convênio de Administração"/>
    <m/>
    <m/>
    <m/>
    <s v="Federal"/>
    <s v="PAV"/>
    <s v="Pato Branco"/>
  </r>
  <r>
    <x v="0"/>
    <s v="277BPR0220"/>
    <n v="0"/>
    <x v="240"/>
    <s v="0220"/>
    <n v="-51.675820560370497"/>
    <n v="-25.413750049924801"/>
    <n v="-51.959263680274603"/>
    <n v="-25.459901789635801"/>
    <s v="277"/>
    <s v="PR"/>
    <s v="Eixo Principal"/>
    <s v="-"/>
    <s v="277BPR0220"/>
    <s v="ENTR PR-364"/>
    <s v="ENTR BR-373(B) (TRÊS PINHEIROS)"/>
    <n v="373"/>
    <n v="403.5"/>
    <n v="30.5"/>
    <x v="2"/>
    <m/>
    <s v="373BPR0440"/>
    <s v="Convênio de Administração"/>
    <m/>
    <m/>
    <m/>
    <s v="Federal"/>
    <s v="PAV"/>
    <s v="Pato Branco"/>
  </r>
  <r>
    <x v="0"/>
    <s v="277BPR0230"/>
    <n v="0"/>
    <x v="240"/>
    <s v="0230"/>
    <n v="-51.959263680274603"/>
    <n v="-25.459901789635801"/>
    <n v="-52.124292339719602"/>
    <n v="-25.378764559836402"/>
    <s v="277"/>
    <s v="PR"/>
    <s v="Eixo Principal"/>
    <s v="-"/>
    <s v="277BPR0230"/>
    <s v="ENTR BR-373(B) (TRÊS PINHEIROS)"/>
    <s v="ACESSO CANTAGALO"/>
    <n v="403.5"/>
    <n v="426"/>
    <n v="22.5"/>
    <x v="2"/>
    <m/>
    <m/>
    <s v="Convênio de Administração"/>
    <m/>
    <m/>
    <m/>
    <s v="Federal"/>
    <s v="PAV"/>
    <s v="Pato Branco"/>
  </r>
  <r>
    <x v="0"/>
    <s v="277BPR0235"/>
    <n v="0"/>
    <x v="240"/>
    <s v="0235"/>
    <n v="-52.124292339719602"/>
    <n v="-25.378764559836402"/>
    <n v="-52.202885370363497"/>
    <n v="-25.3784170096372"/>
    <s v="277"/>
    <s v="PR"/>
    <s v="Eixo Principal"/>
    <s v="-"/>
    <s v="277BPR0235"/>
    <s v="ACESSO CANTAGALO"/>
    <s v="ACESSO VIRMOND"/>
    <n v="426"/>
    <n v="435"/>
    <n v="9"/>
    <x v="2"/>
    <m/>
    <m/>
    <s v="Convênio de Administração"/>
    <m/>
    <m/>
    <m/>
    <s v="Federal"/>
    <s v="PAV"/>
    <s v="Pato Branco"/>
  </r>
  <r>
    <x v="0"/>
    <s v="277BPR0240"/>
    <n v="0"/>
    <x v="240"/>
    <s v="0240"/>
    <n v="-52.202885370363497"/>
    <n v="-25.3784170096372"/>
    <n v="-52.388672120122102"/>
    <n v="-25.374439700331799"/>
    <s v="277"/>
    <s v="PR"/>
    <s v="Eixo Principal"/>
    <s v="-"/>
    <s v="277BPR0240"/>
    <s v="ACESSO VIRMOND"/>
    <s v="ENTR BR-158(A)"/>
    <n v="435"/>
    <n v="455.1"/>
    <n v="20.100000000000001"/>
    <x v="2"/>
    <m/>
    <m/>
    <s v="Convênio de Administração"/>
    <m/>
    <m/>
    <m/>
    <s v="Federal"/>
    <s v="PAV"/>
    <s v="Pato Branco"/>
  </r>
  <r>
    <x v="0"/>
    <s v="277BPR0245"/>
    <n v="0"/>
    <x v="240"/>
    <s v="0245"/>
    <n v="-52.388672120122102"/>
    <n v="-25.374439700331799"/>
    <n v="-52.413839259973798"/>
    <n v="-25.3859049403606"/>
    <s v="277"/>
    <s v="PR"/>
    <s v="Eixo Principal"/>
    <s v="Coinc"/>
    <s v="277BPR0245"/>
    <s v="ENTR BR-158(A)"/>
    <s v="ENTR BR-158(B) (LARANJEIRAS DO SUL)"/>
    <n v="455.1"/>
    <n v="457.9"/>
    <n v="2.8"/>
    <x v="2"/>
    <m/>
    <s v="158BPR0927"/>
    <s v="Convênio de Administração"/>
    <m/>
    <m/>
    <m/>
    <s v="Federal"/>
    <s v="PAV"/>
    <s v="Pato Branco"/>
  </r>
  <r>
    <x v="0"/>
    <s v="277BPR0250"/>
    <n v="0"/>
    <x v="240"/>
    <s v="0250"/>
    <n v="-52.413839259973798"/>
    <n v="-25.3859049403606"/>
    <n v="-52.577490829837799"/>
    <n v="-25.291313250206301"/>
    <s v="277"/>
    <s v="PR"/>
    <s v="Eixo Principal"/>
    <s v="-"/>
    <s v="277BPR0250"/>
    <s v="ENTR BR-158(B) (LARANJEIRAS DO SUL)"/>
    <s v="ENTR PR-473"/>
    <n v="457.9"/>
    <n v="480.1"/>
    <n v="22.2"/>
    <x v="2"/>
    <m/>
    <m/>
    <s v="Convênio de Administração"/>
    <m/>
    <m/>
    <m/>
    <s v="Federal"/>
    <s v="PAV"/>
    <s v="Pato Branco"/>
  </r>
  <r>
    <x v="0"/>
    <s v="277BPR0270"/>
    <n v="0"/>
    <x v="240"/>
    <s v="0270"/>
    <n v="-52.577490829837799"/>
    <n v="-25.291313250206301"/>
    <n v="-52.855803759935498"/>
    <n v="-25.108974520057899"/>
    <s v="277"/>
    <s v="PR"/>
    <s v="Eixo Principal"/>
    <s v="-"/>
    <s v="277BPR0270"/>
    <s v="ENTR PR-473"/>
    <s v="ACESSO GUARANIAÇU"/>
    <n v="480.1"/>
    <n v="521.29999999999995"/>
    <n v="41.2"/>
    <x v="2"/>
    <m/>
    <m/>
    <s v="Convênio de Administração"/>
    <m/>
    <m/>
    <m/>
    <s v="Federal"/>
    <s v="PAV"/>
    <s v="Pato Branco"/>
  </r>
  <r>
    <x v="0"/>
    <s v="277BPR0280"/>
    <n v="0"/>
    <x v="240"/>
    <s v="0280"/>
    <n v="-52.855803759935498"/>
    <n v="-25.108974520057899"/>
    <n v="-52.949339879831498"/>
    <n v="-25.091631919977001"/>
    <s v="277"/>
    <s v="PR"/>
    <s v="Eixo Principal"/>
    <s v="-"/>
    <s v="277BPR0280"/>
    <s v="ACESSO GUARANIAÇU"/>
    <s v="ENTR PR-471(A) (MATO QUEIMADO)"/>
    <n v="521.29999999999995"/>
    <n v="531.9"/>
    <n v="10.6"/>
    <x v="2"/>
    <m/>
    <m/>
    <s v="Convênio de Administração"/>
    <m/>
    <m/>
    <m/>
    <s v="Federal"/>
    <s v="PAV"/>
    <s v="Pato Branco"/>
  </r>
  <r>
    <x v="0"/>
    <s v="277BPR0285"/>
    <n v="0"/>
    <x v="240"/>
    <s v="0285"/>
    <n v="-52.949339879831498"/>
    <n v="-25.091631919977001"/>
    <n v="-53.127127679798498"/>
    <n v="-25.095559680234899"/>
    <s v="277"/>
    <s v="PR"/>
    <s v="Eixo Principal"/>
    <s v="-"/>
    <s v="277BPR0285"/>
    <s v="ENTR PR-471(A) (MATO QUEIMADO)"/>
    <s v="ENTR PR-471(B)"/>
    <n v="531.9"/>
    <n v="552.1"/>
    <n v="20.2"/>
    <x v="2"/>
    <m/>
    <m/>
    <s v="Convênio de Administração"/>
    <m/>
    <m/>
    <m/>
    <s v="Federal"/>
    <s v="PAV"/>
    <s v="Pato Branco"/>
  </r>
  <r>
    <x v="0"/>
    <s v="277BPR0290"/>
    <n v="0"/>
    <x v="240"/>
    <s v="0290"/>
    <n v="-53.127127679798498"/>
    <n v="-25.095559680234899"/>
    <n v="-53.2973894402704"/>
    <n v="-24.997565909638901"/>
    <s v="277"/>
    <s v="PR"/>
    <s v="Eixo Principal"/>
    <s v="-"/>
    <s v="277BPR0290"/>
    <s v="ENTR PR-471(B)"/>
    <s v="ACESSO SÃO JOÃO DO OESTE"/>
    <n v="552.1"/>
    <n v="575"/>
    <n v="22.9"/>
    <x v="2"/>
    <m/>
    <m/>
    <s v="Convênio de Administração"/>
    <m/>
    <m/>
    <m/>
    <s v="Federal"/>
    <s v="PAV"/>
    <s v="Pato Branco"/>
  </r>
  <r>
    <x v="0"/>
    <s v="277BPR0295"/>
    <n v="0"/>
    <x v="240"/>
    <s v="0295"/>
    <n v="-53.2973894402704"/>
    <n v="-24.997565909638901"/>
    <n v="-53.374144340289"/>
    <n v="-24.983172379901301"/>
    <s v="277"/>
    <s v="PR"/>
    <s v="Eixo Principal"/>
    <s v="-"/>
    <s v="277BPR0295"/>
    <s v="ACESSO SÃO JOÃO DO OESTE"/>
    <s v="ENTR PR-180"/>
    <n v="575"/>
    <n v="583.1"/>
    <n v="8.1"/>
    <x v="2"/>
    <m/>
    <m/>
    <s v="Convênio de Administração"/>
    <m/>
    <m/>
    <m/>
    <s v="Federal"/>
    <s v="PAV"/>
    <s v="Pato Branco"/>
  </r>
  <r>
    <x v="0"/>
    <s v="277BPR0300"/>
    <n v="0"/>
    <x v="240"/>
    <s v="0300"/>
    <n v="-53.374144340289"/>
    <n v="-24.983172379901301"/>
    <n v="-53.405737559740501"/>
    <n v="-24.964749810055601"/>
    <s v="277"/>
    <s v="PR"/>
    <s v="Eixo Principal"/>
    <s v="-"/>
    <s v="277BPR0300"/>
    <s v="ENTR PR-180"/>
    <s v="ENTR BR-369/467 (CASCAVEL - TREVO DAS CATARATAS)"/>
    <n v="583.1"/>
    <n v="586.9"/>
    <n v="3.8"/>
    <x v="0"/>
    <m/>
    <m/>
    <s v="Convênio de Administração"/>
    <m/>
    <m/>
    <m/>
    <s v="Federal"/>
    <s v="PAV"/>
    <s v="Pato Branco"/>
  </r>
  <r>
    <x v="0"/>
    <s v="277BPR0305"/>
    <n v="0"/>
    <x v="240"/>
    <s v="0305"/>
    <n v="-53.405737559740501"/>
    <n v="-24.964749810055601"/>
    <n v="-53.5004595301831"/>
    <n v="-24.9806352503164"/>
    <s v="277"/>
    <s v="PR"/>
    <s v="Eixo Principal"/>
    <s v="-"/>
    <s v="277BPR0305"/>
    <s v="ENTR BR-369/467 (CASCAVEL - TREVO DAS CATARATAS)"/>
    <s v="VIADUTO TANCREDO NEVES"/>
    <n v="586.9"/>
    <n v="597.1"/>
    <n v="10.199999999999999"/>
    <x v="2"/>
    <m/>
    <m/>
    <s v="Convênio de Administração"/>
    <m/>
    <m/>
    <m/>
    <s v="Federal"/>
    <s v="PAV"/>
    <s v="Foz do Iguaçú"/>
  </r>
  <r>
    <x v="0"/>
    <s v="277BPR0307"/>
    <n v="0"/>
    <x v="240"/>
    <s v="0307"/>
    <n v="-53.5004595301831"/>
    <n v="-24.9806352503164"/>
    <n v="-53.550526210316299"/>
    <n v="-25.023765359683502"/>
    <s v="277"/>
    <s v="PR"/>
    <s v="Eixo Principal"/>
    <s v="-"/>
    <s v="277BPR0307"/>
    <s v="VIADUTO TANCREDO NEVES"/>
    <s v="ENTR BR-163"/>
    <n v="597.1"/>
    <n v="604.1"/>
    <n v="7"/>
    <x v="0"/>
    <m/>
    <m/>
    <s v="Convênio de Administração"/>
    <m/>
    <m/>
    <m/>
    <s v="Federal"/>
    <s v="PAV"/>
    <s v="Foz do Iguaçú"/>
  </r>
  <r>
    <x v="0"/>
    <s v="277BPR0310"/>
    <n v="0"/>
    <x v="240"/>
    <s v="0310"/>
    <n v="-53.550526210316299"/>
    <n v="-25.023765359683502"/>
    <n v="-53.558606209708699"/>
    <n v="-25.027980730326401"/>
    <s v="277"/>
    <s v="PR"/>
    <s v="Eixo Principal"/>
    <s v="-"/>
    <s v="277BPR0310"/>
    <s v="ENTR BR-163"/>
    <s v="FIM DA PISTA DUPLA"/>
    <n v="604.1"/>
    <n v="605.1"/>
    <n v="1"/>
    <x v="0"/>
    <m/>
    <m/>
    <s v="Convênio de Administração"/>
    <m/>
    <m/>
    <m/>
    <s v="Federal"/>
    <s v="PAV"/>
    <s v="Foz do Iguaçú"/>
  </r>
  <r>
    <x v="0"/>
    <s v="277BPR0315"/>
    <n v="0"/>
    <x v="240"/>
    <s v="0315"/>
    <n v="-53.558606209708699"/>
    <n v="-25.027980730326401"/>
    <n v="-53.6170518796404"/>
    <n v="-25.049592850129802"/>
    <s v="277"/>
    <s v="PR"/>
    <s v="Eixo Principal"/>
    <s v="-"/>
    <s v="277BPR0315"/>
    <s v="FIM DA PISTA DUPLA"/>
    <s v="ENTR PR-586 (SANTA TEREZA DO OESTE)"/>
    <n v="605.1"/>
    <n v="612"/>
    <n v="6.9"/>
    <x v="2"/>
    <m/>
    <m/>
    <s v="Convênio de Administração"/>
    <m/>
    <m/>
    <m/>
    <s v="Federal"/>
    <s v="PAV"/>
    <s v="Foz do Iguaçú"/>
  </r>
  <r>
    <x v="0"/>
    <s v="277BPR0320"/>
    <n v="0"/>
    <x v="240"/>
    <s v="0320"/>
    <n v="-53.6170518796404"/>
    <n v="-25.049592850129802"/>
    <n v="-53.818487879811698"/>
    <n v="-25.1253740802495"/>
    <s v="277"/>
    <s v="PR"/>
    <s v="Eixo Principal"/>
    <s v="-"/>
    <s v="277BPR0320"/>
    <s v="ENTR PR-586 (SANTA TEREZA DO OESTE)"/>
    <s v="ENTR PR-488 (P/VERA CRUZ DO OESTE)"/>
    <n v="612"/>
    <n v="634.9"/>
    <n v="22.9"/>
    <x v="2"/>
    <m/>
    <m/>
    <s v="Convênio de Administração"/>
    <m/>
    <m/>
    <m/>
    <s v="Federal"/>
    <s v="PAV"/>
    <s v="Foz do Iguaçú"/>
  </r>
  <r>
    <x v="0"/>
    <s v="277BPR0325"/>
    <n v="0"/>
    <x v="240"/>
    <s v="0325"/>
    <n v="-53.818487879811698"/>
    <n v="-25.1253740802495"/>
    <n v="-53.834640309902298"/>
    <n v="-25.143393590142001"/>
    <s v="277"/>
    <s v="PR"/>
    <s v="Eixo Principal"/>
    <s v="-"/>
    <s v="277BPR0325"/>
    <s v="ENTR PR-488 (P/VERA CRUZ DO OESTE)"/>
    <s v="INÍCIO PERÍMETRO URBANO CÉU AZUL"/>
    <n v="634.9"/>
    <n v="638"/>
    <n v="3.1"/>
    <x v="2"/>
    <m/>
    <m/>
    <s v="Convênio de Administração"/>
    <m/>
    <m/>
    <m/>
    <s v="Federal"/>
    <s v="PAV"/>
    <s v="Foz do Iguaçú"/>
  </r>
  <r>
    <x v="0"/>
    <s v="277BPR0330"/>
    <n v="0"/>
    <x v="240"/>
    <s v="0330"/>
    <n v="-53.834640309902298"/>
    <n v="-25.143393590142001"/>
    <n v="-53.850596970173903"/>
    <n v="-25.1573295196415"/>
    <s v="277"/>
    <s v="PR"/>
    <s v="Eixo Principal"/>
    <s v="-"/>
    <s v="277BPR0330"/>
    <s v="INÍCIO PERÍMETRO URBANO CÉU AZUL"/>
    <s v="FIM PERÍMETRO URBANO CÉU AZUL *TRECHO URBANO*"/>
    <n v="638"/>
    <n v="640.4"/>
    <n v="2.4"/>
    <x v="2"/>
    <m/>
    <m/>
    <s v="Convênio de Administração"/>
    <m/>
    <m/>
    <m/>
    <s v="Federal"/>
    <s v="PAV"/>
    <s v="Foz do Iguaçú"/>
  </r>
  <r>
    <x v="0"/>
    <s v="277BPR0335"/>
    <n v="0"/>
    <x v="240"/>
    <s v="0335"/>
    <n v="-53.850596970173903"/>
    <n v="-25.1573295196415"/>
    <n v="-53.9412409396176"/>
    <n v="-25.1947608401405"/>
    <s v="277"/>
    <s v="PR"/>
    <s v="Eixo Principal"/>
    <s v="-"/>
    <s v="277BPR0335"/>
    <s v="FIM PERÍMETRO URBANO CÉU AZUL"/>
    <s v="ENTR PR-590 (P/RAMILÂNDIA)"/>
    <n v="640.4"/>
    <n v="652.5"/>
    <n v="12.1"/>
    <x v="2"/>
    <m/>
    <m/>
    <s v="Convênio de Administração"/>
    <m/>
    <m/>
    <m/>
    <s v="Federal"/>
    <s v="PAV"/>
    <s v="Foz do Iguaçú"/>
  </r>
  <r>
    <x v="0"/>
    <s v="277BPR0340"/>
    <n v="0"/>
    <x v="240"/>
    <s v="0340"/>
    <n v="-53.9412409396176"/>
    <n v="-25.1947608401405"/>
    <n v="-53.968032819858699"/>
    <n v="-25.2385207699175"/>
    <s v="277"/>
    <s v="PR"/>
    <s v="Eixo Principal"/>
    <s v="-"/>
    <s v="277BPR0340"/>
    <s v="ENTR PR-590 (P/RAMILÂNDIA)"/>
    <s v="INÍCIO PERÍMETRO URBANO MATELÂNDIA"/>
    <n v="652.5"/>
    <n v="658.6"/>
    <n v="6.1"/>
    <x v="2"/>
    <m/>
    <m/>
    <s v="Convênio de Administração"/>
    <m/>
    <m/>
    <m/>
    <s v="Federal"/>
    <s v="PAV"/>
    <s v="Foz do Iguaçú"/>
  </r>
  <r>
    <x v="0"/>
    <s v="277BPR0345"/>
    <n v="0"/>
    <x v="240"/>
    <s v="0345"/>
    <n v="-53.968032819858699"/>
    <n v="-25.2385207699175"/>
    <n v="-53.983439509625597"/>
    <n v="-25.246225070330599"/>
    <s v="277"/>
    <s v="PR"/>
    <s v="Eixo Principal"/>
    <s v="-"/>
    <s v="277BPR0345"/>
    <s v="INÍCIO PERÍMETRO URBANO MATELÂNDIA"/>
    <s v="FIM PERÍMETRO URBANO MATELÂNDIA *TRECHO URBANO*"/>
    <n v="658.6"/>
    <n v="660.5"/>
    <n v="1.9"/>
    <x v="0"/>
    <m/>
    <m/>
    <s v="Convênio de Administração"/>
    <m/>
    <m/>
    <m/>
    <s v="Federal"/>
    <s v="PAV"/>
    <s v="Foz do Iguaçú"/>
  </r>
  <r>
    <x v="0"/>
    <s v="277BPR0350"/>
    <n v="0"/>
    <x v="240"/>
    <s v="0350"/>
    <n v="-53.983439509625597"/>
    <n v="-25.246225070330599"/>
    <n v="-54.056433800079702"/>
    <n v="-25.267021559897"/>
    <s v="277"/>
    <s v="PR"/>
    <s v="Eixo Principal"/>
    <s v="-"/>
    <s v="277BPR0350"/>
    <s v="FIM PERÍMETRO URBANO MATELÂNDIA"/>
    <s v="INÍCIO PERÍMETRO URBANO MEDIANEIRA"/>
    <n v="660.5"/>
    <n v="669.4"/>
    <n v="8.9"/>
    <x v="0"/>
    <m/>
    <m/>
    <s v="Convênio de Administração"/>
    <m/>
    <m/>
    <m/>
    <s v="Federal"/>
    <s v="PAV"/>
    <s v="Foz do Iguaçú"/>
  </r>
  <r>
    <x v="0"/>
    <s v="277BPR0355"/>
    <n v="0"/>
    <x v="240"/>
    <s v="0355"/>
    <n v="-54.056433800079702"/>
    <n v="-25.267021559897"/>
    <n v="-54.0956426998506"/>
    <n v="-25.287103119912999"/>
    <s v="277"/>
    <s v="PR"/>
    <s v="Eixo Principal"/>
    <s v="-"/>
    <s v="277BPR0355"/>
    <s v="INÍCIO PERÍMETRO URBANO MEDIANEIRA"/>
    <s v="ENTR PR-495 (MEDIANEIRA) *TRECHO URBANO*"/>
    <n v="669.4"/>
    <n v="673.6"/>
    <n v="4.2"/>
    <x v="0"/>
    <m/>
    <m/>
    <s v="Convênio de Administração"/>
    <m/>
    <m/>
    <m/>
    <s v="Federal"/>
    <s v="PAV"/>
    <s v="Foz do Iguaçú"/>
  </r>
  <r>
    <x v="0"/>
    <s v="277BPR0360"/>
    <n v="0"/>
    <x v="240"/>
    <s v="0360"/>
    <n v="-54.0956426998506"/>
    <n v="-25.287103119912999"/>
    <n v="-54.117610190357901"/>
    <n v="-25.2961160400232"/>
    <s v="277"/>
    <s v="PR"/>
    <s v="Eixo Principal"/>
    <s v="-"/>
    <s v="277BPR0360"/>
    <s v="ENTR PR-495 (MEDIANEIRA)"/>
    <s v="FIM PERÍMETRO URBANO MEDIANEIRA *TRECHO URBANO*"/>
    <n v="673.6"/>
    <n v="676.2"/>
    <n v="2.6"/>
    <x v="0"/>
    <m/>
    <m/>
    <s v="Convênio de Administração"/>
    <m/>
    <m/>
    <m/>
    <s v="Federal"/>
    <s v="PAV"/>
    <s v="Foz do Iguaçú"/>
  </r>
  <r>
    <x v="0"/>
    <s v="277BPR0365"/>
    <n v="0"/>
    <x v="240"/>
    <s v="0365"/>
    <n v="-54.117610190357901"/>
    <n v="-25.2961160400232"/>
    <n v="-54.228722430095999"/>
    <n v="-25.344377680085799"/>
    <s v="277"/>
    <s v="PR"/>
    <s v="Eixo Principal"/>
    <s v="-"/>
    <s v="277BPR0365"/>
    <s v="FIM PERÍMETRO URBANO MEDIANEIRA"/>
    <s v="INÍC PERÍMETRO URBANO S MIGUEL DO IGUAÇU"/>
    <n v="676.2"/>
    <n v="689"/>
    <n v="12.8"/>
    <x v="0"/>
    <m/>
    <m/>
    <s v="Convênio de Administração"/>
    <m/>
    <m/>
    <m/>
    <s v="Federal"/>
    <s v="PAV"/>
    <s v="Foz do Iguaçú"/>
  </r>
  <r>
    <x v="0"/>
    <s v="277BPR0370"/>
    <n v="0"/>
    <x v="240"/>
    <s v="0370"/>
    <n v="-54.228722430095999"/>
    <n v="-25.344377680085799"/>
    <n v="-54.251331079665498"/>
    <n v="-25.361652759966798"/>
    <s v="277"/>
    <s v="PR"/>
    <s v="Eixo Principal"/>
    <s v="-"/>
    <s v="277BPR0370"/>
    <s v="INÍC PERÍMETRO URBANO S MIGUEL DO IGUAÇU"/>
    <s v="FIM PERÍMETRO URBANO S MIGUEL DO IGUAÇU *TRECHO URBANO*"/>
    <n v="689"/>
    <n v="692.6"/>
    <n v="3.6"/>
    <x v="0"/>
    <m/>
    <m/>
    <s v="Convênio de Administração"/>
    <m/>
    <m/>
    <m/>
    <s v="Federal"/>
    <s v="PAV"/>
    <s v="Foz do Iguaçú"/>
  </r>
  <r>
    <x v="0"/>
    <s v="277BPR0375"/>
    <n v="0"/>
    <x v="240"/>
    <s v="0375"/>
    <n v="-54.251331079665498"/>
    <n v="-25.361652759966798"/>
    <n v="-54.400349880342603"/>
    <n v="-25.444874819717"/>
    <s v="277"/>
    <s v="PR"/>
    <s v="Eixo Principal"/>
    <s v="-"/>
    <s v="277BPR0375"/>
    <s v="FIM PERÍMETRO URBANO S MIGUEL DO IGUAÇU"/>
    <s v="ENTR PR-874 (PASSARELA- SANTA TEREZINHA DO ITAIPÚ)"/>
    <n v="692.6"/>
    <n v="711.9"/>
    <n v="19.3"/>
    <x v="0"/>
    <m/>
    <m/>
    <s v="Convênio de Administração"/>
    <m/>
    <m/>
    <m/>
    <s v="Federal"/>
    <s v="PAV"/>
    <s v="Foz do Iguaçú"/>
  </r>
  <r>
    <x v="0"/>
    <s v="277BPR0380"/>
    <n v="0"/>
    <x v="240"/>
    <s v="0380"/>
    <n v="-54.400349880342603"/>
    <n v="-25.444874819717"/>
    <n v="-54.549184859593502"/>
    <n v="-25.510532100076301"/>
    <s v="277"/>
    <s v="PR"/>
    <s v="Eixo Principal"/>
    <s v="-"/>
    <s v="277BPR0380"/>
    <s v="ENTR PR-874 (PASSARELA- SANTA TEREZINHA DO ITAIPÚ)"/>
    <s v="ACESSO FOZ DO IGUAÇU"/>
    <n v="711.9"/>
    <n v="727.6"/>
    <n v="15.7"/>
    <x v="0"/>
    <m/>
    <m/>
    <s v="Convênio de Administração"/>
    <m/>
    <m/>
    <m/>
    <s v="Federal"/>
    <s v="PAV"/>
    <s v="Foz do Iguaçú"/>
  </r>
  <r>
    <x v="0"/>
    <s v="277BPR0385"/>
    <n v="0"/>
    <x v="240"/>
    <s v="0385"/>
    <n v="-54.549184859593502"/>
    <n v="-25.510532100076301"/>
    <n v="-54.588287550330101"/>
    <n v="-25.5060071099401"/>
    <s v="277"/>
    <s v="PR"/>
    <s v="Eixo Principal"/>
    <s v="-"/>
    <s v="277BPR0385"/>
    <s v="ACESSO FOZ DO IGUAÇU"/>
    <s v="FIM PISTA DUPLA"/>
    <n v="727.6"/>
    <n v="731.6"/>
    <n v="4"/>
    <x v="0"/>
    <m/>
    <m/>
    <s v="Convênio de Administração"/>
    <m/>
    <m/>
    <m/>
    <s v="Federal"/>
    <s v="PAV"/>
    <s v="Foz do Iguaçú"/>
  </r>
  <r>
    <x v="0"/>
    <s v="277BPR0387"/>
    <n v="0"/>
    <x v="240"/>
    <s v="0387"/>
    <n v="-54.588287550330101"/>
    <n v="-25.5060071099401"/>
    <n v="-54.598146719895098"/>
    <n v="-25.509461979686499"/>
    <s v="277"/>
    <s v="PR"/>
    <s v="Eixo Principal"/>
    <s v="-"/>
    <s v="277BPR0387"/>
    <s v="FIM PISTA DUPLA"/>
    <s v="INÍCIO DA PONTE DA AMIZADE/FRONT BRASIL/PARAGUAI"/>
    <n v="731.6"/>
    <n v="732.8"/>
    <n v="1.2"/>
    <x v="2"/>
    <m/>
    <m/>
    <s v="Convênio de Administração"/>
    <m/>
    <m/>
    <m/>
    <s v="Federal"/>
    <s v="PAV"/>
    <s v="Foz do Iguaçú"/>
  </r>
  <r>
    <x v="0"/>
    <s v="277BPR0390"/>
    <n v="0"/>
    <x v="240"/>
    <s v="0390"/>
    <n v="-54.598146719895098"/>
    <n v="-25.509461979686499"/>
    <n v="-54.603814660218298"/>
    <n v="-25.509426479848099"/>
    <s v="277"/>
    <s v="PR"/>
    <s v="Eixo Principal"/>
    <s v="-"/>
    <s v="277BPR0390"/>
    <s v="INÍCIO DA PONTE DA AMIZADE/FRONT BRASIL/PARAGUAI"/>
    <s v="FIM DA PONTE DA AMIZADE/FRONT BRASIL/PARAGUAI"/>
    <n v="732.8"/>
    <n v="733.4"/>
    <n v="0.6"/>
    <x v="2"/>
    <m/>
    <m/>
    <s v="Federal"/>
    <m/>
    <m/>
    <m/>
    <s v="Federal"/>
    <s v="PAV"/>
    <s v="Foz do Iguaçú"/>
  </r>
  <r>
    <x v="0"/>
    <s v="277VPR1005"/>
    <n v="0"/>
    <x v="241"/>
    <s v="1005"/>
    <n v="-49.666789999558702"/>
    <n v="-25.4718722301192"/>
    <n v="-49.594470140384601"/>
    <n v="-25.467543640226701"/>
    <s v="277"/>
    <s v="PR"/>
    <s v="Variante"/>
    <s v="-"/>
    <s v="277VPR1005"/>
    <s v="ACESSO SANTA"/>
    <s v="ACESSO FÁBRICA CIMENTO ITAMBÉ"/>
    <n v="0"/>
    <n v="8.6999999999999993"/>
    <n v="8.6999999999999993"/>
    <x v="2"/>
    <m/>
    <s v="376BPR0430"/>
    <s v="Concessão Estadual"/>
    <m/>
    <m/>
    <m/>
    <s v="Federal"/>
    <s v="PAV"/>
    <s v="Colombo"/>
  </r>
  <r>
    <x v="0"/>
    <s v="277VPR1010"/>
    <n v="0"/>
    <x v="241"/>
    <s v="1010"/>
    <n v="-49.594470140384601"/>
    <n v="-25.467543640226701"/>
    <n v="-49.581166609651198"/>
    <n v="-25.4619777100032"/>
    <s v="277"/>
    <s v="PR"/>
    <s v="Variante"/>
    <s v="-"/>
    <s v="277VPR1010"/>
    <s v="ACESSO FÁBRICA CIMENTO ITAMBÉ"/>
    <s v="ENTR PR-423"/>
    <n v="8.6999999999999993"/>
    <n v="10.7"/>
    <n v="2"/>
    <x v="2"/>
    <m/>
    <s v="376BPR0435"/>
    <s v="Concessão Estadual"/>
    <m/>
    <m/>
    <m/>
    <s v="Federal"/>
    <s v="PAV"/>
    <s v="Colombo"/>
  </r>
  <r>
    <x v="0"/>
    <s v="277VPR1015"/>
    <n v="0"/>
    <x v="241"/>
    <s v="1015"/>
    <n v="-49.581166609651198"/>
    <n v="-25.4619777100032"/>
    <n v="-49.522228810011498"/>
    <n v="-25.450561340033701"/>
    <s v="277"/>
    <s v="PR"/>
    <s v="Variante"/>
    <s v="-"/>
    <s v="277VPR1015"/>
    <s v="ENTR PR-423"/>
    <s v="ENTR PR-510 (P/BATÉIAS)"/>
    <n v="10.7"/>
    <n v="16.399999999999999"/>
    <n v="5.7"/>
    <x v="2"/>
    <m/>
    <s v="376BPR0440"/>
    <s v="Concessão Estadual"/>
    <m/>
    <m/>
    <m/>
    <s v="Federal"/>
    <s v="PAV"/>
    <s v="Colombo"/>
  </r>
  <r>
    <x v="0"/>
    <s v="277VPR1020"/>
    <n v="0"/>
    <x v="241"/>
    <s v="1020"/>
    <n v="-49.522228810011498"/>
    <n v="-25.450561340033701"/>
    <n v="-49.500850999573899"/>
    <n v="-25.4451226099204"/>
    <s v="277"/>
    <s v="PR"/>
    <s v="Variante"/>
    <s v="-"/>
    <s v="277VPR1020"/>
    <s v="ENTR PR-510 (P/BATÉIAS)"/>
    <s v="ACESSO CAMPO LARGO"/>
    <n v="16.399999999999999"/>
    <n v="18.399999999999999"/>
    <n v="2"/>
    <x v="2"/>
    <m/>
    <s v="376BPR0445"/>
    <s v="Concessão Estadual"/>
    <m/>
    <m/>
    <m/>
    <s v="Federal"/>
    <s v="PAV"/>
    <s v="Colombo"/>
  </r>
  <r>
    <x v="0"/>
    <s v="280BPR0170"/>
    <n v="0"/>
    <x v="242"/>
    <s v="0170"/>
    <n v="-51.095605300344197"/>
    <n v="-26.253722969839099"/>
    <n v="-51.1309173801329"/>
    <n v="-26.217541769936702"/>
    <s v="280"/>
    <s v="PR"/>
    <s v="Eixo Principal"/>
    <s v="-"/>
    <s v="280BPR0170"/>
    <s v="DIV SC/PR (PORTO UNIÃO/UNIÃO DA VITÓRIA)"/>
    <s v="ENTR BR-153(A)/PR-446"/>
    <n v="0"/>
    <n v="5.9"/>
    <n v="5.9"/>
    <x v="1"/>
    <m/>
    <m/>
    <s v="Estadual"/>
    <m/>
    <s v="PRT-280"/>
    <s v="PAV"/>
    <s v="Estadual"/>
    <s v="PLA"/>
    <s v="Colombo"/>
  </r>
  <r>
    <x v="4"/>
    <s v="280BPR0180"/>
    <s v="BR-476/153/282/480/SC/PR"/>
    <x v="242"/>
    <s v="0180"/>
    <n v="-51.1309173801329"/>
    <n v="-26.217541769936702"/>
    <n v="-51.272135679917596"/>
    <n v="-26.386347140408098"/>
    <s v="280"/>
    <s v="PR"/>
    <s v="Eixo Principal"/>
    <s v="Coinc"/>
    <s v="280BPR0180"/>
    <s v="ENTR BR-153(A)/PR-446"/>
    <s v="ENTR PR-170"/>
    <n v="5.9"/>
    <n v="32.1"/>
    <n v="26.2"/>
    <x v="2"/>
    <m/>
    <s v="153BPR1490"/>
    <s v="Federal"/>
    <m/>
    <m/>
    <m/>
    <s v="Federal"/>
    <s v="PAV"/>
    <s v="Colombo"/>
  </r>
  <r>
    <x v="4"/>
    <s v="280BPR0187"/>
    <s v="BR-476/153/282/480/SC/PR"/>
    <x v="242"/>
    <s v="0187"/>
    <n v="-51.272135679917596"/>
    <n v="-26.386347140408098"/>
    <n v="-51.313459119642602"/>
    <n v="-26.4291942996771"/>
    <s v="280"/>
    <s v="PR"/>
    <s v="Eixo Principal"/>
    <s v="Coinc"/>
    <s v="280BPR0187"/>
    <s v="ENTR PR-170"/>
    <s v="GENERAL CARNEIRO"/>
    <n v="32.1"/>
    <n v="39.6"/>
    <n v="7.5"/>
    <x v="2"/>
    <m/>
    <s v="153BPR1497"/>
    <s v="Federal"/>
    <m/>
    <m/>
    <m/>
    <s v="Federal"/>
    <s v="PAV"/>
    <s v="Colombo"/>
  </r>
  <r>
    <x v="4"/>
    <s v="280BPR0190"/>
    <s v="BR-476/153/282/480/SC/PR"/>
    <x v="242"/>
    <s v="0190"/>
    <n v="-51.313459119642602"/>
    <n v="-26.4291942996771"/>
    <n v="-51.4788371998768"/>
    <n v="-26.609163409763401"/>
    <s v="280"/>
    <s v="PR"/>
    <s v="Eixo Principal"/>
    <s v="Coinc"/>
    <s v="280BPR0190"/>
    <s v="GENERAL CARNEIRO"/>
    <s v="ENTR BR-153(B)"/>
    <n v="39.6"/>
    <n v="70"/>
    <n v="30.4"/>
    <x v="2"/>
    <m/>
    <s v="153BPR1500"/>
    <s v="Federal"/>
    <m/>
    <m/>
    <m/>
    <s v="Federal"/>
    <s v="PAV"/>
    <s v="Colombo"/>
  </r>
  <r>
    <x v="0"/>
    <s v="280BPR0210"/>
    <n v="0"/>
    <x v="242"/>
    <s v="0210"/>
    <n v="-51.4788371998768"/>
    <n v="-26.609163409763401"/>
    <n v="-51.992432490367001"/>
    <n v="-26.512871839963299"/>
    <s v="280"/>
    <s v="PR"/>
    <s v="Eixo Principal"/>
    <s v="-"/>
    <s v="280BPR0210"/>
    <s v="ENTR BR-153(B)"/>
    <s v="ACESSO PALMAS"/>
    <n v="70"/>
    <n v="129.6"/>
    <n v="59.6"/>
    <x v="1"/>
    <m/>
    <m/>
    <s v="Estadual"/>
    <m/>
    <s v="PRT-280"/>
    <s v="PAV"/>
    <s v="Estadual"/>
    <s v="PLA"/>
    <s v="Pato Branco"/>
  </r>
  <r>
    <x v="0"/>
    <s v="280BPR0220"/>
    <n v="0"/>
    <x v="242"/>
    <s v="0220"/>
    <n v="-51.992432490367001"/>
    <n v="-26.512871839963299"/>
    <n v="-52.023408290160397"/>
    <n v="-26.485644259774698"/>
    <s v="280"/>
    <s v="PR"/>
    <s v="Eixo Principal"/>
    <s v="-"/>
    <s v="280BPR0220"/>
    <s v="ACESSO PALMAS"/>
    <s v="ENTR PR-449"/>
    <n v="129.6"/>
    <n v="134.1"/>
    <n v="4.5"/>
    <x v="1"/>
    <m/>
    <m/>
    <s v="Estadual"/>
    <m/>
    <s v="PRT-280"/>
    <s v="PAV"/>
    <s v="Estadual"/>
    <s v="PLA"/>
    <s v="Pato Branco"/>
  </r>
  <r>
    <x v="0"/>
    <s v="280BPR0230"/>
    <n v="0"/>
    <x v="242"/>
    <s v="0230"/>
    <n v="-52.023408290160397"/>
    <n v="-26.485644259774698"/>
    <n v="-52.330203989622298"/>
    <n v="-26.4357416402644"/>
    <s v="280"/>
    <s v="PR"/>
    <s v="Eixo Principal"/>
    <s v="-"/>
    <s v="280BPR0230"/>
    <s v="ENTR PR-449"/>
    <s v="ENTR PR-459 (P/CLEVELÂNDIA)"/>
    <n v="134.1"/>
    <n v="167.4"/>
    <n v="33.299999999999997"/>
    <x v="1"/>
    <m/>
    <m/>
    <s v="Estadual"/>
    <m/>
    <s v="PRT-280"/>
    <s v="PAV"/>
    <s v="Estadual"/>
    <s v="PLA"/>
    <s v="Pato Branco"/>
  </r>
  <r>
    <x v="0"/>
    <s v="280BPR0250"/>
    <n v="0"/>
    <x v="242"/>
    <s v="0250"/>
    <n v="-52.330203989622298"/>
    <n v="-26.4357416402644"/>
    <n v="-52.711695719881497"/>
    <n v="-26.270467910165902"/>
    <s v="280"/>
    <s v="PR"/>
    <s v="Eixo Principal"/>
    <s v="-"/>
    <s v="280BPR0250"/>
    <s v="ENTR PR-459 (P/CLEVELÂNDIA)"/>
    <s v="ENTR BR-158(A)/480(A)"/>
    <n v="167.4"/>
    <n v="215.4"/>
    <n v="48"/>
    <x v="1"/>
    <m/>
    <m/>
    <s v="Estadual"/>
    <m/>
    <s v="PRT-280"/>
    <s v="PAV"/>
    <s v="Estadual"/>
    <s v="PLA"/>
    <s v="Pato Branco"/>
  </r>
  <r>
    <x v="0"/>
    <s v="280BPR0290"/>
    <n v="0"/>
    <x v="242"/>
    <s v="0290"/>
    <n v="-52.711695719881497"/>
    <n v="-26.270467910165902"/>
    <n v="-52.7873754902865"/>
    <n v="-26.258168420336201"/>
    <s v="280"/>
    <s v="PR"/>
    <s v="Eixo Principal"/>
    <s v="Coinc"/>
    <s v="280BPR0290"/>
    <s v="ENTR BR-158(A)/480(A)"/>
    <s v="ENTR BR-158(B)/480(B) (VITORINO)"/>
    <n v="215.4"/>
    <n v="223.8"/>
    <n v="8.4"/>
    <x v="1"/>
    <m/>
    <s v="158BPR1010;480BPR0030"/>
    <s v="Estadual"/>
    <m/>
    <s v="PRT-158"/>
    <s v="PAV"/>
    <s v="Estadual"/>
    <s v="PLA"/>
    <s v="Pato Branco"/>
  </r>
  <r>
    <x v="0"/>
    <s v="280BPR0300"/>
    <n v="0"/>
    <x v="242"/>
    <s v="0300"/>
    <n v="-52.7873754902865"/>
    <n v="-26.258168420336201"/>
    <n v="-53.0226521300916"/>
    <n v="-26.1525938999884"/>
    <s v="280"/>
    <s v="PR"/>
    <s v="Eixo Principal"/>
    <s v="-"/>
    <s v="280BPR0300"/>
    <s v="ENTR BR-158(B)/480(B) (VITORINO)"/>
    <s v="ENTR BR-373(A)/PR-180 (MARMELEIRO)"/>
    <n v="223.8"/>
    <n v="254.8"/>
    <n v="31"/>
    <x v="1"/>
    <m/>
    <m/>
    <s v="Estadual"/>
    <m/>
    <s v="PRT-280"/>
    <s v="PAV"/>
    <s v="Estadual"/>
    <s v="PLA"/>
    <s v="Pato Branco"/>
  </r>
  <r>
    <x v="0"/>
    <s v="280BPR0330"/>
    <n v="0"/>
    <x v="242"/>
    <s v="0330"/>
    <n v="-53.0226521300916"/>
    <n v="-26.1525938999884"/>
    <n v="-53.342442659900698"/>
    <n v="-26.249129269699999"/>
    <s v="280"/>
    <s v="PR"/>
    <s v="Eixo Principal"/>
    <s v="-"/>
    <s v="280BPR0330"/>
    <s v="ENTR BR-373(A)/PR-180 (MARMELEIRO)"/>
    <s v="ENTR PR-182 (P/SALGADO FILHO)"/>
    <n v="254.8"/>
    <n v="293.8"/>
    <n v="39"/>
    <x v="2"/>
    <m/>
    <s v="373BPR0530"/>
    <s v="Federal"/>
    <m/>
    <m/>
    <m/>
    <s v="Federal"/>
    <s v="PAV"/>
    <s v="Pato Branco"/>
  </r>
  <r>
    <x v="0"/>
    <s v="280BPR0350"/>
    <n v="0"/>
    <x v="242"/>
    <s v="0350"/>
    <n v="-53.342442659900698"/>
    <n v="-26.249129269699999"/>
    <n v="-53.555031230107097"/>
    <n v="-26.2870464399412"/>
    <s v="280"/>
    <s v="PR"/>
    <s v="Eixo Principal"/>
    <s v="-"/>
    <s v="280BPR0350"/>
    <s v="ENTR PR-182 (P/SALGADO FILHO)"/>
    <s v="ENTR BR-163(A) (DIV PR/SC)"/>
    <n v="293.8"/>
    <n v="317.8"/>
    <n v="24"/>
    <x v="2"/>
    <m/>
    <s v="373BPR0550"/>
    <s v="Federal"/>
    <m/>
    <m/>
    <m/>
    <s v="Federal"/>
    <s v="PAV"/>
    <s v="Pato Branco"/>
  </r>
  <r>
    <x v="0"/>
    <s v="280BPR0370"/>
    <n v="0"/>
    <x v="242"/>
    <s v="0370"/>
    <n v="-53.555031230107097"/>
    <n v="-26.2870464399412"/>
    <n v="-53.618574070336997"/>
    <n v="-26.257607399861499"/>
    <s v="280"/>
    <s v="PR"/>
    <s v="Eixo Principal"/>
    <s v="Coinc"/>
    <s v="280BPR0370"/>
    <s v="ENTR BR-163(A) (DIV SC/PR)"/>
    <s v="ACESS DIONÍSIO CERQUEIRA (P ISP CARGAS)"/>
    <n v="317.8"/>
    <n v="325.3"/>
    <n v="7.5"/>
    <x v="2"/>
    <m/>
    <s v="163BPR0030;373BPR0570"/>
    <s v="Federal"/>
    <m/>
    <m/>
    <m/>
    <s v="Federal"/>
    <s v="PAV"/>
    <s v="Pato Branco"/>
  </r>
  <r>
    <x v="0"/>
    <s v="280BPR0380"/>
    <n v="0"/>
    <x v="242"/>
    <s v="0380"/>
    <n v="-53.618574070336997"/>
    <n v="-26.257607399861499"/>
    <n v="-53.622079759872904"/>
    <n v="-26.2570258802401"/>
    <s v="280"/>
    <s v="PR"/>
    <s v="Eixo Principal"/>
    <s v="Coinc"/>
    <s v="280BPR0380"/>
    <s v="ACESS DIONÍSIO CERQUEIRA (P ISP CARGAS)"/>
    <s v="INÍCIO PISTA DUPLA (AV ARNALDO BUSATO)"/>
    <n v="325.3"/>
    <n v="325.7"/>
    <n v="0.4"/>
    <x v="2"/>
    <m/>
    <s v="373BPR0580;163BPR0035"/>
    <s v="Federal"/>
    <m/>
    <m/>
    <m/>
    <s v="Federal"/>
    <s v="PAV"/>
    <s v="Pato Branco"/>
  </r>
  <r>
    <x v="0"/>
    <s v="280BPR0390"/>
    <n v="0"/>
    <x v="242"/>
    <s v="0390"/>
    <n v="-53.622079759872904"/>
    <n v="-26.2570258802401"/>
    <n v="-53.632456670039197"/>
    <n v="-26.254873139783498"/>
    <s v="280"/>
    <s v="PR"/>
    <s v="Eixo Principal"/>
    <s v="Coinc"/>
    <s v="280BPR0390"/>
    <s v="INÍCIO PISTA DUPLA (AV ARNALDO BUSATO)"/>
    <s v="ENTR BR-163(B)/373(B) (BARRACÃO)"/>
    <n v="325.7"/>
    <n v="326.8"/>
    <n v="1.1000000000000001"/>
    <x v="0"/>
    <m/>
    <s v="373BPR0590;163BPR0040"/>
    <s v="Federal"/>
    <m/>
    <m/>
    <m/>
    <s v="Federal"/>
    <s v="PAV"/>
    <s v="Pato Branco"/>
  </r>
  <r>
    <x v="0"/>
    <s v="280BSC0005"/>
    <n v="0"/>
    <x v="243"/>
    <s v="0005"/>
    <n v="-48.634870169922301"/>
    <n v="-26.241471490316901"/>
    <n v="-48.618072909736902"/>
    <n v="-26.251801349752402"/>
    <s v="280"/>
    <s v="SC"/>
    <s v="Eixo Principal"/>
    <s v="-"/>
    <s v="280BSC0005"/>
    <s v="ENTR R. ENG. LEITE RIBEIRO (SÃO FRANCISCO DO SUL)"/>
    <s v="ENTR SC-415(A) (SÃO FRANCISCO DO SUL)"/>
    <n v="0"/>
    <n v="3.8"/>
    <n v="3.8"/>
    <x v="2"/>
    <m/>
    <m/>
    <s v="Federal"/>
    <m/>
    <m/>
    <m/>
    <s v="Federal"/>
    <s v="PAV"/>
    <s v="Joinville"/>
  </r>
  <r>
    <x v="0"/>
    <s v="280BSC0010"/>
    <n v="0"/>
    <x v="243"/>
    <s v="0010"/>
    <n v="-48.618072909736902"/>
    <n v="-26.251801349752402"/>
    <n v="-48.688259540145602"/>
    <n v="-26.3701905401612"/>
    <s v="280"/>
    <s v="SC"/>
    <s v="Eixo Principal"/>
    <s v="-"/>
    <s v="280BSC0010"/>
    <s v="ENTR SC-415(A) (SÃO FRANCISCO DO SUL)"/>
    <s v="ENTR SC-415(B) (P/BALNEÁRIO BARRAS DO SUL)"/>
    <n v="3.8"/>
    <n v="20.6"/>
    <n v="16.8"/>
    <x v="2"/>
    <m/>
    <m/>
    <s v="Federal"/>
    <m/>
    <m/>
    <m/>
    <s v="Federal"/>
    <s v="PAV"/>
    <s v="Joinville"/>
  </r>
  <r>
    <x v="0"/>
    <s v="280BSC0015"/>
    <n v="0"/>
    <x v="243"/>
    <s v="0015"/>
    <n v="-48.688259540145602"/>
    <n v="-26.3701905401612"/>
    <n v="-48.711887670179799"/>
    <n v="-26.3714590303099"/>
    <s v="280"/>
    <s v="SC"/>
    <s v="Eixo Principal"/>
    <s v="-"/>
    <s v="280BSC0015"/>
    <s v="ENTR SC-415(B) (P/BALNEÁRIO BARRAS DO SUL)"/>
    <s v="ENTR R. CELESTINO E. DA MAIA (ARAQUARI)"/>
    <n v="20.6"/>
    <n v="23"/>
    <n v="2.4"/>
    <x v="2"/>
    <m/>
    <m/>
    <s v="Federal"/>
    <m/>
    <m/>
    <m/>
    <s v="Federal"/>
    <s v="PAV"/>
    <s v="Joinville"/>
  </r>
  <r>
    <x v="0"/>
    <s v="280BSC0020"/>
    <n v="0"/>
    <x v="243"/>
    <s v="0020"/>
    <n v="-48.711887670179799"/>
    <n v="-26.3714590303099"/>
    <n v="-48.778639060344197"/>
    <n v="-26.418008460122198"/>
    <s v="280"/>
    <s v="SC"/>
    <s v="Eixo Principal"/>
    <s v="-"/>
    <s v="280BSC0020"/>
    <s v="ENTR R. CELESTINO E. DA MAIA (ARAQUARI)"/>
    <s v="TREVO DO ITINGA (ACESSO P/ JOINVILLE)"/>
    <n v="23"/>
    <n v="31.7"/>
    <n v="8.6999999999999993"/>
    <x v="2"/>
    <m/>
    <m/>
    <s v="Federal"/>
    <m/>
    <m/>
    <m/>
    <s v="Federal"/>
    <s v="PAV"/>
    <s v="Joinville"/>
  </r>
  <r>
    <x v="0"/>
    <s v="280BSC0030"/>
    <n v="0"/>
    <x v="243"/>
    <s v="0030"/>
    <n v="-48.778639060344197"/>
    <n v="-26.418008460122198"/>
    <n v="-48.806277070430397"/>
    <n v="-26.4376914397081"/>
    <s v="280"/>
    <s v="SC"/>
    <s v="Eixo Principal"/>
    <s v="-"/>
    <s v="280BSC0030"/>
    <s v="TREVO DO ITINGA (ACESSO P/ JOINVILLE)"/>
    <s v="ENTR BR-101"/>
    <n v="31.7"/>
    <n v="35.4"/>
    <n v="3.7"/>
    <x v="2"/>
    <m/>
    <m/>
    <s v="Federal"/>
    <m/>
    <m/>
    <m/>
    <s v="Federal"/>
    <s v="PAV"/>
    <s v="Joinville"/>
  </r>
  <r>
    <x v="0"/>
    <s v="280BSC0040"/>
    <n v="0"/>
    <x v="243"/>
    <s v="0040"/>
    <n v="-48.806277070430397"/>
    <n v="-26.4376914397081"/>
    <n v="-48.955206779769"/>
    <n v="-26.465299419632402"/>
    <s v="280"/>
    <s v="SC"/>
    <s v="Eixo Principal"/>
    <s v="-"/>
    <s v="280BSC0040"/>
    <s v="ENTR BR-101"/>
    <s v="INÍCIO CONVÊNIO DE ADM."/>
    <n v="35.4"/>
    <n v="51"/>
    <n v="15.6"/>
    <x v="2"/>
    <m/>
    <m/>
    <s v="Federal"/>
    <m/>
    <m/>
    <m/>
    <s v="Federal"/>
    <s v="PAV"/>
    <s v="Joinville"/>
  </r>
  <r>
    <x v="0"/>
    <s v="280BSC0045"/>
    <n v="0"/>
    <x v="243"/>
    <s v="0045"/>
    <n v="-48.955206779769"/>
    <n v="-26.465299419632402"/>
    <n v="-48.960128090338998"/>
    <n v="-26.466941329878399"/>
    <s v="280"/>
    <s v="SC"/>
    <s v="Eixo Principal"/>
    <s v="-"/>
    <s v="280BSC0045"/>
    <s v="INÍCIO CONVÊNIO DE ADM."/>
    <s v="ENTR SC-108(A) (RODOV. DO ARROZ)"/>
    <n v="51"/>
    <n v="51.5"/>
    <n v="0.5"/>
    <x v="2"/>
    <m/>
    <m/>
    <s v="Convênio de Administração"/>
    <m/>
    <m/>
    <m/>
    <s v="Federal"/>
    <s v="PAV"/>
    <s v="Joinville"/>
  </r>
  <r>
    <x v="0"/>
    <s v="280BSC0050"/>
    <n v="0"/>
    <x v="243"/>
    <s v="0050"/>
    <n v="-48.960128090338998"/>
    <n v="-26.466941329878399"/>
    <n v="-49.001140170382499"/>
    <n v="-26.478907649668201"/>
    <s v="280"/>
    <s v="SC"/>
    <s v="Eixo Principal"/>
    <s v="-"/>
    <s v="280BSC0050"/>
    <s v="ENTR SC-108(A) (RODOV. DO ARROZ)"/>
    <s v="ENTR SC-108(B) (GUARAMIRIM)"/>
    <n v="51.5"/>
    <n v="55.9"/>
    <n v="4.4000000000000004"/>
    <x v="2"/>
    <m/>
    <m/>
    <s v="Convênio de Administração"/>
    <m/>
    <m/>
    <m/>
    <s v="Federal"/>
    <s v="PAV"/>
    <s v="Joinville"/>
  </r>
  <r>
    <x v="0"/>
    <s v="280BSC0055"/>
    <n v="0"/>
    <x v="243"/>
    <s v="0055"/>
    <n v="-49.001140170382499"/>
    <n v="-26.478907649668201"/>
    <n v="-49.037557339799299"/>
    <n v="-26.4782612196794"/>
    <s v="280"/>
    <s v="SC"/>
    <s v="Eixo Principal"/>
    <s v="-"/>
    <s v="280BSC0055"/>
    <s v="ENTR SC-108(B) (GUARAMIRIM)"/>
    <s v="ENTR RODOV. JOÃO LÚCIO DA COSTA (P/SCHROEDER)"/>
    <n v="55.9"/>
    <n v="60"/>
    <n v="4.0999999999999996"/>
    <x v="2"/>
    <m/>
    <m/>
    <s v="Convênio de Administração"/>
    <m/>
    <m/>
    <m/>
    <s v="Federal"/>
    <s v="PAV"/>
    <s v="Joinville"/>
  </r>
  <r>
    <x v="0"/>
    <s v="280BSC0060"/>
    <n v="0"/>
    <x v="243"/>
    <s v="0060"/>
    <n v="-49.037557339799299"/>
    <n v="-26.4782612196794"/>
    <n v="-49.080209470290697"/>
    <n v="-26.479778550439701"/>
    <s v="280"/>
    <s v="SC"/>
    <s v="Eixo Principal"/>
    <s v="-"/>
    <s v="280BSC0060"/>
    <s v="ENTR RODOV. JOÃO LÚCIO DA COSTA (P/SCHROEDER)"/>
    <s v="ENTR R. MAX WILHELM (JARAGUÁ DO SUL)"/>
    <n v="60"/>
    <n v="64.2"/>
    <n v="4.2"/>
    <x v="0"/>
    <m/>
    <m/>
    <s v="Federal"/>
    <m/>
    <m/>
    <m/>
    <s v="Federal"/>
    <s v="PAV"/>
    <s v="Joinville"/>
  </r>
  <r>
    <x v="0"/>
    <s v="280BSC0065"/>
    <n v="0"/>
    <x v="243"/>
    <s v="0065"/>
    <n v="-49.080209470290697"/>
    <n v="-26.479778550439701"/>
    <n v="-49.253040809685501"/>
    <n v="-26.421583040424899"/>
    <s v="280"/>
    <s v="SC"/>
    <s v="Eixo Principal"/>
    <s v="-"/>
    <s v="280BSC0065"/>
    <s v="ENTR R. MAX WILHELM (JARAGUÁ DO SUL)"/>
    <s v="ENTR R. FRANCISCO MEES (CORUPÁ)"/>
    <n v="64.2"/>
    <n v="84.3"/>
    <n v="20.100000000000001"/>
    <x v="2"/>
    <m/>
    <m/>
    <s v="Federal"/>
    <m/>
    <m/>
    <m/>
    <s v="Federal"/>
    <s v="PAV"/>
    <s v="Joinville"/>
  </r>
  <r>
    <x v="0"/>
    <s v="280BSC0070"/>
    <n v="0"/>
    <x v="243"/>
    <s v="0070"/>
    <n v="-49.253040809685501"/>
    <n v="-26.421583040424899"/>
    <n v="-49.388033680310002"/>
    <n v="-26.308525899850299"/>
    <s v="280"/>
    <s v="SC"/>
    <s v="Eixo Principal"/>
    <s v="-"/>
    <s v="280BSC0070"/>
    <s v="ENTR R. FRANCISCO MEES (CORUPÁ)"/>
    <s v="P/SÃO BENTO DO SUL (ACESSO SUL)"/>
    <n v="84.3"/>
    <n v="111.5"/>
    <n v="27.2"/>
    <x v="2"/>
    <m/>
    <m/>
    <s v="Federal"/>
    <m/>
    <m/>
    <m/>
    <s v="Federal"/>
    <s v="PAV"/>
    <s v="Mafra"/>
  </r>
  <r>
    <x v="0"/>
    <s v="280BSC0085"/>
    <n v="0"/>
    <x v="243"/>
    <s v="0085"/>
    <n v="-49.388033680310002"/>
    <n v="-26.308525899850299"/>
    <n v="-49.460753639768498"/>
    <n v="-26.245545429977501"/>
    <s v="280"/>
    <s v="SC"/>
    <s v="Eixo Principal"/>
    <s v="-"/>
    <s v="280BSC0085"/>
    <s v="P/SÃO BENTO DO SUL (ACESSO SUL)"/>
    <s v="P/ SÃO BENTO DO SUL (ACESSO OESTE)"/>
    <n v="111.5"/>
    <n v="122.5"/>
    <n v="11"/>
    <x v="2"/>
    <m/>
    <m/>
    <s v="Federal"/>
    <m/>
    <m/>
    <m/>
    <s v="Federal"/>
    <s v="PAV"/>
    <s v="Mafra"/>
  </r>
  <r>
    <x v="0"/>
    <s v="280BSC0090"/>
    <n v="0"/>
    <x v="243"/>
    <s v="0090"/>
    <n v="-49.460753639768498"/>
    <n v="-26.245545429977501"/>
    <n v="-49.521873940230101"/>
    <n v="-26.2454466196656"/>
    <s v="280"/>
    <s v="SC"/>
    <s v="Eixo Principal"/>
    <s v="-"/>
    <s v="280BSC0090"/>
    <s v="P/ SÃO BENTO DO SUL (ACESSO OESTE)"/>
    <s v="ENTR R. WILLY JUNG (RIO NEGRINHO)"/>
    <n v="122.5"/>
    <n v="128.9"/>
    <n v="6.4"/>
    <x v="2"/>
    <m/>
    <m/>
    <s v="Federal"/>
    <m/>
    <m/>
    <m/>
    <s v="Federal"/>
    <s v="PAV"/>
    <s v="Mafra"/>
  </r>
  <r>
    <x v="0"/>
    <s v="280BSC0092"/>
    <n v="0"/>
    <x v="243"/>
    <s v="0092"/>
    <n v="-49.521873940230101"/>
    <n v="-26.2454466196656"/>
    <n v="-49.554120089970098"/>
    <n v="-26.267901450091799"/>
    <s v="280"/>
    <s v="SC"/>
    <s v="Eixo Principal"/>
    <s v="-"/>
    <s v="280BSC0092"/>
    <s v="ENTR R. WILLY JUNG (RIO NEGRINHO)"/>
    <s v="ENTR SC-112 (P/ VOLTA GRANDE)"/>
    <n v="128.9"/>
    <n v="132.9"/>
    <n v="4"/>
    <x v="2"/>
    <m/>
    <m/>
    <s v="Federal"/>
    <m/>
    <m/>
    <m/>
    <s v="Federal"/>
    <s v="PAV"/>
    <s v="Mafra"/>
  </r>
  <r>
    <x v="0"/>
    <s v="280BSC0095"/>
    <n v="0"/>
    <x v="243"/>
    <s v="0095"/>
    <n v="-49.554120089970098"/>
    <n v="-26.267901450091799"/>
    <n v="-49.812782640006702"/>
    <n v="-26.1392027995694"/>
    <s v="280"/>
    <s v="SC"/>
    <s v="Eixo Principal"/>
    <s v="-"/>
    <s v="280BSC0095"/>
    <s v="ENTR SC-112 (P/ VOLTA GRANDE)"/>
    <s v="ENTR BR-116(A) (P/MAFRA)"/>
    <n v="132.9"/>
    <n v="170.5"/>
    <n v="37.6"/>
    <x v="2"/>
    <m/>
    <m/>
    <s v="Federal"/>
    <m/>
    <m/>
    <m/>
    <s v="Federal"/>
    <s v="PAV"/>
    <s v="Mafra"/>
  </r>
  <r>
    <x v="0"/>
    <s v="280BSC0100"/>
    <n v="0"/>
    <x v="243"/>
    <s v="0100"/>
    <n v="-49.812782640006702"/>
    <n v="-26.1392027995694"/>
    <n v="-49.871044430056301"/>
    <n v="-26.179665499962798"/>
    <s v="280"/>
    <s v="SC"/>
    <s v="Eixo Principal"/>
    <s v="Coinc"/>
    <s v="280BSC0100"/>
    <s v="ENTR BR-116(A) (P/MAFRA)"/>
    <s v="ENTR BR-116(B)"/>
    <n v="170.5"/>
    <n v="178.2"/>
    <n v="7.7"/>
    <x v="2"/>
    <m/>
    <s v="116BSC2850"/>
    <s v="Concessão Federal"/>
    <m/>
    <m/>
    <m/>
    <s v="Federal"/>
    <s v="PAV"/>
    <s v="Mafra"/>
  </r>
  <r>
    <x v="0"/>
    <s v="280BSC0110"/>
    <n v="0"/>
    <x v="243"/>
    <s v="0110"/>
    <n v="-49.871044430056301"/>
    <n v="-26.179665499962798"/>
    <n v="-50.271516340406698"/>
    <n v="-26.1725067696716"/>
    <s v="280"/>
    <s v="SC"/>
    <s v="Eixo Principal"/>
    <s v="-"/>
    <s v="280BSC0110"/>
    <s v="ENTR BR-116(B)"/>
    <s v="ENTR SC-120(A) (P/TRES BARRAS)"/>
    <n v="178.2"/>
    <n v="220.7"/>
    <n v="42.5"/>
    <x v="2"/>
    <m/>
    <m/>
    <s v="Federal"/>
    <m/>
    <m/>
    <m/>
    <s v="Federal"/>
    <s v="PAV"/>
    <s v="Mafra"/>
  </r>
  <r>
    <x v="0"/>
    <s v="280BSC0115"/>
    <n v="0"/>
    <x v="243"/>
    <s v="0115"/>
    <n v="-50.271516340406698"/>
    <n v="-26.1725067696716"/>
    <n v="-50.375665289621303"/>
    <n v="-26.189524610172501"/>
    <s v="280"/>
    <s v="SC"/>
    <s v="Eixo Principal"/>
    <s v="-"/>
    <s v="280BSC0115"/>
    <s v="ENTR SC-120(A) (P/TRES BARRAS)"/>
    <s v="ENTR BR-477 (CANOINHAS)"/>
    <n v="220.7"/>
    <n v="231.4"/>
    <n v="10.7"/>
    <x v="2"/>
    <m/>
    <m/>
    <s v="Federal"/>
    <m/>
    <m/>
    <m/>
    <s v="Federal"/>
    <s v="PAV"/>
    <s v="Mafra"/>
  </r>
  <r>
    <x v="0"/>
    <s v="280BSC0117"/>
    <n v="0"/>
    <x v="243"/>
    <s v="0117"/>
    <n v="-50.375665289621303"/>
    <n v="-26.189524610172501"/>
    <n v="-50.502432420319899"/>
    <n v="-26.247323779968401"/>
    <s v="280"/>
    <s v="SC"/>
    <s v="Eixo Principal"/>
    <s v="-"/>
    <s v="280BSC0117"/>
    <s v="ENTR BR-477 (CANOINHAS)"/>
    <s v="ENTR SC-120(B) (P/TIMBÓ GRANDE)"/>
    <n v="231.4"/>
    <n v="245.9"/>
    <n v="14.5"/>
    <x v="2"/>
    <m/>
    <m/>
    <s v="Federal"/>
    <m/>
    <m/>
    <m/>
    <s v="Federal"/>
    <s v="PAV"/>
    <s v="Mafra"/>
  </r>
  <r>
    <x v="0"/>
    <s v="280BSC0120"/>
    <n v="0"/>
    <x v="243"/>
    <s v="0120"/>
    <n v="-50.502432420319899"/>
    <n v="-26.247323779968401"/>
    <n v="-50.747161239699402"/>
    <n v="-26.272869889633601"/>
    <s v="280"/>
    <s v="SC"/>
    <s v="Eixo Principal"/>
    <s v="-"/>
    <s v="280BSC0120"/>
    <s v="ENTR SC-120(B) (P/TIMBÓ GRANDE)"/>
    <s v="ACESSO P/IRINEÓPOLIS"/>
    <n v="245.9"/>
    <n v="271.2"/>
    <n v="25.3"/>
    <x v="2"/>
    <m/>
    <m/>
    <s v="Federal"/>
    <m/>
    <m/>
    <m/>
    <s v="Federal"/>
    <s v="PAV"/>
    <s v="Mafra"/>
  </r>
  <r>
    <x v="0"/>
    <s v="280BSC0125"/>
    <n v="0"/>
    <x v="243"/>
    <s v="0125"/>
    <n v="-50.747161239699402"/>
    <n v="-26.272869889633601"/>
    <n v="-50.932280679909397"/>
    <n v="-26.2957878601216"/>
    <s v="280"/>
    <s v="SC"/>
    <s v="Eixo Principal"/>
    <s v="-"/>
    <s v="280BSC0125"/>
    <s v="ACESSO P/IRINEÓPOLIS"/>
    <s v="ENTR SC-340 (P/SANTA CRUZ DO TIMBÓ)"/>
    <n v="271.2"/>
    <n v="290.7"/>
    <n v="19.5"/>
    <x v="2"/>
    <m/>
    <m/>
    <s v="Federal"/>
    <m/>
    <m/>
    <m/>
    <s v="Federal"/>
    <s v="PAV"/>
    <s v="Mafra"/>
  </r>
  <r>
    <x v="0"/>
    <s v="280BSC0127"/>
    <n v="0"/>
    <x v="243"/>
    <s v="0127"/>
    <n v="-50.932280679909397"/>
    <n v="-26.2957878601216"/>
    <n v="-51.049353570410901"/>
    <n v="-26.2811625400191"/>
    <s v="280"/>
    <s v="SC"/>
    <s v="Eixo Principal"/>
    <s v="-"/>
    <s v="280BSC0127"/>
    <s v="ENTR SC-340 (P/SANTA CRUZ DO TIMBÓ)"/>
    <s v="ENTR SC-135 (P/MATOS COSTA)"/>
    <n v="290.7"/>
    <n v="302.89999999999998"/>
    <n v="12.2"/>
    <x v="2"/>
    <m/>
    <m/>
    <s v="Federal"/>
    <m/>
    <m/>
    <m/>
    <s v="Federal"/>
    <s v="PAV"/>
    <s v="Mafra"/>
  </r>
  <r>
    <x v="0"/>
    <s v="280BSC0130"/>
    <n v="0"/>
    <x v="243"/>
    <s v="0130"/>
    <n v="-51.049353570410901"/>
    <n v="-26.2811625400191"/>
    <n v="-51.067813370390603"/>
    <n v="-26.256156859950998"/>
    <s v="280"/>
    <s v="SC"/>
    <s v="Eixo Principal"/>
    <s v="-"/>
    <s v="280BSC0130"/>
    <s v="ENTR SC-135 (P/MATOS COSTA)"/>
    <s v="ENTR R. EXP. EUGÊNIO ALVES DE ALMEIDA (5ºBEC)"/>
    <n v="302.89999999999998"/>
    <n v="306.3"/>
    <n v="3.4"/>
    <x v="2"/>
    <m/>
    <m/>
    <s v="Federal"/>
    <m/>
    <m/>
    <m/>
    <s v="Federal"/>
    <s v="PAV"/>
    <s v="Mafra"/>
  </r>
  <r>
    <x v="0"/>
    <s v="280BSC0140"/>
    <n v="0"/>
    <x v="243"/>
    <s v="0140"/>
    <n v="-51.067813370390603"/>
    <n v="-26.256156859950998"/>
    <n v="-51.095605300344197"/>
    <n v="-26.253722969839099"/>
    <s v="280"/>
    <s v="SC"/>
    <s v="Eixo Principal"/>
    <s v="-"/>
    <s v="280BSC0140"/>
    <s v="ENTR R. EXP. EUGÊNIO ALVES DE ALMEIDA (5ºBEC)"/>
    <s v="DIV SC/PR (PORTO UNIÃO/UNIÃO DA VITÓRIA)(ENTR R MAL.DEODORO)"/>
    <n v="306.3"/>
    <n v="309.8"/>
    <n v="3.5"/>
    <x v="2"/>
    <m/>
    <m/>
    <s v="Federal"/>
    <m/>
    <m/>
    <m/>
    <s v="Federal"/>
    <s v="PAV"/>
    <s v="Mafra"/>
  </r>
  <r>
    <x v="0"/>
    <s v="280CSC1005"/>
    <n v="0"/>
    <x v="244"/>
    <s v="1005"/>
    <n v="-48.960128090338998"/>
    <n v="-26.466941329878399"/>
    <n v="-49.138789110429002"/>
    <n v="-26.459881060062798"/>
    <s v="280"/>
    <s v="SC"/>
    <s v="Contorno"/>
    <s v="-"/>
    <s v="280CSC1005"/>
    <s v="ENTR BR-280 (KM 50,7)(INI CONT GUARAMIRIM-JARAGUÁ DO SUL)"/>
    <s v="ENTR BR-280 (KM 74,6)(FIM CONT GUARAMIRIM-JARAGUÁ DO SUL)"/>
    <n v="0"/>
    <n v="23.9"/>
    <n v="23.9"/>
    <x v="1"/>
    <m/>
    <m/>
    <s v="Federal"/>
    <m/>
    <m/>
    <m/>
    <s v="Federal"/>
    <s v="PLA"/>
    <s v="Joinville"/>
  </r>
  <r>
    <x v="0"/>
    <s v="282ASC1005"/>
    <n v="0"/>
    <x v="245"/>
    <s v="1005"/>
    <n v="-53.500767529997397"/>
    <n v="-26.7612013703468"/>
    <n v="-53.520196040115103"/>
    <n v="-26.729262230267601"/>
    <s v="282"/>
    <s v="SC"/>
    <s v="Acesso"/>
    <s v="-"/>
    <s v="282ASC1005"/>
    <s v="ENTR BR-163/386"/>
    <s v="SÃO MIGUEL DO OESTE"/>
    <n v="0"/>
    <n v="4.4000000000000004"/>
    <n v="4.4000000000000004"/>
    <x v="2"/>
    <m/>
    <m/>
    <s v="Federal"/>
    <m/>
    <m/>
    <m/>
    <s v="Federal"/>
    <s v="PAV"/>
    <s v="Chapecó"/>
  </r>
  <r>
    <x v="0"/>
    <s v="282BSC0010"/>
    <n v="0"/>
    <x v="246"/>
    <s v="0010"/>
    <n v="-48.571979849890099"/>
    <n v="-27.598448599822898"/>
    <n v="-48.616449209863099"/>
    <n v="-27.5866917204464"/>
    <s v="282"/>
    <s v="SC"/>
    <s v="Eixo Principal"/>
    <s v="-"/>
    <s v="282BSC0010"/>
    <s v="FLORIANÓPOLIS"/>
    <s v="ENTR BR-101(A)"/>
    <n v="0"/>
    <n v="5.4"/>
    <n v="5.4"/>
    <x v="0"/>
    <m/>
    <m/>
    <s v="Federal"/>
    <m/>
    <m/>
    <m/>
    <s v="Federal"/>
    <s v="PAV"/>
    <s v="São José"/>
  </r>
  <r>
    <x v="0"/>
    <s v="282BSC0020"/>
    <n v="0"/>
    <x v="246"/>
    <s v="0020"/>
    <n v="-48.616449209863099"/>
    <n v="-27.5866917204464"/>
    <n v="-48.643059169844697"/>
    <n v="-27.614090189810302"/>
    <s v="282"/>
    <s v="SC"/>
    <s v="Eixo Principal"/>
    <s v="Coinc"/>
    <s v="282BSC0020"/>
    <s v="ENTR BR-101(A)"/>
    <s v="ENTR SC-281 (SÃO JOSÉ)"/>
    <n v="5.4"/>
    <n v="9.6"/>
    <n v="4.2"/>
    <x v="0"/>
    <m/>
    <s v="101BSC4090"/>
    <s v="Concessão Federal"/>
    <m/>
    <m/>
    <m/>
    <s v="Federal"/>
    <s v="PAV"/>
    <s v="São José"/>
  </r>
  <r>
    <x v="0"/>
    <s v="282BSC0025"/>
    <n v="0"/>
    <x v="246"/>
    <s v="0025"/>
    <n v="-48.643059169844697"/>
    <n v="-27.614090189810302"/>
    <n v="-48.678454300225702"/>
    <n v="-27.6556866304335"/>
    <s v="282"/>
    <s v="SC"/>
    <s v="Eixo Principal"/>
    <s v="Coinc"/>
    <s v="282BSC0025"/>
    <s v="ENTR SC-281 (SÃO JOSÉ)"/>
    <s v="ENTR BR-101(B) (PALHOÇA)"/>
    <n v="9.6"/>
    <n v="15.5"/>
    <n v="5.9"/>
    <x v="0"/>
    <m/>
    <s v="101BSC4095"/>
    <s v="Concessão Federal"/>
    <m/>
    <m/>
    <m/>
    <s v="Federal"/>
    <s v="PAV"/>
    <s v="São José"/>
  </r>
  <r>
    <x v="0"/>
    <s v="282BSC0030"/>
    <n v="0"/>
    <x v="246"/>
    <s v="0030"/>
    <n v="-48.678454300225702"/>
    <n v="-27.6556866304335"/>
    <n v="-48.783247629874097"/>
    <n v="-27.676718899757301"/>
    <s v="282"/>
    <s v="SC"/>
    <s v="Eixo Principal"/>
    <s v="-"/>
    <s v="282BSC0030"/>
    <s v="ENTR BR-101(B) (PALHOÇA)"/>
    <s v="ENTR R. MANSUR ELIAS (SANTO AMARO DA IMPERATRIZ)"/>
    <n v="15.5"/>
    <n v="28.5"/>
    <n v="13"/>
    <x v="2"/>
    <m/>
    <m/>
    <s v="Federal"/>
    <m/>
    <m/>
    <m/>
    <s v="Federal"/>
    <s v="PAV"/>
    <s v="São José"/>
  </r>
  <r>
    <x v="0"/>
    <s v="282BSC0035"/>
    <n v="0"/>
    <x v="246"/>
    <s v="0035"/>
    <n v="-48.783247629874097"/>
    <n v="-27.676718899757301"/>
    <n v="-48.805056349570798"/>
    <n v="-27.704369000328999"/>
    <s v="282"/>
    <s v="SC"/>
    <s v="Eixo Principal"/>
    <s v="-"/>
    <s v="282BSC0035"/>
    <s v="ENTR R. MANSUR ELIAS (SANTO AMARO DA IMPERATRIZ)"/>
    <s v="ACESSO P/ÁGUAS MORNAS"/>
    <n v="28.5"/>
    <n v="32.6"/>
    <n v="4.0999999999999996"/>
    <x v="2"/>
    <m/>
    <m/>
    <s v="Federal"/>
    <m/>
    <m/>
    <m/>
    <s v="Federal"/>
    <s v="PAV"/>
    <s v="São José"/>
  </r>
  <r>
    <x v="0"/>
    <s v="282BSC0040"/>
    <n v="0"/>
    <x v="246"/>
    <s v="0040"/>
    <n v="-48.805056349570798"/>
    <n v="-27.704369000328999"/>
    <n v="-48.883252690159502"/>
    <n v="-27.718407500205799"/>
    <s v="282"/>
    <s v="SC"/>
    <s v="Eixo Principal"/>
    <s v="-"/>
    <s v="282BSC0040"/>
    <s v="ACESSO P/ÁGUAS MORNAS"/>
    <s v="ENTR SC-435 (P/SÃO BONIFÁCIO)"/>
    <n v="32.6"/>
    <n v="41.5"/>
    <n v="8.9"/>
    <x v="2"/>
    <m/>
    <m/>
    <s v="Federal"/>
    <m/>
    <m/>
    <m/>
    <s v="Federal"/>
    <s v="PAV"/>
    <s v="São José"/>
  </r>
  <r>
    <x v="0"/>
    <s v="282BSC0050"/>
    <n v="0"/>
    <x v="246"/>
    <s v="0050"/>
    <n v="-48.883252690159502"/>
    <n v="-27.718407500205799"/>
    <n v="-49.005911560370102"/>
    <n v="-27.681025850162801"/>
    <s v="282"/>
    <s v="SC"/>
    <s v="Eixo Principal"/>
    <s v="-"/>
    <s v="282BSC0050"/>
    <s v="ENTR SC-435 (P/SÃO BONIFÁCIO)"/>
    <s v="ENTR SC-108 (RANCHO QUEIMADO)"/>
    <n v="41.5"/>
    <n v="58.3"/>
    <n v="16.8"/>
    <x v="2"/>
    <m/>
    <m/>
    <s v="Federal"/>
    <m/>
    <m/>
    <m/>
    <s v="Federal"/>
    <s v="PAV"/>
    <s v="São José"/>
  </r>
  <r>
    <x v="0"/>
    <s v="282BSC0070"/>
    <n v="0"/>
    <x v="246"/>
    <s v="0070"/>
    <n v="-49.005911560370102"/>
    <n v="-27.681025850162801"/>
    <n v="-49.332020090154899"/>
    <n v="-27.69592991963"/>
    <s v="282"/>
    <s v="SC"/>
    <s v="Eixo Principal"/>
    <s v="-"/>
    <s v="282BSC0070"/>
    <s v="ENTR SC-108 (RANCHO QUEIMADO)"/>
    <s v="ENTR SC-350/408 (ALFREDO WAGNER)"/>
    <n v="58.3"/>
    <n v="103.8"/>
    <n v="45.5"/>
    <x v="2"/>
    <m/>
    <m/>
    <s v="Federal"/>
    <m/>
    <m/>
    <m/>
    <s v="Federal"/>
    <s v="PAV"/>
    <s v="São José"/>
  </r>
  <r>
    <x v="0"/>
    <s v="282BSC0090"/>
    <n v="0"/>
    <x v="246"/>
    <s v="0090"/>
    <n v="-49.332020090154899"/>
    <n v="-27.69592991963"/>
    <n v="-49.388175720133297"/>
    <n v="-27.748552119584499"/>
    <s v="282"/>
    <s v="SC"/>
    <s v="Eixo Principal"/>
    <s v="-"/>
    <s v="282BSC0090"/>
    <s v="ENTR SC-350/408 (ALFREDO WAGNER)"/>
    <s v="LOMBA ALTA (RIO SÃO JOÃO)"/>
    <n v="103.8"/>
    <n v="114"/>
    <n v="10.199999999999999"/>
    <x v="2"/>
    <m/>
    <m/>
    <s v="Federal"/>
    <m/>
    <m/>
    <m/>
    <s v="Federal"/>
    <s v="PAV"/>
    <s v="São José"/>
  </r>
  <r>
    <x v="0"/>
    <s v="282BSC0095"/>
    <n v="0"/>
    <x v="246"/>
    <s v="0095"/>
    <n v="-49.388175720133297"/>
    <n v="-27.748552119584499"/>
    <n v="-49.4887957898937"/>
    <n v="-27.804022119924799"/>
    <s v="282"/>
    <s v="SC"/>
    <s v="Eixo Principal"/>
    <s v="-"/>
    <s v="282BSC0095"/>
    <s v="LOMBA ALTA (RIO SÃO JOÃO)"/>
    <s v="ENTR BR-486 (BOM RETIRO)"/>
    <n v="114"/>
    <n v="128.1"/>
    <n v="14.1"/>
    <x v="2"/>
    <m/>
    <m/>
    <s v="Federal"/>
    <m/>
    <m/>
    <m/>
    <s v="Federal"/>
    <s v="PAV"/>
    <s v="São José"/>
  </r>
  <r>
    <x v="0"/>
    <s v="282BSC0110"/>
    <n v="0"/>
    <x v="246"/>
    <s v="0110"/>
    <n v="-49.4887957898937"/>
    <n v="-27.804022119924799"/>
    <n v="-49.569876330028499"/>
    <n v="-27.822717009881998"/>
    <s v="282"/>
    <s v="SC"/>
    <s v="Eixo Principal"/>
    <s v="-"/>
    <s v="282BSC0110"/>
    <s v="ENTR BR-486 (BOM RETIRO)"/>
    <s v="ENTR SC-110(A) (P/URUBICI)"/>
    <n v="128.1"/>
    <n v="137.30000000000001"/>
    <n v="9.1999999999999993"/>
    <x v="2"/>
    <m/>
    <m/>
    <s v="Federal"/>
    <m/>
    <m/>
    <m/>
    <s v="Federal"/>
    <s v="PAV"/>
    <s v="Lages"/>
  </r>
  <r>
    <x v="0"/>
    <s v="282BSC0130"/>
    <n v="0"/>
    <x v="246"/>
    <s v="0130"/>
    <n v="-49.569876330028499"/>
    <n v="-27.822717009881998"/>
    <n v="-49.753587299713999"/>
    <n v="-27.7346508598492"/>
    <s v="282"/>
    <s v="SC"/>
    <s v="Eixo Principal"/>
    <s v="-"/>
    <s v="282BSC0130"/>
    <s v="ENTR SC-110(A) (P/URUBICI)"/>
    <s v="ENTR SC-110(B) (P/PETROLÂNDIA)"/>
    <n v="137.30000000000001"/>
    <n v="160"/>
    <n v="22.7"/>
    <x v="2"/>
    <m/>
    <m/>
    <s v="Federal"/>
    <m/>
    <m/>
    <m/>
    <s v="Federal"/>
    <s v="PAV"/>
    <s v="Lages"/>
  </r>
  <r>
    <x v="0"/>
    <s v="282BSC0140"/>
    <n v="0"/>
    <x v="246"/>
    <s v="0140"/>
    <n v="-49.753587299713999"/>
    <n v="-27.7346508598492"/>
    <n v="-49.816344430151197"/>
    <n v="-27.748728080036798"/>
    <s v="282"/>
    <s v="SC"/>
    <s v="Eixo Principal"/>
    <s v="-"/>
    <s v="282BSC0140"/>
    <s v="ENTR SC-110(B) (P/PETROLÂNDIA)"/>
    <s v="ENTR BR-475(A)/SC-112 (P/ RIO RUFINO - ESTRADA CAPITÃO-MOR)"/>
    <n v="160"/>
    <n v="166.9"/>
    <n v="6.9"/>
    <x v="2"/>
    <m/>
    <m/>
    <s v="Federal"/>
    <m/>
    <m/>
    <m/>
    <s v="Federal"/>
    <s v="PAV"/>
    <s v="Lages"/>
  </r>
  <r>
    <x v="0"/>
    <s v="282BSC0150"/>
    <n v="0"/>
    <x v="246"/>
    <s v="0150"/>
    <n v="-49.816344430151197"/>
    <n v="-27.748728080036798"/>
    <n v="-49.947836410022198"/>
    <n v="-27.738605009813199"/>
    <s v="282"/>
    <s v="SC"/>
    <s v="Eixo Principal"/>
    <s v="-"/>
    <s v="282BSC0150"/>
    <s v="ENTR BR-475(A)/SC-112 (P/ RIO RUFINO - ESTRADA CAPITÃO-MOR)"/>
    <s v="ACESSO P/ BOCAINA DO SUL"/>
    <n v="166.9"/>
    <n v="180.9"/>
    <n v="14"/>
    <x v="2"/>
    <m/>
    <s v="475BSC0060"/>
    <s v="Federal"/>
    <m/>
    <m/>
    <m/>
    <s v="Federal"/>
    <s v="PAV"/>
    <s v="Lages"/>
  </r>
  <r>
    <x v="0"/>
    <s v="282BSC0175"/>
    <n v="0"/>
    <x v="246"/>
    <s v="0175"/>
    <n v="-49.947836410022198"/>
    <n v="-27.738605009813199"/>
    <n v="-50.202096620362603"/>
    <n v="-27.773464379877101"/>
    <s v="282"/>
    <s v="SC"/>
    <s v="Eixo Principal"/>
    <s v="-"/>
    <s v="282BSC0175"/>
    <s v="ACESSO P/ BOCAINA DO SUL"/>
    <s v="ENTR SC-114(A) (ÍNDIOS)"/>
    <n v="180.9"/>
    <n v="207"/>
    <n v="26.1"/>
    <x v="2"/>
    <m/>
    <s v="475BSC0030"/>
    <s v="Federal"/>
    <m/>
    <m/>
    <m/>
    <s v="Federal"/>
    <s v="PAV"/>
    <s v="Lages"/>
  </r>
  <r>
    <x v="0"/>
    <s v="282BSC0180"/>
    <n v="0"/>
    <x v="246"/>
    <s v="0180"/>
    <n v="-50.202096620362603"/>
    <n v="-27.773464379877101"/>
    <n v="-50.253295889593502"/>
    <n v="-27.782809950218901"/>
    <s v="282"/>
    <s v="SC"/>
    <s v="Eixo Principal"/>
    <s v="-"/>
    <s v="282BSC0180"/>
    <s v="ENTR SC-114(A) (ÍNDIOS)"/>
    <s v="ENTR SC-114(B) (P/PAINEL)"/>
    <n v="207"/>
    <n v="212.2"/>
    <n v="5.2"/>
    <x v="2"/>
    <m/>
    <s v="475BSC0020"/>
    <s v="Federal"/>
    <m/>
    <m/>
    <m/>
    <s v="Federal"/>
    <s v="PAV"/>
    <s v="Lages"/>
  </r>
  <r>
    <x v="0"/>
    <s v="282BSC0190"/>
    <n v="0"/>
    <x v="246"/>
    <s v="0190"/>
    <n v="-50.253295889593502"/>
    <n v="-27.782809950218901"/>
    <n v="-50.305758180195802"/>
    <n v="-27.7980098498746"/>
    <s v="282"/>
    <s v="SC"/>
    <s v="Eixo Principal"/>
    <s v="-"/>
    <s v="282BSC0190"/>
    <s v="ENTR SC-114(B) (P/PAINEL)"/>
    <s v="ENTR BR-475(B)/AV.LUIZ DE CAMÕES (LAGES)"/>
    <n v="212.2"/>
    <n v="217.7"/>
    <n v="5.5"/>
    <x v="2"/>
    <m/>
    <s v="475BSC0010"/>
    <s v="Federal"/>
    <m/>
    <m/>
    <m/>
    <s v="Federal"/>
    <s v="PAV"/>
    <s v="Lages"/>
  </r>
  <r>
    <x v="0"/>
    <s v="282BSC0191"/>
    <n v="0"/>
    <x v="246"/>
    <s v="0191"/>
    <n v="-50.305758180195802"/>
    <n v="-27.7980098498746"/>
    <n v="-50.363718739627998"/>
    <n v="-27.799868539901102"/>
    <s v="282"/>
    <s v="SC"/>
    <s v="Eixo Principal"/>
    <s v="-"/>
    <s v="282BSC0191"/>
    <s v="ENTR BR-475(B) (LAGES)"/>
    <s v="ENTR BR-116"/>
    <n v="217.7"/>
    <n v="223.1"/>
    <n v="5.4"/>
    <x v="2"/>
    <m/>
    <m/>
    <s v="Federal"/>
    <m/>
    <m/>
    <m/>
    <s v="Federal"/>
    <s v="PAV"/>
    <s v="Lages"/>
  </r>
  <r>
    <x v="0"/>
    <s v="282BSC0210"/>
    <n v="0"/>
    <x v="246"/>
    <s v="0210"/>
    <n v="-50.363718739627998"/>
    <n v="-27.799868539901102"/>
    <n v="-50.574008819851002"/>
    <n v="-27.674092779557999"/>
    <s v="282"/>
    <s v="SC"/>
    <s v="Eixo Principal"/>
    <s v="-"/>
    <s v="282BSC0210"/>
    <s v="ENTR BR-116"/>
    <s v="ENTR R.ANACLETO DA SILVA ORTIZ (P/SÃO JOSÉ DO CERRITO)"/>
    <n v="223.1"/>
    <n v="255.2"/>
    <n v="32.1"/>
    <x v="2"/>
    <m/>
    <m/>
    <s v="Federal"/>
    <m/>
    <m/>
    <m/>
    <s v="Federal"/>
    <s v="PAV"/>
    <s v="Lages"/>
  </r>
  <r>
    <x v="0"/>
    <s v="282BSC0220"/>
    <n v="0"/>
    <x v="246"/>
    <s v="0220"/>
    <n v="-50.574008819851002"/>
    <n v="-27.674092779557999"/>
    <n v="-50.624412080253201"/>
    <n v="-27.626833870087001"/>
    <s v="282"/>
    <s v="SC"/>
    <s v="Eixo Principal"/>
    <s v="-"/>
    <s v="282BSC0220"/>
    <s v="ENTR R.ANACLETO DA SILVA ORTIZ (P/SÃO JOSÉ DO CERRITO)"/>
    <s v="ENTR SC-120"/>
    <n v="255.2"/>
    <n v="265.2"/>
    <n v="10"/>
    <x v="2"/>
    <m/>
    <m/>
    <s v="Federal"/>
    <m/>
    <m/>
    <m/>
    <s v="Federal"/>
    <s v="PAV"/>
    <s v="Lages"/>
  </r>
  <r>
    <x v="0"/>
    <s v="282BSC0225"/>
    <n v="0"/>
    <x v="246"/>
    <s v="0225"/>
    <n v="-50.624412080253201"/>
    <n v="-27.626833870087001"/>
    <n v="-50.979688470346503"/>
    <n v="-27.489128860008801"/>
    <s v="282"/>
    <s v="SC"/>
    <s v="Eixo Principal"/>
    <s v="-"/>
    <s v="282BSC0225"/>
    <s v="ENTR SC-120"/>
    <s v="ENTR SC-452 (VARGEM)"/>
    <n v="265.2"/>
    <n v="310.8"/>
    <n v="45.6"/>
    <x v="2"/>
    <m/>
    <m/>
    <s v="Federal"/>
    <m/>
    <m/>
    <m/>
    <s v="Federal"/>
    <s v="PAV"/>
    <s v="Lages"/>
  </r>
  <r>
    <x v="0"/>
    <s v="282BSC0228"/>
    <n v="0"/>
    <x v="246"/>
    <s v="0228"/>
    <n v="-50.979688470346503"/>
    <n v="-27.489128860008801"/>
    <n v="-51.066755110259997"/>
    <n v="-27.3742909403745"/>
    <s v="282"/>
    <s v="SC"/>
    <s v="Eixo Principal"/>
    <s v="-"/>
    <s v="282BSC0228"/>
    <s v="ENTR SC-452 (VARGEM)"/>
    <s v="ENTR BR-470(A)"/>
    <n v="310.8"/>
    <n v="325.8"/>
    <n v="15"/>
    <x v="2"/>
    <m/>
    <m/>
    <s v="Federal"/>
    <m/>
    <m/>
    <m/>
    <s v="Federal"/>
    <s v="PAV"/>
    <s v="Lages"/>
  </r>
  <r>
    <x v="0"/>
    <s v="282BSC0230"/>
    <n v="0"/>
    <x v="246"/>
    <s v="0230"/>
    <n v="-51.066755110259997"/>
    <n v="-27.3742909403745"/>
    <n v="-51.1921896804093"/>
    <n v="-27.3933931602661"/>
    <s v="282"/>
    <s v="SC"/>
    <s v="Eixo Principal"/>
    <s v="-"/>
    <s v="282BSC0230"/>
    <s v="ENTR BR-470(A)"/>
    <s v="ENTR BR-283(A)/470(B)"/>
    <n v="325.8"/>
    <n v="338.7"/>
    <n v="12.9"/>
    <x v="2"/>
    <m/>
    <s v="470BSC0270"/>
    <s v="Federal"/>
    <m/>
    <m/>
    <m/>
    <s v="Federal"/>
    <s v="PAV"/>
    <s v="Joaçaba"/>
  </r>
  <r>
    <x v="0"/>
    <s v="282BSC0245"/>
    <n v="0"/>
    <x v="246"/>
    <s v="0245"/>
    <n v="-51.1921896804093"/>
    <n v="-27.3933931602661"/>
    <n v="-51.215342249844902"/>
    <n v="-27.390237399636199"/>
    <s v="282"/>
    <s v="SC"/>
    <s v="Eixo Principal"/>
    <s v="-"/>
    <s v="282BSC0245"/>
    <s v="ENTR BR-283(A)/470(B)"/>
    <s v="ENTR BR-283(B)/SC-135 (CAMPOS NOVOS)"/>
    <n v="338.7"/>
    <n v="341.2"/>
    <n v="2.5"/>
    <x v="2"/>
    <m/>
    <s v="283BSC0010"/>
    <s v="Federal"/>
    <m/>
    <m/>
    <m/>
    <s v="Federal"/>
    <s v="PAV"/>
    <s v="Joaçaba"/>
  </r>
  <r>
    <x v="0"/>
    <s v="282BSC0250"/>
    <n v="0"/>
    <x v="246"/>
    <s v="0250"/>
    <n v="-51.215342249844902"/>
    <n v="-27.390237399636199"/>
    <n v="-51.510559660000197"/>
    <n v="-27.203240440294"/>
    <s v="282"/>
    <s v="SC"/>
    <s v="Eixo Principal"/>
    <s v="-"/>
    <s v="282BSC0250"/>
    <s v="ENTR BR-283(B)/SC-135 (CAMPOS NOVOS)"/>
    <s v="ENTR SC-150 (JOAÇABA)"/>
    <n v="341.2"/>
    <n v="383.4"/>
    <n v="42.2"/>
    <x v="2"/>
    <m/>
    <m/>
    <s v="Federal"/>
    <m/>
    <m/>
    <m/>
    <s v="Federal"/>
    <s v="PAV"/>
    <s v="Joaçaba"/>
  </r>
  <r>
    <x v="0"/>
    <s v="282BSC0270"/>
    <n v="0"/>
    <x v="246"/>
    <s v="0270"/>
    <n v="-51.510559660000197"/>
    <n v="-27.203240440294"/>
    <n v="-51.652867070258999"/>
    <n v="-27.097182910263001"/>
    <s v="282"/>
    <s v="SC"/>
    <s v="Eixo Principal"/>
    <s v="-"/>
    <s v="282BSC0270"/>
    <s v="ENTR SC-150 (JOAÇABA)"/>
    <s v="ENTR SC-355(A) (P/JABORÁ)"/>
    <n v="383.4"/>
    <n v="405.2"/>
    <n v="21.8"/>
    <x v="2"/>
    <m/>
    <m/>
    <s v="Federal"/>
    <m/>
    <m/>
    <m/>
    <s v="Federal"/>
    <s v="PAV"/>
    <s v="Joaçaba"/>
  </r>
  <r>
    <x v="0"/>
    <s v="282BSC0290"/>
    <n v="0"/>
    <x v="246"/>
    <s v="0290"/>
    <n v="-51.652867070258999"/>
    <n v="-27.097182910263001"/>
    <n v="-51.663126289746401"/>
    <n v="-27.067241279561301"/>
    <s v="282"/>
    <s v="SC"/>
    <s v="Eixo Principal"/>
    <s v="-"/>
    <s v="282BSC0290"/>
    <s v="ENTR SC-355(A) (P/JABORÁ)"/>
    <s v="ENTR SC-355(B) (CATANDUVAS)"/>
    <n v="405.2"/>
    <n v="408.8"/>
    <n v="3.6"/>
    <x v="2"/>
    <m/>
    <m/>
    <s v="Federal"/>
    <m/>
    <m/>
    <m/>
    <s v="Federal"/>
    <s v="PAV"/>
    <s v="Joaçaba"/>
  </r>
  <r>
    <x v="0"/>
    <s v="282BSC0295"/>
    <n v="0"/>
    <x v="246"/>
    <s v="0295"/>
    <n v="-51.663126289746401"/>
    <n v="-27.067241279561301"/>
    <n v="-51.854644349656901"/>
    <n v="-26.969582629634601"/>
    <s v="282"/>
    <s v="SC"/>
    <s v="Eixo Principal"/>
    <s v="-"/>
    <s v="282BSC0295"/>
    <s v="ENTR SC-355(B) (CATANDUVAS)"/>
    <s v="ENTR BR-153 (P/IRANI)"/>
    <n v="408.8"/>
    <n v="436.4"/>
    <n v="27.6"/>
    <x v="2"/>
    <m/>
    <m/>
    <s v="Federal"/>
    <m/>
    <m/>
    <m/>
    <s v="Federal"/>
    <s v="PAV"/>
    <s v="Joaçaba"/>
  </r>
  <r>
    <x v="4"/>
    <s v="282BSC0310"/>
    <s v="BR-476/153/282/480/SC/PR"/>
    <x v="246"/>
    <s v="0310"/>
    <n v="-51.854644349656901"/>
    <n v="-26.969582629634601"/>
    <n v="-52.032149349712597"/>
    <n v="-26.856062849920502"/>
    <s v="282"/>
    <s v="SC"/>
    <s v="Eixo Principal"/>
    <s v="-"/>
    <s v="282BSC0310"/>
    <s v="ENTR BR-153 (P/IRANI)"/>
    <s v="ENTR SC-154 (PONTE SERRADA)"/>
    <n v="436.4"/>
    <n v="460"/>
    <n v="23.6"/>
    <x v="2"/>
    <m/>
    <m/>
    <s v="Federal"/>
    <m/>
    <m/>
    <m/>
    <s v="Federal"/>
    <s v="PAV"/>
    <s v="Joaçaba"/>
  </r>
  <r>
    <x v="4"/>
    <s v="282BSC0330"/>
    <s v="BR-476/153/282/480/SC/PR"/>
    <x v="246"/>
    <s v="0330"/>
    <n v="-52.032149349712597"/>
    <n v="-26.856062849920502"/>
    <n v="-52.402142080292698"/>
    <n v="-26.883513880161299"/>
    <s v="282"/>
    <s v="SC"/>
    <s v="Eixo Principal"/>
    <s v="-"/>
    <s v="282BSC0330"/>
    <s v="ENTR SC-154 (PONTE SERRADA)"/>
    <s v="ENTR SC-155 (XANXERÊ)"/>
    <n v="460"/>
    <n v="503.3"/>
    <n v="43.3"/>
    <x v="2"/>
    <m/>
    <m/>
    <s v="Federal"/>
    <m/>
    <m/>
    <m/>
    <s v="Federal"/>
    <s v="PAV"/>
    <s v="Chapecó"/>
  </r>
  <r>
    <x v="4"/>
    <s v="282BSC0340"/>
    <s v="BR-476/153/282/480/SC/PR"/>
    <x v="246"/>
    <s v="0340"/>
    <n v="-52.402142080292698"/>
    <n v="-26.883513880161299"/>
    <n v="-52.435227519634203"/>
    <n v="-26.885530140403599"/>
    <s v="282"/>
    <s v="SC"/>
    <s v="Eixo Principal"/>
    <s v="-"/>
    <s v="282BSC0340"/>
    <s v="ENTR SC-155 (XANXERÊ)"/>
    <s v="ENTR BR-480(A)/SC-480 (P/BOM JESUS)"/>
    <n v="503.3"/>
    <n v="506.6"/>
    <n v="3.3"/>
    <x v="2"/>
    <m/>
    <m/>
    <s v="Federal"/>
    <m/>
    <m/>
    <m/>
    <s v="Federal"/>
    <s v="PAV"/>
    <s v="Chapecó"/>
  </r>
  <r>
    <x v="4"/>
    <s v="282BSC0350"/>
    <s v="BR-476/153/282/480/SC/PR"/>
    <x v="246"/>
    <s v="0350"/>
    <n v="-52.435227519634203"/>
    <n v="-26.885530140403599"/>
    <n v="-52.646308880050697"/>
    <n v="-26.999640750420198"/>
    <s v="282"/>
    <s v="SC"/>
    <s v="Eixo Principal"/>
    <s v="-"/>
    <s v="282BSC0350"/>
    <s v="ENTR BR-480(A)/SC-480 (P/BOM JESUS)"/>
    <s v="ENTR BR-480(B)/SC-157 (P/CHAPECÓ)"/>
    <n v="506.6"/>
    <n v="535.29999999999995"/>
    <n v="28.7"/>
    <x v="2"/>
    <m/>
    <s v="480BSC0110"/>
    <s v="Federal"/>
    <m/>
    <m/>
    <m/>
    <s v="Federal"/>
    <s v="PAV"/>
    <s v="Chapecó"/>
  </r>
  <r>
    <x v="0"/>
    <s v="282BSC0370"/>
    <n v="0"/>
    <x v="246"/>
    <s v="0370"/>
    <n v="-52.646308880050697"/>
    <n v="-26.999640750420198"/>
    <n v="-52.987122030357298"/>
    <n v="-26.837532529602498"/>
    <s v="282"/>
    <s v="SC"/>
    <s v="Eixo Principal"/>
    <s v="-"/>
    <s v="282BSC0370"/>
    <s v="ENTR BR-480(B)/SC-157 (P/CHAPECÓ)"/>
    <s v="ENTR SC-160(A) (PINHALZINHO)"/>
    <n v="535.29999999999995"/>
    <n v="580"/>
    <n v="44.7"/>
    <x v="2"/>
    <m/>
    <m/>
    <s v="Federal"/>
    <m/>
    <m/>
    <m/>
    <s v="Federal"/>
    <s v="PAV"/>
    <s v="Chapecó"/>
  </r>
  <r>
    <x v="0"/>
    <s v="282BSC0375"/>
    <n v="0"/>
    <x v="246"/>
    <s v="0375"/>
    <n v="-52.987122030357298"/>
    <n v="-26.837532529602498"/>
    <n v="-53.004159780049697"/>
    <n v="-26.826405920296899"/>
    <s v="282"/>
    <s v="SC"/>
    <s v="Eixo Principal"/>
    <s v="-"/>
    <s v="282BSC0375"/>
    <s v="ENTR SC-160(A) (PINHALZINHO)"/>
    <s v="ENTR SC-160(B) (P/MODELO)"/>
    <n v="580"/>
    <n v="582.29999999999995"/>
    <n v="2.2999999999999998"/>
    <x v="2"/>
    <m/>
    <m/>
    <s v="Federal"/>
    <m/>
    <m/>
    <m/>
    <s v="Federal"/>
    <s v="PAV"/>
    <s v="Chapecó"/>
  </r>
  <r>
    <x v="0"/>
    <s v="282BSC0377"/>
    <n v="0"/>
    <x v="246"/>
    <s v="0377"/>
    <n v="-53.004159780049697"/>
    <n v="-26.826405920296899"/>
    <n v="-53.181703829568001"/>
    <n v="-26.805466169628001"/>
    <s v="282"/>
    <s v="SC"/>
    <s v="Eixo Principal"/>
    <s v="-"/>
    <s v="282BSC0377"/>
    <s v="ENTR SC-160(B) (P/MODELO)"/>
    <s v="ENTR BR-158(A) (P/CUNHA PORÃ)"/>
    <n v="582.29999999999995"/>
    <n v="602.29999999999995"/>
    <n v="20"/>
    <x v="2"/>
    <m/>
    <m/>
    <s v="Federal"/>
    <m/>
    <m/>
    <m/>
    <s v="Federal"/>
    <s v="PAV"/>
    <s v="Chapecó"/>
  </r>
  <r>
    <x v="0"/>
    <s v="282BSC0379"/>
    <n v="0"/>
    <x v="246"/>
    <s v="0379"/>
    <n v="-53.181703829568001"/>
    <n v="-26.805466169628001"/>
    <n v="-53.196987209691898"/>
    <n v="-26.7827908002551"/>
    <s v="282"/>
    <s v="SC"/>
    <s v="Eixo Principal"/>
    <s v="Coinc"/>
    <s v="282BSC0379"/>
    <s v="ENTR BR-158(A) (P/CUNHA PORÃ)"/>
    <s v="ENTR BR-158(B) (MARAVILHA)"/>
    <n v="602.29999999999995"/>
    <n v="605.5"/>
    <n v="3.2"/>
    <x v="2"/>
    <m/>
    <s v="158BSC1085"/>
    <s v="Federal"/>
    <m/>
    <m/>
    <m/>
    <s v="Federal"/>
    <s v="PAV"/>
    <s v="Chapecó"/>
  </r>
  <r>
    <x v="0"/>
    <s v="282BSC0380"/>
    <n v="0"/>
    <x v="246"/>
    <s v="0380"/>
    <n v="-53.196987209691898"/>
    <n v="-26.7827908002551"/>
    <n v="-53.345658890045598"/>
    <n v="-26.798532769871301"/>
    <s v="282"/>
    <s v="SC"/>
    <s v="Eixo Principal"/>
    <s v="-"/>
    <s v="282BSC0380"/>
    <s v="ENTR BR-158(B) (MARAVILHA)"/>
    <s v="ENTR SC-161 (P/ROMELÂNDIA)"/>
    <n v="605.5"/>
    <n v="624.4"/>
    <n v="18.899999999999999"/>
    <x v="2"/>
    <m/>
    <m/>
    <s v="Federal"/>
    <m/>
    <m/>
    <m/>
    <s v="Federal"/>
    <s v="PAV"/>
    <s v="Chapecó"/>
  </r>
  <r>
    <x v="0"/>
    <s v="282BSC0385"/>
    <n v="0"/>
    <x v="246"/>
    <s v="0385"/>
    <n v="-53.345658890045598"/>
    <n v="-26.798532769871301"/>
    <n v="-53.500767529997397"/>
    <n v="-26.7612013703468"/>
    <s v="282"/>
    <s v="SC"/>
    <s v="Eixo Principal"/>
    <s v="-"/>
    <s v="282BSC0385"/>
    <s v="ENTR SC-161 (P/ROMELÂNDIA)"/>
    <s v="ENTR BR-163(A) (P/DESCANSO - ACESSO A S M DO OESTE)"/>
    <n v="624.4"/>
    <n v="646.5"/>
    <n v="22.1"/>
    <x v="2"/>
    <m/>
    <m/>
    <s v="Federal"/>
    <m/>
    <m/>
    <m/>
    <s v="Federal"/>
    <s v="PAV"/>
    <s v="Chapecó"/>
  </r>
  <r>
    <x v="0"/>
    <s v="282BSC0390"/>
    <n v="0"/>
    <x v="246"/>
    <s v="0390"/>
    <n v="-53.500767529997397"/>
    <n v="-26.7612013703468"/>
    <n v="-53.514080910105797"/>
    <n v="-26.707321749998599"/>
    <s v="282"/>
    <s v="SC"/>
    <s v="Eixo Principal"/>
    <s v="Coinc"/>
    <s v="282BSC0390"/>
    <s v="ENTR BR-163(A) (P/DESCANSO - ACESSO A S M DO OESTE)"/>
    <s v="ENTR BR-163(B)"/>
    <n v="646.5"/>
    <n v="653.1"/>
    <n v="6.6"/>
    <x v="2"/>
    <m/>
    <s v="163BSC0025"/>
    <s v="Federal"/>
    <m/>
    <m/>
    <m/>
    <s v="Federal"/>
    <s v="PAV"/>
    <s v="Chapecó"/>
  </r>
  <r>
    <x v="0"/>
    <s v="282BSC0393"/>
    <n v="0"/>
    <x v="246"/>
    <s v="0393"/>
    <n v="-53.514080910105797"/>
    <n v="-26.707321749998599"/>
    <n v="-53.5255654900552"/>
    <n v="-26.704841220146101"/>
    <s v="282"/>
    <s v="SC"/>
    <s v="Eixo Principal"/>
    <s v="-"/>
    <s v="282BSC0393"/>
    <s v="ENTR BR-163(B)"/>
    <s v="ENTR R.LUÍS DE CAMÕES (ACESSO NORTE S MIGUEL DO OESTE)"/>
    <n v="653.1"/>
    <n v="654.5"/>
    <n v="1.4"/>
    <x v="2"/>
    <m/>
    <m/>
    <s v="Federal"/>
    <m/>
    <m/>
    <m/>
    <s v="Federal"/>
    <s v="PAV"/>
    <s v="Chapecó"/>
  </r>
  <r>
    <x v="0"/>
    <s v="282BSC0395"/>
    <n v="0"/>
    <x v="246"/>
    <s v="0395"/>
    <n v="-53.5255654900552"/>
    <n v="-26.704841220146101"/>
    <n v="-53.673706729581802"/>
    <n v="-26.613893199811201"/>
    <s v="282"/>
    <s v="SC"/>
    <s v="Eixo Principal"/>
    <s v="-"/>
    <s v="282BSC0395"/>
    <s v="ENTR R.LUÍS DE CAMÕES (ACESSO NORTE S MIGUEL DO OESTE)"/>
    <s v="ENTR R. ALCIDES OSCAR SCHMIDT (PARAÍSO)"/>
    <n v="654.5"/>
    <n v="674.4"/>
    <n v="19.899999999999999"/>
    <x v="2"/>
    <m/>
    <m/>
    <s v="Federal"/>
    <m/>
    <m/>
    <m/>
    <s v="Federal"/>
    <s v="PAV"/>
    <s v="Chapecó"/>
  </r>
  <r>
    <x v="0"/>
    <s v="282BSC0400"/>
    <n v="0"/>
    <x v="246"/>
    <s v="0400"/>
    <n v="-53.673706729581802"/>
    <n v="-26.613893199811201"/>
    <n v="-53.734052499722999"/>
    <n v="-26.613126859616798"/>
    <s v="282"/>
    <s v="SC"/>
    <s v="Eixo Principal"/>
    <s v="-"/>
    <s v="282BSC0400"/>
    <s v="ENTR R. ALCIDES OSCAR SCHMIDT (PARAÍSO)"/>
    <s v="FRONT BRASIL/ARGENTINA (PONTE SOBRE RIO PEPERIGUAÇU)"/>
    <n v="674.4"/>
    <n v="684.2"/>
    <n v="9.8000000000000007"/>
    <x v="2"/>
    <m/>
    <m/>
    <s v="Federal"/>
    <m/>
    <m/>
    <m/>
    <s v="Federal"/>
    <s v="PAV"/>
    <s v="Chapecó"/>
  </r>
  <r>
    <x v="0"/>
    <s v="283BSC0010"/>
    <n v="0"/>
    <x v="247"/>
    <s v="0010"/>
    <n v="-51.215342249844902"/>
    <n v="-27.390237399636199"/>
    <n v="-51.1921896804093"/>
    <n v="-27.3933931602661"/>
    <s v="283"/>
    <s v="SC"/>
    <s v="Eixo Principal"/>
    <s v="Coinc"/>
    <s v="283BSC0010"/>
    <s v="ENTR BR-282(A)/SC-135 (CAMPOS NOVOS)"/>
    <s v="ENTR BR-282(B)/470(A)"/>
    <n v="0"/>
    <n v="2.5"/>
    <n v="2.5"/>
    <x v="2"/>
    <m/>
    <s v="282BSC0245"/>
    <s v="Federal"/>
    <m/>
    <m/>
    <m/>
    <s v="Federal"/>
    <s v="PAV"/>
    <s v="Joaçaba"/>
  </r>
  <r>
    <x v="0"/>
    <s v="283BSC0015"/>
    <n v="0"/>
    <x v="247"/>
    <s v="0015"/>
    <n v="-51.1921896804093"/>
    <n v="-27.3933931602661"/>
    <n v="-51.247856640371502"/>
    <n v="-27.447548170111901"/>
    <s v="283"/>
    <s v="SC"/>
    <s v="Eixo Principal"/>
    <s v="-"/>
    <s v="283BSC0015"/>
    <s v="ENTR BR-282(B)/470(A)"/>
    <s v="ENTR SC-284 (P/DISTRITO DE IBICUÍ)"/>
    <n v="2.5"/>
    <n v="11.6"/>
    <n v="9.1"/>
    <x v="2"/>
    <m/>
    <s v="470BSC0290"/>
    <s v="Federal"/>
    <m/>
    <m/>
    <m/>
    <s v="Federal"/>
    <s v="PAV"/>
    <s v="Joaçaba"/>
  </r>
  <r>
    <x v="0"/>
    <s v="283BSC0020"/>
    <n v="0"/>
    <x v="247"/>
    <s v="0020"/>
    <n v="-51.247856640371502"/>
    <n v="-27.447548170111901"/>
    <n v="-51.2734290803877"/>
    <n v="-27.466977010280701"/>
    <s v="283"/>
    <s v="SC"/>
    <s v="Eixo Principal"/>
    <s v="-"/>
    <s v="283BSC0020"/>
    <s v="ENTR SC-284 (P/DISTRITO DE IBICUÍ)"/>
    <s v="ENTR SC-135 (P/CELSO RAMOS)"/>
    <n v="11.6"/>
    <n v="15"/>
    <n v="3.4"/>
    <x v="2"/>
    <m/>
    <s v="470BSC0295"/>
    <s v="Federal"/>
    <m/>
    <m/>
    <m/>
    <s v="Federal"/>
    <s v="PAV"/>
    <s v="Joaçaba"/>
  </r>
  <r>
    <x v="0"/>
    <s v="283BSC0025"/>
    <n v="0"/>
    <x v="247"/>
    <s v="0025"/>
    <n v="-51.2734290803877"/>
    <n v="-27.466977010280701"/>
    <n v="-51.388291729579599"/>
    <n v="-27.530013169771902"/>
    <s v="283"/>
    <s v="SC"/>
    <s v="Eixo Principal"/>
    <s v="-"/>
    <s v="283BSC0025"/>
    <s v="ENTR SC-135 (P/CELSO RAMOS)"/>
    <s v="ENTR BR-470(B)/SC-390 (ENCRUZILHADA)"/>
    <n v="15"/>
    <n v="29.3"/>
    <n v="14.3"/>
    <x v="2"/>
    <m/>
    <s v="470BSC0300"/>
    <s v="Federal"/>
    <m/>
    <m/>
    <m/>
    <s v="Federal"/>
    <s v="PAV"/>
    <s v="Joaçaba"/>
  </r>
  <r>
    <x v="0"/>
    <s v="283BSC0030"/>
    <n v="0"/>
    <x v="247"/>
    <s v="0030"/>
    <n v="-51.388291729579599"/>
    <n v="-27.530013169771902"/>
    <n v="-51.598191510329897"/>
    <n v="-27.367785490208099"/>
    <s v="283"/>
    <s v="SC"/>
    <s v="Eixo Principal"/>
    <s v="-"/>
    <s v="283BSC0030"/>
    <s v="ENTR BR-470(B)/SC-390 (ENCRUZILHADA)"/>
    <s v="ENTR SC-150(A) (P/PIRATUBA)"/>
    <n v="29.3"/>
    <n v="60.6"/>
    <n v="31.3"/>
    <x v="1"/>
    <m/>
    <m/>
    <s v="Estadual"/>
    <m/>
    <s v="SC-390/467"/>
    <s v="PAV"/>
    <s v="Estadual"/>
    <s v="PLA"/>
    <s v="Joaçaba"/>
  </r>
  <r>
    <x v="0"/>
    <s v="283BSC0040"/>
    <n v="0"/>
    <x v="247"/>
    <s v="0040"/>
    <n v="-51.598191510329897"/>
    <n v="-27.367785490208099"/>
    <n v="-51.612788689746097"/>
    <n v="-27.339722970438601"/>
    <s v="283"/>
    <s v="SC"/>
    <s v="Eixo Principal"/>
    <s v="-"/>
    <s v="283BSC0040"/>
    <s v="ENTR SC-150(A) (P/PIRATUBA)"/>
    <s v="ENTR SC-150(B) (OURO)"/>
    <n v="60.6"/>
    <n v="64.5"/>
    <n v="3.9"/>
    <x v="1"/>
    <m/>
    <m/>
    <s v="Estadual"/>
    <m/>
    <s v="SC-150"/>
    <s v="PAV"/>
    <s v="Estadual"/>
    <s v="PLA"/>
    <s v="Joaçaba"/>
  </r>
  <r>
    <x v="0"/>
    <s v="283BSC0050"/>
    <n v="0"/>
    <x v="247"/>
    <s v="0050"/>
    <n v="-51.612788689746097"/>
    <n v="-27.339722970438601"/>
    <n v="-51.950026679687397"/>
    <n v="-27.224408259933199"/>
    <s v="283"/>
    <s v="SC"/>
    <s v="Eixo Principal"/>
    <s v="-"/>
    <s v="283BSC0050"/>
    <s v="ENTR SC-150(B) (OURO)"/>
    <s v="ENTR BR-153 (P/IRANI)"/>
    <n v="64.5"/>
    <n v="100.2"/>
    <n v="35.700000000000003"/>
    <x v="1"/>
    <m/>
    <m/>
    <s v="Federal"/>
    <m/>
    <m/>
    <m/>
    <s v="Federal"/>
    <s v="PLA"/>
    <s v="Joaçaba"/>
  </r>
  <r>
    <x v="0"/>
    <s v="283BSC0070"/>
    <n v="0"/>
    <x v="247"/>
    <s v="0070"/>
    <n v="-51.950026679687397"/>
    <n v="-27.224408259933199"/>
    <n v="-52.130924749877202"/>
    <n v="-27.196965609575098"/>
    <s v="283"/>
    <s v="SC"/>
    <s v="Eixo Principal"/>
    <s v="-"/>
    <s v="283BSC0070"/>
    <s v="ENTR BR-153 (P/IRANI)"/>
    <s v="ENTR SC-154 (P/ ARABUTÃ)"/>
    <n v="100.2"/>
    <n v="122.6"/>
    <n v="22.4"/>
    <x v="1"/>
    <m/>
    <m/>
    <s v="Estadual"/>
    <m/>
    <s v="SCT-283"/>
    <s v="PAV"/>
    <s v="Estadual"/>
    <s v="PLA"/>
    <s v="Joaçaba"/>
  </r>
  <r>
    <x v="0"/>
    <s v="283BSC0095"/>
    <n v="0"/>
    <x v="247"/>
    <s v="0095"/>
    <n v="-52.130924749877202"/>
    <n v="-27.196965609575098"/>
    <n v="-52.310385639585498"/>
    <n v="-27.1529360099888"/>
    <s v="283"/>
    <s v="SC"/>
    <s v="Eixo Principal"/>
    <s v="-"/>
    <s v="283BSC0095"/>
    <s v="ENTR SC-154 (P/ ARABUTÃ)"/>
    <s v="ENTR SC-155(A) (SEARA)"/>
    <n v="122.6"/>
    <n v="148.80000000000001"/>
    <n v="26.2"/>
    <x v="1"/>
    <m/>
    <m/>
    <s v="Estadual"/>
    <m/>
    <s v="SCT-283"/>
    <s v="PAV"/>
    <s v="Estadual"/>
    <s v="PLA"/>
    <s v="Joaçaba"/>
  </r>
  <r>
    <x v="0"/>
    <s v="283BSC0100"/>
    <n v="0"/>
    <x v="247"/>
    <s v="0100"/>
    <n v="-52.310385639585498"/>
    <n v="-27.1529360099888"/>
    <n v="-52.328221739941199"/>
    <n v="-27.130009950099002"/>
    <s v="283"/>
    <s v="SC"/>
    <s v="Eixo Principal"/>
    <s v="-"/>
    <s v="283BSC0100"/>
    <s v="ENTR SC-155(A) (SEARA)"/>
    <s v="ENTR SC-155(B) (P/XANXERÊ)"/>
    <n v="148.80000000000001"/>
    <n v="152.5"/>
    <n v="3.7"/>
    <x v="1"/>
    <m/>
    <m/>
    <s v="Estadual"/>
    <m/>
    <s v="SCT-283"/>
    <s v="PAV"/>
    <s v="Estadual"/>
    <s v="PLA"/>
    <s v="Joaçaba"/>
  </r>
  <r>
    <x v="0"/>
    <s v="283BSC0110"/>
    <n v="0"/>
    <x v="247"/>
    <s v="0110"/>
    <n v="-52.328221739941199"/>
    <n v="-27.130009950099002"/>
    <n v="-52.505987949883902"/>
    <n v="-27.093685339806498"/>
    <s v="283"/>
    <s v="SC"/>
    <s v="Eixo Principal"/>
    <s v="-"/>
    <s v="283BSC0110"/>
    <s v="ENTR SC-155(B) (P/XANXERÊ)"/>
    <s v="ACESSO P/ ARVOREDO"/>
    <n v="152.5"/>
    <n v="176.7"/>
    <n v="24.2"/>
    <x v="1"/>
    <m/>
    <m/>
    <s v="Estadual"/>
    <m/>
    <s v="SCT-283"/>
    <s v="PAV"/>
    <s v="Estadual"/>
    <s v="PLA"/>
    <s v="Joaçaba"/>
  </r>
  <r>
    <x v="0"/>
    <s v="283BSC0115"/>
    <n v="0"/>
    <x v="247"/>
    <s v="0115"/>
    <n v="-52.505987949883902"/>
    <n v="-27.093685339806498"/>
    <n v="-52.618126639832397"/>
    <n v="-27.108834450249599"/>
    <s v="283"/>
    <s v="SC"/>
    <s v="Eixo Principal"/>
    <s v="-"/>
    <s v="283BSC0115"/>
    <s v="ACESSO P/ ARVOREDO"/>
    <s v="ENTR BR-480(A) (CHAPECÓ) *TRECHO MUNICIPAL*"/>
    <n v="176.7"/>
    <n v="191.5"/>
    <n v="14.8"/>
    <x v="1"/>
    <m/>
    <m/>
    <s v="Estadual"/>
    <m/>
    <s v="SCT-283"/>
    <s v="PAV"/>
    <s v="Estadual"/>
    <s v="PLA"/>
    <s v="Joaçaba"/>
  </r>
  <r>
    <x v="0"/>
    <s v="283BSC0125"/>
    <n v="0"/>
    <x v="247"/>
    <s v="0125"/>
    <n v="-52.618126639832397"/>
    <n v="-27.108834450249599"/>
    <n v="-52.622694640045502"/>
    <n v="-27.0931230503884"/>
    <s v="283"/>
    <s v="SC"/>
    <s v="Eixo Principal"/>
    <s v="-"/>
    <s v="283BSC0125"/>
    <s v="ENTR BR-480(A) (CHAPECÓ)"/>
    <s v="ENTR BR-480(B) (CHAPECÓ) *TRECHO MUNICIPAL*"/>
    <n v="191.5"/>
    <n v="193.3"/>
    <n v="1.8"/>
    <x v="1"/>
    <m/>
    <s v="480BSC0150"/>
    <s v="Estadual"/>
    <m/>
    <s v="SCT-283"/>
    <s v="PAV"/>
    <s v="Estadual"/>
    <s v="PLA"/>
    <s v="Chapecó"/>
  </r>
  <r>
    <x v="0"/>
    <s v="283BSC0130"/>
    <n v="0"/>
    <x v="247"/>
    <s v="0130"/>
    <n v="-52.622694640045502"/>
    <n v="-27.0931230503884"/>
    <n v="-52.691674460308001"/>
    <n v="-27.094766000250601"/>
    <s v="283"/>
    <s v="SC"/>
    <s v="Eixo Principal"/>
    <s v="-"/>
    <s v="283BSC0130"/>
    <s v="ENTR BR-480(B) (CHAPECÓ)"/>
    <s v="ENTR SC-484 (P/GUATAMBU)"/>
    <n v="193.3"/>
    <n v="200.4"/>
    <n v="7.1"/>
    <x v="1"/>
    <m/>
    <m/>
    <s v="Estadual"/>
    <m/>
    <s v="SCT-283"/>
    <s v="DUP"/>
    <s v="Estadual"/>
    <s v="PLA"/>
    <s v="Chapecó"/>
  </r>
  <r>
    <x v="0"/>
    <s v="283BSC0135"/>
    <n v="0"/>
    <x v="247"/>
    <s v="0135"/>
    <n v="-52.691674460308001"/>
    <n v="-27.094766000250601"/>
    <n v="-52.866724650222402"/>
    <n v="-27.0721302298262"/>
    <s v="283"/>
    <s v="SC"/>
    <s v="Eixo Principal"/>
    <s v="-"/>
    <s v="283BSC0135"/>
    <s v="ENTR SC-484 (P/GUATAMBU)"/>
    <s v="ENTR SC-159 (PLANALTO ALEGRE)"/>
    <n v="200.4"/>
    <n v="221.8"/>
    <n v="21.4"/>
    <x v="1"/>
    <m/>
    <m/>
    <s v="Estadual"/>
    <m/>
    <s v="SCT-283"/>
    <s v="PAV"/>
    <s v="Estadual"/>
    <s v="PLA"/>
    <s v="Chapecó"/>
  </r>
  <r>
    <x v="0"/>
    <s v="283BSC0140"/>
    <n v="0"/>
    <x v="247"/>
    <s v="0140"/>
    <n v="-52.866724650222402"/>
    <n v="-27.0721302298262"/>
    <n v="-52.985537719889798"/>
    <n v="-27.069447939770502"/>
    <s v="283"/>
    <s v="SC"/>
    <s v="Eixo Principal"/>
    <s v="-"/>
    <s v="283BSC0140"/>
    <s v="ENTR SC-159 (PLANALTO ALEGRE)"/>
    <s v="ENTR R. RIO DO SUL (ÁGUAS DE CHAPECÓ)"/>
    <n v="221.8"/>
    <n v="235.6"/>
    <n v="13.8"/>
    <x v="1"/>
    <m/>
    <m/>
    <s v="Estadual"/>
    <m/>
    <s v="SCT-283"/>
    <s v="PAV"/>
    <s v="Estadual"/>
    <s v="PLA"/>
    <s v="Chapecó"/>
  </r>
  <r>
    <x v="0"/>
    <s v="283BSC0147"/>
    <n v="0"/>
    <x v="247"/>
    <s v="0147"/>
    <n v="-52.985537719889798"/>
    <n v="-27.069447939770502"/>
    <n v="-53.006827000165799"/>
    <n v="-27.086575340179699"/>
    <s v="283"/>
    <s v="SC"/>
    <s v="Eixo Principal"/>
    <s v="-"/>
    <s v="283BSC0147"/>
    <s v="ENTR R. RIO DO SUL (ÁGUAS DE CHAPECÓ)"/>
    <s v="ENTR SC-160 (SÃO CARLOS)"/>
    <n v="235.6"/>
    <n v="239"/>
    <n v="3.4"/>
    <x v="1"/>
    <m/>
    <m/>
    <s v="Estadual"/>
    <m/>
    <s v="SCT-283"/>
    <s v="DUP"/>
    <s v="Estadual"/>
    <s v="PLA"/>
    <s v="Chapecó"/>
  </r>
  <r>
    <x v="0"/>
    <s v="283BSC0150"/>
    <n v="0"/>
    <x v="247"/>
    <s v="0150"/>
    <n v="-53.006827000165799"/>
    <n v="-27.086575340179699"/>
    <n v="-53.154308290195303"/>
    <n v="-27.074335350396002"/>
    <s v="283"/>
    <s v="SC"/>
    <s v="Eixo Principal"/>
    <s v="-"/>
    <s v="283BSC0150"/>
    <s v="ENTR SC-160 (SÃO CARLOS)"/>
    <s v="ACESSO DISTR. ILHA REDONDA (PALMITOS)"/>
    <n v="239"/>
    <n v="256.10000000000002"/>
    <n v="17.100000000000001"/>
    <x v="1"/>
    <m/>
    <m/>
    <s v="Estadual"/>
    <m/>
    <s v="SCT-283"/>
    <s v="PAV"/>
    <s v="Estadual"/>
    <s v="PLA"/>
    <s v="Chapecó"/>
  </r>
  <r>
    <x v="0"/>
    <s v="283BSC0155"/>
    <n v="0"/>
    <x v="247"/>
    <s v="0155"/>
    <n v="-53.154308290195303"/>
    <n v="-27.074335350396002"/>
    <n v="-53.224701500273902"/>
    <n v="-27.079946899629601"/>
    <s v="283"/>
    <s v="SC"/>
    <s v="Eixo Principal"/>
    <s v="-"/>
    <s v="283BSC0155"/>
    <s v="ACESSO DISTR. ILHA REDONDA (PALMITOS)"/>
    <s v="ENTR BR-158(A)"/>
    <n v="256.10000000000002"/>
    <n v="265.89999999999998"/>
    <n v="9.8000000000000007"/>
    <x v="1"/>
    <m/>
    <m/>
    <s v="Estadual"/>
    <m/>
    <s v="SCT-283"/>
    <s v="PAV"/>
    <s v="Estadual"/>
    <s v="PLA"/>
    <s v="Chapecó"/>
  </r>
  <r>
    <x v="0"/>
    <s v="283BSC0160"/>
    <n v="0"/>
    <x v="247"/>
    <s v="0160"/>
    <n v="-53.224701500273902"/>
    <n v="-27.079946899629601"/>
    <n v="-53.230086920375001"/>
    <n v="-27.0704636098076"/>
    <s v="283"/>
    <s v="SC"/>
    <s v="Eixo Principal"/>
    <s v="Coinc"/>
    <s v="283BSC0160"/>
    <s v="ENTR BR-158(A)"/>
    <s v="ENTR BR-158(B) (P/CUNHA PORÃ)"/>
    <n v="265.89999999999998"/>
    <n v="267.39999999999998"/>
    <n v="1.5"/>
    <x v="2"/>
    <m/>
    <s v="158BSC1100"/>
    <s v="Federal"/>
    <m/>
    <m/>
    <m/>
    <s v="Federal"/>
    <s v="PAV"/>
    <s v="Chapecó"/>
  </r>
  <r>
    <x v="0"/>
    <s v="283BSC0165"/>
    <n v="0"/>
    <x v="247"/>
    <s v="0165"/>
    <n v="-53.230086920375001"/>
    <n v="-27.0704636098076"/>
    <n v="-53.250250739579897"/>
    <n v="-27.075223320299902"/>
    <s v="283"/>
    <s v="SC"/>
    <s v="Eixo Principal"/>
    <s v="-"/>
    <s v="283BSC0165"/>
    <s v="ENTR BR-158(B) (P/CUNHA PORÃ)"/>
    <s v="ENTR R. DO COMÉRCIO (CAIBI)"/>
    <n v="267.39999999999998"/>
    <n v="270.5"/>
    <n v="3.1"/>
    <x v="1"/>
    <m/>
    <m/>
    <s v="Estadual"/>
    <m/>
    <s v="SCT-283"/>
    <s v="PAV"/>
    <s v="Estadual"/>
    <s v="PLA"/>
    <s v="Chapecó"/>
  </r>
  <r>
    <x v="0"/>
    <s v="283BSC0170"/>
    <n v="0"/>
    <x v="247"/>
    <s v="0170"/>
    <n v="-53.250250739579897"/>
    <n v="-27.075223320299902"/>
    <n v="-53.3955645600563"/>
    <n v="-27.1016959097383"/>
    <s v="283"/>
    <s v="SC"/>
    <s v="Eixo Principal"/>
    <s v="-"/>
    <s v="283BSC0170"/>
    <s v="ENTR R. DO COMÉRCIO (CAIBI)"/>
    <s v="ENTR BR-386 (MONDAÍ)"/>
    <n v="270.5"/>
    <n v="289.7"/>
    <n v="19.2"/>
    <x v="1"/>
    <m/>
    <m/>
    <s v="Estadual"/>
    <m/>
    <s v="SCT-283"/>
    <s v="PAV"/>
    <s v="Estadual"/>
    <s v="PLA"/>
    <s v="Chapecó"/>
  </r>
  <r>
    <x v="0"/>
    <s v="283BSC0190"/>
    <n v="0"/>
    <x v="247"/>
    <s v="0190"/>
    <n v="-53.3955645600563"/>
    <n v="-27.1016959097383"/>
    <n v="-53.703973199903203"/>
    <n v="-27.167926640102301"/>
    <s v="283"/>
    <s v="SC"/>
    <s v="Eixo Principal"/>
    <s v="-"/>
    <s v="283BSC0190"/>
    <s v="ENTR BR-386 (MONDAÍ)"/>
    <s v="ENTR BR-163/SC-163 (DIV SC/RS) (ITAPIRANGA)"/>
    <n v="289.7"/>
    <n v="343.8"/>
    <n v="54.1"/>
    <x v="1"/>
    <m/>
    <m/>
    <s v="Estadual"/>
    <m/>
    <s v="SCT-283"/>
    <s v="LEN"/>
    <s v="Estadual"/>
    <s v="PLA"/>
    <s v="Chapecó"/>
  </r>
  <r>
    <x v="0"/>
    <s v="285ARS1005"/>
    <n v="0"/>
    <x v="248"/>
    <s v="1005"/>
    <n v="-55.981787520277798"/>
    <n v="-28.666142330004501"/>
    <n v="-56.0186778104325"/>
    <n v="-28.606178680001999"/>
    <s v="285"/>
    <s v="RS"/>
    <s v="Acesso"/>
    <s v="-"/>
    <s v="285ARS1005"/>
    <s v="ENTR BR-285/287 (P/SÃO BORJA)"/>
    <s v="FRONT BRASIL/ARGENTINA (PONTE S/ RIO URUGUAI)"/>
    <n v="0"/>
    <n v="7.5"/>
    <n v="7.5"/>
    <x v="2"/>
    <m/>
    <m/>
    <s v="Concessão Federal"/>
    <m/>
    <m/>
    <m/>
    <s v="Federal"/>
    <s v="PAV"/>
    <s v="Santa Maria"/>
  </r>
  <r>
    <x v="0"/>
    <s v="285BRS0070"/>
    <n v="0"/>
    <x v="249"/>
    <s v="0070"/>
    <n v="-49.953276460340298"/>
    <n v="-28.799502760244099"/>
    <n v="-50.0116758295758"/>
    <n v="-28.759821829713601"/>
    <s v="285"/>
    <s v="RS"/>
    <s v="Eixo Principal"/>
    <s v="-"/>
    <s v="285BRS0070"/>
    <s v="DIV SC/RS (SERRA DA ROCINHA)"/>
    <s v="INÍCIO DA PAVIMENTAÇÃO"/>
    <n v="0"/>
    <n v="10.6"/>
    <n v="10.6"/>
    <x v="5"/>
    <s v="EOP"/>
    <m/>
    <s v="Federal"/>
    <m/>
    <m/>
    <m/>
    <s v="Federal"/>
    <s v="N_PAV"/>
    <s v="Vacaria"/>
  </r>
  <r>
    <x v="0"/>
    <s v="285BRS0075"/>
    <n v="0"/>
    <x v="249"/>
    <s v="0075"/>
    <n v="-50.0116758295758"/>
    <n v="-28.759821829713601"/>
    <n v="-50.056403369619701"/>
    <n v="-28.744407029860401"/>
    <s v="285"/>
    <s v="RS"/>
    <s v="Eixo Principal"/>
    <s v="-"/>
    <s v="285BRS0075"/>
    <s v="INÍCIO DA PAVIMENTAÇÃO"/>
    <s v="ENTR BR-020(SÃO JOSÉ DOS AUSENTES)"/>
    <n v="10.6"/>
    <n v="15.4"/>
    <n v="4.8"/>
    <x v="2"/>
    <m/>
    <m/>
    <s v="Federal"/>
    <m/>
    <m/>
    <m/>
    <s v="Federal"/>
    <s v="PAV"/>
    <s v="Vacaria"/>
  </r>
  <r>
    <x v="0"/>
    <s v="285BRS0077"/>
    <n v="0"/>
    <x v="249"/>
    <s v="0077"/>
    <n v="-50.056403369619701"/>
    <n v="-28.744407029860401"/>
    <n v="-50.434563850041599"/>
    <n v="-28.653706490362101"/>
    <s v="285"/>
    <s v="RS"/>
    <s v="Eixo Principal"/>
    <s v="-"/>
    <s v="285BRS0077"/>
    <s v="ENTR RS-020(SÃO JOSÉ DOS AUSENTES)"/>
    <s v="ENTR RS-110 (BOM JESUS)"/>
    <n v="15.4"/>
    <n v="61.9"/>
    <n v="46.5"/>
    <x v="2"/>
    <m/>
    <m/>
    <s v="Federal"/>
    <m/>
    <m/>
    <m/>
    <s v="Federal"/>
    <s v="PAV"/>
    <s v="Vacaria"/>
  </r>
  <r>
    <x v="0"/>
    <s v="285BRS0090"/>
    <n v="0"/>
    <x v="249"/>
    <s v="0090"/>
    <n v="-50.434563850041599"/>
    <n v="-28.653706490362101"/>
    <n v="-50.919690260297202"/>
    <n v="-28.500753730400199"/>
    <s v="285"/>
    <s v="RS"/>
    <s v="Eixo Principal"/>
    <s v="-"/>
    <s v="285BRS0090"/>
    <s v="ENTR RS-110 (BOM JESUS)"/>
    <s v="ENTR BR-116(A) (P/VACARIA)"/>
    <n v="61.9"/>
    <n v="119.1"/>
    <n v="57.2"/>
    <x v="2"/>
    <m/>
    <m/>
    <s v="Federal"/>
    <m/>
    <m/>
    <m/>
    <s v="Federal"/>
    <s v="PAV"/>
    <s v="Vacaria"/>
  </r>
  <r>
    <x v="0"/>
    <s v="285BRS0100"/>
    <n v="0"/>
    <x v="249"/>
    <s v="0100"/>
    <n v="-50.919690260297202"/>
    <n v="-28.500753730400199"/>
    <n v="-50.928847009881501"/>
    <n v="-28.508814520273798"/>
    <s v="285"/>
    <s v="RS"/>
    <s v="Eixo Principal"/>
    <s v="Coinc"/>
    <s v="285BRS0100"/>
    <s v="ENTR BR-116(A) (P/VACARIA)"/>
    <s v="ENTR BR-116(B) (VACARIA)"/>
    <n v="119.1"/>
    <n v="120.3"/>
    <n v="1.2"/>
    <x v="2"/>
    <m/>
    <s v="116BRS3020"/>
    <s v="Federal"/>
    <m/>
    <m/>
    <m/>
    <s v="Federal"/>
    <s v="PAV"/>
    <s v="Vacaria"/>
  </r>
  <r>
    <x v="0"/>
    <s v="285BRS0110"/>
    <n v="0"/>
    <x v="249"/>
    <s v="0110"/>
    <n v="-50.928847009881501"/>
    <n v="-28.508814520273798"/>
    <n v="-51.089549170357799"/>
    <n v="-28.371152030141999"/>
    <s v="285"/>
    <s v="RS"/>
    <s v="Eixo Principal"/>
    <s v="-"/>
    <s v="285BRS0110"/>
    <s v="ENTR BR-116(B) (VACARIA)"/>
    <s v="ENTR RS-456 (P/ESMERALDA)"/>
    <n v="120.3"/>
    <n v="143.6"/>
    <n v="23.3"/>
    <x v="2"/>
    <m/>
    <m/>
    <s v="Federal"/>
    <m/>
    <m/>
    <m/>
    <s v="Federal"/>
    <s v="PAV"/>
    <s v="Vacaria"/>
  </r>
  <r>
    <x v="0"/>
    <s v="285BRS0120"/>
    <n v="0"/>
    <x v="249"/>
    <s v="0120"/>
    <n v="-51.089549170357799"/>
    <n v="-28.371152030141999"/>
    <n v="-51.461769259943303"/>
    <n v="-28.296498809772199"/>
    <s v="285"/>
    <s v="RS"/>
    <s v="Eixo Principal"/>
    <s v="-"/>
    <s v="285BRS0120"/>
    <s v="ENTR RS-456 (P/ESMERALDA)"/>
    <s v="ENTR BR-470(A) (BARRETOS)"/>
    <n v="143.6"/>
    <n v="186.2"/>
    <n v="42.6"/>
    <x v="2"/>
    <m/>
    <m/>
    <s v="Federal"/>
    <m/>
    <m/>
    <m/>
    <s v="Federal"/>
    <s v="PAV"/>
    <s v="Vacaria"/>
  </r>
  <r>
    <x v="0"/>
    <s v="285BRS0130"/>
    <n v="0"/>
    <x v="249"/>
    <s v="0130"/>
    <n v="-51.461769230265702"/>
    <n v="-28.296498819664698"/>
    <n v="-51.525486660380999"/>
    <n v="-28.203277510148901"/>
    <s v="285"/>
    <s v="RS"/>
    <s v="Eixo Principal"/>
    <s v="-"/>
    <s v="285BRS0130"/>
    <s v="ENTR BR-470(A) (BARRETOS)"/>
    <s v="ENTR BR-470(B) (LAGOA VERMELHA)"/>
    <n v="186.2"/>
    <n v="199.6"/>
    <n v="13.4"/>
    <x v="2"/>
    <m/>
    <s v="470BRS0350"/>
    <s v="Federal"/>
    <m/>
    <m/>
    <m/>
    <s v="Federal"/>
    <s v="PAV"/>
    <s v="Passo Fundo"/>
  </r>
  <r>
    <x v="0"/>
    <s v="285BRS0150"/>
    <n v="0"/>
    <x v="249"/>
    <s v="0150"/>
    <n v="-51.525486660380999"/>
    <n v="-28.203277510148901"/>
    <n v="-51.610557600352898"/>
    <n v="-28.224016179602899"/>
    <s v="285"/>
    <s v="RS"/>
    <s v="Eixo Principal"/>
    <s v="-"/>
    <s v="285BRS0150"/>
    <s v="ENTR BR-470(B) (LAGOA VERMELHA)"/>
    <s v="ENTR RS-126(A) (P/SANANDUBA)"/>
    <n v="199.6"/>
    <n v="209.3"/>
    <n v="9.6999999999999993"/>
    <x v="2"/>
    <m/>
    <m/>
    <s v="Federal"/>
    <m/>
    <m/>
    <m/>
    <s v="Federal"/>
    <s v="PAV"/>
    <s v="Passo Fundo"/>
  </r>
  <r>
    <x v="0"/>
    <s v="285BRS0160"/>
    <n v="0"/>
    <x v="249"/>
    <s v="0160"/>
    <n v="-51.610557600352898"/>
    <n v="-28.224016179602899"/>
    <n v="-51.680057619963101"/>
    <n v="-28.272798150314301"/>
    <s v="285"/>
    <s v="RS"/>
    <s v="Eixo Principal"/>
    <s v="-"/>
    <s v="285BRS0160"/>
    <s v="ENTR RS-126(A) (P/SANANDUBA)"/>
    <s v="ENTR RS-126(B) (CASEIROS)"/>
    <n v="209.3"/>
    <n v="216.8"/>
    <n v="7.5"/>
    <x v="2"/>
    <m/>
    <m/>
    <s v="Federal"/>
    <m/>
    <m/>
    <m/>
    <s v="Federal"/>
    <s v="PAV"/>
    <s v="Passo Fundo"/>
  </r>
  <r>
    <x v="0"/>
    <s v="285BRS0170"/>
    <n v="0"/>
    <x v="249"/>
    <s v="0170"/>
    <n v="-51.680057619963101"/>
    <n v="-28.272798150314301"/>
    <n v="-51.848223729841202"/>
    <n v="-28.249117919856001"/>
    <s v="285"/>
    <s v="RS"/>
    <s v="Eixo Principal"/>
    <s v="-"/>
    <s v="285BRS0170"/>
    <s v="ENTR RS-126(B) (CASEIROS)"/>
    <s v="ENTR RS-430 (P/TAPEJARA)"/>
    <n v="216.8"/>
    <n v="236.8"/>
    <n v="20"/>
    <x v="2"/>
    <m/>
    <m/>
    <s v="Federal"/>
    <m/>
    <m/>
    <m/>
    <s v="Federal"/>
    <s v="PAV"/>
    <s v="Passo Fundo"/>
  </r>
  <r>
    <x v="0"/>
    <s v="285BRS0175"/>
    <n v="0"/>
    <x v="249"/>
    <s v="0175"/>
    <n v="-51.848223729841202"/>
    <n v="-28.249117919856001"/>
    <n v="-51.886880870355803"/>
    <n v="-28.2593494204393"/>
    <s v="285"/>
    <s v="RS"/>
    <s v="Eixo Principal"/>
    <s v="-"/>
    <s v="285BRS0175"/>
    <s v="ENTR RS-430 (P/TAPEJARA)"/>
    <s v="ENTR RS-434 (P/CIRÍACO)"/>
    <n v="236.8"/>
    <n v="241.1"/>
    <n v="4.3"/>
    <x v="2"/>
    <m/>
    <m/>
    <s v="Federal"/>
    <m/>
    <m/>
    <m/>
    <s v="Federal"/>
    <s v="PAV"/>
    <s v="Passo Fundo"/>
  </r>
  <r>
    <x v="0"/>
    <s v="285BRS0180"/>
    <n v="0"/>
    <x v="249"/>
    <s v="0180"/>
    <n v="-51.886880870355803"/>
    <n v="-28.2593494204393"/>
    <n v="-52.047935520108098"/>
    <n v="-28.3031467799998"/>
    <s v="285"/>
    <s v="RS"/>
    <s v="Eixo Principal"/>
    <s v="-"/>
    <s v="285BRS0180"/>
    <s v="ENTR RS-434 (P/CIRÍACO)"/>
    <s v="ENTR RS-428(A) (P/ÁGUA SANTA)"/>
    <n v="241.1"/>
    <n v="256.60000000000002"/>
    <n v="15.5"/>
    <x v="2"/>
    <m/>
    <m/>
    <s v="Federal"/>
    <m/>
    <m/>
    <m/>
    <s v="Federal"/>
    <s v="PAV"/>
    <s v="Passo Fundo"/>
  </r>
  <r>
    <x v="0"/>
    <s v="285BRS0183"/>
    <n v="0"/>
    <x v="249"/>
    <s v="0183"/>
    <n v="-52.047935520108098"/>
    <n v="-28.3031467799998"/>
    <n v="-52.3571525101801"/>
    <n v="-28.238346419551501"/>
    <s v="285"/>
    <s v="RS"/>
    <s v="Eixo Principal"/>
    <s v="-"/>
    <s v="285BRS0183"/>
    <s v="ENTR RS-428(A) (P/ÁGUA SANTA)"/>
    <s v="ENTR RS-135(A) (CONTORNO DE PASSO FUNDO)"/>
    <n v="256.60000000000002"/>
    <n v="291.2"/>
    <n v="34.6"/>
    <x v="2"/>
    <m/>
    <m/>
    <s v="Federal"/>
    <m/>
    <m/>
    <m/>
    <s v="Federal"/>
    <s v="PAV"/>
    <s v="Passo Fundo"/>
  </r>
  <r>
    <x v="0"/>
    <s v="285BRS0185"/>
    <n v="0"/>
    <x v="249"/>
    <s v="0185"/>
    <n v="-52.3571525101801"/>
    <n v="-28.238346419551501"/>
    <n v="-52.374118150432203"/>
    <n v="-28.236836470426699"/>
    <s v="285"/>
    <s v="RS"/>
    <s v="Eixo Principal"/>
    <s v="-"/>
    <s v="285BRS0185"/>
    <s v="ENTR RS-135(A) (CONTORNO DE PASSO FUNDO)"/>
    <s v="ENTR RS-135(B) (PASSO FUNDO)"/>
    <n v="291.2"/>
    <n v="292.89999999999998"/>
    <n v="1.7"/>
    <x v="2"/>
    <m/>
    <m/>
    <s v="Federal"/>
    <m/>
    <m/>
    <m/>
    <s v="Federal"/>
    <s v="PAV"/>
    <s v="Passo Fundo"/>
  </r>
  <r>
    <x v="0"/>
    <s v="285BRS0190"/>
    <n v="0"/>
    <x v="249"/>
    <s v="0190"/>
    <n v="-52.374118150432203"/>
    <n v="-28.236836470426699"/>
    <n v="-52.464142629978298"/>
    <n v="-28.220117140093901"/>
    <s v="285"/>
    <s v="RS"/>
    <s v="Eixo Principal"/>
    <s v="-"/>
    <s v="285BRS0190"/>
    <s v="ENTR RS-135(B) (PASSO FUNDO)"/>
    <s v="ENTR BR-153(A) (P/ERECHIM)"/>
    <n v="292.89999999999998"/>
    <n v="302.5"/>
    <n v="9.6"/>
    <x v="2"/>
    <m/>
    <m/>
    <s v="Federal"/>
    <m/>
    <m/>
    <m/>
    <s v="Federal"/>
    <s v="PAV"/>
    <s v="Passo Fundo"/>
  </r>
  <r>
    <x v="0"/>
    <s v="285BRS0191"/>
    <n v="0"/>
    <x v="249"/>
    <s v="0191"/>
    <n v="-52.464142629978298"/>
    <n v="-28.220117140093901"/>
    <n v="-52.480008199718597"/>
    <n v="-28.227342549718799"/>
    <s v="285"/>
    <s v="RS"/>
    <s v="Eixo Principal"/>
    <s v="Coinc"/>
    <s v="285BRS0191"/>
    <s v="ENTR BR-153(A) (P/ERECHIM)"/>
    <s v="ENTR BR-153(B)/RS-324 (P/PONTÃO)"/>
    <n v="302.5"/>
    <n v="304.3"/>
    <n v="1.8"/>
    <x v="2"/>
    <m/>
    <s v="153BRS1670"/>
    <s v="Federal"/>
    <m/>
    <m/>
    <m/>
    <s v="Federal"/>
    <s v="PAV"/>
    <s v="Passo Fundo"/>
  </r>
  <r>
    <x v="0"/>
    <s v="285BRS0210"/>
    <n v="0"/>
    <x v="249"/>
    <s v="0210"/>
    <n v="-52.480008199718597"/>
    <n v="-28.227342549718799"/>
    <n v="-52.743477379677302"/>
    <n v="-28.301696109687601"/>
    <s v="285"/>
    <s v="RS"/>
    <s v="Eixo Principal"/>
    <s v="-"/>
    <s v="285BRS0210"/>
    <s v="ENTR BR-153(B)/RS-324 (P/PONTÃO)"/>
    <s v="ENTR BR-377(A)/386 (CARAZINHO)"/>
    <n v="304.3"/>
    <n v="333.4"/>
    <n v="29.1"/>
    <x v="2"/>
    <m/>
    <m/>
    <s v="Federal"/>
    <m/>
    <m/>
    <m/>
    <s v="Federal"/>
    <s v="PAV"/>
    <s v="Passo Fundo"/>
  </r>
  <r>
    <x v="0"/>
    <s v="285BRS0230"/>
    <n v="0"/>
    <x v="249"/>
    <s v="0230"/>
    <n v="-52.743477379677302"/>
    <n v="-28.301696109687601"/>
    <n v="-52.7913657102592"/>
    <n v="-28.312085069870001"/>
    <s v="285"/>
    <s v="RS"/>
    <s v="Eixo Principal"/>
    <s v="-"/>
    <s v="285BRS0230"/>
    <s v="ENTR BR-377(A)/386 (CARAZINHO)"/>
    <s v="ENTR RS-142 (ACESSO SUL DE CARAZINHO)"/>
    <n v="333.4"/>
    <n v="339.3"/>
    <n v="5.9"/>
    <x v="2"/>
    <m/>
    <s v="377BRS0030"/>
    <s v="Federal"/>
    <m/>
    <m/>
    <m/>
    <s v="Federal"/>
    <s v="PAV"/>
    <s v="Passo Fundo"/>
  </r>
  <r>
    <x v="0"/>
    <s v="285BRS0250"/>
    <n v="0"/>
    <x v="249"/>
    <s v="0250"/>
    <n v="-52.7913657102592"/>
    <n v="-28.312085069870001"/>
    <n v="-53.090057580093202"/>
    <n v="-28.408811809917001"/>
    <s v="285"/>
    <s v="RS"/>
    <s v="Eixo Principal"/>
    <s v="-"/>
    <s v="285BRS0250"/>
    <s v="ENTR RS-142 (ACESSO SUL DE CARAZINHO)"/>
    <s v="ACESSO A SALDANHA MARINHO"/>
    <n v="339.3"/>
    <n v="372.8"/>
    <n v="33.5"/>
    <x v="2"/>
    <m/>
    <s v="377BRS0040"/>
    <s v="Federal"/>
    <m/>
    <m/>
    <m/>
    <s v="Federal"/>
    <s v="PAV"/>
    <s v="Passo Fundo"/>
  </r>
  <r>
    <x v="0"/>
    <s v="285BRS0260"/>
    <n v="0"/>
    <x v="249"/>
    <s v="0260"/>
    <n v="-53.090057580093202"/>
    <n v="-28.408811809917001"/>
    <n v="-53.190686379572597"/>
    <n v="-28.432607509728701"/>
    <s v="285"/>
    <s v="RS"/>
    <s v="Eixo Principal"/>
    <s v="-"/>
    <s v="285BRS0260"/>
    <s v="ACESSO A SALDANHA MARINHO"/>
    <s v="ENTR BR-377(B) (P/CRUZ ALTA)"/>
    <n v="372.8"/>
    <n v="383.9"/>
    <n v="11.1"/>
    <x v="2"/>
    <m/>
    <s v="377BRS0050"/>
    <s v="Federal"/>
    <m/>
    <m/>
    <m/>
    <s v="Federal"/>
    <s v="PAV"/>
    <s v="Passo Fundo"/>
  </r>
  <r>
    <x v="0"/>
    <s v="285BRS0270"/>
    <n v="0"/>
    <x v="249"/>
    <s v="0270"/>
    <n v="-53.190686379572597"/>
    <n v="-28.432607509728701"/>
    <n v="-53.2590053699018"/>
    <n v="-28.386133630162799"/>
    <s v="285"/>
    <s v="RS"/>
    <s v="Eixo Principal"/>
    <s v="-"/>
    <s v="285BRS0270"/>
    <s v="ENTR BR-377(B) (P/CRUZ ALTA)"/>
    <s v="ENTR RS-506 (P/SANTA BÁRBARA DO SUL)"/>
    <n v="383.9"/>
    <n v="390.6"/>
    <n v="6.7"/>
    <x v="2"/>
    <m/>
    <m/>
    <s v="Federal"/>
    <m/>
    <m/>
    <m/>
    <s v="Federal"/>
    <s v="PAV"/>
    <s v="Cruz Alta"/>
  </r>
  <r>
    <x v="0"/>
    <s v="285BRS0290"/>
    <n v="0"/>
    <x v="249"/>
    <s v="0290"/>
    <n v="-53.2590053699018"/>
    <n v="-28.386133630162799"/>
    <n v="-53.503242889647503"/>
    <n v="-28.3500293798519"/>
    <s v="285"/>
    <s v="RS"/>
    <s v="Eixo Principal"/>
    <s v="-"/>
    <s v="285BRS0290"/>
    <s v="ENTR RS-506 (P/SANTA BÁRBARA DO SUL)"/>
    <s v="ENTR BR-158 (P/PANAMBI)"/>
    <n v="390.6"/>
    <n v="415.2"/>
    <n v="24.6"/>
    <x v="2"/>
    <m/>
    <m/>
    <s v="Federal"/>
    <m/>
    <m/>
    <m/>
    <s v="Federal"/>
    <s v="PAV"/>
    <s v="Cruz Alta"/>
  </r>
  <r>
    <x v="0"/>
    <s v="285BRS0310"/>
    <n v="0"/>
    <x v="249"/>
    <s v="0310"/>
    <n v="-53.503242889647503"/>
    <n v="-28.3500293798519"/>
    <n v="-53.665949710010999"/>
    <n v="-28.336490689893299"/>
    <s v="285"/>
    <s v="RS"/>
    <s v="Eixo Principal"/>
    <s v="-"/>
    <s v="285BRS0310"/>
    <s v="ENTR BR-158 (P/PANAMBI)"/>
    <s v="ENTR RS-512 (P/PEJUÇARA)"/>
    <n v="415.2"/>
    <n v="432.3"/>
    <n v="17.100000000000001"/>
    <x v="2"/>
    <m/>
    <m/>
    <s v="Federal"/>
    <m/>
    <m/>
    <m/>
    <s v="Federal"/>
    <s v="PAV"/>
    <s v="Cruz Alta"/>
  </r>
  <r>
    <x v="0"/>
    <s v="285BRS0315"/>
    <n v="0"/>
    <x v="249"/>
    <s v="0315"/>
    <n v="-53.665949710010999"/>
    <n v="-28.336490689893299"/>
    <n v="-53.887627429562201"/>
    <n v="-28.384680799679099"/>
    <s v="285"/>
    <s v="RS"/>
    <s v="Eixo Principal"/>
    <s v="-"/>
    <s v="285BRS0315"/>
    <s v="ENTR RS-512 (P/PEJUÇARA)"/>
    <s v="ENTR RS-155 (IJUI)"/>
    <n v="432.3"/>
    <n v="455.9"/>
    <n v="23.6"/>
    <x v="2"/>
    <m/>
    <m/>
    <s v="Federal"/>
    <m/>
    <m/>
    <m/>
    <s v="Federal"/>
    <s v="PAV"/>
    <s v="Cruz Alta"/>
  </r>
  <r>
    <x v="0"/>
    <s v="285BRS0320"/>
    <n v="0"/>
    <x v="249"/>
    <s v="0320"/>
    <n v="-53.887627429562201"/>
    <n v="-28.384680799679099"/>
    <n v="-53.916188109893298"/>
    <n v="-28.418527730070601"/>
    <s v="285"/>
    <s v="RS"/>
    <s v="Eixo Principal"/>
    <s v="-"/>
    <s v="285BRS0320"/>
    <s v="ENTR RS-155 (IJUI)"/>
    <s v="ENTR RS-342(A) (P/CRUZ ALTA)"/>
    <n v="455.9"/>
    <n v="460.7"/>
    <n v="4.8"/>
    <x v="2"/>
    <m/>
    <m/>
    <s v="Federal"/>
    <m/>
    <m/>
    <m/>
    <s v="Federal"/>
    <s v="PAV"/>
    <s v="Cruz Alta"/>
  </r>
  <r>
    <x v="0"/>
    <s v="285BRS0325"/>
    <n v="0"/>
    <x v="249"/>
    <s v="0325"/>
    <n v="-53.916188109893298"/>
    <n v="-28.418527730070601"/>
    <n v="-53.955177090350297"/>
    <n v="-28.401091270445701"/>
    <s v="285"/>
    <s v="RS"/>
    <s v="Eixo Principal"/>
    <s v="-"/>
    <s v="285BRS0325"/>
    <s v="ENTR RS-342(A) (P/CRUZ ALTA)"/>
    <s v="ENTR RS-342(B) (P/CATUIPE)"/>
    <n v="460.7"/>
    <n v="465.1"/>
    <n v="4.4000000000000004"/>
    <x v="2"/>
    <m/>
    <m/>
    <s v="Federal"/>
    <m/>
    <m/>
    <m/>
    <s v="Federal"/>
    <s v="PAV"/>
    <s v="Cruz Alta"/>
  </r>
  <r>
    <x v="0"/>
    <s v="285BRS0330"/>
    <n v="0"/>
    <x v="249"/>
    <s v="0330"/>
    <n v="-53.955177090350297"/>
    <n v="-28.401091270445701"/>
    <n v="-54.261940819812899"/>
    <n v="-28.377614630310902"/>
    <s v="285"/>
    <s v="RS"/>
    <s v="Eixo Principal"/>
    <s v="-"/>
    <s v="285BRS0330"/>
    <s v="ENTR RS-342(B) (P/CATUIPE)"/>
    <s v="ENTR BR-392/RS-344 (P/SANTO ÂNGELO)"/>
    <n v="465.1"/>
    <n v="496.4"/>
    <n v="31.3"/>
    <x v="2"/>
    <m/>
    <m/>
    <s v="Federal"/>
    <m/>
    <m/>
    <m/>
    <s v="Federal"/>
    <s v="PAV"/>
    <s v="Cruz Alta"/>
  </r>
  <r>
    <x v="0"/>
    <s v="285BRS0350"/>
    <n v="0"/>
    <x v="249"/>
    <s v="0350"/>
    <n v="-54.261940819812899"/>
    <n v="-28.377614630310902"/>
    <n v="-54.575048000065102"/>
    <n v="-28.410883259754499"/>
    <s v="285"/>
    <s v="RS"/>
    <s v="Eixo Principal"/>
    <s v="-"/>
    <s v="285BRS0350"/>
    <s v="ENTR BR-392/RS-344 (P/SANTO ÂNGELO)"/>
    <s v="ENTR RS-536(A) (P/SÃO MIGUEL DAS MISSÕES)"/>
    <n v="496.4"/>
    <n v="528.29999999999995"/>
    <n v="31.9"/>
    <x v="2"/>
    <m/>
    <m/>
    <s v="Federal"/>
    <m/>
    <m/>
    <m/>
    <s v="Federal"/>
    <s v="PAV"/>
    <s v="Cruz Alta"/>
  </r>
  <r>
    <x v="0"/>
    <s v="285BRS0355"/>
    <n v="0"/>
    <x v="249"/>
    <s v="0355"/>
    <n v="-54.575048000065102"/>
    <n v="-28.410883259754499"/>
    <n v="-54.650746190384297"/>
    <n v="-28.401023330262401"/>
    <s v="285"/>
    <s v="RS"/>
    <s v="Eixo Principal"/>
    <s v="-"/>
    <s v="285BRS0355"/>
    <s v="ENTR RS-536(A) (P/SÃO MIGUEL DAS MISSÕES)"/>
    <s v="ENTR RS-536(B) (P/CAIBATÉ)"/>
    <n v="528.29999999999995"/>
    <n v="535.9"/>
    <n v="7.6"/>
    <x v="2"/>
    <m/>
    <m/>
    <s v="Federal"/>
    <m/>
    <m/>
    <m/>
    <s v="Federal"/>
    <s v="PAV"/>
    <s v="Cruz Alta"/>
  </r>
  <r>
    <x v="0"/>
    <s v="285BRS0360"/>
    <n v="0"/>
    <x v="249"/>
    <s v="0360"/>
    <n v="-54.650746190384297"/>
    <n v="-28.401023330262401"/>
    <n v="-54.697435739967297"/>
    <n v="-28.407868270004499"/>
    <s v="285"/>
    <s v="RS"/>
    <s v="Eixo Principal"/>
    <s v="-"/>
    <s v="285BRS0360"/>
    <s v="ENTR RS-536(B) (P/CAIBATÉ)"/>
    <s v="ENTR RS-542 (P/SÃO LOURENÇO DAS MISSÕES)"/>
    <n v="535.9"/>
    <n v="540.5"/>
    <n v="4.5999999999999996"/>
    <x v="2"/>
    <m/>
    <m/>
    <s v="Federal"/>
    <m/>
    <m/>
    <m/>
    <s v="Federal"/>
    <s v="PAV"/>
    <s v="Cruz Alta"/>
  </r>
  <r>
    <x v="0"/>
    <s v="285BRS0362"/>
    <n v="0"/>
    <x v="249"/>
    <s v="0362"/>
    <n v="-54.697435739967297"/>
    <n v="-28.407868270004499"/>
    <n v="-54.964049289742803"/>
    <n v="-28.4183821298314"/>
    <s v="285"/>
    <s v="RS"/>
    <s v="Eixo Principal"/>
    <s v="-"/>
    <s v="285BRS0362"/>
    <s v="ENTR RS-542 (P/SÃO LOURENÇO DAS MISSÕES)"/>
    <s v="ENTR RS-165/168(A) (P/SÃO LUIZ GONZAGA)"/>
    <n v="540.5"/>
    <n v="566.70000000000005"/>
    <n v="26.2"/>
    <x v="2"/>
    <m/>
    <m/>
    <s v="Federal"/>
    <m/>
    <m/>
    <m/>
    <s v="Federal"/>
    <s v="PAV"/>
    <s v="Cruz Alta"/>
  </r>
  <r>
    <x v="0"/>
    <s v="285BRS0365"/>
    <n v="0"/>
    <x v="249"/>
    <s v="0365"/>
    <n v="-54.964049289742803"/>
    <n v="-28.4183821298314"/>
    <n v="-54.9886845399595"/>
    <n v="-28.413450440185599"/>
    <s v="285"/>
    <s v="RS"/>
    <s v="Eixo Principal"/>
    <s v="-"/>
    <s v="285BRS0365"/>
    <s v="ENTR RS-165/168(A) (P/SÃO LUIZ GONZAGA)"/>
    <s v="ENTR RS-168(B) (P/ROQUE GONZALES)"/>
    <n v="566.70000000000005"/>
    <n v="569.29999999999995"/>
    <n v="2.6"/>
    <x v="2"/>
    <m/>
    <m/>
    <s v="Federal"/>
    <m/>
    <m/>
    <m/>
    <s v="Federal"/>
    <s v="PAV"/>
    <s v="Cruz Alta"/>
  </r>
  <r>
    <x v="0"/>
    <s v="285BRS0370"/>
    <n v="0"/>
    <x v="249"/>
    <s v="0370"/>
    <n v="-54.9886845399595"/>
    <n v="-28.413450440185599"/>
    <n v="-55.541176220306198"/>
    <n v="-28.5368238703252"/>
    <s v="285"/>
    <s v="RS"/>
    <s v="Eixo Principal"/>
    <s v="-"/>
    <s v="285BRS0370"/>
    <s v="ENTR RS-168(B) (P/ROQUE GONZALES)"/>
    <s v="ENTR RS-176 (P/SÃO JOSÉ)"/>
    <n v="569.29999999999995"/>
    <n v="626.20000000000005"/>
    <n v="56.9"/>
    <x v="2"/>
    <m/>
    <m/>
    <s v="Federal"/>
    <m/>
    <m/>
    <m/>
    <s v="Federal"/>
    <s v="PAV"/>
    <s v="Cruz Alta"/>
  </r>
  <r>
    <x v="0"/>
    <s v="285BRS0390"/>
    <n v="0"/>
    <x v="249"/>
    <s v="0390"/>
    <n v="-55.541176220306198"/>
    <n v="-28.5368238703252"/>
    <n v="-55.965770250196798"/>
    <n v="-28.672843770323698"/>
    <s v="285"/>
    <s v="RS"/>
    <s v="Eixo Principal"/>
    <s v="-"/>
    <s v="285BRS0390"/>
    <s v="ENTR RS-176 (P/SÃO JOSÉ)"/>
    <s v="ENTR BR-287(A)/472"/>
    <n v="626.20000000000005"/>
    <n v="670.7"/>
    <n v="44.5"/>
    <x v="2"/>
    <m/>
    <m/>
    <s v="Federal"/>
    <m/>
    <m/>
    <m/>
    <s v="Federal"/>
    <s v="PAV"/>
    <s v="Cruz Alta"/>
  </r>
  <r>
    <x v="0"/>
    <s v="285BRS0391"/>
    <n v="0"/>
    <x v="249"/>
    <s v="0391"/>
    <n v="-55.965770250196798"/>
    <n v="-28.672843770323698"/>
    <n v="-55.981787520277798"/>
    <n v="-28.666142330004501"/>
    <s v="285"/>
    <s v="RS"/>
    <s v="Eixo Principal"/>
    <s v="-"/>
    <s v="285BRS0391"/>
    <s v="ENTR BR-287(A)/472"/>
    <s v="ACESSO FRONTEIRA BRASIL/ARGENTINA"/>
    <n v="670.7"/>
    <n v="672.4"/>
    <n v="1.7"/>
    <x v="2"/>
    <m/>
    <s v="287BRS0450"/>
    <s v="Federal"/>
    <m/>
    <m/>
    <m/>
    <s v="Federal"/>
    <s v="PAV"/>
    <s v="Cruz Alta"/>
  </r>
  <r>
    <x v="0"/>
    <s v="285BRS0392"/>
    <n v="0"/>
    <x v="249"/>
    <s v="0392"/>
    <n v="-55.981787520277798"/>
    <n v="-28.666142330004501"/>
    <n v="-55.984065000299402"/>
    <n v="-28.665137549857999"/>
    <s v="285"/>
    <s v="RS"/>
    <s v="Eixo Principal"/>
    <s v="-"/>
    <s v="285BRS0392"/>
    <s v="ACESSO FRONTEIRA BRASIL/ARGENTINA"/>
    <s v="ENTR AV. ULISSES GUIMARÃES (SÃO BORJA)"/>
    <n v="672.4"/>
    <n v="672.6"/>
    <n v="0.2"/>
    <x v="2"/>
    <m/>
    <s v="287BRS0451"/>
    <s v="Federal"/>
    <m/>
    <m/>
    <m/>
    <s v="Federal"/>
    <s v="PAV"/>
    <s v="Cruz Alta"/>
  </r>
  <r>
    <x v="0"/>
    <s v="285BSC0010"/>
    <n v="0"/>
    <x v="250"/>
    <s v="0010"/>
    <n v="-49.497512850137802"/>
    <n v="-28.939332270268"/>
    <n v="-49.600547630168897"/>
    <n v="-29.0265213996428"/>
    <s v="285"/>
    <s v="SC"/>
    <s v="Eixo Principal"/>
    <s v="Coinc"/>
    <s v="285BSC0010"/>
    <s v="ENTR BR-101(A) (ARARANGUÁ)"/>
    <s v="ENTR BR-101(B)/SC-285 (SANGA DA TOCA)"/>
    <n v="0"/>
    <n v="14.1"/>
    <n v="14.1"/>
    <x v="0"/>
    <m/>
    <s v="101BSC4240"/>
    <s v="Federal"/>
    <m/>
    <m/>
    <m/>
    <s v="Federal"/>
    <s v="PAV"/>
    <s v="Tubarão"/>
  </r>
  <r>
    <x v="0"/>
    <s v="285BSC0015"/>
    <n v="0"/>
    <x v="250"/>
    <s v="0015"/>
    <n v="-49.600547630168897"/>
    <n v="-29.0265213996428"/>
    <n v="-49.6425010899532"/>
    <n v="-28.984750709977199"/>
    <s v="285"/>
    <s v="SC"/>
    <s v="Eixo Principal"/>
    <s v="-"/>
    <s v="285BSC0015"/>
    <s v="ENTR BR-101(B)/SC-285 (SANGA DA TOCA)"/>
    <s v="ENTR SC-108(A) (ERMO)"/>
    <n v="14.1"/>
    <n v="20.5"/>
    <n v="6.4"/>
    <x v="1"/>
    <m/>
    <m/>
    <s v="Estadual"/>
    <m/>
    <s v="SCT-285"/>
    <s v="PAV"/>
    <s v="Estadual"/>
    <s v="PLA"/>
    <s v="Tubarão"/>
  </r>
  <r>
    <x v="0"/>
    <s v="285BSC0020"/>
    <n v="0"/>
    <x v="250"/>
    <s v="0020"/>
    <n v="-49.6425010899532"/>
    <n v="-28.984750709977199"/>
    <n v="-49.682045899998201"/>
    <n v="-28.9278263503057"/>
    <s v="285"/>
    <s v="SC"/>
    <s v="Eixo Principal"/>
    <s v="-"/>
    <s v="285BSC0020"/>
    <s v="ENTR SC-108(A) (ERMO)"/>
    <s v="ENTR SC-108(B) (TURVO)"/>
    <n v="20.5"/>
    <n v="28.6"/>
    <n v="8.1"/>
    <x v="1"/>
    <m/>
    <m/>
    <s v="Estadual"/>
    <m/>
    <s v="SCT-285"/>
    <s v="PAV"/>
    <s v="Estadual"/>
    <s v="PLA"/>
    <s v="Tubarão"/>
  </r>
  <r>
    <x v="0"/>
    <s v="285BSC0030"/>
    <n v="0"/>
    <x v="250"/>
    <s v="0030"/>
    <n v="-49.682045899998201"/>
    <n v="-28.9278263503057"/>
    <n v="-49.846706920188097"/>
    <n v="-28.8327582901629"/>
    <s v="285"/>
    <s v="SC"/>
    <s v="Eixo Principal"/>
    <s v="-"/>
    <s v="285BSC0030"/>
    <s v="ENTR SC-108(B) (TURVO)"/>
    <s v="ENTR R. PEDRO ZILLI (TIMBÉ DO SUL)"/>
    <n v="28.6"/>
    <n v="49.4"/>
    <n v="20.8"/>
    <x v="1"/>
    <m/>
    <m/>
    <s v="Estadual"/>
    <m/>
    <s v="SCT-285"/>
    <s v="PAV"/>
    <s v="Estadual"/>
    <s v="PLA"/>
    <s v="Tubarão"/>
  </r>
  <r>
    <x v="0"/>
    <s v="285BSC0050"/>
    <n v="0"/>
    <x v="250"/>
    <s v="0050"/>
    <n v="-49.846706920188097"/>
    <n v="-28.8327582901629"/>
    <n v="-49.953276460340298"/>
    <n v="-28.799502760244099"/>
    <s v="285"/>
    <s v="SC"/>
    <s v="Eixo Principal"/>
    <s v="-"/>
    <s v="285BSC0050"/>
    <s v="ENTR R. PEDRO ZILLI (TIMBÉ DO SUL)"/>
    <s v="DIV SC/RS"/>
    <n v="49.4"/>
    <n v="69.7"/>
    <n v="20.3"/>
    <x v="5"/>
    <s v="EOP"/>
    <m/>
    <s v="Federal"/>
    <m/>
    <m/>
    <m/>
    <s v="Federal"/>
    <s v="N_PAV"/>
    <s v="Tubarão"/>
  </r>
  <r>
    <x v="0"/>
    <s v="287ARS1005"/>
    <n v="0"/>
    <x v="251"/>
    <s v="1005"/>
    <n v="-53.715539119934398"/>
    <n v="-29.705489580379702"/>
    <n v="-53.716548789694798"/>
    <n v="-29.711004920140901"/>
    <s v="287"/>
    <s v="RS"/>
    <s v="Acesso"/>
    <s v="-"/>
    <s v="287ARS1005"/>
    <s v="ENTR BR-287 (KM 233,5)"/>
    <s v="PÓRTICO DE ENTRADA DA UFSM"/>
    <n v="0"/>
    <n v="0.7"/>
    <n v="0.7"/>
    <x v="0"/>
    <m/>
    <m/>
    <s v="Federal"/>
    <m/>
    <m/>
    <m/>
    <s v="Federal"/>
    <s v="PAV"/>
    <s v="Santa Maria"/>
  </r>
  <r>
    <x v="0"/>
    <s v="287ARS2005"/>
    <n v="0"/>
    <x v="251"/>
    <s v="2005"/>
    <n v="-54.6652796995984"/>
    <n v="-29.684611540290199"/>
    <n v="-54.676066759972898"/>
    <n v="-29.6861183903513"/>
    <s v="287"/>
    <s v="RS"/>
    <s v="Acesso"/>
    <s v="-"/>
    <s v="287ARS2005"/>
    <s v="ENTR BR-287"/>
    <s v="ACESSO SÃO VICENTE DO SUL"/>
    <n v="0"/>
    <n v="1.1000000000000001"/>
    <n v="1.1000000000000001"/>
    <x v="1"/>
    <m/>
    <m/>
    <s v="Estadual"/>
    <m/>
    <s v="ERS-241"/>
    <s v="PAV"/>
    <s v="Estadual"/>
    <s v="PLA"/>
    <s v="Santa Maria"/>
  </r>
  <r>
    <x v="0"/>
    <s v="287BRS0010"/>
    <n v="0"/>
    <x v="252"/>
    <s v="0010"/>
    <n v="-51.453777000208298"/>
    <n v="-29.669667999578401"/>
    <n v="-51.474404189701502"/>
    <n v="-29.686069219918501"/>
    <s v="287"/>
    <s v="RS"/>
    <s v="Eixo Principal"/>
    <s v="-"/>
    <s v="287BRS0010"/>
    <s v="ENTR BR-470(A) (P/MONTENEGRO)"/>
    <s v="ENTR BR-470(B) (P/TRIUNFO)"/>
    <n v="0"/>
    <n v="3.2"/>
    <n v="3.2"/>
    <x v="1"/>
    <m/>
    <s v="470BRS0480"/>
    <s v="Estadual"/>
    <m/>
    <s v="RST-287"/>
    <s v="PAV"/>
    <s v="Estadual"/>
    <s v="PLA"/>
    <s v="Passo Fundo"/>
  </r>
  <r>
    <x v="0"/>
    <s v="287BRS0020"/>
    <n v="0"/>
    <x v="252"/>
    <s v="0020"/>
    <n v="-51.474404189701502"/>
    <n v="-29.686069219918501"/>
    <n v="-51.652029209680201"/>
    <n v="-29.706216139962802"/>
    <s v="287"/>
    <s v="RS"/>
    <s v="Eixo Principal"/>
    <s v="-"/>
    <s v="287BRS0020"/>
    <s v="ENTR BR-470(B) (P/TRIUNFO)"/>
    <s v="ENTR BR-386(A)"/>
    <n v="3.2"/>
    <n v="21.4"/>
    <n v="18.2"/>
    <x v="1"/>
    <m/>
    <m/>
    <s v="Estadual"/>
    <m/>
    <s v="RST-287"/>
    <s v="PAV"/>
    <s v="Estadual"/>
    <s v="PLA"/>
    <s v="Passo Fundo"/>
  </r>
  <r>
    <x v="0"/>
    <s v="287BRS0030"/>
    <n v="0"/>
    <x v="252"/>
    <s v="0030"/>
    <n v="-51.652029209680201"/>
    <n v="-29.706216139962802"/>
    <n v="-51.7121409501447"/>
    <n v="-29.690035570085399"/>
    <s v="287"/>
    <s v="RS"/>
    <s v="Eixo Principal"/>
    <s v="-"/>
    <s v="287BRS0030"/>
    <s v="ENTR BR-386(A)"/>
    <s v="ENTR BR-386(B) (TABAÍ)"/>
    <n v="21.4"/>
    <n v="27.7"/>
    <n v="6.3"/>
    <x v="1"/>
    <m/>
    <s v="386BRS0271"/>
    <s v="Estadual; Convênio de Administração"/>
    <m/>
    <s v="RSC-287"/>
    <s v="DUP"/>
    <s v="Estadual"/>
    <s v="PLA"/>
    <s v="Passo Fundo"/>
  </r>
  <r>
    <x v="0"/>
    <s v="287BRS0035"/>
    <n v="0"/>
    <x v="252"/>
    <s v="0035"/>
    <n v="-51.7121409501447"/>
    <n v="-29.690035570085399"/>
    <n v="-51.792412050075903"/>
    <n v="-29.703703589748802"/>
    <s v="287"/>
    <s v="RS"/>
    <s v="Eixo Principal"/>
    <s v="-"/>
    <s v="287BRS0035"/>
    <s v="ENTR BR-386(B) (TABAÍ)"/>
    <s v="ENTR RS-436 (P/TAQUARI)"/>
    <n v="27.7"/>
    <n v="36.4"/>
    <n v="8.6999999999999993"/>
    <x v="1"/>
    <m/>
    <m/>
    <s v="Estadual"/>
    <m/>
    <s v="RST-287"/>
    <s v="PAV"/>
    <s v="Estadual"/>
    <s v="PLA"/>
    <s v="Passo Fundo"/>
  </r>
  <r>
    <x v="0"/>
    <s v="287BRS0045"/>
    <n v="0"/>
    <x v="252"/>
    <s v="0045"/>
    <n v="-51.792412050075903"/>
    <n v="-29.703703589748802"/>
    <n v="-51.967462480109297"/>
    <n v="-29.6867735500592"/>
    <s v="287"/>
    <s v="RS"/>
    <s v="Eixo Principal"/>
    <s v="-"/>
    <s v="287BRS0045"/>
    <s v="ENTR RS-436 (P/TAQUARI)"/>
    <s v="INÍCIO PONTE S/RIO TAQUARI"/>
    <n v="36.4"/>
    <n v="54.3"/>
    <n v="17.899999999999999"/>
    <x v="1"/>
    <m/>
    <m/>
    <s v="Estadual"/>
    <m/>
    <s v="RST-287"/>
    <s v="PAV"/>
    <s v="Estadual"/>
    <s v="PLA"/>
    <s v="Passo Fundo"/>
  </r>
  <r>
    <x v="0"/>
    <s v="287BRS0050"/>
    <n v="0"/>
    <x v="252"/>
    <s v="0050"/>
    <n v="-51.967462480109297"/>
    <n v="-29.6867735500592"/>
    <n v="-51.975941300050899"/>
    <n v="-29.6879096501102"/>
    <s v="287"/>
    <s v="RS"/>
    <s v="Eixo Principal"/>
    <s v="-"/>
    <s v="287BRS0050"/>
    <s v="INÍCIO PONTE S/RIO TAQUARI"/>
    <s v="ENTR RS-130 (P/MARIANTE)"/>
    <n v="54.3"/>
    <n v="55.2"/>
    <n v="0.9"/>
    <x v="1"/>
    <m/>
    <m/>
    <s v="Estadual"/>
    <m/>
    <s v="RST-287"/>
    <s v="PAV"/>
    <s v="Estadual"/>
    <s v="PLA"/>
    <s v="Passo Fundo"/>
  </r>
  <r>
    <x v="0"/>
    <s v="287BRS0065"/>
    <n v="0"/>
    <x v="252"/>
    <s v="0065"/>
    <n v="-51.975941300050899"/>
    <n v="-29.6879096501102"/>
    <n v="-52.197059840039501"/>
    <n v="-29.648110670071301"/>
    <s v="287"/>
    <s v="RS"/>
    <s v="Eixo Principal"/>
    <s v="-"/>
    <s v="287BRS0065"/>
    <s v="ENTR RS-130 (P/MARIANTE)"/>
    <s v="ENTR BR-453/RS-244 (P/LAJEADO)"/>
    <n v="55.2"/>
    <n v="78.2"/>
    <n v="23"/>
    <x v="1"/>
    <m/>
    <m/>
    <s v="Estadual"/>
    <m/>
    <s v="RST-287"/>
    <s v="PAV"/>
    <s v="Estadual"/>
    <s v="PLA"/>
    <s v="Passo Fundo"/>
  </r>
  <r>
    <x v="0"/>
    <s v="287BRS0070"/>
    <n v="0"/>
    <x v="252"/>
    <s v="0070"/>
    <n v="-52.197059840039501"/>
    <n v="-29.648110670071301"/>
    <n v="-52.326671240385302"/>
    <n v="-29.6805893098486"/>
    <s v="287"/>
    <s v="RS"/>
    <s v="Eixo Principal"/>
    <s v="-"/>
    <s v="287BRS0070"/>
    <s v="ENTR BR-453/RS-244 (P/LAJEADO)"/>
    <s v="ENTR RS-405 (P/PASSO DO SOBRADO)"/>
    <n v="78.2"/>
    <n v="91.1"/>
    <n v="12.9"/>
    <x v="1"/>
    <m/>
    <m/>
    <s v="Estadual"/>
    <m/>
    <s v="RST-287"/>
    <s v="PAV"/>
    <s v="Estadual"/>
    <s v="PLA"/>
    <s v="Passo Fundo"/>
  </r>
  <r>
    <x v="0"/>
    <s v="287BRS0080"/>
    <n v="0"/>
    <x v="252"/>
    <s v="0080"/>
    <n v="-52.326671240385302"/>
    <n v="-29.6805893098486"/>
    <n v="-52.402193230133399"/>
    <n v="-29.6898549799233"/>
    <s v="287"/>
    <s v="RS"/>
    <s v="Eixo Principal"/>
    <s v="-"/>
    <s v="287BRS0080"/>
    <s v="ENTR RS-405 (P/PASSO DO SOBRADO)"/>
    <s v="ENTR RS-418 (P/MONTE ALVERNE)"/>
    <n v="91.1"/>
    <n v="99"/>
    <n v="7.9"/>
    <x v="1"/>
    <m/>
    <m/>
    <s v="Estadual"/>
    <m/>
    <s v="RST-287"/>
    <s v="PAV"/>
    <s v="Estadual"/>
    <s v="PLA"/>
    <s v="Passo Fundo"/>
  </r>
  <r>
    <x v="0"/>
    <s v="287BRS0085"/>
    <n v="0"/>
    <x v="252"/>
    <s v="0085"/>
    <n v="-52.402193230133399"/>
    <n v="-29.6898549799233"/>
    <n v="-52.449745350067801"/>
    <n v="-29.689495760121101"/>
    <s v="287"/>
    <s v="RS"/>
    <s v="Eixo Principal"/>
    <s v="-"/>
    <s v="287BRS0085"/>
    <s v="ENTR RS-418 (P/MONTE ALVERNE)"/>
    <s v="ENTR BR-471(A) (P/SANTA CRUZ DO SUL)"/>
    <n v="99"/>
    <n v="104.2"/>
    <n v="5.2"/>
    <x v="1"/>
    <m/>
    <m/>
    <s v="Estadual"/>
    <m/>
    <s v="RST-287"/>
    <s v="PAV"/>
    <s v="Estadual"/>
    <s v="PLA"/>
    <s v="Passo Fundo"/>
  </r>
  <r>
    <x v="0"/>
    <s v="287BRS0090"/>
    <n v="0"/>
    <x v="252"/>
    <s v="0090"/>
    <n v="-52.449745350067801"/>
    <n v="-29.689495760121101"/>
    <n v="-52.560991790238802"/>
    <n v="-29.703069150420902"/>
    <s v="287"/>
    <s v="RS"/>
    <s v="Eixo Principal"/>
    <s v="-"/>
    <s v="287BRS0090"/>
    <s v="ENTR BR-471(A) (P/SANTA CRUZ DO SUL)"/>
    <s v="ENTR BR-471(B)/153(A) (VERA CRUZ)"/>
    <n v="104.2"/>
    <n v="115.2"/>
    <n v="11"/>
    <x v="1"/>
    <m/>
    <s v="471BRS0040"/>
    <s v="Estadual"/>
    <m/>
    <s v="RST-287"/>
    <s v="PAV"/>
    <s v="Estadual"/>
    <s v="PLA"/>
    <s v="Passo Fundo"/>
  </r>
  <r>
    <x v="0"/>
    <s v="287BRS0120"/>
    <n v="0"/>
    <x v="252"/>
    <s v="0120"/>
    <n v="-52.560991790238802"/>
    <n v="-29.703069150420902"/>
    <n v="-52.781009950348903"/>
    <n v="-29.681610870445201"/>
    <s v="287"/>
    <s v="RS"/>
    <s v="Eixo Principal"/>
    <s v="Coinc"/>
    <s v="287BRS0120"/>
    <s v="ENTR BR-471(B)/153(A) (VERA CRUZ)"/>
    <s v="ENTR RS-410 (CANDELÁRIA)"/>
    <n v="115.2"/>
    <n v="138.1"/>
    <n v="22.9"/>
    <x v="1"/>
    <m/>
    <s v="153BRS1760"/>
    <s v="Estadual"/>
    <m/>
    <s v="RST-287"/>
    <s v="PAV"/>
    <s v="Estadual"/>
    <s v="PLA"/>
    <s v="Passo Fundo"/>
  </r>
  <r>
    <x v="0"/>
    <s v="287BRS0130"/>
    <n v="0"/>
    <x v="252"/>
    <s v="0130"/>
    <n v="-52.781009950348903"/>
    <n v="-29.681610870445201"/>
    <n v="-52.796363300425902"/>
    <n v="-29.681182730198699"/>
    <s v="287"/>
    <s v="RS"/>
    <s v="Eixo Principal"/>
    <s v="Coinc"/>
    <s v="287BRS0130"/>
    <s v="ENTR RS-410 (CANDELÁRIA)"/>
    <s v="ENTR RS-400 (P/SOBRADINHO)"/>
    <n v="138.1"/>
    <n v="139.6"/>
    <n v="1.5"/>
    <x v="1"/>
    <m/>
    <s v="153BRS1770"/>
    <s v="Estadual"/>
    <m/>
    <s v="RST-287"/>
    <s v="PAV"/>
    <s v="Estadual"/>
    <s v="PLA"/>
    <s v="Passo Fundo"/>
  </r>
  <r>
    <x v="0"/>
    <s v="287BRS0140"/>
    <n v="0"/>
    <x v="252"/>
    <s v="0140"/>
    <n v="-52.796363300425902"/>
    <n v="-29.681182730198699"/>
    <n v="-52.946089540199999"/>
    <n v="-29.731983650125301"/>
    <s v="287"/>
    <s v="RS"/>
    <s v="Eixo Principal"/>
    <s v="Coinc"/>
    <s v="287BRS0140"/>
    <s v="ENTR RS-400 (P/SOBRADINHO)"/>
    <s v="ENTR BR-481 (NOVO CABRAIS)"/>
    <n v="139.6"/>
    <n v="156"/>
    <n v="16.399999999999999"/>
    <x v="1"/>
    <m/>
    <s v="153BRS1775"/>
    <s v="Estadual"/>
    <m/>
    <s v="RST-287"/>
    <s v="PAV"/>
    <s v="Estadual"/>
    <s v="PLA"/>
    <s v="Passo Fundo"/>
  </r>
  <r>
    <x v="0"/>
    <s v="287BRS0150"/>
    <n v="0"/>
    <x v="252"/>
    <s v="0150"/>
    <n v="-52.946089540199999"/>
    <n v="-29.731983650125301"/>
    <n v="-52.961176660374498"/>
    <n v="-29.739817889983598"/>
    <s v="287"/>
    <s v="RS"/>
    <s v="Eixo Principal"/>
    <s v="Coinc"/>
    <s v="287BRS0150"/>
    <s v="ENTR BR-481 (NOVO CABRAIS)"/>
    <s v="ENTR BR-153(B) (P/CACHOEIRA DO SUL)"/>
    <n v="156"/>
    <n v="157.69999999999999"/>
    <n v="1.7"/>
    <x v="1"/>
    <m/>
    <s v="153BRS1780"/>
    <s v="Estadual"/>
    <m/>
    <s v="RST-287"/>
    <s v="PAV"/>
    <s v="Estadual"/>
    <s v="PLA"/>
    <s v="Santa Maria"/>
  </r>
  <r>
    <x v="0"/>
    <s v="287BRS0170"/>
    <n v="0"/>
    <x v="252"/>
    <s v="0170"/>
    <n v="-52.961176660374498"/>
    <n v="-29.739817889983598"/>
    <n v="-53.149470530240698"/>
    <n v="-29.741669899845899"/>
    <s v="287"/>
    <s v="RS"/>
    <s v="Eixo Principal"/>
    <s v="-"/>
    <s v="287BRS0170"/>
    <s v="ENTR BR-153(B) (P/CACHOEIRA DO SUL)"/>
    <s v="ENTR RS-502 (P/CONTENDA)"/>
    <n v="157.69999999999999"/>
    <n v="176.2"/>
    <n v="18.5"/>
    <x v="1"/>
    <m/>
    <m/>
    <s v="Estadual"/>
    <m/>
    <s v="RST-287"/>
    <s v="PAV"/>
    <s v="Estadual"/>
    <s v="PLA"/>
    <s v="Santa Maria"/>
  </r>
  <r>
    <x v="0"/>
    <s v="287BRS0172"/>
    <n v="0"/>
    <x v="252"/>
    <s v="0172"/>
    <n v="-53.149470530240698"/>
    <n v="-29.741669899845899"/>
    <n v="-53.170630559952301"/>
    <n v="-29.734429639716002"/>
    <s v="287"/>
    <s v="RS"/>
    <s v="Eixo Principal"/>
    <s v="-"/>
    <s v="287BRS0172"/>
    <s v="ENTR RS-502 (P/CONTENDA)"/>
    <s v="ACESSO A PARAÍSO DO SUL"/>
    <n v="176.2"/>
    <n v="178.4"/>
    <n v="2.2000000000000002"/>
    <x v="1"/>
    <m/>
    <m/>
    <s v="Estadual"/>
    <m/>
    <s v="RST-287"/>
    <s v="PAV"/>
    <s v="Estadual"/>
    <s v="PLA"/>
    <s v="Santa Maria"/>
  </r>
  <r>
    <x v="0"/>
    <s v="287BRS0174"/>
    <n v="0"/>
    <x v="252"/>
    <s v="0174"/>
    <n v="-53.170630559952301"/>
    <n v="-29.734429639716002"/>
    <n v="-53.252007329574496"/>
    <n v="-29.714632779878801"/>
    <s v="287"/>
    <s v="RS"/>
    <s v="Eixo Principal"/>
    <s v="-"/>
    <s v="287BRS0174"/>
    <s v="ACESSO A PARAÍSO DO SUL"/>
    <s v="ENTR RS-348 (P/AGUDO)"/>
    <n v="178.4"/>
    <n v="186.6"/>
    <n v="8.1999999999999993"/>
    <x v="1"/>
    <m/>
    <m/>
    <s v="Estadual"/>
    <m/>
    <s v="RST-287"/>
    <s v="PAV"/>
    <s v="Estadual"/>
    <s v="PLA"/>
    <s v="Santa Maria"/>
  </r>
  <r>
    <x v="0"/>
    <s v="287BRS0175"/>
    <n v="0"/>
    <x v="252"/>
    <s v="0175"/>
    <n v="-53.252007329574496"/>
    <n v="-29.714632779878801"/>
    <n v="-53.3496529798011"/>
    <n v="-29.7223589500055"/>
    <s v="287"/>
    <s v="RS"/>
    <s v="Eixo Principal"/>
    <s v="-"/>
    <s v="287BRS0175"/>
    <s v="ENTR RS-348 (P/AGUDO)"/>
    <s v="ENTR RS-149(A) (P/RESTINGA SECA)"/>
    <n v="186.6"/>
    <n v="196.7"/>
    <n v="10.1"/>
    <x v="1"/>
    <m/>
    <m/>
    <s v="Estadual"/>
    <m/>
    <s v="RST-287"/>
    <s v="PAV"/>
    <s v="Estadual"/>
    <s v="PLA"/>
    <s v="Santa Maria"/>
  </r>
  <r>
    <x v="0"/>
    <s v="287BRS0190"/>
    <n v="0"/>
    <x v="252"/>
    <s v="0190"/>
    <n v="-53.3496529798011"/>
    <n v="-29.7223589500055"/>
    <n v="-53.512955260177002"/>
    <n v="-29.732736569736801"/>
    <s v="287"/>
    <s v="RS"/>
    <s v="Eixo Principal"/>
    <s v="-"/>
    <s v="287BRS0190"/>
    <s v="ENTR RS-149(A) (P/RESTINGA SECA)"/>
    <s v="ENTR RS-149(B) (P/FAXINAL DO SOTURNO)"/>
    <n v="196.7"/>
    <n v="212.8"/>
    <n v="16.100000000000001"/>
    <x v="1"/>
    <m/>
    <m/>
    <s v="Estadual"/>
    <m/>
    <s v="RST-287"/>
    <s v="PAV"/>
    <s v="Estadual"/>
    <s v="PLA"/>
    <s v="Santa Maria"/>
  </r>
  <r>
    <x v="0"/>
    <s v="287BRS0200"/>
    <n v="0"/>
    <x v="252"/>
    <s v="0200"/>
    <n v="-53.512955260177002"/>
    <n v="-29.732736569736801"/>
    <n v="-53.706393649647097"/>
    <n v="-29.704635639922699"/>
    <s v="287"/>
    <s v="RS"/>
    <s v="Eixo Principal"/>
    <s v="-"/>
    <s v="287BRS0200"/>
    <s v="ENTR RS-149(B) (P/FAXINAL DO SOTURNO)"/>
    <s v="ENTR RS-509 (CAMOBÍ)"/>
    <n v="212.8"/>
    <n v="232.2"/>
    <n v="19.399999999999999"/>
    <x v="1"/>
    <m/>
    <m/>
    <s v="Estadual"/>
    <m/>
    <s v="RST-287"/>
    <s v="PAV"/>
    <s v="Estadual"/>
    <s v="PLA"/>
    <s v="Santa Maria"/>
  </r>
  <r>
    <x v="0"/>
    <s v="287BRS0210"/>
    <n v="0"/>
    <x v="252"/>
    <s v="0210"/>
    <n v="-53.706393649647097"/>
    <n v="-29.704635639922699"/>
    <n v="-53.793105780407402"/>
    <n v="-29.7018171997039"/>
    <s v="287"/>
    <s v="RS"/>
    <s v="Eixo Principal"/>
    <s v="-"/>
    <s v="287BRS0210"/>
    <s v="ENTR RS-509 (CAMOBÍ)"/>
    <s v="ENTR BR-158(A)/392(A) (P/VAL DA SERRA)"/>
    <n v="232.2"/>
    <n v="241.2"/>
    <n v="9"/>
    <x v="1"/>
    <m/>
    <m/>
    <s v="Estadual"/>
    <m/>
    <s v="RSC-287"/>
    <s v="PAV"/>
    <s v="Estadual"/>
    <s v="PLA"/>
    <s v="Santa Maria"/>
  </r>
  <r>
    <x v="0"/>
    <s v="287BRS0230"/>
    <n v="0"/>
    <x v="252"/>
    <s v="0230"/>
    <n v="-53.793105780407402"/>
    <n v="-29.7018171997039"/>
    <n v="-53.810830620236899"/>
    <n v="-29.714943959695901"/>
    <s v="287"/>
    <s v="RS"/>
    <s v="Eixo Principal"/>
    <s v="Coinc"/>
    <s v="287BRS0230"/>
    <s v="ENTR BR-158(A)/392(A) (P/VAL DA SERRA)"/>
    <s v="ENTR BR-392(B) (SANTA MARIA)"/>
    <n v="241.2"/>
    <n v="243.5"/>
    <n v="2.2999999999999998"/>
    <x v="2"/>
    <m/>
    <s v="392BRS0251;158BRS1317"/>
    <s v="Federal"/>
    <m/>
    <m/>
    <m/>
    <s v="Federal"/>
    <s v="PAV"/>
    <s v="Santa Maria"/>
  </r>
  <r>
    <x v="0"/>
    <s v="287BRS0240"/>
    <n v="0"/>
    <x v="252"/>
    <s v="0240"/>
    <n v="-53.810830620236899"/>
    <n v="-29.714943959695901"/>
    <n v="-53.8408147996632"/>
    <n v="-29.700270030337599"/>
    <s v="287"/>
    <s v="RS"/>
    <s v="Eixo Principal"/>
    <s v="Coinc"/>
    <s v="287BRS0240"/>
    <s v="ENTR BR-392(B) (SANTA MARIA)"/>
    <s v="ENTR BR-158(B) (AZEVEDO SODRÉ)"/>
    <n v="243.5"/>
    <n v="246.9"/>
    <n v="3.4"/>
    <x v="2"/>
    <m/>
    <s v="158BRS1319"/>
    <s v="Federal"/>
    <m/>
    <m/>
    <m/>
    <s v="Federal"/>
    <s v="PAV"/>
    <s v="Santa Maria"/>
  </r>
  <r>
    <x v="0"/>
    <s v="287BRS0250"/>
    <n v="0"/>
    <x v="252"/>
    <s v="0250"/>
    <n v="-53.8408147996632"/>
    <n v="-29.700270030337599"/>
    <n v="-54.185406519894897"/>
    <n v="-29.636236650400999"/>
    <s v="287"/>
    <s v="RS"/>
    <s v="Eixo Principal"/>
    <s v="-"/>
    <s v="287BRS0250"/>
    <s v="ENTR BR-158(B) (AZEVEDO SODRÉ)"/>
    <s v="ENTR RS-524 (SÃO PEDRO DO SUL)"/>
    <n v="246.9"/>
    <n v="281.60000000000002"/>
    <n v="34.700000000000003"/>
    <x v="2"/>
    <m/>
    <m/>
    <s v="Federal"/>
    <m/>
    <m/>
    <m/>
    <s v="Federal"/>
    <s v="PAV"/>
    <s v="Santa Maria"/>
  </r>
  <r>
    <x v="0"/>
    <s v="287BRS0270"/>
    <n v="0"/>
    <x v="252"/>
    <s v="0270"/>
    <n v="-54.185406519894897"/>
    <n v="-29.636236650400999"/>
    <n v="-54.525043980195498"/>
    <n v="-29.6535550497256"/>
    <s v="287"/>
    <s v="RS"/>
    <s v="Eixo Principal"/>
    <s v="-"/>
    <s v="287BRS0270"/>
    <s v="ENTR RS-524 (SÃO PEDRO DO SUL)"/>
    <s v="ENTR RS-532 (P/MATA)"/>
    <n v="281.60000000000002"/>
    <n v="315.2"/>
    <n v="33.6"/>
    <x v="2"/>
    <m/>
    <m/>
    <s v="Federal"/>
    <m/>
    <m/>
    <m/>
    <s v="Federal"/>
    <s v="PAV"/>
    <s v="Santa Maria"/>
  </r>
  <r>
    <x v="0"/>
    <s v="287BRS0290"/>
    <n v="0"/>
    <x v="252"/>
    <s v="0290"/>
    <n v="-54.525043980195498"/>
    <n v="-29.6535550497256"/>
    <n v="-54.6652796995984"/>
    <n v="-29.684611540290199"/>
    <s v="287"/>
    <s v="RS"/>
    <s v="Eixo Principal"/>
    <s v="-"/>
    <s v="287BRS0290"/>
    <s v="ENTR RS-532 (P/MATA)"/>
    <s v="ENTR RS-241 (P/SÃO VICENTE DO SUL)"/>
    <n v="315.2"/>
    <n v="329.7"/>
    <n v="14.5"/>
    <x v="2"/>
    <m/>
    <m/>
    <s v="Federal"/>
    <m/>
    <m/>
    <m/>
    <s v="Federal"/>
    <s v="PAV"/>
    <s v="Santa Maria"/>
  </r>
  <r>
    <x v="0"/>
    <s v="287BRS0310"/>
    <n v="0"/>
    <x v="252"/>
    <s v="0310"/>
    <n v="-54.6652796995984"/>
    <n v="-29.684611540290199"/>
    <n v="-54.676671830140798"/>
    <n v="-29.508634029736601"/>
    <s v="287"/>
    <s v="RS"/>
    <s v="Eixo Principal"/>
    <s v="-"/>
    <s v="287BRS0310"/>
    <s v="ENTR RS-241 (P/SÃO VICENTE DO SUL)"/>
    <s v="P/JAGUARI"/>
    <n v="329.7"/>
    <n v="350.3"/>
    <n v="20.6"/>
    <x v="2"/>
    <m/>
    <m/>
    <s v="Federal"/>
    <m/>
    <m/>
    <m/>
    <s v="Federal"/>
    <s v="PAV"/>
    <s v="Santa Maria"/>
  </r>
  <r>
    <x v="0"/>
    <s v="287BRS0330"/>
    <n v="0"/>
    <x v="252"/>
    <s v="0330"/>
    <n v="-54.676671830140798"/>
    <n v="-29.508634029736601"/>
    <n v="-54.886582650069201"/>
    <n v="-29.148626729939501"/>
    <s v="287"/>
    <s v="RS"/>
    <s v="Eixo Principal"/>
    <s v="-"/>
    <s v="287BRS0330"/>
    <s v="P/JAGUARI"/>
    <s v="ENTR BR-377 (SANTIAGO)"/>
    <n v="350.3"/>
    <n v="401.8"/>
    <n v="51.5"/>
    <x v="2"/>
    <m/>
    <m/>
    <s v="Federal"/>
    <m/>
    <m/>
    <m/>
    <s v="Federal"/>
    <s v="PAV"/>
    <s v="Santa Maria"/>
  </r>
  <r>
    <x v="0"/>
    <s v="287BRS0350"/>
    <n v="0"/>
    <x v="252"/>
    <s v="0350"/>
    <n v="-54.886582650069201"/>
    <n v="-29.148626729939501"/>
    <n v="-54.921284580319004"/>
    <n v="-29.0967783102707"/>
    <s v="287"/>
    <s v="RS"/>
    <s v="Eixo Principal"/>
    <s v="-"/>
    <s v="287BRS0350"/>
    <s v="ENTR BR-377 (SANTIAGO)"/>
    <s v="ENTR RS-168 (P/BOSSORÓCA)"/>
    <n v="401.8"/>
    <n v="408.8"/>
    <n v="7"/>
    <x v="2"/>
    <m/>
    <m/>
    <s v="Federal"/>
    <m/>
    <m/>
    <m/>
    <s v="Federal"/>
    <s v="PAV"/>
    <s v="Santa Maria"/>
  </r>
  <r>
    <x v="0"/>
    <s v="287BRS0370"/>
    <n v="0"/>
    <x v="252"/>
    <s v="0370"/>
    <n v="-54.921284580319004"/>
    <n v="-29.0967783102707"/>
    <n v="-55.505558719958898"/>
    <n v="-28.987708219558598"/>
    <s v="287"/>
    <s v="RS"/>
    <s v="Eixo Principal"/>
    <s v="-"/>
    <s v="287BRS0370"/>
    <s v="ENTR RS-168 (P/BOSSORÓCA)"/>
    <s v="ENTR RS-176(A) (ENCRUZILHADA)"/>
    <n v="408.8"/>
    <n v="473.9"/>
    <n v="65.099999999999994"/>
    <x v="2"/>
    <m/>
    <m/>
    <s v="Federal"/>
    <m/>
    <m/>
    <m/>
    <s v="Federal"/>
    <s v="PAV"/>
    <s v="Santa Maria"/>
  </r>
  <r>
    <x v="0"/>
    <s v="287BRS0390"/>
    <n v="0"/>
    <x v="252"/>
    <s v="0390"/>
    <n v="-55.505558719958898"/>
    <n v="-28.987708219558598"/>
    <n v="-55.533386319722801"/>
    <n v="-28.961697350152502"/>
    <s v="287"/>
    <s v="RS"/>
    <s v="Eixo Principal"/>
    <s v="-"/>
    <s v="287BRS0390"/>
    <s v="ENTR RS-176(A) (ENCRUZILHADA)"/>
    <s v="ENTR RS-176(B)"/>
    <n v="473.9"/>
    <n v="478"/>
    <n v="4.0999999999999996"/>
    <x v="2"/>
    <m/>
    <m/>
    <s v="Federal"/>
    <m/>
    <m/>
    <m/>
    <s v="Federal"/>
    <s v="PAV"/>
    <s v="Santa Maria"/>
  </r>
  <r>
    <x v="0"/>
    <s v="287BRS0410"/>
    <n v="0"/>
    <x v="252"/>
    <s v="0410"/>
    <n v="-55.533386319722801"/>
    <n v="-28.961697350152502"/>
    <n v="-55.771008010111501"/>
    <n v="-28.788391999690901"/>
    <s v="287"/>
    <s v="RS"/>
    <s v="Eixo Principal"/>
    <s v="-"/>
    <s v="287BRS0410"/>
    <s v="ENTR RS-176(B)"/>
    <s v="ENTR RS-541 (NHU PORÃ)"/>
    <n v="478"/>
    <n v="508.7"/>
    <n v="30.7"/>
    <x v="2"/>
    <m/>
    <m/>
    <s v="Federal"/>
    <m/>
    <m/>
    <m/>
    <s v="Federal"/>
    <s v="PAV"/>
    <s v="Santa Maria"/>
  </r>
  <r>
    <x v="0"/>
    <s v="287BRS0430"/>
    <n v="0"/>
    <x v="252"/>
    <s v="0430"/>
    <n v="-55.771008010111501"/>
    <n v="-28.788391999690901"/>
    <n v="-55.965770250196798"/>
    <n v="-28.672843770323698"/>
    <s v="287"/>
    <s v="RS"/>
    <s v="Eixo Principal"/>
    <s v="-"/>
    <s v="287BRS0430"/>
    <s v="ENTR RS-541 (NHU PORÃ)"/>
    <s v="ENTR BR-285(A)/472 (P/ITAQUI)"/>
    <n v="508.7"/>
    <n v="533.1"/>
    <n v="24.4"/>
    <x v="2"/>
    <m/>
    <m/>
    <s v="Federal"/>
    <m/>
    <m/>
    <m/>
    <s v="Federal"/>
    <s v="PAV"/>
    <s v="Santa Maria"/>
  </r>
  <r>
    <x v="0"/>
    <s v="287BRS0450"/>
    <n v="0"/>
    <x v="252"/>
    <s v="0450"/>
    <n v="-55.965770250196798"/>
    <n v="-28.672843770323698"/>
    <n v="-55.981787520277798"/>
    <n v="-28.666142330004501"/>
    <s v="287"/>
    <s v="RS"/>
    <s v="Eixo Principal"/>
    <s v="Coinc"/>
    <s v="287BRS0450"/>
    <s v="ENTR BR-285(A)/472 (P/ITAQUI)"/>
    <s v="ACESSO FRONTEIRA BRASIL/ARGENTINA"/>
    <n v="533.1"/>
    <n v="534.79999999999995"/>
    <n v="1.7"/>
    <x v="2"/>
    <m/>
    <s v="285BRS0391"/>
    <s v="Federal"/>
    <m/>
    <m/>
    <m/>
    <s v="Federal"/>
    <s v="PAV"/>
    <s v="Cruz Alta"/>
  </r>
  <r>
    <x v="0"/>
    <s v="287BRS0451"/>
    <n v="0"/>
    <x v="252"/>
    <s v="0451"/>
    <n v="-55.981787520277798"/>
    <n v="-28.666142330004501"/>
    <n v="-55.984065000299402"/>
    <n v="-28.665137549857999"/>
    <s v="287"/>
    <s v="RS"/>
    <s v="Eixo Principal"/>
    <s v="Coinc"/>
    <s v="287BRS0451"/>
    <s v="ACESSO FRONTEIRA BRASIL/ARGENTINA"/>
    <s v="ENTR AV. ULISSES GUIMARÃES (SÃO BORJA)"/>
    <n v="534.79999999999995"/>
    <n v="535"/>
    <n v="0.2"/>
    <x v="2"/>
    <m/>
    <s v="285BRS0392"/>
    <s v="Federal"/>
    <m/>
    <m/>
    <m/>
    <s v="Federal"/>
    <s v="PAV"/>
    <s v="Cruz Alta"/>
  </r>
  <r>
    <x v="0"/>
    <s v="290ARS3005"/>
    <n v="0"/>
    <x v="253"/>
    <s v="3005"/>
    <n v="-57.049874979946303"/>
    <n v="-29.773156140443401"/>
    <n v="-57.0459333701288"/>
    <n v="-29.771524559810501"/>
    <s v="290"/>
    <s v="RS"/>
    <s v="Acesso"/>
    <s v="-"/>
    <s v="290ARS3005"/>
    <s v="ENTR BR-290 (KM 718,7)"/>
    <s v="PORTO SECO DE URUGUAIANA - ACESSO"/>
    <n v="0"/>
    <n v="2.8"/>
    <n v="2.8"/>
    <x v="2"/>
    <m/>
    <m/>
    <s v="Federal"/>
    <m/>
    <m/>
    <m/>
    <s v="Federal"/>
    <s v="PAV"/>
    <s v="Uruguaiana"/>
  </r>
  <r>
    <x v="0"/>
    <s v="290BRS0010"/>
    <n v="0"/>
    <x v="254"/>
    <s v="0010"/>
    <n v="-50.278700359633802"/>
    <n v="-29.889116459856599"/>
    <n v="-50.284171510306898"/>
    <n v="-29.8938548995839"/>
    <s v="290"/>
    <s v="RS"/>
    <s v="Eixo Principal"/>
    <s v="Coinc"/>
    <s v="290BRS0010"/>
    <s v="ENTR BR-101(A) (OSÓRIO)"/>
    <s v="ENTR RS-030 (P/TRAMANDAÍ)"/>
    <n v="0"/>
    <n v="0.7"/>
    <n v="0.7"/>
    <x v="0"/>
    <m/>
    <s v="101BRS4430"/>
    <s v="Concessão Federal"/>
    <m/>
    <m/>
    <m/>
    <s v="Federal"/>
    <s v="PAV"/>
    <s v="São Leopoldo"/>
  </r>
  <r>
    <x v="0"/>
    <s v="290BRS0015"/>
    <n v="0"/>
    <x v="254"/>
    <s v="0015"/>
    <n v="-50.284171510306898"/>
    <n v="-29.8938548995839"/>
    <n v="-50.321807389699202"/>
    <n v="-29.8974696004416"/>
    <s v="290"/>
    <s v="RS"/>
    <s v="Eixo Principal"/>
    <s v="Coinc"/>
    <s v="290BRS0015"/>
    <s v="ENTR RS-030 (P/TRAMANDAÍ)"/>
    <s v="ENTR BR-101(B) (P/CAPIVARI DO SUL)"/>
    <n v="0.7"/>
    <n v="4.8"/>
    <n v="4.0999999999999996"/>
    <x v="0"/>
    <m/>
    <s v="101BRS4435"/>
    <s v="Concessão Federal"/>
    <m/>
    <m/>
    <m/>
    <s v="Federal"/>
    <s v="PAV"/>
    <s v="São Leopoldo"/>
  </r>
  <r>
    <x v="0"/>
    <s v="290BRS0020"/>
    <n v="0"/>
    <x v="254"/>
    <s v="0020"/>
    <n v="-50.321807389699202"/>
    <n v="-29.8974696004416"/>
    <n v="-50.513268099842797"/>
    <n v="-29.880054339636001"/>
    <s v="290"/>
    <s v="RS"/>
    <s v="Eixo Principal"/>
    <s v="-"/>
    <s v="290BRS0020"/>
    <s v="ENTR BR-101(B) (P/CAPIVARI DO SUL)"/>
    <s v="ENTR RS-474 (P/SANTO ANTÔNIO DA PATRULHA)"/>
    <n v="4.8"/>
    <n v="25.9"/>
    <n v="21.1"/>
    <x v="0"/>
    <m/>
    <m/>
    <s v="Concessão Federal"/>
    <m/>
    <m/>
    <m/>
    <s v="Federal"/>
    <s v="PAV"/>
    <s v="São Leopoldo"/>
  </r>
  <r>
    <x v="0"/>
    <s v="290BRS0030"/>
    <n v="0"/>
    <x v="254"/>
    <s v="0030"/>
    <n v="-50.513268099842797"/>
    <n v="-29.880054339636001"/>
    <n v="-50.787756510054798"/>
    <n v="-29.912076159786899"/>
    <s v="290"/>
    <s v="RS"/>
    <s v="Eixo Principal"/>
    <s v="-"/>
    <s v="290BRS0030"/>
    <s v="ENTR RS-474 (P/SANTO ANTÔNIO DA PATRULHA)"/>
    <s v="ACESSO A GLORINHA"/>
    <n v="25.9"/>
    <n v="53"/>
    <n v="27.1"/>
    <x v="0"/>
    <m/>
    <m/>
    <s v="Concessão Federal"/>
    <m/>
    <m/>
    <m/>
    <s v="Federal"/>
    <s v="PAV"/>
    <s v="São Leopoldo"/>
  </r>
  <r>
    <x v="0"/>
    <s v="290BRS0035"/>
    <n v="0"/>
    <x v="254"/>
    <s v="0035"/>
    <n v="-50.787756510054798"/>
    <n v="-29.912076159786899"/>
    <n v="-50.935179130112701"/>
    <n v="-29.943261249806699"/>
    <s v="290"/>
    <s v="RS"/>
    <s v="Eixo Principal"/>
    <s v="-"/>
    <s v="290BRS0035"/>
    <s v="ACESSO A GLORINHA"/>
    <s v="ACESSO COMPLEXO AUTOMOTIVO GM"/>
    <n v="53"/>
    <n v="67.900000000000006"/>
    <n v="14.9"/>
    <x v="0"/>
    <m/>
    <m/>
    <s v="Concessão Federal"/>
    <m/>
    <m/>
    <m/>
    <s v="Federal"/>
    <s v="PAV"/>
    <s v="São Leopoldo"/>
  </r>
  <r>
    <x v="0"/>
    <s v="290BRS0040"/>
    <n v="0"/>
    <x v="254"/>
    <s v="0040"/>
    <n v="-50.935179130112701"/>
    <n v="-29.943261249806699"/>
    <n v="-51.0038151503488"/>
    <n v="-29.9545826297845"/>
    <s v="290"/>
    <s v="RS"/>
    <s v="Eixo Principal"/>
    <s v="-"/>
    <s v="290BRS0040"/>
    <s v="ACESSO COMPLEXO AUTOMOTIVO GM"/>
    <s v="ENTR RS-118 (P/GRAVATAÍ)"/>
    <n v="67.900000000000006"/>
    <n v="74.7"/>
    <n v="6.8"/>
    <x v="0"/>
    <m/>
    <m/>
    <s v="Concessão Federal"/>
    <m/>
    <m/>
    <m/>
    <s v="Federal"/>
    <s v="PAV"/>
    <s v="São Leopoldo"/>
  </r>
  <r>
    <x v="0"/>
    <s v="290BRS0050"/>
    <n v="0"/>
    <x v="254"/>
    <s v="0050"/>
    <n v="-51.0038151503488"/>
    <n v="-29.9545826297845"/>
    <n v="-51.1151425699735"/>
    <n v="-29.968229300441799"/>
    <s v="290"/>
    <s v="RS"/>
    <s v="Eixo Principal"/>
    <s v="-"/>
    <s v="290BRS0050"/>
    <s v="ENTR RS-118 (P/GRAVATAÍ)"/>
    <s v="AVENIDA ASSIS BRASIL (P/CACHOEIRINHA)"/>
    <n v="74.7"/>
    <n v="85.8"/>
    <n v="11.1"/>
    <x v="0"/>
    <m/>
    <m/>
    <s v="Concessão Federal"/>
    <m/>
    <m/>
    <m/>
    <s v="Federal"/>
    <s v="PAV"/>
    <s v="São Leopoldo"/>
  </r>
  <r>
    <x v="0"/>
    <s v="290BRS0070"/>
    <n v="0"/>
    <x v="254"/>
    <s v="0070"/>
    <n v="-51.1151425699735"/>
    <n v="-29.968229300441799"/>
    <n v="-51.176838709938401"/>
    <n v="-29.9719161098405"/>
    <s v="290"/>
    <s v="RS"/>
    <s v="Eixo Principal"/>
    <s v="-"/>
    <s v="290BRS0070"/>
    <s v="AVENIDA ASSIS BRASIL (P/CACHOEIRINHA)"/>
    <s v="ENTR BR-116(A)/386 (PORTO ALEGRE)"/>
    <n v="85.8"/>
    <n v="92"/>
    <n v="6.2"/>
    <x v="0"/>
    <m/>
    <m/>
    <s v="Concessão Federal"/>
    <m/>
    <m/>
    <m/>
    <s v="Federal"/>
    <s v="PAV"/>
    <s v="São Leopoldo"/>
  </r>
  <r>
    <x v="0"/>
    <s v="290BRS0090"/>
    <n v="0"/>
    <x v="254"/>
    <s v="0090"/>
    <n v="-51.176838709938401"/>
    <n v="-29.9719161098405"/>
    <n v="-51.198140939552601"/>
    <n v="-29.974160219618302"/>
    <s v="290"/>
    <s v="RS"/>
    <s v="Eixo Principal"/>
    <s v="Coinc"/>
    <s v="290BRS0090"/>
    <s v="ENTR BR-116(A)/386 (PORTO ALEGRE)"/>
    <s v="ENTR BR-448"/>
    <n v="92"/>
    <n v="94.1"/>
    <n v="2.1"/>
    <x v="0"/>
    <m/>
    <s v="116BRS3250"/>
    <s v="Concessão Federal"/>
    <m/>
    <m/>
    <m/>
    <s v="Federal"/>
    <s v="PAV"/>
    <s v="São Leopoldo"/>
  </r>
  <r>
    <x v="0"/>
    <s v="290BRS0095"/>
    <n v="0"/>
    <x v="254"/>
    <s v="0095"/>
    <n v="-51.207791319813502"/>
    <n v="-29.997789279551501"/>
    <n v="-51.198140939552601"/>
    <n v="-29.974160219618302"/>
    <s v="290"/>
    <s v="RS"/>
    <s v="Eixo Principal"/>
    <s v="Coinc"/>
    <s v="290BRS0095"/>
    <s v="ENTR BR-448"/>
    <s v="PONTE RIO GUAÍBA"/>
    <n v="94.1"/>
    <n v="97"/>
    <n v="2.9"/>
    <x v="0"/>
    <m/>
    <s v="116BRS3255"/>
    <s v="Concessão Federal"/>
    <m/>
    <m/>
    <m/>
    <s v="Federal"/>
    <s v="PAV"/>
    <s v="São Leopoldo"/>
  </r>
  <r>
    <x v="0"/>
    <s v="290BRS0100"/>
    <n v="0"/>
    <x v="254"/>
    <s v="0100"/>
    <n v="-51.207791319813502"/>
    <n v="-29.997789279551501"/>
    <n v="-51.218737060167101"/>
    <n v="-29.994414929705201"/>
    <s v="290"/>
    <s v="RS"/>
    <s v="Eixo Principal"/>
    <s v="Coinc"/>
    <s v="290BRS0100"/>
    <s v="PONTE RIO GUAÍBA (PORTO ALEGRE)"/>
    <s v="FIM DA CONCESSÃO (ILHA DO PAVÃO)"/>
    <n v="97"/>
    <n v="98.2"/>
    <n v="1.2"/>
    <x v="0"/>
    <m/>
    <s v="116BRS3260"/>
    <s v="Concessão Federal"/>
    <m/>
    <m/>
    <m/>
    <s v="Federal"/>
    <s v="PAV"/>
    <s v="São Leopoldo"/>
  </r>
  <r>
    <x v="0"/>
    <s v="290BRS0105"/>
    <n v="0"/>
    <x v="254"/>
    <s v="0105"/>
    <n v="-51.218737060167101"/>
    <n v="-29.994414929705201"/>
    <n v="-51.330401390112002"/>
    <n v="-30.0430026000898"/>
    <s v="290"/>
    <s v="RS"/>
    <s v="Eixo Principal"/>
    <s v="Coinc"/>
    <s v="290BRS0105"/>
    <s v="FIM DA CONCESSÃO (ILHA DO PAVÃO)"/>
    <s v="ENTR BR-116(B) (P/GUAIBA)"/>
    <n v="98.2"/>
    <n v="112.3"/>
    <n v="14.1"/>
    <x v="0"/>
    <m/>
    <s v="116BRS3265"/>
    <s v="Federal"/>
    <m/>
    <m/>
    <m/>
    <s v="Federal"/>
    <s v="PAV"/>
    <s v="São Leopoldo"/>
  </r>
  <r>
    <x v="0"/>
    <s v="290BRS0110"/>
    <n v="0"/>
    <x v="254"/>
    <s v="0110"/>
    <n v="-51.330401390112002"/>
    <n v="-30.0430026000898"/>
    <n v="-51.4342372196719"/>
    <n v="-30.052888469627099"/>
    <s v="290"/>
    <s v="RS"/>
    <s v="Eixo Principal"/>
    <s v="-"/>
    <s v="290BRS0110"/>
    <s v="ENTR BR-116(B) (P/GUAIBA)"/>
    <s v="ENTR RS-703 (P/GUAIBA)"/>
    <n v="112.3"/>
    <n v="122.6"/>
    <n v="10.3"/>
    <x v="2"/>
    <m/>
    <m/>
    <s v="Federal"/>
    <m/>
    <m/>
    <m/>
    <s v="Federal"/>
    <s v="PAV"/>
    <s v="São Leopoldo"/>
  </r>
  <r>
    <x v="0"/>
    <s v="290BRS0120"/>
    <n v="0"/>
    <x v="254"/>
    <s v="0120"/>
    <n v="-51.4342372196719"/>
    <n v="-30.052888469627099"/>
    <n v="-51.518641629807298"/>
    <n v="-30.059794979654502"/>
    <s v="290"/>
    <s v="RS"/>
    <s v="Eixo Principal"/>
    <s v="-"/>
    <s v="290BRS0120"/>
    <s v="ENTR RS-703 (P/GUAIBA)"/>
    <s v="ENTR RS-401 (P/CHARQUEADAS)"/>
    <n v="122.6"/>
    <n v="130.80000000000001"/>
    <n v="8.1999999999999993"/>
    <x v="2"/>
    <m/>
    <m/>
    <s v="Federal"/>
    <m/>
    <m/>
    <m/>
    <s v="Federal"/>
    <s v="PAV"/>
    <s v="São Leopoldo"/>
  </r>
  <r>
    <x v="0"/>
    <s v="290BRS0150"/>
    <n v="0"/>
    <x v="254"/>
    <s v="0150"/>
    <n v="-51.518641629807298"/>
    <n v="-30.059794979654502"/>
    <n v="-51.833755270389297"/>
    <n v="-30.113660700081098"/>
    <s v="290"/>
    <s v="RS"/>
    <s v="Eixo Principal"/>
    <s v="-"/>
    <s v="290BRS0150"/>
    <s v="ENTR RS-401 (P/CHARQUEADAS)"/>
    <s v="ENTR BR-470 (P/SÃO JERÔNIMO)"/>
    <n v="130.80000000000001"/>
    <n v="162.5"/>
    <n v="31.7"/>
    <x v="2"/>
    <m/>
    <m/>
    <s v="Federal"/>
    <m/>
    <m/>
    <m/>
    <s v="Federal"/>
    <s v="PAV"/>
    <s v="São Leopoldo"/>
  </r>
  <r>
    <x v="0"/>
    <s v="290BRS0170"/>
    <n v="0"/>
    <x v="254"/>
    <s v="0170"/>
    <n v="-51.833755270389297"/>
    <n v="-30.113660700081098"/>
    <n v="-51.957983159894802"/>
    <n v="-30.128890119982898"/>
    <s v="290"/>
    <s v="RS"/>
    <s v="Eixo Principal"/>
    <s v="-"/>
    <s v="290BRS0170"/>
    <s v="ENTR BR-470 (P/SÃO JERÔNIMO)"/>
    <s v="ACESSO A BUTIÁ"/>
    <n v="162.5"/>
    <n v="174.6"/>
    <n v="12.1"/>
    <x v="2"/>
    <m/>
    <m/>
    <s v="Federal"/>
    <m/>
    <m/>
    <m/>
    <s v="Federal"/>
    <s v="PAV"/>
    <s v="São Leopoldo"/>
  </r>
  <r>
    <x v="0"/>
    <s v="290BRS0175"/>
    <n v="0"/>
    <x v="254"/>
    <s v="0175"/>
    <n v="-51.957983159894802"/>
    <n v="-30.128890119982898"/>
    <n v="-52.045836749766103"/>
    <n v="-30.144257840327001"/>
    <s v="290"/>
    <s v="RS"/>
    <s v="Eixo Principal"/>
    <s v="-"/>
    <s v="290BRS0175"/>
    <s v="ACESSO A BUTIÁ"/>
    <s v="ACESSO A MINAS DO LEÃO"/>
    <n v="174.6"/>
    <n v="183.3"/>
    <n v="8.6999999999999993"/>
    <x v="2"/>
    <m/>
    <m/>
    <s v="Federal"/>
    <m/>
    <m/>
    <m/>
    <s v="Federal"/>
    <s v="PAV"/>
    <s v="São Leopoldo"/>
  </r>
  <r>
    <x v="0"/>
    <s v="290BRS0180"/>
    <n v="0"/>
    <x v="254"/>
    <s v="0180"/>
    <n v="-52.045836749766103"/>
    <n v="-30.144257840327001"/>
    <n v="-52.3734554400165"/>
    <n v="-30.190155330004401"/>
    <s v="290"/>
    <s v="RS"/>
    <s v="Eixo Principal"/>
    <s v="-"/>
    <s v="290BRS0180"/>
    <s v="ACESSO A MINAS DO LEÃO"/>
    <s v="ENTR BR-471 (PANTANO GRANDE)"/>
    <n v="183.3"/>
    <n v="215.7"/>
    <n v="32.4"/>
    <x v="2"/>
    <m/>
    <m/>
    <s v="Federal"/>
    <m/>
    <m/>
    <m/>
    <s v="Federal"/>
    <s v="PAV"/>
    <s v="São Leopoldo"/>
  </r>
  <r>
    <x v="0"/>
    <s v="290BRS0190"/>
    <n v="0"/>
    <x v="254"/>
    <s v="0190"/>
    <n v="-52.3734554400165"/>
    <n v="-30.190155330004401"/>
    <n v="-52.853412489594596"/>
    <n v="-30.264991770154001"/>
    <s v="290"/>
    <s v="RS"/>
    <s v="Eixo Principal"/>
    <s v="-"/>
    <s v="290BRS0190"/>
    <s v="ENTR BR-471 (PANTANO GRANDE)"/>
    <s v="ENTR BR-153(A) (CACHOEIRA DO SUL)"/>
    <n v="215.7"/>
    <n v="262.8"/>
    <n v="47.1"/>
    <x v="2"/>
    <m/>
    <m/>
    <s v="Federal"/>
    <m/>
    <m/>
    <m/>
    <s v="Federal"/>
    <s v="PAV"/>
    <s v="São Leopoldo"/>
  </r>
  <r>
    <x v="0"/>
    <s v="290BRS0210"/>
    <n v="0"/>
    <x v="254"/>
    <s v="0210"/>
    <n v="-52.853412489594596"/>
    <n v="-30.264991770154001"/>
    <n v="-53.059719069579302"/>
    <n v="-30.250021790273301"/>
    <s v="290"/>
    <s v="RS"/>
    <s v="Eixo Principal"/>
    <s v="Coinc"/>
    <s v="290BRS0210"/>
    <s v="ENTR BR-153(A) (CACHOEIRA DO SUL)"/>
    <s v="ENTR RS-705 (GERIBÁ)"/>
    <n v="262.8"/>
    <n v="283.60000000000002"/>
    <n v="20.8"/>
    <x v="2"/>
    <m/>
    <s v="153BRS1830"/>
    <s v="Federal"/>
    <m/>
    <m/>
    <m/>
    <s v="Federal"/>
    <s v="PAV"/>
    <s v="São Leopoldo"/>
  </r>
  <r>
    <x v="0"/>
    <s v="290BRS0220"/>
    <n v="0"/>
    <x v="254"/>
    <s v="0220"/>
    <n v="-53.059719069579302"/>
    <n v="-30.250021790273301"/>
    <n v="-53.362406090368701"/>
    <n v="-30.366571500174501"/>
    <s v="290"/>
    <s v="RS"/>
    <s v="Eixo Principal"/>
    <s v="Coinc"/>
    <s v="290BRS0220"/>
    <s v="ENTR RS-705 (GERIBÁ)"/>
    <s v="ENTR BR-153(B) (P/BAGÉ)"/>
    <n v="283.60000000000002"/>
    <n v="317.3"/>
    <n v="33.700000000000003"/>
    <x v="2"/>
    <m/>
    <s v="153BRS1840"/>
    <s v="Federal"/>
    <m/>
    <m/>
    <m/>
    <s v="Federal"/>
    <s v="PAV"/>
    <s v="São Leopoldo"/>
  </r>
  <r>
    <x v="0"/>
    <s v="290BRS0230"/>
    <n v="0"/>
    <x v="254"/>
    <s v="0230"/>
    <n v="-53.362406090368701"/>
    <n v="-30.366571500174501"/>
    <n v="-53.518219750241201"/>
    <n v="-30.359982719726698"/>
    <s v="290"/>
    <s v="RS"/>
    <s v="Eixo Principal"/>
    <s v="-"/>
    <s v="290BRS0230"/>
    <s v="ENTR BR-153(B) (P/BAGÉ)"/>
    <s v="ENTR BR-392 (P/SÃO SEPÉ)"/>
    <n v="317.3"/>
    <n v="333.5"/>
    <n v="16.2"/>
    <x v="2"/>
    <m/>
    <m/>
    <s v="Federal"/>
    <m/>
    <m/>
    <m/>
    <s v="Federal"/>
    <s v="PAV"/>
    <s v="Santa Maria"/>
  </r>
  <r>
    <x v="0"/>
    <s v="290BRS0250"/>
    <n v="0"/>
    <x v="254"/>
    <s v="0250"/>
    <n v="-53.518219750241201"/>
    <n v="-30.359982719726698"/>
    <n v="-53.880879460118898"/>
    <n v="-30.3401722999116"/>
    <s v="290"/>
    <s v="RS"/>
    <s v="Eixo Principal"/>
    <s v="-"/>
    <s v="290BRS0250"/>
    <s v="ENTR BR-392 (P/SÃO SEPÉ)"/>
    <s v="ENTR RS-149 (VILA NOVA DO SUL)"/>
    <n v="333.5"/>
    <n v="372.2"/>
    <n v="38.700000000000003"/>
    <x v="2"/>
    <m/>
    <m/>
    <s v="Federal"/>
    <m/>
    <m/>
    <m/>
    <s v="Federal"/>
    <s v="PAV"/>
    <s v="Santa Maria"/>
  </r>
  <r>
    <x v="0"/>
    <s v="290BRS0260"/>
    <n v="0"/>
    <x v="254"/>
    <s v="0260"/>
    <n v="-53.880879460118898"/>
    <n v="-30.3401722999116"/>
    <n v="-54.278480550137203"/>
    <n v="-30.358727429826899"/>
    <s v="290"/>
    <s v="RS"/>
    <s v="Eixo Principal"/>
    <s v="-"/>
    <s v="290BRS0260"/>
    <s v="ENTR RS-149 (VILA NOVA DO SUL)"/>
    <s v="ENTR BR-473(A) (P/TABULEIRO)"/>
    <n v="372.2"/>
    <n v="412.9"/>
    <n v="40.700000000000003"/>
    <x v="2"/>
    <m/>
    <m/>
    <s v="Federal"/>
    <m/>
    <m/>
    <m/>
    <s v="Federal"/>
    <s v="PAV"/>
    <s v="Santa Maria"/>
  </r>
  <r>
    <x v="0"/>
    <s v="290BRS0270"/>
    <n v="0"/>
    <x v="254"/>
    <s v="0270"/>
    <n v="-54.278480550137203"/>
    <n v="-30.358727429826899"/>
    <n v="-54.332361370180998"/>
    <n v="-30.352979549666401"/>
    <s v="290"/>
    <s v="RS"/>
    <s v="Eixo Principal"/>
    <s v="-"/>
    <s v="290BRS0270"/>
    <s v="ENTR BR-473(A) (P/TABULEIRO)"/>
    <s v="ENTR BR-473(B)/RS-630 (SÃO GABRIEL)"/>
    <n v="412.9"/>
    <n v="418.4"/>
    <n v="5.5"/>
    <x v="2"/>
    <m/>
    <s v="473BRS0010"/>
    <s v="Federal"/>
    <m/>
    <m/>
    <m/>
    <s v="Federal"/>
    <s v="PAV"/>
    <s v="Uruguaiana"/>
  </r>
  <r>
    <x v="0"/>
    <s v="290BRS0290"/>
    <n v="0"/>
    <x v="254"/>
    <s v="0290"/>
    <n v="-54.332361370180998"/>
    <n v="-30.352979549666401"/>
    <n v="-54.7301229900838"/>
    <n v="-30.2303030698307"/>
    <s v="290"/>
    <s v="RS"/>
    <s v="Eixo Principal"/>
    <s v="-"/>
    <s v="290BRS0290"/>
    <s v="ENTR BR-473(B)/RS-630 (SÃO GABRIEL)"/>
    <s v="ENTR BR-158(A) (P/AZEVEDO SODRÉ)"/>
    <n v="418.4"/>
    <n v="461.4"/>
    <n v="43"/>
    <x v="2"/>
    <m/>
    <m/>
    <s v="Federal"/>
    <m/>
    <m/>
    <m/>
    <s v="Federal"/>
    <s v="PAV"/>
    <s v="Uruguaiana"/>
  </r>
  <r>
    <x v="0"/>
    <s v="290BRS0310"/>
    <n v="0"/>
    <x v="254"/>
    <s v="0310"/>
    <n v="-54.7301229900838"/>
    <n v="-30.2303030698307"/>
    <n v="-54.871332040341301"/>
    <n v="-30.239953639848501"/>
    <s v="290"/>
    <s v="RS"/>
    <s v="Eixo Principal"/>
    <s v="Coinc"/>
    <s v="290BRS0310"/>
    <s v="ENTR BR-158(A) (P/AZEVEDO SODRÉ)"/>
    <s v="ENTR RS-640 (P/CACEQUI)"/>
    <n v="461.4"/>
    <n v="475.3"/>
    <n v="13.9"/>
    <x v="2"/>
    <m/>
    <s v="158BRS1350"/>
    <s v="Federal"/>
    <m/>
    <m/>
    <m/>
    <s v="Federal"/>
    <s v="PAV"/>
    <s v="Uruguaiana"/>
  </r>
  <r>
    <x v="0"/>
    <s v="290BRS0320"/>
    <n v="0"/>
    <x v="254"/>
    <s v="0320"/>
    <n v="-54.871332040341301"/>
    <n v="-30.239953639848501"/>
    <n v="-54.950855290139401"/>
    <n v="-30.241375139750801"/>
    <s v="290"/>
    <s v="RS"/>
    <s v="Eixo Principal"/>
    <s v="Coinc"/>
    <s v="290BRS0320"/>
    <s v="ENTR RS-640 (P/CACEQUI)"/>
    <s v="ENTR BR-158(B) (ROSÁRIO DO SUL)"/>
    <n v="475.3"/>
    <n v="483"/>
    <n v="7.7"/>
    <x v="2"/>
    <m/>
    <s v="158BRS1360"/>
    <s v="Federal"/>
    <m/>
    <m/>
    <m/>
    <s v="Federal"/>
    <s v="PAV"/>
    <s v="Uruguaiana"/>
  </r>
  <r>
    <x v="0"/>
    <s v="290BRS0340"/>
    <n v="0"/>
    <x v="254"/>
    <s v="0340"/>
    <n v="-54.950855290139401"/>
    <n v="-30.241375139750801"/>
    <n v="-55.721247700221099"/>
    <n v="-29.822136339720199"/>
    <s v="290"/>
    <s v="RS"/>
    <s v="Eixo Principal"/>
    <s v="-"/>
    <s v="290BRS0340"/>
    <s v="ENTR BR-158(B) (ROSÁRIO DO SUL)"/>
    <s v="ENTR BR-377(A) (ALEGRETE)"/>
    <n v="483"/>
    <n v="574.4"/>
    <n v="91.4"/>
    <x v="2"/>
    <m/>
    <m/>
    <s v="Federal"/>
    <m/>
    <m/>
    <m/>
    <s v="Federal"/>
    <s v="PAV"/>
    <s v="Uruguaiana"/>
  </r>
  <r>
    <x v="0"/>
    <s v="290BRS0350"/>
    <n v="0"/>
    <x v="254"/>
    <s v="0350"/>
    <n v="-55.721247700221099"/>
    <n v="-29.822136339720199"/>
    <n v="-56.139556510424498"/>
    <n v="-29.971975869790501"/>
    <s v="290"/>
    <s v="RS"/>
    <s v="Eixo Principal"/>
    <s v="-"/>
    <s v="290BRS0350"/>
    <s v="ENTR BR-377(A) (ALEGRETE)"/>
    <s v="ENTR RS-183 (P/HARMONIA)"/>
    <n v="574.4"/>
    <n v="621.70000000000005"/>
    <n v="47.3"/>
    <x v="2"/>
    <m/>
    <s v="377BRS0190"/>
    <s v="Federal"/>
    <m/>
    <m/>
    <m/>
    <s v="Federal"/>
    <s v="PAV"/>
    <s v="Uruguaiana"/>
  </r>
  <r>
    <x v="0"/>
    <s v="290BRS0380"/>
    <n v="0"/>
    <x v="254"/>
    <s v="0380"/>
    <n v="-56.139556510424498"/>
    <n v="-29.971975869790501"/>
    <n v="-56.432479189762702"/>
    <n v="-30.015678140433799"/>
    <s v="290"/>
    <s v="RS"/>
    <s v="Eixo Principal"/>
    <s v="-"/>
    <s v="290BRS0380"/>
    <s v="ENTR RS-183 (P/HARMONIA)"/>
    <s v="ENTR BR-377(B) (P/QUARAI)"/>
    <n v="621.70000000000005"/>
    <n v="652"/>
    <n v="30.3"/>
    <x v="2"/>
    <m/>
    <s v="377BRS0220"/>
    <s v="Federal"/>
    <m/>
    <m/>
    <m/>
    <s v="Federal"/>
    <s v="PAV"/>
    <s v="Uruguaiana"/>
  </r>
  <r>
    <x v="0"/>
    <s v="290BRS0390"/>
    <n v="0"/>
    <x v="254"/>
    <s v="0390"/>
    <n v="-56.432479189762702"/>
    <n v="-30.015678140433799"/>
    <n v="-56.880225200032797"/>
    <n v="-29.8659301901261"/>
    <s v="290"/>
    <s v="RS"/>
    <s v="Eixo Principal"/>
    <s v="-"/>
    <s v="290BRS0390"/>
    <s v="ENTR BR-377(B) (P/QUARAI)"/>
    <s v="ENTR BR-293(A)"/>
    <n v="652"/>
    <n v="699.3"/>
    <n v="47.3"/>
    <x v="2"/>
    <m/>
    <m/>
    <s v="Federal"/>
    <m/>
    <m/>
    <m/>
    <s v="Federal"/>
    <s v="PAV"/>
    <s v="Uruguaiana"/>
  </r>
  <r>
    <x v="0"/>
    <s v="290BRS0410"/>
    <n v="0"/>
    <x v="254"/>
    <s v="0410"/>
    <n v="-56.880225200032797"/>
    <n v="-29.8659301901261"/>
    <n v="-57.0581474396526"/>
    <n v="-29.7711462402068"/>
    <s v="290"/>
    <s v="RS"/>
    <s v="Eixo Principal"/>
    <s v="-"/>
    <s v="290BRS0410"/>
    <s v="ENTR BR-293(A)"/>
    <s v="ENTR BR-472(A)"/>
    <n v="699.3"/>
    <n v="720.2"/>
    <n v="20.9"/>
    <x v="2"/>
    <m/>
    <s v="293BRS0230"/>
    <s v="Federal"/>
    <m/>
    <m/>
    <m/>
    <s v="Federal"/>
    <s v="PAV"/>
    <s v="Uruguaiana"/>
  </r>
  <r>
    <x v="0"/>
    <s v="290BRS0420"/>
    <n v="0"/>
    <x v="254"/>
    <s v="0420"/>
    <n v="-57.0581474396526"/>
    <n v="-29.7711462402068"/>
    <n v="-57.059302810376302"/>
    <n v="-29.759801729665998"/>
    <s v="290"/>
    <s v="RS"/>
    <s v="Eixo Principal"/>
    <s v="-"/>
    <s v="290BRS0420"/>
    <s v="ENTR BR-472(A)"/>
    <s v="ENTR BR-472(B) (URUGUAIANA)"/>
    <n v="720.2"/>
    <n v="721.5"/>
    <n v="1.3"/>
    <x v="2"/>
    <m/>
    <s v="472BRS0220;293BRS0240"/>
    <s v="Federal"/>
    <m/>
    <m/>
    <m/>
    <s v="Federal"/>
    <s v="PAV"/>
    <s v="Uruguaiana"/>
  </r>
  <r>
    <x v="0"/>
    <s v="290BRS0430"/>
    <n v="0"/>
    <x v="254"/>
    <s v="0430"/>
    <n v="-57.059302810376302"/>
    <n v="-29.759801729665998"/>
    <n v="-57.093131890124504"/>
    <n v="-29.743046449833699"/>
    <s v="290"/>
    <s v="RS"/>
    <s v="Eixo Principal"/>
    <s v="-"/>
    <s v="290BRS0430"/>
    <s v="ENTR BR-472(B) (URUGUAIANA)"/>
    <s v="ENTR BR-293(B) (FRONT BRASIL/ARGENTINA) (PONTE INTERNACIONAL)"/>
    <n v="721.5"/>
    <n v="726"/>
    <n v="4.5"/>
    <x v="2"/>
    <m/>
    <s v="293BRS0250"/>
    <s v="Federal"/>
    <m/>
    <m/>
    <m/>
    <s v="Federal"/>
    <s v="PAV"/>
    <s v="Uruguaiana"/>
  </r>
  <r>
    <x v="0"/>
    <s v="293ARS1005"/>
    <n v="0"/>
    <x v="255"/>
    <s v="1005"/>
    <n v="-53.387850570347403"/>
    <n v="-31.568502210008901"/>
    <n v="-53.386777689938398"/>
    <n v="-31.575604309990801"/>
    <s v="293"/>
    <s v="RS"/>
    <s v="Acesso"/>
    <s v="-"/>
    <s v="293ARS1005"/>
    <s v="ENTR BR-293 (KM 107,5)"/>
    <s v="ENTR AV. PROTÁSIO ALVES (PINHEIRO MACHADO)"/>
    <n v="0"/>
    <n v="0.7"/>
    <n v="0.7"/>
    <x v="5"/>
    <m/>
    <m/>
    <s v="Federal"/>
    <m/>
    <m/>
    <m/>
    <s v="Federal"/>
    <s v="N_PAV"/>
    <s v="Pelotas"/>
  </r>
  <r>
    <x v="0"/>
    <s v="293ARS2005"/>
    <n v="0"/>
    <x v="255"/>
    <s v="2005"/>
    <n v="-54.072603900049799"/>
    <n v="-31.289294500340802"/>
    <n v="-54.093362930155003"/>
    <n v="-31.323780669742"/>
    <s v="293"/>
    <s v="RS"/>
    <s v="Acesso"/>
    <s v="-"/>
    <s v="293ARS2005"/>
    <s v="ENTR BR-293 (KM 181,8)"/>
    <s v="ENTR AV PRES VARGAS (AV STA TECLA/BAGÉ) *TRECHO URBANO*"/>
    <n v="0"/>
    <n v="4.3"/>
    <n v="4.3"/>
    <x v="0"/>
    <m/>
    <m/>
    <s v="Federal"/>
    <m/>
    <m/>
    <m/>
    <s v="Federal"/>
    <s v="PAV"/>
    <s v="Santana do Livramento"/>
  </r>
  <r>
    <x v="0"/>
    <s v="293ARS3005"/>
    <n v="0"/>
    <x v="255"/>
    <s v="3005"/>
    <n v="-56.438011849567097"/>
    <n v="-30.385111810161799"/>
    <n v="-56.455495809583901"/>
    <n v="-30.3922452497184"/>
    <s v="293"/>
    <s v="RS"/>
    <s v="Acesso"/>
    <s v="-"/>
    <s v="293ARS3005"/>
    <s v="ENTR BR-293 (QUARAÍ)"/>
    <s v="FRONT BRASIL/URUGUAI (PONTE DA CONCÓRDIA)"/>
    <n v="0"/>
    <n v="2.1"/>
    <n v="2.1"/>
    <x v="2"/>
    <m/>
    <m/>
    <s v="Federal"/>
    <m/>
    <m/>
    <m/>
    <s v="Federal"/>
    <s v="PAV"/>
    <s v="Santana do Livramento"/>
  </r>
  <r>
    <x v="0"/>
    <s v="293BRS0010"/>
    <n v="0"/>
    <x v="256"/>
    <s v="0010"/>
    <n v="-52.356359419651398"/>
    <n v="-31.763348380223501"/>
    <n v="-52.384862709746201"/>
    <n v="-31.725837930176201"/>
    <s v="293"/>
    <s v="RS"/>
    <s v="Eixo Principal"/>
    <s v="-"/>
    <s v="293BRS0010"/>
    <s v="ENTR AV. DUQUE DE CAXIAS (PELOTAS)"/>
    <s v="ENTR BR-116(A)/392(A)/471(A) (P/CANGUÇU)"/>
    <n v="0"/>
    <n v="5.3"/>
    <n v="5.3"/>
    <x v="2"/>
    <m/>
    <m/>
    <s v="Federal"/>
    <m/>
    <m/>
    <m/>
    <s v="Federal"/>
    <s v="PAV"/>
    <s v="Pelotas"/>
  </r>
  <r>
    <x v="0"/>
    <s v="293BRS0011"/>
    <n v="0"/>
    <x v="256"/>
    <s v="0011"/>
    <n v="-52.384862709746201"/>
    <n v="-31.725837930176201"/>
    <n v="-52.4041712404103"/>
    <n v="-31.7453258899777"/>
    <s v="293"/>
    <s v="RS"/>
    <s v="Eixo Principal"/>
    <s v="Coinc"/>
    <s v="293BRS0011"/>
    <s v="ENTR BR-116(A)/392(A)/471(A) (P/CANGUÇU)"/>
    <s v="ENTR BR-392(B)/471(B)"/>
    <n v="5.3"/>
    <n v="8.1999999999999993"/>
    <n v="2.9"/>
    <x v="2"/>
    <s v="EOD"/>
    <s v="471BRS0170;392BRS0100;116BRS3370"/>
    <s v="Concessão Federal"/>
    <m/>
    <m/>
    <m/>
    <s v="Federal"/>
    <s v="PAV"/>
    <s v="Pelotas"/>
  </r>
  <r>
    <x v="0"/>
    <s v="293BRS0020"/>
    <n v="0"/>
    <x v="256"/>
    <s v="0020"/>
    <n v="-52.4041712404103"/>
    <n v="-31.7453258899777"/>
    <n v="-52.433663720004603"/>
    <n v="-31.756820609783201"/>
    <s v="293"/>
    <s v="RS"/>
    <s v="Eixo Principal"/>
    <s v="Coinc"/>
    <s v="293BRS0020"/>
    <s v="ENTR BR-392(B)/471(B)"/>
    <s v="ENTR BR-116(B)"/>
    <n v="8.1999999999999993"/>
    <n v="11.3"/>
    <n v="3.1"/>
    <x v="2"/>
    <m/>
    <s v="116BRS3380"/>
    <s v="Concessão Federal"/>
    <m/>
    <m/>
    <m/>
    <s v="Federal"/>
    <s v="PAV"/>
    <s v="Pelotas"/>
  </r>
  <r>
    <x v="0"/>
    <s v="293BRS0030"/>
    <n v="0"/>
    <x v="256"/>
    <s v="0030"/>
    <n v="-52.433663720004603"/>
    <n v="-31.756820609783201"/>
    <n v="-52.478529240332101"/>
    <n v="-31.748838349610001"/>
    <s v="293"/>
    <s v="RS"/>
    <s v="Eixo Principal"/>
    <s v="-"/>
    <s v="293BRS0030"/>
    <s v="ENTR BR-116(B)"/>
    <s v="P/CAPÃO DO LEÃO"/>
    <n v="11.3"/>
    <n v="15.7"/>
    <n v="4.4000000000000004"/>
    <x v="2"/>
    <m/>
    <m/>
    <s v="Federal"/>
    <m/>
    <m/>
    <m/>
    <s v="Federal"/>
    <s v="PAV"/>
    <s v="Pelotas"/>
  </r>
  <r>
    <x v="0"/>
    <s v="293BRS0035"/>
    <n v="0"/>
    <x v="256"/>
    <s v="0035"/>
    <n v="-52.478529240332101"/>
    <n v="-31.748838349610001"/>
    <n v="-52.834513899596701"/>
    <n v="-31.729569489839999"/>
    <s v="293"/>
    <s v="RS"/>
    <s v="Eixo Principal"/>
    <s v="-"/>
    <s v="293BRS0035"/>
    <s v="P/CAPÃO DO LEÃO"/>
    <s v="ENTR RS-706 (P/PEDRO OSÓRIO)"/>
    <n v="15.7"/>
    <n v="50.1"/>
    <n v="34.4"/>
    <x v="2"/>
    <m/>
    <m/>
    <s v="Federal"/>
    <m/>
    <m/>
    <m/>
    <s v="Federal"/>
    <s v="PAV"/>
    <s v="Pelotas"/>
  </r>
  <r>
    <x v="0"/>
    <s v="293BRS0050"/>
    <n v="0"/>
    <x v="256"/>
    <s v="0050"/>
    <n v="-52.834513899596701"/>
    <n v="-31.729569489839999"/>
    <n v="-52.960106190148501"/>
    <n v="-31.699284159836001"/>
    <s v="293"/>
    <s v="RS"/>
    <s v="Eixo Principal"/>
    <s v="-"/>
    <s v="293BRS0050"/>
    <s v="ENTR RS-706 (P/PEDRO OSÓRIO)"/>
    <s v="ENTR RS-702 (P/PIRATINI)"/>
    <n v="50.1"/>
    <n v="62.7"/>
    <n v="12.6"/>
    <x v="2"/>
    <m/>
    <m/>
    <s v="Federal"/>
    <m/>
    <m/>
    <m/>
    <s v="Federal"/>
    <s v="PAV"/>
    <s v="Pelotas"/>
  </r>
  <r>
    <x v="0"/>
    <s v="293BRS0070"/>
    <n v="0"/>
    <x v="256"/>
    <s v="0070"/>
    <n v="-52.960106190148501"/>
    <n v="-31.699284159836001"/>
    <n v="-53.387850570347403"/>
    <n v="-31.568502210008901"/>
    <s v="293"/>
    <s v="RS"/>
    <s v="Eixo Principal"/>
    <s v="-"/>
    <s v="293BRS0070"/>
    <s v="ENTR RS-702 (P/PIRATINI)"/>
    <s v="ENTR R. GERVÁSIO TAVARES (PINHEIRO MACHADO)"/>
    <n v="62.7"/>
    <n v="107.5"/>
    <n v="44.8"/>
    <x v="2"/>
    <m/>
    <m/>
    <s v="Federal"/>
    <m/>
    <m/>
    <m/>
    <s v="Federal"/>
    <s v="PAV"/>
    <s v="Pelotas"/>
  </r>
  <r>
    <x v="0"/>
    <s v="293BRS0085"/>
    <n v="0"/>
    <x v="256"/>
    <s v="0085"/>
    <n v="-53.387850570347403"/>
    <n v="-31.568502210008901"/>
    <n v="-53.410951220122598"/>
    <n v="-31.5541679995534"/>
    <s v="293"/>
    <s v="RS"/>
    <s v="Eixo Principal"/>
    <s v="-"/>
    <s v="293BRS0085"/>
    <s v="ENTR R. GERVÁSIO TAVARES (PINHEIRO MACHADO)"/>
    <s v="ENTR RS-265/608"/>
    <n v="107.5"/>
    <n v="110.5"/>
    <n v="3"/>
    <x v="2"/>
    <m/>
    <m/>
    <s v="Federal"/>
    <m/>
    <m/>
    <m/>
    <s v="Federal"/>
    <s v="PAV"/>
    <s v="Pelotas"/>
  </r>
  <r>
    <x v="0"/>
    <s v="293BRS0090"/>
    <n v="0"/>
    <x v="256"/>
    <s v="0090"/>
    <n v="-53.410951220122598"/>
    <n v="-31.5541679995534"/>
    <n v="-53.979742400291499"/>
    <n v="-31.3286664903661"/>
    <s v="293"/>
    <s v="RS"/>
    <s v="Eixo Principal"/>
    <s v="-"/>
    <s v="293BRS0090"/>
    <s v="ENTR RS-265/608"/>
    <s v="ENTR BR-153"/>
    <n v="110.5"/>
    <n v="172.6"/>
    <n v="62.1"/>
    <x v="2"/>
    <m/>
    <m/>
    <s v="Federal"/>
    <m/>
    <m/>
    <m/>
    <s v="Federal"/>
    <s v="PAV"/>
    <s v="Pelotas"/>
  </r>
  <r>
    <x v="0"/>
    <s v="293BRS0110"/>
    <n v="0"/>
    <x v="256"/>
    <s v="0110"/>
    <n v="-53.979742400291499"/>
    <n v="-31.3286664903661"/>
    <n v="-54.139415790306401"/>
    <n v="-31.2650814296641"/>
    <s v="293"/>
    <s v="RS"/>
    <s v="Eixo Principal"/>
    <s v="-"/>
    <s v="293BRS0110"/>
    <s v="ENTR BR-153"/>
    <s v="ENTR BR-473 (P/BAGÉ)"/>
    <n v="172.6"/>
    <n v="189.3"/>
    <n v="16.7"/>
    <x v="2"/>
    <m/>
    <m/>
    <s v="Federal"/>
    <m/>
    <m/>
    <m/>
    <s v="Federal"/>
    <s v="PAV"/>
    <s v="Santana do Livramento"/>
  </r>
  <r>
    <x v="0"/>
    <s v="293BRS0130"/>
    <n v="0"/>
    <x v="256"/>
    <s v="0130"/>
    <n v="-54.139415790306401"/>
    <n v="-31.2650814296641"/>
    <n v="-54.663026289931203"/>
    <n v="-30.9676210599639"/>
    <s v="293"/>
    <s v="RS"/>
    <s v="Eixo Principal"/>
    <s v="-"/>
    <s v="293BRS0130"/>
    <s v="ENTR BR-473 (P/BAGÉ)"/>
    <s v="ENTR RS-630 (DOM PEDRITO)"/>
    <n v="189.3"/>
    <n v="251.1"/>
    <n v="61.8"/>
    <x v="2"/>
    <m/>
    <m/>
    <s v="Federal"/>
    <m/>
    <m/>
    <m/>
    <s v="Federal"/>
    <s v="PAV"/>
    <s v="Santana do Livramento"/>
  </r>
  <r>
    <x v="0"/>
    <s v="293BRS0150"/>
    <n v="0"/>
    <x v="256"/>
    <s v="0150"/>
    <n v="-54.663026289931203"/>
    <n v="-30.9676210599639"/>
    <n v="-55.188041669987001"/>
    <n v="-30.787037210198999"/>
    <s v="293"/>
    <s v="RS"/>
    <s v="Eixo Principal"/>
    <s v="-"/>
    <s v="293BRS0150"/>
    <s v="ENTR RS-630 (DOM PEDRITO)"/>
    <s v="ENTR BR-158(A) (P/ROSÁRIO DO SUL)"/>
    <n v="251.1"/>
    <n v="305.3"/>
    <n v="54.2"/>
    <x v="2"/>
    <m/>
    <m/>
    <s v="Federal"/>
    <m/>
    <m/>
    <m/>
    <s v="Federal"/>
    <s v="PAV"/>
    <s v="Santana do Livramento"/>
  </r>
  <r>
    <x v="0"/>
    <s v="293BRS0160"/>
    <n v="0"/>
    <x v="256"/>
    <s v="0160"/>
    <n v="-55.188041669987001"/>
    <n v="-30.787037210198999"/>
    <n v="-55.488607059667999"/>
    <n v="-30.8514969704087"/>
    <s v="293"/>
    <s v="RS"/>
    <s v="Eixo Principal"/>
    <s v="Coinc"/>
    <s v="293BRS0160"/>
    <s v="ENTR BR-158(A) (P/ROSÁRIO DO SUL)"/>
    <s v="ENTR RS-654 (P/PASSOS DOS GUEDES)"/>
    <n v="305.3"/>
    <n v="335.1"/>
    <n v="29.8"/>
    <x v="2"/>
    <m/>
    <s v="158BRS1390"/>
    <s v="Federal"/>
    <m/>
    <m/>
    <m/>
    <s v="Federal"/>
    <s v="PAV"/>
    <s v="Santana do Livramento"/>
  </r>
  <r>
    <x v="0"/>
    <s v="293BRS0170"/>
    <n v="0"/>
    <x v="256"/>
    <s v="0170"/>
    <n v="-55.488607059667999"/>
    <n v="-30.8514969704087"/>
    <n v="-55.501530550394499"/>
    <n v="-30.8581855297383"/>
    <s v="293"/>
    <s v="RS"/>
    <s v="Eixo Principal"/>
    <s v="Coinc"/>
    <s v="293BRS0170"/>
    <s v="ENTR RS-654 (P/PASSOS DOS GUEDES)"/>
    <s v="ENTR BR-158(B) (P/SANTANA DO LIVRAMENTO)"/>
    <n v="335.1"/>
    <n v="336.7"/>
    <n v="1.6"/>
    <x v="2"/>
    <m/>
    <s v="158BRS1400"/>
    <s v="Federal"/>
    <m/>
    <m/>
    <m/>
    <s v="Federal"/>
    <s v="PAV"/>
    <s v="Santana do Livramento"/>
  </r>
  <r>
    <x v="0"/>
    <s v="293BRS0190"/>
    <n v="0"/>
    <x v="256"/>
    <s v="0190"/>
    <n v="-55.501530550394499"/>
    <n v="-30.8581855297383"/>
    <n v="-55.806550349618803"/>
    <n v="-30.712784969650599"/>
    <s v="293"/>
    <s v="RS"/>
    <s v="Eixo Principal"/>
    <s v="-"/>
    <s v="293BRS0190"/>
    <s v="ENTR BR-158(B) (P/SANTANA DO LIVRAMENTO)"/>
    <s v="ENTR RS-183"/>
    <n v="336.7"/>
    <n v="371.3"/>
    <n v="34.6"/>
    <x v="2"/>
    <m/>
    <m/>
    <s v="Federal"/>
    <m/>
    <m/>
    <m/>
    <s v="Federal"/>
    <s v="PAV"/>
    <s v="Santana do Livramento"/>
  </r>
  <r>
    <x v="0"/>
    <s v="293BRS0200"/>
    <n v="0"/>
    <x v="256"/>
    <s v="0200"/>
    <n v="-55.806550349618803"/>
    <n v="-30.712784969650599"/>
    <n v="-56.438011849567097"/>
    <n v="-30.385111810161799"/>
    <s v="293"/>
    <s v="RS"/>
    <s v="Eixo Principal"/>
    <s v="-"/>
    <s v="293BRS0200"/>
    <s v="ENTR RS-183"/>
    <s v="ENTR BR-377/RS-060 (QUARAÍ)"/>
    <n v="371.3"/>
    <n v="442.9"/>
    <n v="71.599999999999994"/>
    <x v="2"/>
    <m/>
    <m/>
    <s v="Federal"/>
    <m/>
    <m/>
    <m/>
    <s v="Federal"/>
    <s v="PAV"/>
    <s v="Santana do Livramento"/>
  </r>
  <r>
    <x v="0"/>
    <s v="293BRS0210"/>
    <n v="0"/>
    <x v="256"/>
    <s v="0210"/>
    <n v="-56.438011849567097"/>
    <n v="-30.385111810161799"/>
    <n v="-56.880225200032797"/>
    <n v="-29.8659301901261"/>
    <s v="293"/>
    <s v="RS"/>
    <s v="Eixo Principal"/>
    <s v="-"/>
    <s v="293BRS0210"/>
    <s v="ENTR BR-377/RS-060 (QUARAÍ)"/>
    <s v="ENTR BR-290(A)"/>
    <n v="442.9"/>
    <n v="506"/>
    <n v="63.1"/>
    <x v="1"/>
    <m/>
    <m/>
    <s v="Federal"/>
    <m/>
    <m/>
    <m/>
    <s v="Federal"/>
    <s v="PLA"/>
    <s v="Santana do Livramento"/>
  </r>
  <r>
    <x v="0"/>
    <s v="293BRS0230"/>
    <n v="0"/>
    <x v="256"/>
    <s v="0230"/>
    <n v="-56.880225200032797"/>
    <n v="-29.8659301901261"/>
    <n v="-57.0581474396526"/>
    <n v="-29.7711462402068"/>
    <s v="293"/>
    <s v="RS"/>
    <s v="Eixo Principal"/>
    <s v="Coinc"/>
    <s v="293BRS0230"/>
    <s v="ENTR BR-290(A)"/>
    <s v="ENTR BR-472(A)"/>
    <n v="506"/>
    <n v="526.9"/>
    <n v="20.9"/>
    <x v="2"/>
    <m/>
    <s v="290BRS0410"/>
    <s v="Federal"/>
    <m/>
    <m/>
    <m/>
    <s v="Federal"/>
    <s v="PAV"/>
    <s v="Uruguaiana"/>
  </r>
  <r>
    <x v="0"/>
    <s v="293BRS0240"/>
    <n v="0"/>
    <x v="256"/>
    <s v="0240"/>
    <n v="-57.0581474396526"/>
    <n v="-29.7711462402068"/>
    <n v="-57.059302810376302"/>
    <n v="-29.759801729665998"/>
    <s v="293"/>
    <s v="RS"/>
    <s v="Eixo Principal"/>
    <s v="Coinc"/>
    <s v="293BRS0240"/>
    <s v="ENTR BR-472(A)"/>
    <s v="ENTR BR-472(B) (URUGUAIANA)"/>
    <n v="526.9"/>
    <n v="528.20000000000005"/>
    <n v="1.3"/>
    <x v="2"/>
    <m/>
    <s v="472BRS0220;290BRS0420"/>
    <s v="Federal"/>
    <m/>
    <m/>
    <m/>
    <s v="Federal"/>
    <s v="PAV"/>
    <s v="Uruguaiana"/>
  </r>
  <r>
    <x v="0"/>
    <s v="293BRS0250"/>
    <n v="0"/>
    <x v="256"/>
    <s v="0250"/>
    <n v="-57.059302810376302"/>
    <n v="-29.759801729665998"/>
    <n v="-57.093131890124504"/>
    <n v="-29.743046449833699"/>
    <s v="293"/>
    <s v="RS"/>
    <s v="Eixo Principal"/>
    <s v="Coinc"/>
    <s v="293BRS0250"/>
    <s v="ENTR BR-472(B) (URUGUAIANA)"/>
    <s v="ENTR BR-290(B) (FRONT BRASIL/ARGENTINA) (PONTE INTERNACIONAL)"/>
    <n v="528.20000000000005"/>
    <n v="532.70000000000005"/>
    <n v="4.5"/>
    <x v="2"/>
    <m/>
    <s v="290BRS0430"/>
    <s v="Federal"/>
    <m/>
    <m/>
    <m/>
    <s v="Federal"/>
    <s v="PAV"/>
    <s v="Uruguaiana"/>
  </r>
  <r>
    <x v="0"/>
    <s v="304BCE0010"/>
    <n v="0"/>
    <x v="257"/>
    <s v="0010"/>
    <n v="-38.210209780157101"/>
    <n v="-4.59325930037636"/>
    <n v="-37.849724819844504"/>
    <n v="-4.5797702098273003"/>
    <s v="304"/>
    <s v="CE"/>
    <s v="Eixo Principal"/>
    <s v="-"/>
    <s v="304BCE0010"/>
    <s v="ENTR BR-116 (BOQUEIRÃO DO CESÁRIO)"/>
    <s v="ENTR CE-123"/>
    <n v="0"/>
    <n v="40.200000000000003"/>
    <n v="40.200000000000003"/>
    <x v="2"/>
    <m/>
    <m/>
    <s v="Federal"/>
    <m/>
    <m/>
    <m/>
    <s v="Federal"/>
    <s v="PAV"/>
    <s v="Russas"/>
  </r>
  <r>
    <x v="0"/>
    <s v="304BCE0030"/>
    <n v="0"/>
    <x v="257"/>
    <s v="0030"/>
    <n v="-37.849724819844504"/>
    <n v="-4.5797702098273003"/>
    <n v="-37.797739800351401"/>
    <n v="-4.5749232300229803"/>
    <s v="304"/>
    <s v="CE"/>
    <s v="Eixo Principal"/>
    <s v="-"/>
    <s v="304BCE0030"/>
    <s v="ENTR CE-123"/>
    <s v="ACESSO ARACATI (BAIRRO PEDREGAL) / INÍCIO DA DUPLICAÇÃO"/>
    <n v="40.200000000000003"/>
    <n v="46"/>
    <n v="5.8"/>
    <x v="2"/>
    <m/>
    <m/>
    <s v="Federal"/>
    <m/>
    <m/>
    <m/>
    <s v="Federal"/>
    <s v="PAV"/>
    <s v="Russas"/>
  </r>
  <r>
    <x v="0"/>
    <s v="304BCE0035"/>
    <n v="0"/>
    <x v="257"/>
    <s v="0035"/>
    <n v="-37.797739800351401"/>
    <n v="-4.5749232300229803"/>
    <n v="-37.791352680281904"/>
    <n v="-4.5751613498163604"/>
    <s v="304"/>
    <s v="CE"/>
    <s v="Eixo Principal"/>
    <s v="-"/>
    <s v="304BCE0035"/>
    <s v="ACESSO ARACATI (BAIRRO PEDREGAL) / INÍCIO DA DUPLICAÇÃO"/>
    <s v="ENTR CE-040"/>
    <n v="46"/>
    <n v="46.8"/>
    <n v="0.8"/>
    <x v="0"/>
    <m/>
    <m/>
    <s v="Federal"/>
    <m/>
    <m/>
    <m/>
    <s v="Federal"/>
    <s v="PAV"/>
    <s v="Russas"/>
  </r>
  <r>
    <x v="0"/>
    <s v="304BCE0040"/>
    <n v="0"/>
    <x v="257"/>
    <s v="0040"/>
    <n v="-37.791352680281904"/>
    <n v="-4.5751613498163604"/>
    <n v="-37.774813639737602"/>
    <n v="-4.5802503497737899"/>
    <s v="304"/>
    <s v="CE"/>
    <s v="Eixo Principal"/>
    <s v="-"/>
    <s v="304BCE0040"/>
    <s v="ENTR CE-040"/>
    <s v="ENTR. CE-263/CE-371(P/ITAIÇABA/JAGUARUANA)"/>
    <n v="46.8"/>
    <n v="48.8"/>
    <n v="2"/>
    <x v="0"/>
    <m/>
    <m/>
    <s v="Federal"/>
    <m/>
    <m/>
    <m/>
    <s v="Federal"/>
    <s v="PAV"/>
    <s v="Russas"/>
  </r>
  <r>
    <x v="0"/>
    <s v="304BCE0042"/>
    <n v="0"/>
    <x v="257"/>
    <s v="0042"/>
    <n v="-37.774813639737602"/>
    <n v="-4.5802503497737899"/>
    <n v="-37.771920220341798"/>
    <n v="-4.5798807895667402"/>
    <s v="304"/>
    <s v="CE"/>
    <s v="Eixo Principal"/>
    <s v="-"/>
    <s v="304BCE0042"/>
    <s v="ENTR. CE-263/CE-371(P/ITAIÇABA/JAGUARUANA)"/>
    <s v="FIM DA DUPLICAÇÃO"/>
    <n v="48.8"/>
    <n v="49.1"/>
    <n v="0.3"/>
    <x v="0"/>
    <m/>
    <m/>
    <s v="Federal"/>
    <m/>
    <m/>
    <m/>
    <s v="Federal"/>
    <s v="PAV"/>
    <s v="Russas"/>
  </r>
  <r>
    <x v="0"/>
    <s v="304BCE0045"/>
    <n v="0"/>
    <x v="257"/>
    <s v="0045"/>
    <n v="-37.771920220341798"/>
    <n v="-4.5798807895667402"/>
    <n v="-37.7506110101899"/>
    <n v="-4.5686021201916498"/>
    <s v="304"/>
    <s v="CE"/>
    <s v="Eixo Principal"/>
    <s v="-"/>
    <s v="304BCE0045"/>
    <s v="FIM DA DUPLICAÇÃO"/>
    <s v="ACESSO ARACATÍ"/>
    <n v="49.1"/>
    <n v="51.3"/>
    <n v="2.2000000000000002"/>
    <x v="2"/>
    <m/>
    <m/>
    <s v="Federal"/>
    <m/>
    <m/>
    <m/>
    <s v="Federal"/>
    <s v="PAV"/>
    <s v="Russas"/>
  </r>
  <r>
    <x v="0"/>
    <s v="304BCE0050"/>
    <n v="0"/>
    <x v="257"/>
    <s v="0050"/>
    <n v="-37.7506110101899"/>
    <n v="-4.5686021201916498"/>
    <n v="-37.737748810059401"/>
    <n v="-4.5735207004199196"/>
    <s v="304"/>
    <s v="CE"/>
    <s v="Eixo Principal"/>
    <s v="-"/>
    <s v="304BCE0050"/>
    <s v="ACESSO ARACATÍ"/>
    <s v="ENTR. CE-371(P/CANOA QUEBRADA/MAJORLÂNDIA)"/>
    <n v="51.3"/>
    <n v="52.8"/>
    <n v="1.5"/>
    <x v="2"/>
    <m/>
    <m/>
    <s v="Federal"/>
    <m/>
    <m/>
    <m/>
    <s v="Federal"/>
    <s v="PAV"/>
    <s v="Russas"/>
  </r>
  <r>
    <x v="0"/>
    <s v="304BCE0052"/>
    <n v="0"/>
    <x v="257"/>
    <s v="0052"/>
    <n v="-37.737748810059401"/>
    <n v="-4.5735207004199196"/>
    <n v="-37.557243249876002"/>
    <n v="-4.7224969595669597"/>
    <s v="304"/>
    <s v="CE"/>
    <s v="Eixo Principal"/>
    <s v="-"/>
    <s v="304BCE0052"/>
    <s v="ENTR. CE-371(P/CANOA QUEBRADA/MAJORLÂNDIA)"/>
    <s v="ENTR CE-261"/>
    <n v="52.8"/>
    <n v="79.5"/>
    <n v="26.7"/>
    <x v="2"/>
    <m/>
    <m/>
    <s v="Federal"/>
    <m/>
    <m/>
    <m/>
    <s v="Federal"/>
    <s v="PAV"/>
    <s v="Russas"/>
  </r>
  <r>
    <x v="0"/>
    <s v="304BCE0055"/>
    <n v="0"/>
    <x v="257"/>
    <s v="0055"/>
    <n v="-37.557243249876002"/>
    <n v="-4.7224969595669597"/>
    <n v="-37.447149360154803"/>
    <n v="-4.8799392296116899"/>
    <s v="304"/>
    <s v="CE"/>
    <s v="Eixo Principal"/>
    <s v="-"/>
    <s v="304BCE0055"/>
    <s v="ENTR CE-261"/>
    <s v="DIV CE/RN"/>
    <n v="79.5"/>
    <n v="100.8"/>
    <n v="21.3"/>
    <x v="2"/>
    <m/>
    <m/>
    <s v="Federal"/>
    <m/>
    <m/>
    <m/>
    <s v="Federal"/>
    <s v="PAV"/>
    <s v="Russas"/>
  </r>
  <r>
    <x v="0"/>
    <s v="304BRN0070"/>
    <n v="0"/>
    <x v="258"/>
    <s v="0070"/>
    <n v="-37.447149360154803"/>
    <n v="-4.8799392296116899"/>
    <n v="-37.330754029674601"/>
    <n v="-5.0674880696186602"/>
    <s v="304"/>
    <s v="RN"/>
    <s v="Eixo Principal"/>
    <s v="-"/>
    <s v="304BRN0070"/>
    <s v="DIV CE/RN"/>
    <s v="ENTR RN-013"/>
    <n v="0"/>
    <n v="24.4"/>
    <n v="24.4"/>
    <x v="2"/>
    <m/>
    <m/>
    <s v="Federal"/>
    <m/>
    <m/>
    <m/>
    <s v="Federal"/>
    <s v="PAV"/>
    <s v="Mossoró"/>
  </r>
  <r>
    <x v="0"/>
    <s v="304BRN0075"/>
    <n v="0"/>
    <x v="258"/>
    <s v="0075"/>
    <n v="-37.330754029674601"/>
    <n v="-5.0674880696186602"/>
    <n v="-37.345412889992801"/>
    <n v="-5.1373677398293003"/>
    <s v="304"/>
    <s v="RN"/>
    <s v="Eixo Principal"/>
    <s v="-"/>
    <s v="304BRN0075"/>
    <s v="ENTR RN-013"/>
    <s v="INÍCIO TRECHO DUPLICADO (MOSSORÓ)"/>
    <n v="24.4"/>
    <n v="32.299999999999997"/>
    <n v="7.9"/>
    <x v="2"/>
    <m/>
    <m/>
    <s v="Federal"/>
    <m/>
    <m/>
    <m/>
    <s v="Federal"/>
    <s v="PAV"/>
    <s v="Mossoró"/>
  </r>
  <r>
    <x v="0"/>
    <s v="304BRN0080"/>
    <n v="0"/>
    <x v="258"/>
    <s v="0080"/>
    <n v="-37.345412889992801"/>
    <n v="-5.1373677398293003"/>
    <n v="-37.377914899552898"/>
    <n v="-5.1935753802995297"/>
    <s v="304"/>
    <s v="RN"/>
    <s v="Eixo Principal"/>
    <s v="-"/>
    <s v="304BRN0080"/>
    <s v="INÍCIO TRECHO DUPLICADO (MOSSORÓ)"/>
    <s v="ENTR BR-405"/>
    <n v="32.299999999999997"/>
    <n v="39.700000000000003"/>
    <n v="7.4"/>
    <x v="0"/>
    <m/>
    <m/>
    <s v="Federal"/>
    <m/>
    <m/>
    <m/>
    <s v="Federal"/>
    <s v="PAV"/>
    <s v="Mossoró"/>
  </r>
  <r>
    <x v="0"/>
    <s v="304BRN0090"/>
    <n v="0"/>
    <x v="258"/>
    <s v="0090"/>
    <n v="-37.377914899552898"/>
    <n v="-5.1935753802995297"/>
    <n v="-37.364795139883697"/>
    <n v="-5.2183092897418497"/>
    <s v="304"/>
    <s v="RN"/>
    <s v="Eixo Principal"/>
    <s v="-"/>
    <s v="304BRN0090"/>
    <s v="ENTR BR-405"/>
    <s v="ENTR RN-117"/>
    <n v="39.700000000000003"/>
    <n v="43.6"/>
    <n v="3.9"/>
    <x v="0"/>
    <m/>
    <m/>
    <s v="Federal"/>
    <m/>
    <m/>
    <m/>
    <s v="Federal"/>
    <s v="PAV"/>
    <s v="Mossoró"/>
  </r>
  <r>
    <x v="0"/>
    <s v="304BRN0095"/>
    <n v="0"/>
    <x v="258"/>
    <s v="0095"/>
    <n v="-37.364795139883697"/>
    <n v="-5.2183092897418497"/>
    <n v="-37.331956040139097"/>
    <n v="-5.2259442398347398"/>
    <s v="304"/>
    <s v="RN"/>
    <s v="Eixo Principal"/>
    <s v="-"/>
    <s v="304BRN0095"/>
    <s v="ENTR RN-117"/>
    <s v="ENTR BR-110(A)"/>
    <n v="43.6"/>
    <n v="46.9"/>
    <n v="3.3"/>
    <x v="0"/>
    <m/>
    <m/>
    <s v="Federal"/>
    <m/>
    <m/>
    <m/>
    <s v="Federal"/>
    <s v="PAV"/>
    <s v="Mossoró"/>
  </r>
  <r>
    <x v="0"/>
    <s v="304BRN0100"/>
    <n v="0"/>
    <x v="258"/>
    <s v="0100"/>
    <n v="-37.331956040139097"/>
    <n v="-5.2259442398347398"/>
    <n v="-37.324358519829701"/>
    <n v="-5.2259760200772103"/>
    <s v="304"/>
    <s v="RN"/>
    <s v="Eixo Principal"/>
    <s v="Coinc"/>
    <s v="304BRN0100"/>
    <s v="ENTR BR-110(A)"/>
    <s v="ENTR BR-110(B) (P/ MOSSORÓ)"/>
    <n v="46.9"/>
    <n v="47.6"/>
    <n v="0.7"/>
    <x v="0"/>
    <m/>
    <s v="110BRN0040"/>
    <s v="Federal"/>
    <m/>
    <m/>
    <m/>
    <s v="Federal"/>
    <s v="PAV"/>
    <s v="Mossoró"/>
  </r>
  <r>
    <x v="0"/>
    <s v="304BRN0110"/>
    <n v="0"/>
    <x v="258"/>
    <s v="0110"/>
    <n v="-37.324358519829701"/>
    <n v="-5.2259760200772103"/>
    <n v="-37.318569910272998"/>
    <n v="-5.2344614599284096"/>
    <s v="304"/>
    <s v="RN"/>
    <s v="Eixo Principal"/>
    <s v="-"/>
    <s v="304BRN0110"/>
    <s v="ENTR BR-110(B) (P/ MOSSORÓ)"/>
    <s v="FIM PISTA DUPLA"/>
    <n v="47.6"/>
    <n v="48.8"/>
    <n v="1.2"/>
    <x v="0"/>
    <m/>
    <m/>
    <s v="Federal"/>
    <m/>
    <m/>
    <m/>
    <s v="Federal"/>
    <s v="PAV"/>
    <s v="Mossoró"/>
  </r>
  <r>
    <x v="0"/>
    <s v="304BRN0115"/>
    <n v="0"/>
    <x v="258"/>
    <s v="0115"/>
    <n v="-37.318569910272998"/>
    <n v="-5.2344614599284096"/>
    <n v="-37.234274649954997"/>
    <n v="-5.3863684603361399"/>
    <s v="304"/>
    <s v="RN"/>
    <s v="Eixo Principal"/>
    <s v="-"/>
    <s v="304BRN0115"/>
    <s v="FIM PISTA DUPLA"/>
    <s v="ENTR RN-016"/>
    <n v="48.8"/>
    <n v="68"/>
    <n v="19.2"/>
    <x v="2"/>
    <m/>
    <m/>
    <s v="Federal"/>
    <m/>
    <m/>
    <m/>
    <s v="Federal"/>
    <s v="PAV"/>
    <s v="Mossoró"/>
  </r>
  <r>
    <x v="0"/>
    <s v="304BRN0120"/>
    <n v="0"/>
    <x v="258"/>
    <s v="0120"/>
    <n v="-37.234274649954997"/>
    <n v="-5.3863684603361399"/>
    <n v="-37.188288100415399"/>
    <n v="-5.44932058987325"/>
    <s v="304"/>
    <s v="RN"/>
    <s v="Eixo Principal"/>
    <s v="-"/>
    <s v="304BRN0120"/>
    <s v="ENTR RN-016"/>
    <s v="ENTR RN-405"/>
    <n v="68"/>
    <n v="76.7"/>
    <n v="8.6999999999999993"/>
    <x v="2"/>
    <m/>
    <m/>
    <s v="Federal"/>
    <m/>
    <m/>
    <m/>
    <s v="Federal"/>
    <s v="PAV"/>
    <s v="Mossoró"/>
  </r>
  <r>
    <x v="0"/>
    <s v="304BRN0130"/>
    <n v="0"/>
    <x v="258"/>
    <s v="0130"/>
    <n v="-37.188288100415399"/>
    <n v="-5.44932058987325"/>
    <n v="-36.968427089638404"/>
    <n v="-5.5881619895840799"/>
    <s v="304"/>
    <s v="RN"/>
    <s v="Eixo Principal"/>
    <s v="-"/>
    <s v="304BRN0130"/>
    <s v="ENTR RN-405"/>
    <s v="ENTR RN 233 (P/PARAÚ)"/>
    <n v="76.7"/>
    <n v="106.4"/>
    <n v="29.7"/>
    <x v="2"/>
    <m/>
    <m/>
    <s v="Federal"/>
    <m/>
    <m/>
    <m/>
    <s v="Federal"/>
    <s v="PAV"/>
    <s v="Mossoró"/>
  </r>
  <r>
    <x v="0"/>
    <s v="304BRN0140"/>
    <n v="0"/>
    <x v="258"/>
    <s v="0140"/>
    <n v="-36.968427089638404"/>
    <n v="-5.5881619895840799"/>
    <n v="-36.917949699918601"/>
    <n v="-5.6033988603690501"/>
    <s v="304"/>
    <s v="RN"/>
    <s v="Eixo Principal"/>
    <s v="-"/>
    <s v="304BRN0140"/>
    <s v="ENTR RN 233 (P/PARAÚ)"/>
    <s v="ENTR RN-016 (P/ASSÚ)"/>
    <n v="106.4"/>
    <n v="112.4"/>
    <n v="6"/>
    <x v="2"/>
    <m/>
    <m/>
    <s v="Federal"/>
    <m/>
    <m/>
    <m/>
    <s v="Federal"/>
    <s v="PAV"/>
    <s v="Mossoró"/>
  </r>
  <r>
    <x v="0"/>
    <s v="304BRN0150"/>
    <n v="0"/>
    <x v="258"/>
    <s v="0150"/>
    <n v="-36.917949699918601"/>
    <n v="-5.6033988603690501"/>
    <n v="-36.863399699736298"/>
    <n v="-5.6303200199529302"/>
    <s v="304"/>
    <s v="RN"/>
    <s v="Eixo Principal"/>
    <s v="-"/>
    <s v="304BRN0150"/>
    <s v="ENTR RN-016 (P/ASSÚ)"/>
    <s v="ENTR RN-118(A)"/>
    <n v="112.4"/>
    <n v="119.2"/>
    <n v="6.8"/>
    <x v="2"/>
    <m/>
    <m/>
    <s v="Federal"/>
    <m/>
    <m/>
    <m/>
    <s v="Federal"/>
    <s v="PAV"/>
    <s v="Mossoró"/>
  </r>
  <r>
    <x v="0"/>
    <s v="304BRN0170"/>
    <n v="0"/>
    <x v="258"/>
    <s v="0170"/>
    <n v="-36.863399699736298"/>
    <n v="-5.6303200199529302"/>
    <n v="-36.815102360185698"/>
    <n v="-5.6541360696238598"/>
    <s v="304"/>
    <s v="RN"/>
    <s v="Eixo Principal"/>
    <s v="-"/>
    <s v="304BRN0170"/>
    <s v="ENTR RN-118(A)"/>
    <s v="ENTR RN-118(B)"/>
    <n v="119.2"/>
    <n v="125.2"/>
    <n v="6"/>
    <x v="2"/>
    <m/>
    <m/>
    <s v="Federal"/>
    <m/>
    <m/>
    <m/>
    <s v="Federal"/>
    <s v="PAV"/>
    <s v="Mossoró"/>
  </r>
  <r>
    <x v="0"/>
    <s v="304BRN0190"/>
    <n v="0"/>
    <x v="258"/>
    <s v="0190"/>
    <n v="-36.815102360185698"/>
    <n v="-5.6541360696238598"/>
    <n v="-36.615666050247903"/>
    <n v="-5.6772309403555701"/>
    <s v="304"/>
    <s v="RN"/>
    <s v="Eixo Principal"/>
    <s v="-"/>
    <s v="304BRN0190"/>
    <s v="ENTR RN-118(B)"/>
    <s v="ENTR RN-263(A)"/>
    <n v="125.2"/>
    <n v="147.5"/>
    <n v="22.3"/>
    <x v="2"/>
    <m/>
    <m/>
    <s v="Federal"/>
    <m/>
    <m/>
    <m/>
    <s v="Federal"/>
    <s v="PAV"/>
    <s v="Mossoró"/>
  </r>
  <r>
    <x v="0"/>
    <s v="304BRN0195"/>
    <n v="0"/>
    <x v="258"/>
    <s v="0195"/>
    <n v="-36.615666050247903"/>
    <n v="-5.6772309403555701"/>
    <n v="-36.607086029596502"/>
    <n v="-5.6795844202846899"/>
    <s v="304"/>
    <s v="RN"/>
    <s v="Eixo Principal"/>
    <s v="-"/>
    <s v="304BRN0195"/>
    <s v="ENTR RN-263 (A)"/>
    <s v="ENTR RN-263(B) (ANGICOS)"/>
    <n v="147.5"/>
    <n v="148.5"/>
    <n v="1"/>
    <x v="2"/>
    <m/>
    <m/>
    <s v="Federal"/>
    <m/>
    <m/>
    <m/>
    <s v="Federal"/>
    <s v="PAV"/>
    <s v="Mossoró"/>
  </r>
  <r>
    <x v="0"/>
    <s v="304BRN0200"/>
    <n v="0"/>
    <x v="258"/>
    <s v="0200"/>
    <n v="-36.607086029596502"/>
    <n v="-5.6795844202846899"/>
    <n v="-36.590930879955998"/>
    <n v="-5.6921596098780398"/>
    <s v="304"/>
    <s v="RN"/>
    <s v="Eixo Principal"/>
    <s v="-"/>
    <s v="304BRN0200"/>
    <s v="ENTR RN-263(B) (ANGICOS)"/>
    <s v="ENTR RN-042"/>
    <n v="148.5"/>
    <n v="150.9"/>
    <n v="2.4"/>
    <x v="2"/>
    <m/>
    <m/>
    <s v="Federal"/>
    <m/>
    <m/>
    <m/>
    <s v="Federal"/>
    <s v="PAV"/>
    <s v="Mossoró"/>
  </r>
  <r>
    <x v="0"/>
    <s v="304BRN0210"/>
    <n v="0"/>
    <x v="258"/>
    <s v="0210"/>
    <n v="-36.590930879955998"/>
    <n v="-5.6921596098780398"/>
    <n v="-36.529972710172302"/>
    <n v="-5.6943167003553796"/>
    <s v="304"/>
    <s v="RN"/>
    <s v="Eixo Principal"/>
    <s v="-"/>
    <s v="304BRN0210"/>
    <s v="ENTR RN-042"/>
    <s v="ACESSO À FERNANDO PEDROSA"/>
    <n v="150.9"/>
    <n v="157.80000000000001"/>
    <n v="6.9"/>
    <x v="2"/>
    <m/>
    <m/>
    <s v="Federal"/>
    <m/>
    <m/>
    <m/>
    <s v="Federal"/>
    <s v="PAV"/>
    <s v="Mossoró"/>
  </r>
  <r>
    <x v="0"/>
    <s v="304BRN0220"/>
    <n v="0"/>
    <x v="258"/>
    <s v="0220"/>
    <n v="-36.529972710172302"/>
    <n v="-5.6943167003553796"/>
    <n v="-36.459252049742197"/>
    <n v="-5.6800989098367696"/>
    <s v="304"/>
    <s v="RN"/>
    <s v="Eixo Principal"/>
    <s v="-"/>
    <s v="304BRN0220"/>
    <s v="ACESSO À FERNANDO PEDROSA"/>
    <s v="ENTR RN-041 (P/SANTANA DO MATOS)"/>
    <n v="157.80000000000001"/>
    <n v="166.6"/>
    <n v="8.8000000000000007"/>
    <x v="2"/>
    <m/>
    <m/>
    <s v="Federal"/>
    <m/>
    <m/>
    <m/>
    <s v="Federal"/>
    <s v="PAV"/>
    <s v="Mossoró"/>
  </r>
  <r>
    <x v="0"/>
    <s v="304BRN0230"/>
    <n v="0"/>
    <x v="258"/>
    <s v="0230"/>
    <n v="-36.459252049742197"/>
    <n v="-5.6800989098367696"/>
    <n v="-36.307412049726203"/>
    <n v="-5.6899711501484296"/>
    <s v="304"/>
    <s v="RN"/>
    <s v="Eixo Principal"/>
    <s v="-"/>
    <s v="304BRN0230"/>
    <s v="ENTR RN-041 (P/SANTANA DO MATOS)"/>
    <s v="ENTR BR-104(A) (P/PEDRO AVELINO)"/>
    <n v="166.6"/>
    <n v="183.5"/>
    <n v="16.899999999999999"/>
    <x v="2"/>
    <m/>
    <m/>
    <s v="Federal"/>
    <m/>
    <m/>
    <m/>
    <s v="Federal"/>
    <s v="PAV"/>
    <s v="Mossoró"/>
  </r>
  <r>
    <x v="0"/>
    <s v="304BRN0250"/>
    <n v="0"/>
    <x v="258"/>
    <s v="0250"/>
    <n v="-36.307412049726203"/>
    <n v="-5.6899711501484296"/>
    <n v="-36.240734799671202"/>
    <n v="-5.7055556601655404"/>
    <s v="304"/>
    <s v="RN"/>
    <s v="Eixo Principal"/>
    <s v="Coinc"/>
    <s v="304BRN0250"/>
    <s v="ENTR BR-104(A) (P/PEDRO AVELINO)"/>
    <s v="ENTR BR-104(B) (LAJES)"/>
    <n v="183.5"/>
    <n v="191.3"/>
    <n v="7.8"/>
    <x v="2"/>
    <m/>
    <s v="104BRN0070"/>
    <s v="Federal"/>
    <m/>
    <m/>
    <m/>
    <s v="Federal"/>
    <s v="PAV"/>
    <s v="Mossoró"/>
  </r>
  <r>
    <x v="0"/>
    <s v="304BRN0270"/>
    <n v="0"/>
    <x v="258"/>
    <s v="0270"/>
    <n v="-36.240734799671202"/>
    <n v="-5.7055556601655404"/>
    <n v="-35.9940159101061"/>
    <n v="-5.7569383299399401"/>
    <s v="304"/>
    <s v="RN"/>
    <s v="Eixo Principal"/>
    <s v="-"/>
    <s v="304BRN0270"/>
    <s v="ENTR BR-104(B) (LAJES)"/>
    <s v="ENTR RN-023 (CAIÇARA DO RIO DO VENTO)"/>
    <n v="191.3"/>
    <n v="219.5"/>
    <n v="28.2"/>
    <x v="2"/>
    <m/>
    <m/>
    <s v="Federal"/>
    <m/>
    <m/>
    <m/>
    <s v="Federal"/>
    <s v="PAV"/>
    <s v="Macaíba"/>
  </r>
  <r>
    <x v="0"/>
    <s v="304BRN0275"/>
    <n v="0"/>
    <x v="258"/>
    <s v="0275"/>
    <n v="-35.9940159101061"/>
    <n v="-5.7569383299399401"/>
    <n v="-35.9278106503412"/>
    <n v="-5.7486366296766898"/>
    <s v="304"/>
    <s v="RN"/>
    <s v="Eixo Principal"/>
    <s v="-"/>
    <s v="304BRN0275"/>
    <s v="ENTR RN-023 (CAIÇARA DO RIO DO VENTO)"/>
    <s v="ENTR R. MANOEL FELIPE (CACHOEIRA DO SAPO)"/>
    <n v="219.5"/>
    <n v="227.1"/>
    <n v="7.6"/>
    <x v="2"/>
    <m/>
    <m/>
    <s v="Federal"/>
    <m/>
    <m/>
    <m/>
    <s v="Federal"/>
    <s v="PAV"/>
    <s v="Macaíba"/>
  </r>
  <r>
    <x v="0"/>
    <s v="304BRN0280"/>
    <n v="0"/>
    <x v="258"/>
    <s v="0280"/>
    <n v="-35.9278106503412"/>
    <n v="-5.7486366296766898"/>
    <n v="-35.859317890308297"/>
    <n v="-5.7675776802656697"/>
    <s v="304"/>
    <s v="RN"/>
    <s v="Eixo Principal"/>
    <s v="-"/>
    <s v="304BRN0280"/>
    <s v="ENTR R. MANOEL FELIPE (CACHOEIRA DO SAPO)"/>
    <s v="ENTR RN-120(A)"/>
    <n v="227.1"/>
    <n v="235.6"/>
    <n v="8.5"/>
    <x v="2"/>
    <m/>
    <m/>
    <s v="Federal"/>
    <m/>
    <m/>
    <m/>
    <s v="Federal"/>
    <s v="PAV"/>
    <s v="Macaíba"/>
  </r>
  <r>
    <x v="0"/>
    <s v="304BRN0290"/>
    <n v="0"/>
    <x v="258"/>
    <s v="0290"/>
    <n v="-35.859317890308297"/>
    <n v="-5.7675776802656697"/>
    <n v="-35.822321599761899"/>
    <n v="-5.8109180502277704"/>
    <s v="304"/>
    <s v="RN"/>
    <s v="Eixo Principal"/>
    <s v="-"/>
    <s v="304BRN0290"/>
    <s v="ENTR RN-120(A)"/>
    <s v="RIACHUELO"/>
    <n v="235.6"/>
    <n v="242"/>
    <n v="6.4"/>
    <x v="2"/>
    <m/>
    <m/>
    <s v="Federal"/>
    <m/>
    <m/>
    <m/>
    <s v="Federal"/>
    <s v="PAV"/>
    <s v="Macaíba"/>
  </r>
  <r>
    <x v="0"/>
    <s v="304BRN0300"/>
    <n v="0"/>
    <x v="258"/>
    <s v="0300"/>
    <n v="-35.822321599761899"/>
    <n v="-5.8109180502277704"/>
    <n v="-35.766113339658801"/>
    <n v="-5.8281957003712197"/>
    <s v="304"/>
    <s v="RN"/>
    <s v="Eixo Principal"/>
    <s v="-"/>
    <s v="304BRN0300"/>
    <s v="RIACHUELO"/>
    <s v="ENTR RN-120(B)"/>
    <n v="242"/>
    <n v="248.7"/>
    <n v="6.7"/>
    <x v="2"/>
    <m/>
    <m/>
    <s v="Federal"/>
    <m/>
    <m/>
    <m/>
    <s v="Federal"/>
    <s v="PAV"/>
    <s v="Macaíba"/>
  </r>
  <r>
    <x v="0"/>
    <s v="304BRN0310"/>
    <n v="0"/>
    <x v="258"/>
    <s v="0310"/>
    <n v="-35.766113339658801"/>
    <n v="-5.8281957003712197"/>
    <n v="-35.690774569690497"/>
    <n v="-5.84199615959505"/>
    <s v="304"/>
    <s v="RN"/>
    <s v="Eixo Principal"/>
    <s v="-"/>
    <s v="304BRN0310"/>
    <s v="ENTR RN-120(B)"/>
    <s v="ENTR RN-064 (SANTA MARIA)"/>
    <n v="248.7"/>
    <n v="257.2"/>
    <n v="8.5"/>
    <x v="2"/>
    <m/>
    <m/>
    <s v="Federal"/>
    <m/>
    <m/>
    <m/>
    <s v="Federal"/>
    <s v="PAV"/>
    <s v="Macaíba"/>
  </r>
  <r>
    <x v="0"/>
    <s v="304BRN0330"/>
    <n v="0"/>
    <x v="258"/>
    <s v="0330"/>
    <n v="-35.690774569690497"/>
    <n v="-5.84199615959505"/>
    <n v="-35.490399460166799"/>
    <n v="-5.8898457096117296"/>
    <s v="304"/>
    <s v="RN"/>
    <s v="Eixo Principal"/>
    <s v="-"/>
    <s v="304BRN0330"/>
    <s v="ENTR RN-064 (SANTA MARIA)"/>
    <s v="ENTR BR-226(A)"/>
    <n v="257.2"/>
    <n v="280.10000000000002"/>
    <n v="22.9"/>
    <x v="2"/>
    <m/>
    <m/>
    <s v="Federal"/>
    <m/>
    <m/>
    <m/>
    <s v="Federal"/>
    <s v="PAV"/>
    <s v="Macaíba"/>
  </r>
  <r>
    <x v="0"/>
    <s v="304BRN0350"/>
    <n v="0"/>
    <x v="258"/>
    <s v="0350"/>
    <n v="-35.490399460166799"/>
    <n v="-5.8898457096117296"/>
    <n v="-35.343982769589097"/>
    <n v="-5.8640041501713496"/>
    <s v="304"/>
    <s v="RN"/>
    <s v="Eixo Principal"/>
    <s v="Coinc"/>
    <s v="304BRN0350"/>
    <s v="ENTR BR-226(A)"/>
    <s v="ENTR BR-226(B) (MACAÍBA)"/>
    <n v="280.10000000000002"/>
    <n v="296.8"/>
    <n v="16.7"/>
    <x v="2"/>
    <s v="EOD"/>
    <s v="226BRN0030"/>
    <s v="Federal"/>
    <m/>
    <m/>
    <m/>
    <s v="Federal"/>
    <s v="PAV"/>
    <s v="Macaíba"/>
  </r>
  <r>
    <x v="0"/>
    <s v="304BRN0370"/>
    <n v="0"/>
    <x v="258"/>
    <s v="0370"/>
    <n v="-35.343982769589097"/>
    <n v="-5.8640041501713496"/>
    <n v="-35.256848229961797"/>
    <n v="-5.8918122202576901"/>
    <s v="304"/>
    <s v="RN"/>
    <s v="Eixo Principal"/>
    <s v="-"/>
    <s v="304BRN0370"/>
    <s v="ENTR BR-226(B) (MACAÍBA)"/>
    <s v="ENTR BR-101(A) (COMPLEXO VIÁRIO TRAMPOLIM DA VITÓRIA)*TRECHO URBANO*"/>
    <n v="296.8"/>
    <n v="306.7"/>
    <n v="9.9"/>
    <x v="0"/>
    <m/>
    <m/>
    <s v="Federal"/>
    <m/>
    <m/>
    <m/>
    <s v="Federal"/>
    <s v="PAV"/>
    <s v="Macaíba"/>
  </r>
  <r>
    <x v="0"/>
    <s v="304BRN0390"/>
    <n v="0"/>
    <x v="258"/>
    <s v="0390"/>
    <n v="-35.256848229961797"/>
    <n v="-5.8918122202576901"/>
    <n v="-35.208533590153003"/>
    <n v="-5.8486836001679796"/>
    <s v="304"/>
    <s v="RN"/>
    <s v="Eixo Principal"/>
    <s v="Coinc"/>
    <s v="304BRN0390"/>
    <s v="ENTR BR-101(A) (COMPLEXO VIÁRIO TRAMPOLIM DA VITÓRIA)*TRECHO URBANO*"/>
    <s v="ENTR RN-063 (P/PONTA NEGRA)*TRECHO URBANO*"/>
    <n v="306.7"/>
    <n v="315"/>
    <n v="8.3000000000000007"/>
    <x v="0"/>
    <m/>
    <s v="101BRN0130"/>
    <s v="Federal"/>
    <m/>
    <m/>
    <m/>
    <s v="Federal"/>
    <s v="PAV"/>
    <s v="Macaíba"/>
  </r>
  <r>
    <x v="0"/>
    <s v="304BRN0410"/>
    <n v="0"/>
    <x v="258"/>
    <s v="0410"/>
    <n v="-35.208533590153003"/>
    <n v="-5.8486836001679796"/>
    <n v="-35.209428789706799"/>
    <n v="-5.82477358033639"/>
    <s v="304"/>
    <s v="RN"/>
    <s v="Eixo Principal"/>
    <s v="Coinc"/>
    <s v="304BRN0410"/>
    <s v="ENTR RN-063 (P/PONTA NEGRA)*TRECHO URBANO*"/>
    <s v="ENTR BR-101(B) (COMPLEXO VIÁRIO DO 4º CENTENÁRIO - NATAL) *TRECHO URBANO*"/>
    <n v="315"/>
    <n v="317.39999999999998"/>
    <n v="2.4"/>
    <x v="0"/>
    <m/>
    <s v="101BRN0110"/>
    <s v="Federal"/>
    <m/>
    <m/>
    <m/>
    <s v="Federal"/>
    <s v="PAV"/>
    <s v="Macaíba"/>
  </r>
  <r>
    <x v="0"/>
    <s v="307BAC0005"/>
    <n v="0"/>
    <x v="259"/>
    <s v="0005"/>
    <n v="-72.8026736000065"/>
    <n v="-8.9381155104224401"/>
    <n v="-72.771295310430204"/>
    <n v="-8.2699714304371206"/>
    <s v="307"/>
    <s v="AC"/>
    <s v="Eixo Principal"/>
    <s v="-"/>
    <s v="307BAC0005"/>
    <s v="ENTR AC-190/378 (MARECHAL TAUMATURGO)"/>
    <s v="ENTR AC-090 (PORTO VALTER)"/>
    <n v="0"/>
    <n v="80.400000000000006"/>
    <n v="80.400000000000006"/>
    <x v="1"/>
    <m/>
    <m/>
    <s v="Federal"/>
    <m/>
    <m/>
    <m/>
    <s v="Federal"/>
    <s v="PLA"/>
    <s v="Rio Branco"/>
  </r>
  <r>
    <x v="0"/>
    <s v="307BAC0010"/>
    <n v="0"/>
    <x v="259"/>
    <s v="0010"/>
    <n v="-72.771295310430204"/>
    <n v="-8.2699714304371206"/>
    <n v="-72.402602850241195"/>
    <n v="-8.0240050701777896"/>
    <s v="307"/>
    <s v="AC"/>
    <s v="Eixo Principal"/>
    <s v="-"/>
    <s v="307BAC0010"/>
    <s v="ENTR AC-090 (PORTO VALTER)"/>
    <s v="INÍCIO TRECHO IMPLANTADO"/>
    <n v="80.400000000000006"/>
    <n v="116"/>
    <n v="35.6"/>
    <x v="1"/>
    <m/>
    <m/>
    <s v="Federal"/>
    <m/>
    <m/>
    <m/>
    <s v="Federal"/>
    <s v="PLA"/>
    <s v="Rio Branco"/>
  </r>
  <r>
    <x v="0"/>
    <s v="307BAC0015"/>
    <n v="0"/>
    <x v="259"/>
    <s v="0015"/>
    <n v="-72.402602850241195"/>
    <n v="-8.0240050701777896"/>
    <n v="-72.409495903712894"/>
    <n v="-7.9846405256396897"/>
    <s v="307"/>
    <s v="AC"/>
    <s v="Eixo Principal"/>
    <s v="-"/>
    <s v="307BAC0015"/>
    <s v="INÍCIO TRECHO IMPLANTADO"/>
    <s v="ENTR RAMAL 03"/>
    <n v="116"/>
    <n v="121.7"/>
    <n v="5.7"/>
    <x v="1"/>
    <m/>
    <m/>
    <s v="Federal"/>
    <m/>
    <m/>
    <m/>
    <s v="Federal"/>
    <s v="PLA"/>
    <s v="Rio Branco"/>
  </r>
  <r>
    <x v="0"/>
    <s v="307BAC0018"/>
    <n v="0"/>
    <x v="259"/>
    <s v="0018"/>
    <n v="-72.409495903712894"/>
    <n v="-7.9846405256396897"/>
    <n v="-72.420984327364707"/>
    <n v="-7.9190329526086298"/>
    <s v="307"/>
    <s v="AC"/>
    <s v="Eixo Principal"/>
    <s v="-"/>
    <s v="307BAC0018"/>
    <s v="ENTR RAMAL 03"/>
    <s v="INÍCIO TRECHO PAVIMENTADO"/>
    <n v="121.7"/>
    <n v="131.19999999999999"/>
    <n v="9.5"/>
    <x v="1"/>
    <m/>
    <m/>
    <s v="Federal"/>
    <m/>
    <m/>
    <m/>
    <s v="Federal"/>
    <s v="PLA"/>
    <s v="Rio Branco"/>
  </r>
  <r>
    <x v="0"/>
    <s v="307BAC0020"/>
    <n v="0"/>
    <x v="259"/>
    <s v="0020"/>
    <n v="-72.420984327364707"/>
    <n v="-7.9190329526086298"/>
    <n v="-72.443239580242306"/>
    <n v="-7.7464272998799402"/>
    <s v="307"/>
    <s v="AC"/>
    <s v="Eixo Principal"/>
    <s v="-"/>
    <s v="307BAC0020"/>
    <s v="INÍCIO TRECHO PAVIMENTADO"/>
    <s v="ENTR BR-364(A)"/>
    <n v="131.19999999999999"/>
    <n v="156.6"/>
    <n v="25.4"/>
    <x v="1"/>
    <m/>
    <m/>
    <s v="Estadual"/>
    <m/>
    <s v="AC-307"/>
    <s v="PAV"/>
    <s v="Estadual"/>
    <s v="PLA"/>
    <s v="Rio Branco"/>
  </r>
  <r>
    <x v="0"/>
    <s v="307BAC0022"/>
    <n v="0"/>
    <x v="259"/>
    <s v="0022"/>
    <n v="-72.443239580242306"/>
    <n v="-7.7464272998799402"/>
    <n v="-72.643365840161294"/>
    <n v="-7.7220707495653702"/>
    <s v="307"/>
    <s v="AC"/>
    <s v="Eixo Principal"/>
    <s v="-"/>
    <s v="307BAC0022"/>
    <s v="ENTR BR-364(A)"/>
    <s v="ENTR BR-364(B) (P/RODRIGUES ALVES)"/>
    <n v="156.6"/>
    <n v="179"/>
    <n v="22.4"/>
    <x v="2"/>
    <m/>
    <s v="364BAC1810"/>
    <s v="Federal"/>
    <m/>
    <m/>
    <m/>
    <s v="Federal"/>
    <s v="PAV"/>
    <s v="Rio Branco"/>
  </r>
  <r>
    <x v="0"/>
    <s v="307BAC0025"/>
    <n v="0"/>
    <x v="259"/>
    <s v="0025"/>
    <n v="-72.643365840161294"/>
    <n v="-7.7220707495653702"/>
    <n v="-72.667404150081396"/>
    <n v="-7.6411652004136297"/>
    <s v="307"/>
    <s v="AC"/>
    <s v="Eixo Principal"/>
    <s v="-"/>
    <s v="307BAC0025"/>
    <s v="ENTR BR-364(B) (P/RODRIGUES ALVES)"/>
    <s v="INÍCIO PONTE SOBRE O RIO JURUÁ"/>
    <n v="179"/>
    <n v="189.5"/>
    <n v="10.5"/>
    <x v="2"/>
    <m/>
    <m/>
    <s v="Federal"/>
    <m/>
    <m/>
    <m/>
    <s v="Federal"/>
    <s v="PAV"/>
    <s v="Rio Branco"/>
  </r>
  <r>
    <x v="0"/>
    <s v="307BAC0028"/>
    <n v="0"/>
    <x v="259"/>
    <s v="0028"/>
    <n v="-72.667404150081396"/>
    <n v="-7.6411652004136297"/>
    <n v="-72.6686140404056"/>
    <n v="-7.63929355025709"/>
    <s v="307"/>
    <s v="AC"/>
    <s v="Eixo Principal"/>
    <s v="-"/>
    <s v="307BAC0028"/>
    <s v="INÍCIO PONTE SOBRE O RIO JURUÁ"/>
    <s v="FIM PONTE SOBRE O RIO JURUÁ (CRUZEIRO DO SUL)"/>
    <n v="189.5"/>
    <n v="190.2"/>
    <n v="0.7"/>
    <x v="2"/>
    <m/>
    <m/>
    <s v="Federal"/>
    <m/>
    <m/>
    <m/>
    <s v="Federal"/>
    <s v="PAV"/>
    <s v="Rio Branco"/>
  </r>
  <r>
    <x v="0"/>
    <s v="307BAC0030"/>
    <n v="0"/>
    <x v="259"/>
    <s v="0030"/>
    <n v="-72.6686140404056"/>
    <n v="-7.63929355025709"/>
    <n v="-72.678510369957493"/>
    <n v="-7.6216303796382396"/>
    <s v="307"/>
    <s v="AC"/>
    <s v="Eixo Principal"/>
    <s v="-"/>
    <s v="307BAC0030"/>
    <s v="FIM PONTE SOBRE O RIO JURUÁ (CRUZEIRO DO SUL)"/>
    <s v="ROTATÓRIA DA AV COPACABANA (CRUZEIRO DO SUL)"/>
    <n v="190.2"/>
    <n v="192.4"/>
    <n v="2.2000000000000002"/>
    <x v="1"/>
    <m/>
    <m/>
    <s v="Estadual"/>
    <m/>
    <s v="AC-307"/>
    <s v="PAV"/>
    <s v="Estadual"/>
    <s v="PLA"/>
    <s v="Rio Branco"/>
  </r>
  <r>
    <x v="0"/>
    <s v="307BAC0035"/>
    <n v="0"/>
    <x v="259"/>
    <s v="0035"/>
    <n v="-72.678510369957493"/>
    <n v="-7.6216303796382396"/>
    <n v="-72.680774090351903"/>
    <n v="-7.6106941496152496"/>
    <s v="307"/>
    <s v="AC"/>
    <s v="Eixo Principal"/>
    <s v="-"/>
    <s v="307BAC0035"/>
    <s v="ROTATÓRIA DA AV COPACABANA (CRUZEIRO DO SUL)"/>
    <s v="INÍCIO DE PISTA DUPLA (61º BIS) (CRUZEIRO DO SUL)"/>
    <n v="192.4"/>
    <n v="193.7"/>
    <n v="1.3"/>
    <x v="1"/>
    <m/>
    <m/>
    <s v="Estadual"/>
    <m/>
    <s v="AC-307"/>
    <s v="PAV"/>
    <s v="Estadual"/>
    <s v="PLA"/>
    <s v="Rio Branco"/>
  </r>
  <r>
    <x v="0"/>
    <s v="307BAC0040"/>
    <n v="0"/>
    <x v="259"/>
    <s v="0040"/>
    <n v="-72.680774090351903"/>
    <n v="-7.6106941496152496"/>
    <n v="-72.713809969854097"/>
    <n v="-7.5809130299123799"/>
    <s v="307"/>
    <s v="AC"/>
    <s v="Eixo Principal"/>
    <s v="-"/>
    <s v="307BAC0040"/>
    <s v="INÍCIO DE PISTA DUPLA (61º BIS) (CRUZEIRO DO SUL)"/>
    <s v="ROTATÓRIA DA ESTRADA DO BALNEÁRIO CANELA FINA (CRUZEIRO DO SUL)"/>
    <n v="193.7"/>
    <n v="199.7"/>
    <n v="6"/>
    <x v="1"/>
    <m/>
    <m/>
    <s v="Estadual"/>
    <m/>
    <s v="AC-307"/>
    <s v="DUP"/>
    <s v="Estadual"/>
    <s v="PLA"/>
    <s v="Rio Branco"/>
  </r>
  <r>
    <x v="0"/>
    <s v="307BAC0045"/>
    <n v="0"/>
    <x v="259"/>
    <s v="0045"/>
    <n v="-72.713809969854097"/>
    <n v="-7.5809130299123799"/>
    <n v="-72.713150770391593"/>
    <n v="-7.5054597195903598"/>
    <s v="307"/>
    <s v="AC"/>
    <s v="Eixo Principal"/>
    <s v="-"/>
    <s v="307BAC0045"/>
    <s v="ROTATÓRIA DA ESTRADA DO BALNEÁRIO CANELA FINA (CRUZEIRO DO SUL)"/>
    <s v="DIV AC/AM"/>
    <n v="199.7"/>
    <n v="209.2"/>
    <n v="9.5"/>
    <x v="1"/>
    <m/>
    <m/>
    <s v="Estadual"/>
    <m/>
    <s v="AC-307"/>
    <s v="PAV"/>
    <s v="Estadual"/>
    <s v="PLA"/>
    <s v="Rio Branco"/>
  </r>
  <r>
    <x v="0"/>
    <s v="307BAM0050"/>
    <n v="0"/>
    <x v="260"/>
    <s v="0050"/>
    <n v="-72.713150770391593"/>
    <n v="-7.5054597195903598"/>
    <n v="-72.829332386880097"/>
    <n v="-6.9869736676006298"/>
    <s v="307"/>
    <s v="AM"/>
    <s v="Eixo Principal"/>
    <s v="-"/>
    <s v="307BAM0050"/>
    <s v="ENTR BR-364 (DIV AC/AM) (CRUZEIRO DO SUL)"/>
    <s v="ENTR AM-280"/>
    <n v="0"/>
    <n v="84.3"/>
    <n v="84.3"/>
    <x v="1"/>
    <m/>
    <m/>
    <m/>
    <s v="MP082/2004"/>
    <s v="AMT-307"/>
    <s v="IMP"/>
    <m/>
    <s v="PLA"/>
    <s v="Humaitá"/>
  </r>
  <r>
    <x v="0"/>
    <s v="307BAM0070"/>
    <n v="0"/>
    <x v="260"/>
    <s v="0070"/>
    <n v="-72.829332386880097"/>
    <n v="-6.9869736676006298"/>
    <n v="-72.789567355349106"/>
    <n v="-6.8039983433488302"/>
    <s v="307"/>
    <s v="AM"/>
    <s v="Eixo Principal"/>
    <s v="-"/>
    <s v="307BAM0070"/>
    <s v="ENTR AM-280"/>
    <s v="FIM DA IMPLANTAÇÃO"/>
    <n v="84.3"/>
    <n v="114.1"/>
    <n v="29.8"/>
    <x v="1"/>
    <m/>
    <m/>
    <m/>
    <s v="MP082/2005"/>
    <s v="AMT-307"/>
    <s v="IMP"/>
    <m/>
    <s v="PLA"/>
    <s v="Humaitá"/>
  </r>
  <r>
    <x v="0"/>
    <s v="307BAM0090"/>
    <n v="0"/>
    <x v="260"/>
    <s v="0090"/>
    <n v="-72.789567355349106"/>
    <n v="-6.8039983433488302"/>
    <n v="-72.653359089650195"/>
    <n v="-6.3817061336310896"/>
    <s v="307"/>
    <s v="AM"/>
    <s v="Eixo Principal"/>
    <s v="-"/>
    <s v="307BAM0090"/>
    <s v="FIM DA IMPLANTAÇÃO"/>
    <s v="RIO CURUÇÁ"/>
    <n v="114.1"/>
    <n v="184.1"/>
    <n v="70"/>
    <x v="1"/>
    <m/>
    <m/>
    <s v="Federal"/>
    <m/>
    <m/>
    <m/>
    <s v="Federal"/>
    <s v="PLA"/>
    <s v="Humaitá"/>
  </r>
  <r>
    <x v="0"/>
    <s v="307BAM0110"/>
    <n v="0"/>
    <x v="260"/>
    <s v="0110"/>
    <n v="-72.653359089650195"/>
    <n v="-6.3817061336310896"/>
    <n v="-72.516566109937898"/>
    <n v="-5.95960208097119"/>
    <s v="307"/>
    <s v="AM"/>
    <s v="Eixo Principal"/>
    <s v="-"/>
    <s v="307BAM0110"/>
    <s v="RIO CURUÇÁ"/>
    <s v="SANTA CRUZ"/>
    <n v="184.1"/>
    <n v="254.1"/>
    <n v="70"/>
    <x v="1"/>
    <m/>
    <m/>
    <s v="Federal"/>
    <m/>
    <m/>
    <m/>
    <s v="Federal"/>
    <s v="PLA"/>
    <s v="Humaitá"/>
  </r>
  <r>
    <x v="0"/>
    <s v="307BAM0130"/>
    <n v="0"/>
    <x v="260"/>
    <s v="0130"/>
    <n v="-72.516566109937898"/>
    <n v="-5.95960208097119"/>
    <n v="-72.413465790014101"/>
    <n v="-5.6352014303017199"/>
    <s v="307"/>
    <s v="AM"/>
    <s v="Eixo Principal"/>
    <s v="-"/>
    <s v="307BAM0130"/>
    <s v="SANTA CRUZ"/>
    <s v="ENTR BR-411 (P/ELVIRA)"/>
    <n v="254.1"/>
    <n v="307.8"/>
    <n v="53.7"/>
    <x v="1"/>
    <m/>
    <m/>
    <s v="Federal"/>
    <m/>
    <m/>
    <m/>
    <s v="Federal"/>
    <s v="PLA"/>
    <s v="Humaitá"/>
  </r>
  <r>
    <x v="0"/>
    <s v="307BAM0150"/>
    <n v="0"/>
    <x v="260"/>
    <s v="0150"/>
    <n v="-72.413465790014101"/>
    <n v="-5.6352014303017199"/>
    <n v="-71.867856573621907"/>
    <n v="-5.1421331016612699"/>
    <s v="307"/>
    <s v="AM"/>
    <s v="Eixo Principal"/>
    <s v="-"/>
    <s v="307BAM0150"/>
    <s v="ENTR BR-411 (P/ELVIRA)"/>
    <s v="ARGEMIRO"/>
    <n v="307.8"/>
    <n v="377.8"/>
    <n v="70"/>
    <x v="1"/>
    <m/>
    <m/>
    <s v="Federal"/>
    <m/>
    <m/>
    <m/>
    <s v="Federal"/>
    <s v="PLA"/>
    <s v="Humaitá"/>
  </r>
  <r>
    <x v="0"/>
    <s v="307BAM0170"/>
    <n v="0"/>
    <x v="260"/>
    <s v="0170"/>
    <n v="-71.867856573621907"/>
    <n v="-5.1421331016612699"/>
    <n v="-71.205272099827397"/>
    <n v="-4.6856332003118801"/>
    <s v="307"/>
    <s v="AM"/>
    <s v="Eixo Principal"/>
    <s v="-"/>
    <s v="307BAM0170"/>
    <s v="ARGEMIRO"/>
    <s v="ENTR BR-413 (P/CAXIAS)"/>
    <n v="377.8"/>
    <n v="454.3"/>
    <n v="76.5"/>
    <x v="1"/>
    <m/>
    <m/>
    <s v="Federal"/>
    <m/>
    <m/>
    <m/>
    <s v="Federal"/>
    <s v="PLA"/>
    <s v="Humaitá"/>
  </r>
  <r>
    <x v="0"/>
    <s v="307BAM0190"/>
    <n v="0"/>
    <x v="260"/>
    <s v="0190"/>
    <n v="-71.205272099827397"/>
    <n v="-4.6856332003118801"/>
    <n v="-70.761343515590696"/>
    <n v="-4.5415387490140198"/>
    <s v="307"/>
    <s v="AM"/>
    <s v="Eixo Principal"/>
    <s v="-"/>
    <s v="307BAM0190"/>
    <s v="ENTR BR-413 (P/CAXIAS)"/>
    <s v="PONTO I"/>
    <n v="454.3"/>
    <n v="529.29999999999995"/>
    <n v="75"/>
    <x v="1"/>
    <m/>
    <m/>
    <s v="Federal"/>
    <m/>
    <m/>
    <m/>
    <s v="Federal"/>
    <s v="PLA"/>
    <s v="Humaitá"/>
  </r>
  <r>
    <x v="0"/>
    <s v="307BAM0210"/>
    <n v="0"/>
    <x v="260"/>
    <s v="0210"/>
    <n v="-70.761343515590696"/>
    <n v="-4.5415387490140198"/>
    <n v="-70.188058409667804"/>
    <n v="-4.3689940802125804"/>
    <s v="307"/>
    <s v="AM"/>
    <s v="Eixo Principal"/>
    <s v="-"/>
    <s v="307BAM0210"/>
    <s v="PONTO I"/>
    <s v="ATALAIA DO NORTE"/>
    <n v="529.29999999999995"/>
    <n v="625.29999999999995"/>
    <n v="96"/>
    <x v="1"/>
    <m/>
    <m/>
    <s v="Federal"/>
    <m/>
    <m/>
    <m/>
    <s v="Federal"/>
    <s v="PLA"/>
    <s v="Humaitá"/>
  </r>
  <r>
    <x v="0"/>
    <s v="307BAM0230"/>
    <n v="0"/>
    <x v="260"/>
    <s v="0230"/>
    <n v="-70.188058409667804"/>
    <n v="-4.3689940802125804"/>
    <n v="-70.030680719939198"/>
    <n v="-4.3906428500874304"/>
    <s v="307"/>
    <s v="AM"/>
    <s v="Eixo Principal"/>
    <s v="-"/>
    <s v="307BAM0230"/>
    <s v="ATALAIA DO NORTE"/>
    <s v="ENTR BR-230 (BENJAMIN CONSTANT)"/>
    <n v="625.29999999999995"/>
    <n v="657.3"/>
    <n v="32"/>
    <x v="2"/>
    <m/>
    <m/>
    <m/>
    <s v="MP082/2006"/>
    <m/>
    <m/>
    <m/>
    <s v="PAV"/>
    <s v="Humaitá"/>
  </r>
  <r>
    <x v="0"/>
    <s v="307BAM0250"/>
    <n v="0"/>
    <x v="260"/>
    <s v="0250"/>
    <n v="-70.030680719939198"/>
    <n v="-4.3906428500874304"/>
    <n v="-69.573625361321305"/>
    <n v="-4.0618995953899404"/>
    <s v="307"/>
    <s v="AM"/>
    <s v="Eixo Principal"/>
    <s v="-"/>
    <s v="307BAM0250"/>
    <s v="ENTR BR-230 (BENJAMIN CONSTANT)"/>
    <s v="BELÉM"/>
    <n v="657.3"/>
    <n v="730.3"/>
    <n v="73"/>
    <x v="1"/>
    <m/>
    <m/>
    <s v="Federal"/>
    <m/>
    <m/>
    <m/>
    <s v="Federal"/>
    <s v="PLA"/>
    <s v="Castanho"/>
  </r>
  <r>
    <x v="0"/>
    <s v="307BAM0270"/>
    <n v="0"/>
    <x v="260"/>
    <s v="0270"/>
    <n v="-69.573625361321305"/>
    <n v="-4.0618995953899404"/>
    <n v="-69.438729306312297"/>
    <n v="-3.6228242988022998"/>
    <s v="307"/>
    <s v="AM"/>
    <s v="Eixo Principal"/>
    <s v="-"/>
    <s v="307BAM0270"/>
    <s v="BELÉM"/>
    <s v="SANTA RITA DO WEIL"/>
    <n v="730.3"/>
    <n v="790.3"/>
    <n v="60"/>
    <x v="1"/>
    <m/>
    <m/>
    <s v="Federal"/>
    <m/>
    <m/>
    <m/>
    <s v="Federal"/>
    <s v="PLA"/>
    <s v="Castanho"/>
  </r>
  <r>
    <x v="0"/>
    <s v="307BAM0290"/>
    <n v="0"/>
    <x v="260"/>
    <s v="0290"/>
    <n v="-69.438729306312297"/>
    <n v="-3.6228242988022998"/>
    <n v="-69.187176801767905"/>
    <n v="-3.3306978261436999"/>
    <s v="307"/>
    <s v="AM"/>
    <s v="Eixo Principal"/>
    <s v="-"/>
    <s v="307BAM0290"/>
    <s v="SANTA RITA DO WEIL"/>
    <s v="ENTR AM-378"/>
    <n v="790.3"/>
    <n v="840.3"/>
    <n v="50"/>
    <x v="1"/>
    <m/>
    <m/>
    <s v="Federal"/>
    <m/>
    <m/>
    <m/>
    <s v="Federal"/>
    <s v="PLA"/>
    <s v="Castanho"/>
  </r>
  <r>
    <x v="0"/>
    <s v="307BAM0310"/>
    <n v="0"/>
    <x v="260"/>
    <s v="0310"/>
    <n v="-69.187176801767905"/>
    <n v="-3.3306978261436999"/>
    <n v="-68.8384045497301"/>
    <n v="-2.9351864071269298"/>
    <s v="307"/>
    <s v="AM"/>
    <s v="Eixo Principal"/>
    <s v="-"/>
    <s v="307BAM0310"/>
    <s v="ENTR AM-378"/>
    <s v="UNIÃO"/>
    <n v="840.3"/>
    <n v="907.3"/>
    <n v="67"/>
    <x v="1"/>
    <m/>
    <m/>
    <s v="Federal"/>
    <m/>
    <m/>
    <m/>
    <s v="Federal"/>
    <s v="PLA"/>
    <s v="Castanho"/>
  </r>
  <r>
    <x v="0"/>
    <s v="307BAM0330"/>
    <n v="0"/>
    <x v="260"/>
    <s v="0330"/>
    <n v="-68.8384045497301"/>
    <n v="-2.9351864071269298"/>
    <n v="-68.587153870254795"/>
    <n v="-2.5364792840916199"/>
    <s v="307"/>
    <s v="AM"/>
    <s v="Eixo Principal"/>
    <s v="-"/>
    <s v="307BAM0330"/>
    <s v="UNIÃO"/>
    <s v="ENTR AM-374"/>
    <n v="907.3"/>
    <n v="967.3"/>
    <n v="60"/>
    <x v="1"/>
    <m/>
    <m/>
    <s v="Federal"/>
    <m/>
    <m/>
    <m/>
    <s v="Federal"/>
    <s v="PLA"/>
    <s v="Castanho"/>
  </r>
  <r>
    <x v="0"/>
    <s v="307BAM0350"/>
    <n v="0"/>
    <x v="260"/>
    <s v="0350"/>
    <n v="-68.587153870254795"/>
    <n v="-2.5364792840916199"/>
    <n v="-68.348043140878104"/>
    <n v="-2.1290706482917501"/>
    <s v="307"/>
    <s v="AM"/>
    <s v="Eixo Principal"/>
    <s v="-"/>
    <s v="307BAM0350"/>
    <s v="ENTR AM-374"/>
    <s v="PONTO II"/>
    <n v="967.3"/>
    <n v="1027.3"/>
    <n v="60"/>
    <x v="1"/>
    <m/>
    <m/>
    <s v="Federal"/>
    <m/>
    <m/>
    <m/>
    <s v="Federal"/>
    <s v="PLA"/>
    <s v="Castanho"/>
  </r>
  <r>
    <x v="0"/>
    <s v="307BAM0370"/>
    <n v="0"/>
    <x v="260"/>
    <s v="0370"/>
    <n v="-68.348043140878104"/>
    <n v="-2.1290706482917501"/>
    <n v="-68.110515507884301"/>
    <n v="-1.72072869966973"/>
    <s v="307"/>
    <s v="AM"/>
    <s v="Eixo Principal"/>
    <s v="-"/>
    <s v="307BAM0370"/>
    <s v="PONTO II"/>
    <s v="RIO JAPURÁ"/>
    <n v="1027.3"/>
    <n v="1087.3"/>
    <n v="60"/>
    <x v="1"/>
    <m/>
    <m/>
    <s v="Federal"/>
    <m/>
    <m/>
    <m/>
    <s v="Federal"/>
    <s v="PLA"/>
    <s v="Castanho"/>
  </r>
  <r>
    <x v="0"/>
    <s v="307BAM0390"/>
    <n v="0"/>
    <x v="260"/>
    <s v="0390"/>
    <n v="-68.110515507884301"/>
    <n v="-1.72072869966973"/>
    <n v="-67.833320890146894"/>
    <n v="-1.24437883981158"/>
    <s v="307"/>
    <s v="AM"/>
    <s v="Eixo Principal"/>
    <s v="-"/>
    <s v="307BAM0390"/>
    <s v="RIO JAPURÁ"/>
    <s v="PONTO III"/>
    <n v="1087.3"/>
    <n v="1157.3"/>
    <n v="70"/>
    <x v="1"/>
    <m/>
    <m/>
    <s v="Federal"/>
    <m/>
    <m/>
    <m/>
    <s v="Federal"/>
    <s v="PLA"/>
    <s v="Castanho"/>
  </r>
  <r>
    <x v="0"/>
    <s v="307BAM0410"/>
    <n v="0"/>
    <x v="260"/>
    <s v="0410"/>
    <n v="-67.833320890146894"/>
    <n v="-1.24437883981158"/>
    <n v="-67.573778161033204"/>
    <n v="-0.80337015191093997"/>
    <s v="307"/>
    <s v="AM"/>
    <s v="Eixo Principal"/>
    <s v="-"/>
    <s v="307BAM0410"/>
    <s v="PONTO III"/>
    <s v="PRAIA DO MASSARICO"/>
    <n v="1157.3"/>
    <n v="1222.3"/>
    <n v="65"/>
    <x v="1"/>
    <m/>
    <m/>
    <s v="Federal"/>
    <m/>
    <m/>
    <m/>
    <s v="Federal"/>
    <s v="PLA"/>
    <s v="Castanho"/>
  </r>
  <r>
    <x v="0"/>
    <s v="307BAM0430"/>
    <n v="0"/>
    <x v="260"/>
    <s v="0430"/>
    <n v="-67.573778161033204"/>
    <n v="-0.80337015191093997"/>
    <n v="-67.202964145278997"/>
    <n v="-0.29422136232597002"/>
    <s v="307"/>
    <s v="AM"/>
    <s v="Eixo Principal"/>
    <s v="-"/>
    <s v="307BAM0430"/>
    <s v="PRAIA DO MASSARICO"/>
    <s v="RIO CURICURIARI"/>
    <n v="1222.3"/>
    <n v="1302.3"/>
    <n v="80"/>
    <x v="1"/>
    <m/>
    <m/>
    <s v="Federal"/>
    <m/>
    <m/>
    <m/>
    <s v="Federal"/>
    <s v="PLA"/>
    <s v="Castanho"/>
  </r>
  <r>
    <x v="0"/>
    <s v="307BAM0450"/>
    <n v="0"/>
    <x v="260"/>
    <s v="0450"/>
    <n v="-67.202964145278997"/>
    <n v="-0.29422136232597002"/>
    <n v="-67.083580120326204"/>
    <n v="-0.132801600413472"/>
    <s v="307"/>
    <s v="AM"/>
    <s v="Eixo Principal"/>
    <s v="-"/>
    <s v="307BAM0450"/>
    <s v="RIO CURICURIARI"/>
    <s v="SÃO GABRIEL DA CACHOEIRA"/>
    <n v="1302.3"/>
    <n v="1327.8"/>
    <n v="25.5"/>
    <x v="1"/>
    <m/>
    <m/>
    <s v="Federal"/>
    <m/>
    <m/>
    <m/>
    <s v="Federal"/>
    <s v="PLA"/>
    <s v="Castanho"/>
  </r>
  <r>
    <x v="0"/>
    <s v="307BAM0470"/>
    <n v="0"/>
    <x v="260"/>
    <s v="0470"/>
    <n v="-67.083580120326204"/>
    <n v="-0.132801600413472"/>
    <n v="-67.056907189814893"/>
    <n v="-0.13097543976471099"/>
    <s v="307"/>
    <s v="AM"/>
    <s v="Eixo Principal"/>
    <s v="-"/>
    <s v="307BAM0470"/>
    <s v="SÃO GABRIEL DA CACHOEIRA"/>
    <s v="IGARAPÉ CACHOEIRINHA"/>
    <n v="1327.8"/>
    <n v="1330.3"/>
    <n v="2.5"/>
    <x v="2"/>
    <m/>
    <m/>
    <s v="Federal"/>
    <m/>
    <m/>
    <m/>
    <s v="Federal"/>
    <s v="PAV"/>
    <s v="Castanho"/>
  </r>
  <r>
    <x v="0"/>
    <s v="307BAM0475"/>
    <n v="0"/>
    <x v="260"/>
    <s v="0475"/>
    <n v="-67.056907189814893"/>
    <n v="-0.13097543976471099"/>
    <n v="-67.040177619801199"/>
    <n v="-0.13136578959944201"/>
    <s v="307"/>
    <s v="AM"/>
    <s v="Eixo Principal"/>
    <s v="-"/>
    <s v="307BAM0475"/>
    <s v="IGARAPÉ CACHOEIRINHA"/>
    <s v="ENTR ESTRADA DE CAMANAUS"/>
    <n v="1330.3"/>
    <n v="1334.8"/>
    <n v="4.5"/>
    <x v="2"/>
    <m/>
    <m/>
    <s v="Federal"/>
    <m/>
    <m/>
    <m/>
    <s v="Federal"/>
    <s v="PAV"/>
    <s v="Castanho"/>
  </r>
  <r>
    <x v="0"/>
    <s v="307BAM0480"/>
    <n v="0"/>
    <x v="260"/>
    <s v="0480"/>
    <n v="-67.040177619801199"/>
    <n v="-0.13136578959944201"/>
    <n v="-66.876642198278702"/>
    <n v="2.0592173589989E-2"/>
    <s v="307"/>
    <s v="AM"/>
    <s v="Eixo Principal"/>
    <s v="-"/>
    <s v="307BAM0480"/>
    <s v="ENTR ESTRADA DE CAMANAUS"/>
    <s v="IGARAPÉ NOBUO OBA"/>
    <n v="1334.8"/>
    <n v="1355.8"/>
    <n v="21"/>
    <x v="5"/>
    <m/>
    <m/>
    <s v="Federal"/>
    <m/>
    <m/>
    <m/>
    <s v="Federal"/>
    <s v="N_PAV"/>
    <s v="Castanho"/>
  </r>
  <r>
    <x v="0"/>
    <s v="307BAM0485"/>
    <n v="0"/>
    <x v="260"/>
    <s v="0485"/>
    <n v="-66.876642198278702"/>
    <n v="2.0592173589989E-2"/>
    <n v="-66.799797920037904"/>
    <n v="0.15550289024622499"/>
    <s v="307"/>
    <s v="AM"/>
    <s v="Eixo Principal"/>
    <s v="-"/>
    <s v="307BAM0485"/>
    <s v="IGARAPÉ NOBUO OBA"/>
    <s v="INÍCIO PARQUE NACIONAL PICO DA NEBLINA"/>
    <n v="1355.8"/>
    <n v="1369.8"/>
    <n v="14"/>
    <x v="5"/>
    <m/>
    <m/>
    <s v="Federal"/>
    <m/>
    <m/>
    <m/>
    <s v="Federal"/>
    <s v="N_PAV"/>
    <s v="Castanho"/>
  </r>
  <r>
    <x v="0"/>
    <s v="307BAM0490"/>
    <n v="0"/>
    <x v="260"/>
    <s v="0490"/>
    <n v="-66.799797920037904"/>
    <n v="0.15550289024622499"/>
    <n v="-66.759625258198994"/>
    <n v="0.23899551373199299"/>
    <s v="307"/>
    <s v="AM"/>
    <s v="Eixo Principal"/>
    <s v="-"/>
    <s v="307BAM0490"/>
    <s v="INÍCIO PARQUE NACIONAL PICO DA NEBLINA"/>
    <s v="IGARAPÉ MIUÁ (IN TERRA INDÍG DO BALAIO)"/>
    <n v="1369.8"/>
    <n v="1381.9"/>
    <n v="12.1"/>
    <x v="5"/>
    <m/>
    <m/>
    <s v="Federal"/>
    <m/>
    <m/>
    <m/>
    <s v="Federal"/>
    <s v="N_PAV"/>
    <s v="Castanho"/>
  </r>
  <r>
    <x v="0"/>
    <s v="307BAM0495"/>
    <n v="0"/>
    <x v="260"/>
    <s v="0495"/>
    <n v="-66.759625258198994"/>
    <n v="0.23899551373199299"/>
    <n v="-66.655072490003306"/>
    <n v="0.23897237957169201"/>
    <s v="307"/>
    <s v="AM"/>
    <s v="Eixo Principal"/>
    <s v="-"/>
    <s v="307BAM0495"/>
    <s v="IGARAPÉ MIUÁ (IN TERRA INDÍG DO BALAIO)"/>
    <s v="ENTR BR-210 (IGARAPÉ PORANGÁ)"/>
    <n v="1381.9"/>
    <n v="1395.3"/>
    <n v="13.4"/>
    <x v="5"/>
    <m/>
    <m/>
    <s v="Federal"/>
    <m/>
    <m/>
    <m/>
    <s v="Federal"/>
    <s v="N_PAV"/>
    <s v="Castanho"/>
  </r>
  <r>
    <x v="0"/>
    <s v="307BAM0500"/>
    <n v="0"/>
    <x v="260"/>
    <s v="0500"/>
    <n v="-66.655072490003306"/>
    <n v="0.23897237957169201"/>
    <n v="-66.642205500083705"/>
    <n v="0.358046533221"/>
    <s v="307"/>
    <s v="AM"/>
    <s v="Eixo Principal"/>
    <s v="-"/>
    <s v="307BAM0500"/>
    <s v="ENTR BR-210 (IGARAPÉ PORANGÁ)"/>
    <s v="IGARAPÉ IÁ MIRIM"/>
    <n v="1395.3"/>
    <n v="1413.5"/>
    <n v="18.2"/>
    <x v="5"/>
    <m/>
    <m/>
    <s v="Federal"/>
    <m/>
    <m/>
    <m/>
    <s v="Federal"/>
    <s v="N_PAV"/>
    <s v="Castanho"/>
  </r>
  <r>
    <x v="0"/>
    <s v="307BAM0505"/>
    <n v="0"/>
    <x v="260"/>
    <s v="0505"/>
    <n v="-66.642205500083705"/>
    <n v="0.358046533221"/>
    <n v="-66.615324629228198"/>
    <n v="0.42235253094457897"/>
    <s v="307"/>
    <s v="AM"/>
    <s v="Eixo Principal"/>
    <s v="-"/>
    <s v="307BAM0505"/>
    <s v="IGARAPÉ IÁ MIRIM"/>
    <s v="IGARAPÉ RODRIGO CIBELE"/>
    <n v="1413.5"/>
    <n v="1424"/>
    <n v="10.5"/>
    <x v="5"/>
    <m/>
    <m/>
    <s v="Federal"/>
    <m/>
    <m/>
    <m/>
    <s v="Federal"/>
    <s v="N_PAV"/>
    <s v="Castanho"/>
  </r>
  <r>
    <x v="0"/>
    <s v="307BAM0510"/>
    <n v="0"/>
    <x v="260"/>
    <s v="0510"/>
    <n v="-66.615324629228198"/>
    <n v="0.42235253094457897"/>
    <n v="-66.607913893611197"/>
    <n v="0.464933937851015"/>
    <s v="307"/>
    <s v="AM"/>
    <s v="Eixo Principal"/>
    <s v="-"/>
    <s v="307BAM0510"/>
    <s v="IGARAPÉ RODRIGO CIBELE"/>
    <s v="IGARAPÉ BALAIO"/>
    <n v="1424"/>
    <n v="1429.6"/>
    <n v="5.6"/>
    <x v="5"/>
    <m/>
    <m/>
    <s v="Federal"/>
    <m/>
    <m/>
    <m/>
    <s v="Federal"/>
    <s v="N_PAV"/>
    <s v="Castanho"/>
  </r>
  <r>
    <x v="0"/>
    <s v="307BAM0515"/>
    <n v="0"/>
    <x v="260"/>
    <s v="0515"/>
    <n v="-66.607913893611197"/>
    <n v="0.464933937851015"/>
    <n v="-66.619876420959898"/>
    <n v="0.54707775903142397"/>
    <s v="307"/>
    <s v="AM"/>
    <s v="Eixo Principal"/>
    <s v="-"/>
    <s v="307BAM0515"/>
    <s v="IGARAPÉ BALAIO"/>
    <s v="ENTR ESTRADA MATURACÁ"/>
    <n v="1429.6"/>
    <n v="1440.3"/>
    <n v="10.7"/>
    <x v="5"/>
    <m/>
    <m/>
    <s v="Federal"/>
    <m/>
    <m/>
    <m/>
    <s v="Federal"/>
    <s v="N_PAV"/>
    <s v="Castanho"/>
  </r>
  <r>
    <x v="0"/>
    <s v="307BAM0520"/>
    <n v="0"/>
    <x v="260"/>
    <s v="0520"/>
    <n v="-66.619876420959898"/>
    <n v="0.54707775903142397"/>
    <n v="-66.602028132991904"/>
    <n v="0.58509526843192805"/>
    <s v="307"/>
    <s v="AM"/>
    <s v="Eixo Principal"/>
    <s v="-"/>
    <s v="307BAM0520"/>
    <s v="ENTR ESTRADA MATURACÁ"/>
    <s v="IGARAPÉ JANINE JUSSARA"/>
    <n v="1440.3"/>
    <n v="1445.8"/>
    <n v="5.5"/>
    <x v="5"/>
    <m/>
    <m/>
    <s v="Federal"/>
    <m/>
    <m/>
    <m/>
    <s v="Federal"/>
    <s v="N_PAV"/>
    <s v="Castanho"/>
  </r>
  <r>
    <x v="0"/>
    <s v="307BAM0525"/>
    <n v="0"/>
    <x v="260"/>
    <s v="0525"/>
    <n v="-66.602028132991904"/>
    <n v="0.58509526843192805"/>
    <n v="-66.597726151340694"/>
    <n v="0.65495561580905803"/>
    <s v="307"/>
    <s v="AM"/>
    <s v="Eixo Principal"/>
    <s v="-"/>
    <s v="307BAM0525"/>
    <s v="IGARAPÉ JANINE JUSSARA"/>
    <s v="IGARAPÉ TENENTE MELO (SERRA DO PADRE)"/>
    <n v="1445.8"/>
    <n v="1454.8"/>
    <n v="9"/>
    <x v="5"/>
    <m/>
    <m/>
    <s v="Federal"/>
    <m/>
    <m/>
    <m/>
    <s v="Federal"/>
    <s v="N_PAV"/>
    <s v="Castanho"/>
  </r>
  <r>
    <x v="0"/>
    <s v="307BAM0530"/>
    <n v="0"/>
    <x v="260"/>
    <s v="0530"/>
    <n v="-66.597726151340694"/>
    <n v="0.65495561580905803"/>
    <n v="-66.592798593180405"/>
    <n v="0.66531637684937595"/>
    <s v="307"/>
    <s v="AM"/>
    <s v="Eixo Principal"/>
    <s v="-"/>
    <s v="307BAM0530"/>
    <s v="IGARAPÉ TENENTE MELO (SERRA DO PADRE)"/>
    <s v="IGARAPÉ MANOEL RIBEIRO"/>
    <n v="1454.8"/>
    <n v="1456.3"/>
    <n v="1.5"/>
    <x v="5"/>
    <m/>
    <m/>
    <s v="Federal"/>
    <m/>
    <m/>
    <m/>
    <s v="Federal"/>
    <s v="N_PAV"/>
    <s v="Castanho"/>
  </r>
  <r>
    <x v="0"/>
    <s v="307BAM0535"/>
    <n v="0"/>
    <x v="260"/>
    <s v="0535"/>
    <n v="-66.592798593180405"/>
    <n v="0.66531637684937595"/>
    <n v="-66.632504672352596"/>
    <n v="0.72509912462493298"/>
    <s v="307"/>
    <s v="AM"/>
    <s v="Eixo Principal"/>
    <s v="-"/>
    <s v="307BAM0535"/>
    <s v="IGARAPÉ MANOEL RIBEIRO"/>
    <s v="IG DEMITI (FIM DA TERRA INDÍG DO BALAIO)"/>
    <n v="1456.3"/>
    <n v="1465.8"/>
    <n v="9.5"/>
    <x v="5"/>
    <m/>
    <m/>
    <s v="Federal"/>
    <m/>
    <m/>
    <m/>
    <s v="Federal"/>
    <s v="N_PAV"/>
    <s v="Castanho"/>
  </r>
  <r>
    <x v="0"/>
    <s v="307BAM0540"/>
    <n v="0"/>
    <x v="260"/>
    <s v="0540"/>
    <n v="-66.632504672352596"/>
    <n v="0.72509912462493298"/>
    <n v="-66.639421438248704"/>
    <n v="0.74661620317527899"/>
    <s v="307"/>
    <s v="AM"/>
    <s v="Eixo Principal"/>
    <s v="-"/>
    <s v="307BAM0540"/>
    <s v="IG DEMITI (FIM DA TERRA INDÍG DO BALAIO)"/>
    <s v="IGARAPÉ KM 1.468,8"/>
    <n v="1465.8"/>
    <n v="1468.8"/>
    <n v="3"/>
    <x v="5"/>
    <m/>
    <m/>
    <s v="Federal"/>
    <m/>
    <m/>
    <m/>
    <s v="Federal"/>
    <s v="N_PAV"/>
    <s v="Castanho"/>
  </r>
  <r>
    <x v="0"/>
    <s v="307BAM0545"/>
    <n v="0"/>
    <x v="260"/>
    <s v="0545"/>
    <n v="-66.639421438248704"/>
    <n v="0.74661620317527899"/>
    <n v="-66.696084388383696"/>
    <n v="0.87651290174903795"/>
    <s v="307"/>
    <s v="AM"/>
    <s v="Eixo Principal"/>
    <s v="-"/>
    <s v="307BAM0545"/>
    <s v="IGARAPÉ KM 1.468,8"/>
    <s v="IGARAPÉ FREIRE"/>
    <n v="1468.8"/>
    <n v="1487.8"/>
    <n v="19"/>
    <x v="5"/>
    <m/>
    <m/>
    <s v="Federal"/>
    <m/>
    <m/>
    <m/>
    <s v="Federal"/>
    <s v="N_PAV"/>
    <s v="Castanho"/>
  </r>
  <r>
    <x v="0"/>
    <s v="307BAM0550"/>
    <n v="0"/>
    <x v="260"/>
    <s v="0550"/>
    <n v="-66.696084388383696"/>
    <n v="0.87651290174903795"/>
    <n v="-66.692883005146498"/>
    <n v="0.91394470518406501"/>
    <s v="307"/>
    <s v="AM"/>
    <s v="Eixo Principal"/>
    <s v="-"/>
    <s v="307BAM0550"/>
    <s v="IGARAPÉ FREIRE"/>
    <s v="IGARAPÉ KM 1.492,8"/>
    <n v="1487.8"/>
    <n v="1492.8"/>
    <n v="5"/>
    <x v="5"/>
    <m/>
    <m/>
    <s v="Federal"/>
    <m/>
    <m/>
    <m/>
    <s v="Federal"/>
    <s v="N_PAV"/>
    <s v="Castanho"/>
  </r>
  <r>
    <x v="0"/>
    <s v="307BAM0555"/>
    <n v="0"/>
    <x v="260"/>
    <s v="0555"/>
    <n v="-66.692883005146498"/>
    <n v="0.91394470518406501"/>
    <n v="-66.720573405238397"/>
    <n v="0.96885074426648998"/>
    <s v="307"/>
    <s v="AM"/>
    <s v="Eixo Principal"/>
    <s v="-"/>
    <s v="307BAM0555"/>
    <s v="IGARAPÉ KM 1.492,8"/>
    <s v="IGARAPÉ MABI"/>
    <n v="1492.8"/>
    <n v="1500.8"/>
    <n v="8"/>
    <x v="5"/>
    <m/>
    <m/>
    <s v="Federal"/>
    <m/>
    <m/>
    <m/>
    <s v="Federal"/>
    <s v="N_PAV"/>
    <s v="Castanho"/>
  </r>
  <r>
    <x v="0"/>
    <s v="307BAM0560"/>
    <n v="0"/>
    <x v="260"/>
    <s v="0560"/>
    <n v="-66.720573405238397"/>
    <n v="0.96885074426648998"/>
    <n v="-66.770750419596098"/>
    <n v="1.06009775141012"/>
    <s v="307"/>
    <s v="AM"/>
    <s v="Eixo Principal"/>
    <s v="-"/>
    <s v="307BAM0560"/>
    <s v="IGARAPÉ MABI"/>
    <s v="IG BUSTAMENTE (FIM P NAC PICO DA NEBL)"/>
    <n v="1500.8"/>
    <n v="1514.8"/>
    <n v="14"/>
    <x v="5"/>
    <m/>
    <m/>
    <s v="Federal"/>
    <m/>
    <m/>
    <m/>
    <s v="Federal"/>
    <s v="N_PAV"/>
    <s v="Castanho"/>
  </r>
  <r>
    <x v="0"/>
    <s v="307BAM0565"/>
    <n v="0"/>
    <x v="260"/>
    <s v="0565"/>
    <n v="-66.770750419596098"/>
    <n v="1.06009775141012"/>
    <n v="-66.797069688115499"/>
    <n v="1.11947366118056"/>
    <s v="307"/>
    <s v="AM"/>
    <s v="Eixo Principal"/>
    <s v="-"/>
    <s v="307BAM0565"/>
    <s v="IG BUSTAMENTE (FIM P NAC PICO DA NEBL)"/>
    <s v="IGARAPÉ KM 1.522,8"/>
    <n v="1514.8"/>
    <n v="1522.8"/>
    <n v="8"/>
    <x v="5"/>
    <m/>
    <m/>
    <s v="Federal"/>
    <m/>
    <m/>
    <m/>
    <s v="Federal"/>
    <s v="N_PAV"/>
    <s v="Castanho"/>
  </r>
  <r>
    <x v="0"/>
    <s v="307BAM0570"/>
    <n v="0"/>
    <x v="260"/>
    <s v="0570"/>
    <n v="-66.797069688115499"/>
    <n v="1.11947366118056"/>
    <n v="-66.837180960432903"/>
    <n v="1.1836215895647799"/>
    <s v="307"/>
    <s v="AM"/>
    <s v="Eixo Principal"/>
    <s v="-"/>
    <s v="307BAM0570"/>
    <s v="IGARAPÉ KM 1.522,8"/>
    <s v="FRONT BRASIL/VENEZUELA (IGARAPÉ BONTÉ (CUCUÍ))"/>
    <n v="1522.8"/>
    <n v="1532.6"/>
    <n v="9.8000000000000007"/>
    <x v="5"/>
    <m/>
    <m/>
    <s v="Federal"/>
    <m/>
    <m/>
    <m/>
    <s v="Federal"/>
    <s v="N_PAV"/>
    <s v="Castanho"/>
  </r>
  <r>
    <x v="0"/>
    <s v="308BMA0280"/>
    <n v="0"/>
    <x v="261"/>
    <s v="0280"/>
    <n v="-46.1508512697702"/>
    <n v="-1.2184207597102199"/>
    <n v="-46.031357040095202"/>
    <n v="-1.26881683992519"/>
    <s v="308"/>
    <s v="MA"/>
    <s v="Eixo Principal"/>
    <s v="-"/>
    <s v="308BMA0280"/>
    <s v="DIV PA/MA"/>
    <s v="VILA PIRITÍUA/ACESSO A CARUTAPERA"/>
    <n v="0"/>
    <n v="8"/>
    <n v="8"/>
    <x v="1"/>
    <m/>
    <m/>
    <s v="Federal"/>
    <m/>
    <m/>
    <m/>
    <s v="Federal"/>
    <s v="PLA"/>
    <s v="Pedrinhas"/>
  </r>
  <r>
    <x v="0"/>
    <s v="308BMA0300"/>
    <n v="0"/>
    <x v="261"/>
    <s v="0300"/>
    <n v="-46.031357040095202"/>
    <n v="-1.26881683992519"/>
    <n v="-45.897498649842703"/>
    <n v="-1.32499760955198"/>
    <s v="308"/>
    <s v="MA"/>
    <s v="Eixo Principal"/>
    <s v="-"/>
    <s v="308BMA0300"/>
    <s v="VILA PIRITÍUA/ACESSO A CARUTAPERA"/>
    <s v="LUÍS DOMINGUES"/>
    <n v="8"/>
    <n v="26"/>
    <n v="18"/>
    <x v="1"/>
    <m/>
    <m/>
    <s v="Estadual"/>
    <m/>
    <s v="MA-101"/>
    <s v="PAV"/>
    <s v="Estadual"/>
    <s v="PLA"/>
    <s v="Pedrinhas"/>
  </r>
  <r>
    <x v="0"/>
    <s v="308BMA0310"/>
    <n v="0"/>
    <x v="261"/>
    <s v="0310"/>
    <n v="-45.897498649842703"/>
    <n v="-1.32499760955198"/>
    <n v="-45.7725651603538"/>
    <n v="-1.4154696502041499"/>
    <s v="308"/>
    <s v="MA"/>
    <s v="Eixo Principal"/>
    <s v="-"/>
    <s v="308BMA0310"/>
    <s v="LUÍS DOMINGUES"/>
    <s v="GODOFREDO VIANA"/>
    <n v="26"/>
    <n v="45.5"/>
    <n v="19.5"/>
    <x v="1"/>
    <m/>
    <m/>
    <s v="Estadual"/>
    <m/>
    <s v="MA-101"/>
    <s v="PAV"/>
    <s v="Estadual"/>
    <s v="PLA"/>
    <s v="Pedrinhas"/>
  </r>
  <r>
    <x v="0"/>
    <s v="308BMA0320"/>
    <n v="0"/>
    <x v="261"/>
    <s v="0320"/>
    <n v="-45.7725651603538"/>
    <n v="-1.4154696502041499"/>
    <n v="-45.727932120171097"/>
    <n v="-1.4530699398258"/>
    <s v="308"/>
    <s v="MA"/>
    <s v="Eixo Principal"/>
    <s v="-"/>
    <s v="308BMA0320"/>
    <s v="GODOFREDO VIANA"/>
    <s v="CÂNDIDO MENDES"/>
    <n v="45.5"/>
    <n v="54.5"/>
    <n v="9"/>
    <x v="1"/>
    <m/>
    <m/>
    <s v="Estadual"/>
    <m/>
    <s v="MA-101"/>
    <s v="PAV"/>
    <s v="Estadual"/>
    <s v="PLA"/>
    <s v="Pedrinhas"/>
  </r>
  <r>
    <x v="0"/>
    <s v="308BMA0330"/>
    <n v="0"/>
    <x v="261"/>
    <s v="0330"/>
    <n v="-45.727932120171097"/>
    <n v="-1.4530699398258"/>
    <n v="-45.384740040020802"/>
    <n v="-1.66478765962273"/>
    <s v="308"/>
    <s v="MA"/>
    <s v="Eixo Principal"/>
    <s v="-"/>
    <s v="308BMA0330"/>
    <s v="CÂNDIDO MENDES"/>
    <s v="TURIAÇU"/>
    <n v="54.5"/>
    <n v="122.5"/>
    <n v="68"/>
    <x v="1"/>
    <m/>
    <m/>
    <s v="Federal"/>
    <m/>
    <m/>
    <m/>
    <s v="Federal"/>
    <s v="PLA"/>
    <s v="Pedrinhas"/>
  </r>
  <r>
    <x v="0"/>
    <s v="308BMA0340"/>
    <n v="0"/>
    <x v="261"/>
    <s v="0340"/>
    <n v="-45.384740040020802"/>
    <n v="-1.66478765962273"/>
    <n v="-45.1185484098811"/>
    <n v="-1.85227552019904"/>
    <s v="308"/>
    <s v="MA"/>
    <s v="Eixo Principal"/>
    <s v="-"/>
    <s v="308BMA0340"/>
    <s v="TURIAÇU"/>
    <s v="SERRANO DO MARANHÃO"/>
    <n v="122.5"/>
    <n v="162.5"/>
    <n v="40"/>
    <x v="1"/>
    <m/>
    <m/>
    <s v="Federal"/>
    <m/>
    <m/>
    <m/>
    <s v="Federal"/>
    <s v="PLA"/>
    <s v="Pedrinhas"/>
  </r>
  <r>
    <x v="0"/>
    <s v="308BMA0360"/>
    <n v="0"/>
    <x v="261"/>
    <s v="0360"/>
    <n v="-45.1185484098811"/>
    <n v="-1.85227552019904"/>
    <n v="-44.876352999591198"/>
    <n v="-1.8246093802186401"/>
    <s v="308"/>
    <s v="MA"/>
    <s v="Eixo Principal"/>
    <s v="-"/>
    <s v="308BMA0360"/>
    <s v="SERRANO DO MARANHÃO"/>
    <s v="CURURUPU"/>
    <n v="162.5"/>
    <n v="192.5"/>
    <n v="30"/>
    <x v="1"/>
    <m/>
    <m/>
    <s v="Estadual"/>
    <m/>
    <s v="MA-303"/>
    <s v="PAV"/>
    <s v="Estadual"/>
    <s v="PLA"/>
    <s v="Pedrinhas"/>
  </r>
  <r>
    <x v="0"/>
    <s v="308BMA0380"/>
    <n v="0"/>
    <x v="261"/>
    <s v="0380"/>
    <n v="-44.876352999591198"/>
    <n v="-1.8246093802186401"/>
    <n v="-44.782789439580903"/>
    <n v="-2.0621823102653698"/>
    <s v="308"/>
    <s v="MA"/>
    <s v="Eixo Principal"/>
    <s v="-"/>
    <s v="308BMA0380"/>
    <s v="CURURUPU"/>
    <s v="MIRINZAL"/>
    <n v="192.5"/>
    <n v="223.6"/>
    <n v="31.1"/>
    <x v="1"/>
    <m/>
    <m/>
    <s v="Estadual"/>
    <m/>
    <s v="MA-006"/>
    <s v="PAV"/>
    <s v="Estadual"/>
    <s v="PLA"/>
    <s v="Pedrinhas"/>
  </r>
  <r>
    <x v="0"/>
    <s v="308BMA0381"/>
    <n v="0"/>
    <x v="261"/>
    <s v="0381"/>
    <n v="-44.782789439580903"/>
    <n v="-2.0621823102653698"/>
    <n v="-44.8284746595778"/>
    <n v="-2.1924836003378201"/>
    <s v="308"/>
    <s v="MA"/>
    <s v="Eixo Principal"/>
    <s v="-"/>
    <s v="308BMA0381"/>
    <s v="MIRINZAL"/>
    <s v="CENTRAL DO MARANHÃO"/>
    <n v="223.6"/>
    <n v="238.9"/>
    <n v="15.3"/>
    <x v="1"/>
    <m/>
    <m/>
    <s v="Estadual"/>
    <m/>
    <s v="MA-006"/>
    <s v="PAV"/>
    <s v="Estadual"/>
    <s v="PLA"/>
    <s v="Pedrinhas"/>
  </r>
  <r>
    <x v="0"/>
    <s v="308BMA0420"/>
    <n v="0"/>
    <x v="261"/>
    <s v="0420"/>
    <n v="-44.8284746595778"/>
    <n v="-2.1924836003378201"/>
    <n v="-44.7869993999023"/>
    <n v="-2.4530008995718"/>
    <s v="308"/>
    <s v="MA"/>
    <s v="Eixo Principal"/>
    <s v="-"/>
    <s v="308BMA0420"/>
    <s v="CENTRAL DO MARANHÃO"/>
    <s v="BEQUIMÃO"/>
    <n v="238.9"/>
    <n v="273.89999999999998"/>
    <n v="35"/>
    <x v="1"/>
    <m/>
    <m/>
    <s v="Federal"/>
    <m/>
    <m/>
    <m/>
    <s v="Federal"/>
    <s v="PLA"/>
    <s v="Pedrinhas"/>
  </r>
  <r>
    <x v="0"/>
    <s v="308BMA0430"/>
    <n v="0"/>
    <x v="261"/>
    <s v="0430"/>
    <n v="-44.7869993999023"/>
    <n v="-2.4530008995718"/>
    <n v="-44.791699069856101"/>
    <n v="-2.4828169696273701"/>
    <s v="308"/>
    <s v="MA"/>
    <s v="Eixo Principal"/>
    <s v="-"/>
    <s v="308BMA0430"/>
    <s v="BEQUIMÃO"/>
    <s v="ENTR MA-106(A)"/>
    <n v="273.89999999999998"/>
    <n v="276.89999999999998"/>
    <n v="3"/>
    <x v="1"/>
    <m/>
    <m/>
    <s v="Estadual"/>
    <m/>
    <s v="MA-106"/>
    <s v="PAV"/>
    <s v="Estadual"/>
    <s v="PLA"/>
    <s v="Pedrinhas"/>
  </r>
  <r>
    <x v="0"/>
    <s v="308BMA0440"/>
    <n v="0"/>
    <x v="261"/>
    <s v="0440"/>
    <n v="-44.791699069856101"/>
    <n v="-2.4828169696273701"/>
    <n v="-44.607266360054403"/>
    <n v="-2.5029688997948298"/>
    <s v="308"/>
    <s v="MA"/>
    <s v="Eixo Principal"/>
    <s v="-"/>
    <s v="308BMA0440"/>
    <s v="ENTR MA-106(A)"/>
    <s v="ENTR MA-106(B) (ITAUNA)"/>
    <n v="276.89999999999998"/>
    <n v="302.39999999999998"/>
    <n v="25.5"/>
    <x v="1"/>
    <m/>
    <m/>
    <s v="Estadual"/>
    <m/>
    <s v="MA-106"/>
    <s v="PAV"/>
    <s v="Estadual"/>
    <s v="PLA"/>
    <s v="Pedrinhas"/>
  </r>
  <r>
    <x v="0"/>
    <s v="308BMA0441"/>
    <n v="0"/>
    <x v="261"/>
    <s v="0441"/>
    <n v="-44.607266360054403"/>
    <n v="-2.5029688997948298"/>
    <n v="-44.520825380287"/>
    <n v="-2.5046733003325099"/>
    <s v="308"/>
    <s v="MA"/>
    <s v="Eixo Principal"/>
    <s v="-"/>
    <s v="308BMA0441"/>
    <s v="ENTR MA-106(B) (ITAUNA)"/>
    <s v="ATRACADOURO DO CUJUPE"/>
    <n v="302.39999999999998"/>
    <n v="313.39999999999998"/>
    <n v="11"/>
    <x v="1"/>
    <m/>
    <m/>
    <s v="Estadual"/>
    <m/>
    <s v="MA-106"/>
    <s v="PAV"/>
    <s v="Estadual"/>
    <s v="PLA"/>
    <s v="Pedrinhas"/>
  </r>
  <r>
    <x v="0"/>
    <s v="308BPA0010"/>
    <n v="0"/>
    <x v="262"/>
    <s v="0010"/>
    <n v="-48.4358404299917"/>
    <n v="-1.4073436999517499"/>
    <n v="-48.424841869756399"/>
    <n v="-1.39873005994428"/>
    <s v="308"/>
    <s v="PA"/>
    <s v="Eixo Principal"/>
    <s v="Coinc"/>
    <s v="308BPA0010"/>
    <s v="ENTR BR-010(A)/316(A) (2º UNIT BELÉM)"/>
    <s v="DIV MUN BELÉM/ANANINDEUA (ALAM M BONITA)"/>
    <n v="0"/>
    <n v="1.7"/>
    <n v="1.7"/>
    <x v="0"/>
    <m/>
    <s v="010BPA0970;316BPA0010"/>
    <s v="Convênio de Administração"/>
    <m/>
    <m/>
    <m/>
    <s v="Federal"/>
    <s v="PAV"/>
    <s v="Capanema"/>
  </r>
  <r>
    <x v="0"/>
    <s v="308BPA0020"/>
    <n v="0"/>
    <x v="262"/>
    <s v="0020"/>
    <n v="-48.424841869756399"/>
    <n v="-1.39873005994428"/>
    <n v="-48.362370050137599"/>
    <n v="-1.3658630398473399"/>
    <s v="308"/>
    <s v="PA"/>
    <s v="Eixo Principal"/>
    <s v="Coinc"/>
    <s v="308BPA0020"/>
    <s v="DIV MUN BELÉM/ANANINDEUA (ALAM M BONITA)"/>
    <s v="ACESSO ALÇA VIÁRIA"/>
    <n v="1.7"/>
    <n v="9.6"/>
    <n v="7.9"/>
    <x v="0"/>
    <m/>
    <s v="316BPA0020;010BPA0940"/>
    <s v="Convênio de Administração"/>
    <m/>
    <m/>
    <m/>
    <s v="Federal"/>
    <s v="PAV"/>
    <s v="Capanema"/>
  </r>
  <r>
    <x v="0"/>
    <s v="308BPA0030"/>
    <n v="0"/>
    <x v="262"/>
    <s v="0030"/>
    <n v="-48.362370050137599"/>
    <n v="-1.3658630398473399"/>
    <n v="-48.287546890276701"/>
    <n v="-1.3646369401426399"/>
    <s v="308"/>
    <s v="PA"/>
    <s v="Eixo Principal"/>
    <s v="Coinc"/>
    <s v="308BPA0030"/>
    <s v="ACESSO ALÇA VIÁRIA"/>
    <s v="ENTR PA-404 (P/BENFICA)"/>
    <n v="9.6"/>
    <n v="18"/>
    <n v="8.4"/>
    <x v="0"/>
    <m/>
    <s v="010BPA0930;316BPA0030"/>
    <s v="Convênio de Administração"/>
    <m/>
    <m/>
    <m/>
    <s v="Federal"/>
    <s v="PAV"/>
    <s v="Capanema"/>
  </r>
  <r>
    <x v="0"/>
    <s v="308BPA0040"/>
    <n v="0"/>
    <x v="262"/>
    <s v="0040"/>
    <n v="-48.287546890276701"/>
    <n v="-1.3646369401426399"/>
    <n v="-48.266670639838097"/>
    <n v="-1.3642523999282601"/>
    <s v="308"/>
    <s v="PA"/>
    <s v="Eixo Principal"/>
    <s v="Coinc"/>
    <s v="308BPA0040"/>
    <s v="ENTR PA-404 (P/BENFICA)"/>
    <s v="ENTR PA-406 (CANUTAMA)"/>
    <n v="18"/>
    <n v="20.399999999999999"/>
    <n v="2.4"/>
    <x v="0"/>
    <m/>
    <s v="010BPA0910;316BPA0040"/>
    <s v="Federal"/>
    <m/>
    <m/>
    <m/>
    <s v="Federal"/>
    <s v="PAV"/>
    <s v="Capanema"/>
  </r>
  <r>
    <x v="0"/>
    <s v="308BPA0050"/>
    <n v="0"/>
    <x v="262"/>
    <s v="0050"/>
    <n v="-48.266670639838097"/>
    <n v="-1.3642523999282601"/>
    <n v="-48.244883660352599"/>
    <n v="-1.34114699993404"/>
    <s v="308"/>
    <s v="PA"/>
    <s v="Eixo Principal"/>
    <s v="Coinc"/>
    <s v="308BPA0050"/>
    <s v="ENTR PA-406 (CANUTAMA)"/>
    <s v="ENTR PA-391 (P/BENEVIDES)"/>
    <n v="20.399999999999999"/>
    <n v="23.9"/>
    <n v="3.5"/>
    <x v="0"/>
    <m/>
    <s v="010BPA0890;316BPA0050"/>
    <s v="Federal"/>
    <m/>
    <m/>
    <m/>
    <s v="Federal"/>
    <s v="PAV"/>
    <s v="Capanema"/>
  </r>
  <r>
    <x v="0"/>
    <s v="308BPA0060"/>
    <n v="0"/>
    <x v="262"/>
    <s v="0060"/>
    <n v="-48.244883660352599"/>
    <n v="-1.34114699993404"/>
    <n v="-48.233221350085202"/>
    <n v="-1.3264817301476901"/>
    <s v="308"/>
    <s v="PA"/>
    <s v="Eixo Principal"/>
    <s v="Coinc"/>
    <s v="308BPA0060"/>
    <s v="ENTR PA-391 (P/BENEVIDES)"/>
    <s v="ENTR PA-406 (CAJUEIRO)"/>
    <n v="23.9"/>
    <n v="25.9"/>
    <n v="2"/>
    <x v="0"/>
    <m/>
    <s v="010BPA0870;316BPA0060"/>
    <s v="Federal"/>
    <m/>
    <m/>
    <m/>
    <s v="Federal"/>
    <s v="PAV"/>
    <s v="Capanema"/>
  </r>
  <r>
    <x v="0"/>
    <s v="308BPA0070"/>
    <n v="0"/>
    <x v="262"/>
    <s v="0070"/>
    <n v="-48.233221350085202"/>
    <n v="-1.3264817301476901"/>
    <n v="-48.155209490125699"/>
    <n v="-1.2897627401582601"/>
    <s v="308"/>
    <s v="PA"/>
    <s v="Eixo Principal"/>
    <s v="Coinc"/>
    <s v="308BPA0070"/>
    <s v="ENTR PA-406 (CAJUEIRO)"/>
    <s v="ENTR PA-140 (SANTA IZABEL DO PARÁ)"/>
    <n v="25.9"/>
    <n v="36.1"/>
    <n v="10.199999999999999"/>
    <x v="0"/>
    <m/>
    <s v="316BPA0070;010BPA0850"/>
    <s v="Federal"/>
    <m/>
    <m/>
    <m/>
    <s v="Federal"/>
    <s v="PAV"/>
    <s v="Capanema"/>
  </r>
  <r>
    <x v="0"/>
    <s v="308BPA0080"/>
    <n v="0"/>
    <x v="262"/>
    <s v="0080"/>
    <n v="-48.155209490125699"/>
    <n v="-1.2897627401582601"/>
    <n v="-48.057498989786403"/>
    <n v="-1.29031798968344"/>
    <s v="308"/>
    <s v="PA"/>
    <s v="Eixo Principal"/>
    <s v="Coinc"/>
    <s v="308BPA0080"/>
    <s v="ENTR PA-140 (SANTA IZABEL DO PARÁ)"/>
    <s v="ACESSO AMERICANO II"/>
    <n v="36.1"/>
    <n v="47.8"/>
    <n v="11.7"/>
    <x v="0"/>
    <m/>
    <s v="316BPA0080;010BPA0830"/>
    <s v="Federal"/>
    <m/>
    <m/>
    <m/>
    <s v="Federal"/>
    <s v="PAV"/>
    <s v="Capanema"/>
  </r>
  <r>
    <x v="0"/>
    <s v="308BPA0090"/>
    <n v="0"/>
    <x v="262"/>
    <s v="0090"/>
    <n v="-48.057498989786403"/>
    <n v="-1.29031798968344"/>
    <n v="-48.039251259837698"/>
    <n v="-1.30695194017982"/>
    <s v="308"/>
    <s v="PA"/>
    <s v="Eixo Principal"/>
    <s v="Coinc"/>
    <s v="308BPA0090"/>
    <s v="ACESSO AMERICANO II"/>
    <s v="ACESSO AMERICANO I"/>
    <n v="47.8"/>
    <n v="50.5"/>
    <n v="2.7"/>
    <x v="0"/>
    <m/>
    <s v="010BPA0810;316BPA0090"/>
    <s v="Federal"/>
    <m/>
    <m/>
    <m/>
    <s v="Federal"/>
    <s v="PAV"/>
    <s v="Capanema"/>
  </r>
  <r>
    <x v="0"/>
    <s v="308BPA0100"/>
    <n v="0"/>
    <x v="262"/>
    <s v="0100"/>
    <n v="-48.039251259837698"/>
    <n v="-1.30695194017982"/>
    <n v="-47.918950810431497"/>
    <n v="-1.2962455696772399"/>
    <s v="308"/>
    <s v="PA"/>
    <s v="Eixo Principal"/>
    <s v="Coinc"/>
    <s v="308BPA0100"/>
    <s v="ACESSO AMERICANO I"/>
    <s v="ENTR PA-136/320 (CASTANHAL)"/>
    <n v="50.5"/>
    <n v="64.099999999999994"/>
    <n v="13.6"/>
    <x v="0"/>
    <m/>
    <s v="316BPA0100;010BPA0790"/>
    <s v="Federal"/>
    <m/>
    <m/>
    <m/>
    <s v="Federal"/>
    <s v="PAV"/>
    <s v="Capanema"/>
  </r>
  <r>
    <x v="0"/>
    <s v="308BPA0105"/>
    <n v="0"/>
    <x v="262"/>
    <s v="0105"/>
    <n v="-47.918950810431497"/>
    <n v="-1.2962455696772399"/>
    <n v="-47.887399129765903"/>
    <n v="-1.29461574991688"/>
    <s v="308"/>
    <s v="PA"/>
    <s v="Eixo Principal"/>
    <s v="Coinc"/>
    <s v="308BPA0105"/>
    <s v="ENTR PA-136/320 (CASTANHAL)"/>
    <s v="FIM PISTA DUPLA"/>
    <n v="64.099999999999994"/>
    <n v="67.599999999999994"/>
    <n v="3.5"/>
    <x v="0"/>
    <m/>
    <s v="316BPA0105;010BPA0780"/>
    <s v="Federal"/>
    <m/>
    <m/>
    <m/>
    <s v="Federal"/>
    <s v="PAV"/>
    <s v="Capanema"/>
  </r>
  <r>
    <x v="0"/>
    <s v="308BPA0110"/>
    <n v="0"/>
    <x v="262"/>
    <s v="0110"/>
    <n v="-47.887399129765903"/>
    <n v="-1.29461574991688"/>
    <n v="-47.779755430368702"/>
    <n v="-1.3040598796596901"/>
    <s v="308"/>
    <s v="PA"/>
    <s v="Eixo Principal"/>
    <s v="Coinc"/>
    <s v="308BPA0110"/>
    <s v="FIM PISTA DUPLA"/>
    <s v="ENTR PA-127(A) (BARRO BRANCO)"/>
    <n v="67.599999999999994"/>
    <n v="80"/>
    <n v="12.4"/>
    <x v="2"/>
    <m/>
    <s v="010BPA0770;316BPA0110"/>
    <s v="Federal"/>
    <m/>
    <m/>
    <m/>
    <s v="Federal"/>
    <s v="PAV"/>
    <s v="Capanema"/>
  </r>
  <r>
    <x v="0"/>
    <s v="308BPA0120"/>
    <n v="0"/>
    <x v="262"/>
    <s v="0120"/>
    <n v="-47.779755430368702"/>
    <n v="-1.3040598796596901"/>
    <n v="-47.728935620182703"/>
    <n v="-1.31296585958671"/>
    <s v="308"/>
    <s v="PA"/>
    <s v="Eixo Principal"/>
    <s v="Coinc"/>
    <s v="308BPA0120"/>
    <s v="ENTR PA-127(A) (BARRO BRANCO)"/>
    <s v="ENTR PA-127(B) (P/IGARAPÉ AÇU)"/>
    <n v="80"/>
    <n v="85.8"/>
    <n v="5.8"/>
    <x v="2"/>
    <m/>
    <s v="316BPA0120;010BPA0750"/>
    <s v="Federal"/>
    <m/>
    <m/>
    <m/>
    <s v="Federal"/>
    <s v="PAV"/>
    <s v="Capanema"/>
  </r>
  <r>
    <x v="0"/>
    <s v="308BPA0130"/>
    <n v="0"/>
    <x v="262"/>
    <s v="0130"/>
    <n v="-47.728935620182703"/>
    <n v="-1.31296585958671"/>
    <n v="-47.645253690305502"/>
    <n v="-1.32770564989579"/>
    <s v="308"/>
    <s v="PA"/>
    <s v="Eixo Principal"/>
    <s v="Coinc"/>
    <s v="308BPA0130"/>
    <s v="ENTR PA-127(B) (P/IGARAPÉ AÇU)"/>
    <s v="ENTR PA-424 (P/COLÔNIA DO PRATA)"/>
    <n v="85.8"/>
    <n v="95.3"/>
    <n v="9.5"/>
    <x v="2"/>
    <m/>
    <s v="010BPA0730;316BPA0130"/>
    <s v="Federal"/>
    <m/>
    <m/>
    <m/>
    <s v="Federal"/>
    <s v="PAV"/>
    <s v="Capanema"/>
  </r>
  <r>
    <x v="0"/>
    <s v="308BPA0140"/>
    <n v="0"/>
    <x v="262"/>
    <s v="0140"/>
    <n v="-47.645253690305502"/>
    <n v="-1.32770564989579"/>
    <n v="-47.5821997296337"/>
    <n v="-1.33893420005324"/>
    <s v="308"/>
    <s v="PA"/>
    <s v="Eixo Principal"/>
    <s v="Coinc"/>
    <s v="308BPA0140"/>
    <s v="ENTR PA-424 (P/COLÔNIA DO PRATA)"/>
    <s v="ENTR BR-010(B) (P/SANTA MARIA DO PARÁ)"/>
    <n v="95.3"/>
    <n v="102.5"/>
    <n v="7.2"/>
    <x v="2"/>
    <m/>
    <s v="010BPA0710;316BPA0140"/>
    <s v="Federal"/>
    <m/>
    <m/>
    <m/>
    <s v="Federal"/>
    <s v="PAV"/>
    <s v="Capanema"/>
  </r>
  <r>
    <x v="0"/>
    <s v="308BPA0150"/>
    <n v="0"/>
    <x v="262"/>
    <s v="0150"/>
    <n v="-47.5821997296337"/>
    <n v="-1.33893420005324"/>
    <n v="-47.513969720026502"/>
    <n v="-1.31749083983032"/>
    <s v="308"/>
    <s v="PA"/>
    <s v="Eixo Principal"/>
    <s v="-"/>
    <s v="308BPA0150"/>
    <s v="ENTR BR-010(B) (P/SANTA MARIA DO PARÁ)"/>
    <s v="ENTR PA-324 (P/SALINÓPOLIS)"/>
    <n v="102.5"/>
    <n v="110.9"/>
    <n v="8.4"/>
    <x v="2"/>
    <m/>
    <s v="316BPA0150"/>
    <s v="Federal"/>
    <m/>
    <m/>
    <m/>
    <s v="Federal"/>
    <s v="PAV"/>
    <s v="Capanema"/>
  </r>
  <r>
    <x v="0"/>
    <s v="308BPA0160"/>
    <n v="0"/>
    <x v="262"/>
    <s v="0160"/>
    <n v="-47.513969720026502"/>
    <n v="-1.31749083983032"/>
    <n v="-47.367889050339301"/>
    <n v="-1.2941872499415501"/>
    <s v="308"/>
    <s v="PA"/>
    <s v="Eixo Principal"/>
    <s v="-"/>
    <s v="308BPA0160"/>
    <s v="ENTR PA-324 (P/SALINÓPOLIS)"/>
    <s v="ENTR PA-380 (P/BONITO)"/>
    <n v="110.9"/>
    <n v="128"/>
    <n v="17.100000000000001"/>
    <x v="2"/>
    <m/>
    <s v="316BPA0160"/>
    <s v="Federal"/>
    <m/>
    <m/>
    <m/>
    <s v="Federal"/>
    <s v="PAV"/>
    <s v="Capanema"/>
  </r>
  <r>
    <x v="0"/>
    <s v="308BPA0170"/>
    <n v="0"/>
    <x v="262"/>
    <s v="0170"/>
    <n v="-47.367889050339301"/>
    <n v="-1.2941872499415501"/>
    <n v="-47.268867209853703"/>
    <n v="-1.2624632196018399"/>
    <s v="308"/>
    <s v="PA"/>
    <s v="Eixo Principal"/>
    <s v="-"/>
    <s v="308BPA0170"/>
    <s v="ENTR PA-380 (P/BONITO)"/>
    <s v="ENTR PA-436 (P/BOA ESPERANÇA)"/>
    <n v="128"/>
    <n v="139.80000000000001"/>
    <n v="11.8"/>
    <x v="2"/>
    <m/>
    <s v="316BPA0170"/>
    <s v="Federal"/>
    <m/>
    <m/>
    <m/>
    <s v="Federal"/>
    <s v="PAV"/>
    <s v="Capanema"/>
  </r>
  <r>
    <x v="0"/>
    <s v="308BPA0180"/>
    <n v="0"/>
    <x v="262"/>
    <s v="0180"/>
    <n v="-47.268867209853703"/>
    <n v="-1.2624632196018399"/>
    <n v="-47.1846679395737"/>
    <n v="-1.21250999973665"/>
    <s v="308"/>
    <s v="PA"/>
    <s v="Eixo Principal"/>
    <s v="-"/>
    <s v="308BPA0180"/>
    <s v="ENTR PA-436 (P/BOA ESPERANÇA)"/>
    <s v="ENTR BR-316(B)/PA-124/242 (CAPANEMA)"/>
    <n v="139.80000000000001"/>
    <n v="150.69999999999999"/>
    <n v="10.9"/>
    <x v="2"/>
    <m/>
    <s v="316BPA0180"/>
    <s v="Federal"/>
    <m/>
    <m/>
    <m/>
    <s v="Federal"/>
    <s v="PAV"/>
    <s v="Capanema"/>
  </r>
  <r>
    <x v="0"/>
    <s v="308BPA0200"/>
    <n v="0"/>
    <x v="262"/>
    <s v="0200"/>
    <n v="-47.1846679395737"/>
    <n v="-1.21250999973665"/>
    <n v="-46.764301479629502"/>
    <n v="-1.0651539897647799"/>
    <s v="308"/>
    <s v="PA"/>
    <s v="Eixo Principal"/>
    <s v="-"/>
    <s v="308BPA0200"/>
    <s v="ENTR BR-316(B)/PA-124/242 (CAPANEMA)"/>
    <s v="BRAGANÇA"/>
    <n v="150.69999999999999"/>
    <n v="203.5"/>
    <n v="52.8"/>
    <x v="2"/>
    <m/>
    <m/>
    <s v="Federal"/>
    <m/>
    <m/>
    <m/>
    <s v="Federal"/>
    <s v="PAV"/>
    <s v="Capanema"/>
  </r>
  <r>
    <x v="0"/>
    <s v="308BPA0220"/>
    <n v="0"/>
    <x v="262"/>
    <s v="0220"/>
    <n v="-46.764301479629502"/>
    <n v="-1.0651539897647799"/>
    <n v="-46.756143320158003"/>
    <n v="-1.0624596200154299"/>
    <s v="308"/>
    <s v="PA"/>
    <s v="Eixo Principal"/>
    <s v="-"/>
    <s v="308BPA0220"/>
    <s v="BRAGANÇA"/>
    <s v="RIO CAETÉ"/>
    <n v="203.5"/>
    <n v="204.5"/>
    <n v="1"/>
    <x v="5"/>
    <m/>
    <m/>
    <s v="Federal"/>
    <m/>
    <m/>
    <m/>
    <s v="Federal"/>
    <s v="N_PAV"/>
    <s v="Capanema"/>
  </r>
  <r>
    <x v="0"/>
    <s v="308BPA0225"/>
    <n v="0"/>
    <x v="262"/>
    <s v="0225"/>
    <n v="-46.756143320158003"/>
    <n v="-1.0624596200154299"/>
    <n v="-46.706288249602999"/>
    <n v="-1.0586340596141199"/>
    <s v="308"/>
    <s v="PA"/>
    <s v="Eixo Principal"/>
    <s v="-"/>
    <s v="308BPA0225"/>
    <s v="RIO CAETÉ"/>
    <s v="ENTR PA-454 (P/AUGUSTO CORRÊA)"/>
    <n v="204.5"/>
    <n v="210.7"/>
    <n v="6.2"/>
    <x v="5"/>
    <m/>
    <m/>
    <s v="Federal"/>
    <m/>
    <m/>
    <m/>
    <s v="Federal"/>
    <s v="N_PAV"/>
    <s v="Capanema"/>
  </r>
  <r>
    <x v="0"/>
    <s v="308BPA0230"/>
    <n v="0"/>
    <x v="262"/>
    <s v="0230"/>
    <n v="-46.706288249602999"/>
    <n v="-1.0586340596141199"/>
    <n v="-46.631138740160601"/>
    <n v="-1.0851277903151899"/>
    <s v="308"/>
    <s v="PA"/>
    <s v="Eixo Principal"/>
    <s v="-"/>
    <s v="308BPA0230"/>
    <s v="ENTR PA-454 (P/AUGUSTO CORRÊA)"/>
    <s v="ENTR PA-462 (VILA PATAL)"/>
    <n v="210.7"/>
    <n v="220.5"/>
    <n v="9.8000000000000007"/>
    <x v="5"/>
    <m/>
    <m/>
    <s v="Federal"/>
    <m/>
    <m/>
    <m/>
    <s v="Federal"/>
    <s v="N_PAV"/>
    <s v="Capanema"/>
  </r>
  <r>
    <x v="0"/>
    <s v="308BPA0240"/>
    <n v="0"/>
    <x v="262"/>
    <s v="0240"/>
    <n v="-46.631138740160601"/>
    <n v="-1.0851277903151899"/>
    <n v="-46.469045609966798"/>
    <n v="-1.43428375968773"/>
    <s v="308"/>
    <s v="PA"/>
    <s v="Eixo Principal"/>
    <s v="-"/>
    <s v="308BPA0240"/>
    <s v="ENTR PA-462 (VILA PATAL)"/>
    <s v="RIO PIRIÁ"/>
    <n v="220.5"/>
    <n v="266"/>
    <n v="45.5"/>
    <x v="5"/>
    <m/>
    <m/>
    <s v="Federal"/>
    <m/>
    <m/>
    <m/>
    <s v="Federal"/>
    <s v="N_PAV"/>
    <s v="Capanema"/>
  </r>
  <r>
    <x v="0"/>
    <s v="308BPA0250"/>
    <n v="0"/>
    <x v="262"/>
    <s v="0250"/>
    <n v="-46.469045609966798"/>
    <n v="-1.43428375968773"/>
    <n v="-46.346046599970499"/>
    <n v="-1.4433985496033299"/>
    <s v="308"/>
    <s v="PA"/>
    <s v="Eixo Principal"/>
    <s v="-"/>
    <s v="308BPA0250"/>
    <s v="RIO PIRIÁ"/>
    <s v="ENTR PA-102 (P/SÃO JOSÉ DO GURUPI)"/>
    <n v="266"/>
    <n v="280.2"/>
    <n v="14.2"/>
    <x v="5"/>
    <m/>
    <m/>
    <s v="Federal"/>
    <m/>
    <m/>
    <m/>
    <s v="Federal"/>
    <s v="N_PAV"/>
    <s v="Capanema"/>
  </r>
  <r>
    <x v="0"/>
    <s v="308BPA0260"/>
    <n v="0"/>
    <x v="262"/>
    <s v="0260"/>
    <n v="-46.346046599970499"/>
    <n v="-1.4433985496033299"/>
    <n v="-46.145299719706202"/>
    <n v="-1.2011644297945701"/>
    <s v="308"/>
    <s v="PA"/>
    <s v="Eixo Principal"/>
    <s v="-"/>
    <s v="308BPA0260"/>
    <s v="ENTR PA-102 (P/SÃO JOSÉ DO GURUPI)"/>
    <s v="VISEU"/>
    <n v="280.2"/>
    <n v="318.89999999999998"/>
    <n v="38.700000000000003"/>
    <x v="5"/>
    <m/>
    <m/>
    <s v="Federal"/>
    <m/>
    <m/>
    <m/>
    <s v="Federal"/>
    <s v="N_PAV"/>
    <s v="Capanema"/>
  </r>
  <r>
    <x v="0"/>
    <s v="308BPA0270"/>
    <n v="0"/>
    <x v="262"/>
    <s v="0270"/>
    <n v="-46.145299719706202"/>
    <n v="-1.2011644297945701"/>
    <n v="-46.1508512697702"/>
    <n v="-1.2184207597102199"/>
    <s v="308"/>
    <s v="PA"/>
    <s v="Eixo Principal"/>
    <s v="-"/>
    <s v="308BPA0270"/>
    <s v="VISEU"/>
    <s v="DIV PA/MA"/>
    <n v="318.89999999999998"/>
    <n v="322.89999999999998"/>
    <n v="4"/>
    <x v="1"/>
    <m/>
    <m/>
    <s v="Federal"/>
    <m/>
    <m/>
    <m/>
    <s v="Federal"/>
    <s v="PLA"/>
    <s v="Capanema"/>
  </r>
  <r>
    <x v="0"/>
    <s v="316AAL1005"/>
    <n v="0"/>
    <x v="263"/>
    <s v="1005"/>
    <n v="-35.954301969959801"/>
    <n v="-9.5903426298084398"/>
    <n v="-35.982115290288299"/>
    <n v="-9.58713973031427"/>
    <s v="316"/>
    <s v="AL"/>
    <s v="Acesso"/>
    <s v="-"/>
    <s v="316AAL1005"/>
    <s v="ENTR BR-316 (ACESSO RODOVIA SECUNDÁRIA)"/>
    <s v="ENTR BR-101"/>
    <n v="0"/>
    <n v="2.9"/>
    <n v="2.9"/>
    <x v="2"/>
    <m/>
    <m/>
    <s v="Federal"/>
    <m/>
    <m/>
    <m/>
    <s v="Federal"/>
    <s v="PAV"/>
    <s v="Maceió"/>
  </r>
  <r>
    <x v="0"/>
    <s v="316API1005"/>
    <n v="0"/>
    <x v="264"/>
    <s v="1005"/>
    <n v="-41.403352390100601"/>
    <n v="-7.0870686699830596"/>
    <n v="-41.4190296903678"/>
    <n v="-7.1005375095983201"/>
    <s v="316"/>
    <s v="PI"/>
    <s v="Acesso"/>
    <s v="-"/>
    <s v="316API1005"/>
    <s v="ENTR BR-316 (KM 336,0)"/>
    <s v="ENTR BR-407 (KM 425,8)"/>
    <n v="0"/>
    <n v="2"/>
    <n v="2"/>
    <x v="2"/>
    <m/>
    <m/>
    <s v="Federal"/>
    <m/>
    <m/>
    <m/>
    <s v="Federal"/>
    <s v="PAV"/>
    <s v="Picos"/>
  </r>
  <r>
    <x v="0"/>
    <s v="316BAL0830"/>
    <n v="0"/>
    <x v="265"/>
    <s v="0830"/>
    <n v="-37.827635820136898"/>
    <n v="-8.9169922503920098"/>
    <n v="-37.658021700141298"/>
    <n v="-9.1022722195872294"/>
    <s v="316"/>
    <s v="AL"/>
    <s v="Eixo Principal"/>
    <s v="-"/>
    <s v="316BAL0830"/>
    <s v="DIV PE/AL"/>
    <s v="ENTR AL-145 (P/MATA GRANDE)"/>
    <n v="0"/>
    <n v="29.4"/>
    <n v="29.4"/>
    <x v="2"/>
    <m/>
    <m/>
    <s v="Federal"/>
    <m/>
    <m/>
    <m/>
    <s v="Federal"/>
    <s v="PAV"/>
    <s v="Santana do Ipanema"/>
  </r>
  <r>
    <x v="0"/>
    <s v="316BAL0850"/>
    <n v="0"/>
    <x v="265"/>
    <s v="0850"/>
    <n v="-37.658021700141298"/>
    <n v="-9.1022722195872294"/>
    <n v="-37.514824940418599"/>
    <n v="-9.1934625001941797"/>
    <s v="316"/>
    <s v="AL"/>
    <s v="Eixo Principal"/>
    <s v="-"/>
    <s v="316BAL0850"/>
    <s v="ENTR AL-145 (P/MATA GRANDE)"/>
    <s v="ENTR BR-423"/>
    <n v="29.4"/>
    <n v="49"/>
    <n v="19.600000000000001"/>
    <x v="2"/>
    <m/>
    <m/>
    <s v="Federal"/>
    <m/>
    <m/>
    <m/>
    <s v="Federal"/>
    <s v="PAV"/>
    <s v="Santana do Ipanema"/>
  </r>
  <r>
    <x v="0"/>
    <s v="316BAL0870"/>
    <n v="0"/>
    <x v="265"/>
    <s v="0870"/>
    <n v="-37.514824940418599"/>
    <n v="-9.1934625001941797"/>
    <n v="-37.303159210429101"/>
    <n v="-9.3276566001719008"/>
    <s v="316"/>
    <s v="AL"/>
    <s v="Eixo Principal"/>
    <s v="-"/>
    <s v="316BAL0870"/>
    <s v="ENTR BR-423"/>
    <s v="ENTR AL-130(A) (P/POCO DAS TRINCHEIRAS)"/>
    <n v="49"/>
    <n v="76.599999999999994"/>
    <n v="27.6"/>
    <x v="2"/>
    <m/>
    <m/>
    <s v="Federal"/>
    <m/>
    <m/>
    <m/>
    <s v="Federal"/>
    <s v="PAV"/>
    <s v="Santana do Ipanema"/>
  </r>
  <r>
    <x v="0"/>
    <s v="316BAL0890"/>
    <n v="0"/>
    <x v="265"/>
    <s v="0890"/>
    <n v="-37.303159210429101"/>
    <n v="-9.3276566001719008"/>
    <n v="-37.255469790098601"/>
    <n v="-9.36668943966583"/>
    <s v="316"/>
    <s v="AL"/>
    <s v="Eixo Principal"/>
    <s v="-"/>
    <s v="316BAL0890"/>
    <s v="ENTR AL-130(A) (P/POCO DAS TRINCHEIRAS)"/>
    <s v="ENTR AL-130(B) (SANTANA DO IPANEMA)"/>
    <n v="76.599999999999994"/>
    <n v="83.6"/>
    <n v="7"/>
    <x v="2"/>
    <m/>
    <m/>
    <s v="Federal"/>
    <m/>
    <m/>
    <m/>
    <s v="Federal"/>
    <s v="PAV"/>
    <s v="Santana do Ipanema"/>
  </r>
  <r>
    <x v="0"/>
    <s v="316BAL0910"/>
    <n v="0"/>
    <x v="265"/>
    <s v="0910"/>
    <n v="-37.255469790098601"/>
    <n v="-9.36668943966583"/>
    <n v="-37.089678369760897"/>
    <n v="-9.3894579698094205"/>
    <s v="316"/>
    <s v="AL"/>
    <s v="Eixo Principal"/>
    <s v="-"/>
    <s v="316BAL0910"/>
    <s v="ENTR AL-130(B) (SANTANA DO IPANEMA)"/>
    <s v="DOIS RIACHOS"/>
    <n v="83.6"/>
    <n v="102.9"/>
    <n v="19.3"/>
    <x v="2"/>
    <m/>
    <m/>
    <s v="Federal"/>
    <m/>
    <m/>
    <m/>
    <s v="Federal"/>
    <s v="PAV"/>
    <s v="Santana do Ipanema"/>
  </r>
  <r>
    <x v="0"/>
    <s v="316BAL0911"/>
    <n v="0"/>
    <x v="265"/>
    <s v="0911"/>
    <n v="-37.089678369760897"/>
    <n v="-9.3894579698094205"/>
    <n v="-36.989577389584802"/>
    <n v="-9.4043677104014503"/>
    <s v="316"/>
    <s v="AL"/>
    <s v="Eixo Principal"/>
    <s v="-"/>
    <s v="316BAL0911"/>
    <s v="DOIS RIACHOS"/>
    <s v="ENTR AL-120 (CACIMBINHAS)"/>
    <n v="102.9"/>
    <n v="114.4"/>
    <n v="11.5"/>
    <x v="2"/>
    <m/>
    <m/>
    <s v="Federal"/>
    <m/>
    <m/>
    <m/>
    <s v="Federal"/>
    <s v="PAV"/>
    <s v="Santana do Ipanema"/>
  </r>
  <r>
    <x v="0"/>
    <s v="316BAL0930"/>
    <n v="0"/>
    <x v="265"/>
    <s v="0930"/>
    <n v="-36.989577389584802"/>
    <n v="-9.4043677104014503"/>
    <n v="-36.8314104997946"/>
    <n v="-9.3906009496740204"/>
    <s v="316"/>
    <s v="AL"/>
    <s v="Eixo Principal"/>
    <s v="-"/>
    <s v="316BAL0930"/>
    <s v="ENTR AL-120 (CACIMBINHAS)"/>
    <s v="ENTR AL-490"/>
    <n v="114.4"/>
    <n v="131.9"/>
    <n v="17.5"/>
    <x v="2"/>
    <m/>
    <m/>
    <s v="Federal"/>
    <m/>
    <m/>
    <m/>
    <s v="Federal"/>
    <s v="PAV"/>
    <s v="Santana do Ipanema"/>
  </r>
  <r>
    <x v="0"/>
    <s v="316BAL0940"/>
    <n v="0"/>
    <x v="265"/>
    <s v="0940"/>
    <n v="-36.8314104997946"/>
    <n v="-9.3906009496740204"/>
    <n v="-36.689068409879098"/>
    <n v="-9.4066999600350893"/>
    <s v="316"/>
    <s v="AL"/>
    <s v="Eixo Principal"/>
    <s v="-"/>
    <s v="316BAL0940"/>
    <s v="ENTR AL-490"/>
    <s v="ENTR AL-115(A)"/>
    <n v="131.9"/>
    <n v="147.9"/>
    <n v="16"/>
    <x v="2"/>
    <m/>
    <m/>
    <s v="Federal"/>
    <m/>
    <m/>
    <m/>
    <s v="Federal"/>
    <s v="PAV"/>
    <s v="Santana do Ipanema"/>
  </r>
  <r>
    <x v="0"/>
    <s v="316BAL0950"/>
    <n v="0"/>
    <x v="265"/>
    <s v="0950"/>
    <n v="-36.689068409879098"/>
    <n v="-9.4066999600350893"/>
    <n v="-36.6346384700892"/>
    <n v="-9.4270888399779498"/>
    <s v="316"/>
    <s v="AL"/>
    <s v="Eixo Principal"/>
    <s v="-"/>
    <s v="316BAL0950"/>
    <s v="ENTR AL-115(A)"/>
    <s v="ENTR AL-115(B) (PALMEIRA DOS ÍNDIOS)"/>
    <n v="147.9"/>
    <n v="154.80000000000001"/>
    <n v="6.9"/>
    <x v="2"/>
    <m/>
    <m/>
    <s v="Federal"/>
    <m/>
    <m/>
    <m/>
    <s v="Federal"/>
    <s v="PAV"/>
    <s v="Santana do Ipanema"/>
  </r>
  <r>
    <x v="0"/>
    <s v="316BAL0970"/>
    <n v="0"/>
    <x v="265"/>
    <s v="0970"/>
    <n v="-36.6346384700892"/>
    <n v="-9.4270888399779498"/>
    <n v="-36.610373530114202"/>
    <n v="-9.4368294600115501"/>
    <s v="316"/>
    <s v="AL"/>
    <s v="Eixo Principal"/>
    <s v="-"/>
    <s v="316BAL0970"/>
    <s v="ENTR AL-115(B) (PALMEIRA DOS ÍNDIOS)"/>
    <s v="ENTR AL-210"/>
    <n v="154.80000000000001"/>
    <n v="158.5"/>
    <n v="3.7"/>
    <x v="2"/>
    <m/>
    <m/>
    <s v="Federal"/>
    <m/>
    <m/>
    <m/>
    <s v="Federal"/>
    <s v="PAV"/>
    <s v="Santana do Ipanema"/>
  </r>
  <r>
    <x v="0"/>
    <s v="316BAL0990"/>
    <n v="0"/>
    <x v="265"/>
    <s v="0990"/>
    <n v="-36.610373530114202"/>
    <n v="-9.4368294600115501"/>
    <n v="-36.430081260341801"/>
    <n v="-9.5858756396490303"/>
    <s v="316"/>
    <s v="AL"/>
    <s v="Eixo Principal"/>
    <s v="-"/>
    <s v="316BAL0990"/>
    <s v="ENTR AL-210"/>
    <s v="ENTR AL-110(A) (P/TAQUARANA)"/>
    <n v="158.5"/>
    <n v="187.6"/>
    <n v="29.1"/>
    <x v="2"/>
    <m/>
    <m/>
    <s v="Federal"/>
    <m/>
    <m/>
    <m/>
    <s v="Federal"/>
    <s v="PAV"/>
    <s v="Maceió"/>
  </r>
  <r>
    <x v="0"/>
    <s v="316BAL1010"/>
    <n v="0"/>
    <x v="265"/>
    <s v="1010"/>
    <n v="-36.430081260341801"/>
    <n v="-9.5858756396490303"/>
    <n v="-36.413599569564397"/>
    <n v="-9.5795434402775097"/>
    <s v="316"/>
    <s v="AL"/>
    <s v="Eixo Principal"/>
    <s v="-"/>
    <s v="316BAL1010"/>
    <s v="ENTR AL-110(A) (P/TAQUARANA)"/>
    <s v="ENTR AL-477 (P/TANQUE D'ARCA)"/>
    <n v="187.6"/>
    <n v="189.6"/>
    <n v="2"/>
    <x v="2"/>
    <m/>
    <m/>
    <s v="Federal"/>
    <m/>
    <m/>
    <m/>
    <s v="Federal"/>
    <s v="PAV"/>
    <s v="Maceió"/>
  </r>
  <r>
    <x v="0"/>
    <s v="316BAL1015"/>
    <n v="0"/>
    <x v="265"/>
    <s v="1015"/>
    <n v="-36.413599569564397"/>
    <n v="-9.5795434402775097"/>
    <n v="-36.3762280800618"/>
    <n v="-9.5684415803146408"/>
    <s v="316"/>
    <s v="AL"/>
    <s v="Eixo Principal"/>
    <s v="-"/>
    <s v="316BAL1015"/>
    <s v="ENTR AL-477 (P/TANQUE D'ARCA)"/>
    <s v="ENTR AL-110(B)"/>
    <n v="189.6"/>
    <n v="193.9"/>
    <n v="4.3"/>
    <x v="2"/>
    <m/>
    <m/>
    <s v="Federal"/>
    <m/>
    <m/>
    <m/>
    <s v="Federal"/>
    <s v="PAV"/>
    <s v="Maceió"/>
  </r>
  <r>
    <x v="0"/>
    <s v="316BAL1020"/>
    <n v="0"/>
    <x v="265"/>
    <s v="1020"/>
    <n v="-36.3762280800618"/>
    <n v="-9.5684415803146408"/>
    <n v="-36.313260230375299"/>
    <n v="-9.5830207903771303"/>
    <s v="316"/>
    <s v="AL"/>
    <s v="Eixo Principal"/>
    <s v="-"/>
    <s v="316BAL1020"/>
    <s v="ENTR AL-110(B)"/>
    <s v="ENTR AL-450 (MARIBONDO)"/>
    <n v="193.9"/>
    <n v="201.5"/>
    <n v="7.6"/>
    <x v="2"/>
    <m/>
    <m/>
    <s v="Federal"/>
    <m/>
    <m/>
    <m/>
    <s v="Federal"/>
    <s v="PAV"/>
    <s v="Maceió"/>
  </r>
  <r>
    <x v="0"/>
    <s v="316BAL1030"/>
    <n v="0"/>
    <x v="265"/>
    <s v="1030"/>
    <n v="-36.313260230375299"/>
    <n v="-9.5830207903771303"/>
    <n v="-36.229115069604703"/>
    <n v="-9.5163496404235204"/>
    <s v="316"/>
    <s v="AL"/>
    <s v="Eixo Principal"/>
    <s v="-"/>
    <s v="316BAL1030"/>
    <s v="ENTR AL-450 (MARIBONDO)"/>
    <s v="ENTR AL-445 (P/PINDOBA)"/>
    <n v="201.5"/>
    <n v="213.8"/>
    <n v="12.3"/>
    <x v="2"/>
    <m/>
    <m/>
    <s v="Federal"/>
    <m/>
    <m/>
    <m/>
    <s v="Federal"/>
    <s v="PAV"/>
    <s v="Maceió"/>
  </r>
  <r>
    <x v="0"/>
    <s v="316BAL1040"/>
    <n v="0"/>
    <x v="265"/>
    <s v="1040"/>
    <n v="-36.229115069604703"/>
    <n v="-9.5163496404235204"/>
    <n v="-36.184083869874598"/>
    <n v="-9.4666176996470792"/>
    <s v="316"/>
    <s v="AL"/>
    <s v="Eixo Principal"/>
    <s v="-"/>
    <s v="316BAL1040"/>
    <s v="ENTR AL-445 (P/PINDOBA)"/>
    <s v="ENTR AL-440"/>
    <n v="213.8"/>
    <n v="221.6"/>
    <n v="7.8"/>
    <x v="2"/>
    <m/>
    <m/>
    <s v="Federal"/>
    <m/>
    <m/>
    <m/>
    <s v="Federal"/>
    <s v="PAV"/>
    <s v="Maceió"/>
  </r>
  <r>
    <x v="0"/>
    <s v="316BAL1050"/>
    <n v="0"/>
    <x v="265"/>
    <s v="1050"/>
    <n v="-36.184083869874598"/>
    <n v="-9.4666176996470792"/>
    <n v="-36.001787440238097"/>
    <n v="-9.5148010798059204"/>
    <s v="316"/>
    <s v="AL"/>
    <s v="Eixo Principal"/>
    <s v="-"/>
    <s v="316BAL1050"/>
    <s v="ENTR AL-440"/>
    <s v="ENTR BR-424(A) (PRÓXIMO A ATALAIA)"/>
    <n v="221.6"/>
    <n v="244.6"/>
    <n v="23"/>
    <x v="1"/>
    <m/>
    <s v="424BAL0210"/>
    <s v="Estadual"/>
    <m/>
    <s v="AL-210"/>
    <s v="PAV"/>
    <s v="Estadual"/>
    <s v="PLA"/>
    <s v="Maceió"/>
  </r>
  <r>
    <x v="0"/>
    <s v="316BAL1070"/>
    <n v="0"/>
    <x v="265"/>
    <s v="1070"/>
    <n v="-36.001787440238097"/>
    <n v="-9.5148010798059204"/>
    <n v="-35.969397380084899"/>
    <n v="-9.5668628798180109"/>
    <s v="316"/>
    <s v="AL"/>
    <s v="Eixo Principal"/>
    <s v="-"/>
    <s v="316BAL1070"/>
    <s v="ENTR BR-424(A) (PRÓXIMO A ATALAIA)"/>
    <s v="ENTR BR-101"/>
    <n v="244.6"/>
    <n v="251.4"/>
    <n v="6.8"/>
    <x v="2"/>
    <m/>
    <s v="424BAL0230"/>
    <s v="Federal"/>
    <m/>
    <m/>
    <m/>
    <s v="Federal"/>
    <s v="PAV"/>
    <s v="Maceió"/>
  </r>
  <r>
    <x v="0"/>
    <s v="316BAL1090"/>
    <n v="0"/>
    <x v="265"/>
    <s v="1090"/>
    <n v="-35.969397380084899"/>
    <n v="-9.5668628798180109"/>
    <n v="-35.954301969959801"/>
    <n v="-9.5903426298084398"/>
    <s v="316"/>
    <s v="AL"/>
    <s v="Eixo Principal"/>
    <s v="-"/>
    <s v="316BAL1090"/>
    <s v="ENTR BR-101"/>
    <s v="ENTR BR-316 (RODOVIA SECUNDÁRIA)"/>
    <n v="251.4"/>
    <n v="254.5"/>
    <n v="3.1"/>
    <x v="2"/>
    <m/>
    <s v="424BAL0250"/>
    <s v="Federal"/>
    <m/>
    <m/>
    <m/>
    <s v="Federal"/>
    <s v="PAV"/>
    <s v="Maceió"/>
  </r>
  <r>
    <x v="0"/>
    <s v="316BAL1110"/>
    <n v="0"/>
    <x v="265"/>
    <s v="1110"/>
    <n v="-35.954301969959801"/>
    <n v="-9.5903426298084398"/>
    <n v="-35.939427509771598"/>
    <n v="-9.5909163001471107"/>
    <s v="316"/>
    <s v="AL"/>
    <s v="Eixo Principal"/>
    <s v="-"/>
    <s v="316BAL1110"/>
    <s v="ENTR BR-316 (RODOVIA SECUNDÁRIA)"/>
    <s v="ACESSO A PILAR"/>
    <n v="254.5"/>
    <n v="256.2"/>
    <n v="1.7"/>
    <x v="2"/>
    <m/>
    <s v="424BAL0270"/>
    <s v="Federal"/>
    <m/>
    <m/>
    <m/>
    <s v="Federal"/>
    <s v="PAV"/>
    <s v="Maceió"/>
  </r>
  <r>
    <x v="0"/>
    <s v="316BAL1130"/>
    <n v="0"/>
    <x v="265"/>
    <s v="1130"/>
    <n v="-35.939427509771598"/>
    <n v="-9.5909163001471107"/>
    <n v="-35.879794519801102"/>
    <n v="-9.58782419982691"/>
    <s v="316"/>
    <s v="AL"/>
    <s v="Eixo Principal"/>
    <s v="-"/>
    <s v="316BAL1130"/>
    <s v="ACESSO A PILAR"/>
    <s v="ENTR BR-424(B)"/>
    <n v="256.2"/>
    <n v="262.8"/>
    <n v="6.6"/>
    <x v="2"/>
    <m/>
    <s v="424BAL0290"/>
    <s v="Federal"/>
    <m/>
    <m/>
    <m/>
    <s v="Federal"/>
    <s v="PAV"/>
    <s v="Maceió"/>
  </r>
  <r>
    <x v="0"/>
    <s v="316BAL1135"/>
    <n v="0"/>
    <x v="265"/>
    <s v="1135"/>
    <n v="-35.879794519801102"/>
    <n v="-9.58782419982691"/>
    <n v="-35.807751300182296"/>
    <n v="-9.5670165703583603"/>
    <s v="316"/>
    <s v="AL"/>
    <s v="Eixo Principal"/>
    <s v="-"/>
    <s v="316BAL1135"/>
    <s v="ENTR BR-424(B)"/>
    <s v="PONTE SOBRE O RIACHO MAFRIAL"/>
    <n v="262.8"/>
    <n v="272"/>
    <n v="9.1999999999999993"/>
    <x v="2"/>
    <m/>
    <m/>
    <s v="Federal"/>
    <m/>
    <m/>
    <m/>
    <s v="Federal"/>
    <s v="PAV"/>
    <s v="Maceió"/>
  </r>
  <r>
    <x v="0"/>
    <s v="316BAL1140"/>
    <n v="0"/>
    <x v="265"/>
    <s v="1140"/>
    <n v="-35.807751300182296"/>
    <n v="-9.5670165703583603"/>
    <n v="-35.777402239721503"/>
    <n v="-9.5660395199078607"/>
    <s v="316"/>
    <s v="AL"/>
    <s v="Eixo Principal"/>
    <s v="-"/>
    <s v="316BAL1140"/>
    <s v="PONTE SOBRE O RIACHO MAFRIAL"/>
    <s v="ENTR BR-104 (TABULEIRO DO MARTINS)"/>
    <n v="272"/>
    <n v="276.10000000000002"/>
    <n v="4.0999999999999996"/>
    <x v="2"/>
    <m/>
    <m/>
    <s v="Convênio de Administração"/>
    <m/>
    <m/>
    <m/>
    <s v="Federal"/>
    <s v="PAV"/>
    <s v="Maceió"/>
  </r>
  <r>
    <x v="0"/>
    <s v="316BAL1150"/>
    <n v="0"/>
    <x v="265"/>
    <s v="1150"/>
    <n v="-35.777402239721503"/>
    <n v="-9.5660395199078607"/>
    <n v="-35.7175475102093"/>
    <n v="-9.6154762501287703"/>
    <s v="316"/>
    <s v="AL"/>
    <s v="Eixo Principal"/>
    <s v="-"/>
    <s v="316BAL1150"/>
    <s v="ENTR BR-104 (TABULEIRO DO MARTINS)"/>
    <s v="ENTR BARRO DURO (MACEIÓ)"/>
    <n v="276.10000000000002"/>
    <n v="287.2"/>
    <n v="11.1"/>
    <x v="2"/>
    <m/>
    <m/>
    <s v="Convênio de Administração"/>
    <m/>
    <m/>
    <m/>
    <s v="Federal"/>
    <s v="PAV"/>
    <s v="Maceió"/>
  </r>
  <r>
    <x v="0"/>
    <s v="316BAL1170"/>
    <n v="0"/>
    <x v="265"/>
    <s v="1170"/>
    <n v="-35.7175475102093"/>
    <n v="-9.6154762501287703"/>
    <n v="-35.721698750197099"/>
    <n v="-9.6736925299862193"/>
    <s v="316"/>
    <s v="AL"/>
    <s v="Eixo Principal"/>
    <s v="-"/>
    <s v="316BAL1170"/>
    <s v="ENTR BARRO DURO (MACEIÓ)"/>
    <s v="ENTR BR-424/AL-101 (PORTO MACEIÓ)"/>
    <n v="287.2"/>
    <n v="294.10000000000002"/>
    <n v="6.9"/>
    <x v="1"/>
    <m/>
    <m/>
    <s v="Federal"/>
    <m/>
    <m/>
    <m/>
    <s v="Federal"/>
    <s v="PLA"/>
    <s v="Maceió"/>
  </r>
  <r>
    <x v="0"/>
    <s v="316BMA0240"/>
    <n v="0"/>
    <x v="266"/>
    <s v="0240"/>
    <n v="-46.316585719854999"/>
    <n v="-1.80092628002375"/>
    <n v="-45.966100629840099"/>
    <n v="-2.0379396303096602"/>
    <s v="316"/>
    <s v="MA"/>
    <s v="Eixo Principal"/>
    <s v="-"/>
    <s v="316BMA0240"/>
    <s v="DIV PA/MA (BOA VISTA DO GURUPÍ)"/>
    <s v="ENTR MA-306/206 (MARACAÇUMÉ)"/>
    <n v="0"/>
    <n v="54.7"/>
    <n v="54.7"/>
    <x v="2"/>
    <m/>
    <m/>
    <s v="Federal"/>
    <m/>
    <m/>
    <m/>
    <s v="Federal"/>
    <s v="PAV"/>
    <s v="Pedrinhas"/>
  </r>
  <r>
    <x v="0"/>
    <s v="316BMA0250"/>
    <n v="0"/>
    <x v="266"/>
    <s v="0250"/>
    <n v="-45.966100629840099"/>
    <n v="-2.0379396303096602"/>
    <n v="-45.885157509711199"/>
    <n v="-2.1344659195664799"/>
    <s v="316"/>
    <s v="MA"/>
    <s v="Eixo Principal"/>
    <s v="-"/>
    <s v="316BMA0250"/>
    <s v="ENTR MA-306/206 (MARACAÇUMÉ)"/>
    <s v="ENTR MA-106(B) (GOVERNADOR NUNES FREIRE)"/>
    <n v="54.7"/>
    <n v="67.599999999999994"/>
    <n v="12.9"/>
    <x v="2"/>
    <m/>
    <m/>
    <s v="Federal"/>
    <m/>
    <m/>
    <m/>
    <s v="Federal"/>
    <s v="PAV"/>
    <s v="Pedrinhas"/>
  </r>
  <r>
    <x v="0"/>
    <s v="316BMA0260"/>
    <n v="0"/>
    <x v="266"/>
    <s v="0260"/>
    <n v="-45.885157509711199"/>
    <n v="-2.1344659195664799"/>
    <n v="-45.784699229785502"/>
    <n v="-2.50932067021273"/>
    <s v="316"/>
    <s v="MA"/>
    <s v="Eixo Principal"/>
    <s v="-"/>
    <s v="316BMA0260"/>
    <s v="ENTR MA-106(B) (GOVERNADOR NUNES FREIRE)"/>
    <s v="SANTA LUZIA PARUA"/>
    <n v="67.599999999999994"/>
    <n v="110.6"/>
    <n v="43"/>
    <x v="2"/>
    <m/>
    <m/>
    <s v="Federal"/>
    <m/>
    <m/>
    <m/>
    <s v="Federal"/>
    <s v="PAV"/>
    <s v="Pedrinhas"/>
  </r>
  <r>
    <x v="0"/>
    <s v="316BMA0265"/>
    <n v="0"/>
    <x v="266"/>
    <s v="0265"/>
    <n v="-45.784699229785502"/>
    <n v="-2.50932067021273"/>
    <n v="-45.704170920151697"/>
    <n v="-2.80724618006712"/>
    <s v="316"/>
    <s v="MA"/>
    <s v="Eixo Principal"/>
    <s v="-"/>
    <s v="316BMA0265"/>
    <s v="SANTA LUZIA PARUA"/>
    <s v="NOVA OLINDA DO MARANHÃO"/>
    <n v="110.6"/>
    <n v="144.9"/>
    <n v="34.299999999999997"/>
    <x v="2"/>
    <m/>
    <m/>
    <s v="Federal"/>
    <m/>
    <m/>
    <m/>
    <s v="Federal"/>
    <s v="PAV"/>
    <s v="Pedrinhas"/>
  </r>
  <r>
    <x v="0"/>
    <s v="316BMA0270"/>
    <n v="0"/>
    <x v="266"/>
    <s v="0270"/>
    <n v="-45.704170920151697"/>
    <n v="-2.80724618006712"/>
    <n v="-45.649164460071702"/>
    <n v="-3.1939993795676802"/>
    <s v="316"/>
    <s v="MA"/>
    <s v="Eixo Principal"/>
    <s v="-"/>
    <s v="316BMA0270"/>
    <s v="NOVA OLINDA DO MARANHÃO"/>
    <s v="ENTR MA-006(A) (COCALINHO)"/>
    <n v="144.9"/>
    <n v="188.7"/>
    <n v="43.8"/>
    <x v="2"/>
    <m/>
    <m/>
    <s v="Federal"/>
    <m/>
    <m/>
    <m/>
    <s v="Federal"/>
    <s v="PAV"/>
    <s v="Pedrinhas"/>
  </r>
  <r>
    <x v="0"/>
    <s v="316BMA0280"/>
    <n v="0"/>
    <x v="266"/>
    <s v="0280"/>
    <n v="-45.649164460071702"/>
    <n v="-3.1939993795676802"/>
    <n v="-45.607251670328203"/>
    <n v="-3.5438664096070598"/>
    <s v="316"/>
    <s v="MA"/>
    <s v="Eixo Principal"/>
    <s v="-"/>
    <s v="316BMA0280"/>
    <s v="ENTR MA-006(A) (COCALINHO)"/>
    <s v="ENTR MA-216 (BOM JARDIM)"/>
    <n v="188.7"/>
    <n v="231"/>
    <n v="42.3"/>
    <x v="2"/>
    <m/>
    <m/>
    <s v="Federal"/>
    <m/>
    <m/>
    <m/>
    <s v="Federal"/>
    <s v="PAV"/>
    <s v="Pedrinhas"/>
  </r>
  <r>
    <x v="0"/>
    <s v="316BMA0282"/>
    <n v="0"/>
    <x v="266"/>
    <s v="0282"/>
    <n v="-45.607251670328203"/>
    <n v="-3.5438664096070598"/>
    <n v="-45.405877729673399"/>
    <n v="-3.6584846500464798"/>
    <s v="316"/>
    <s v="MA"/>
    <s v="Eixo Principal"/>
    <s v="-"/>
    <s v="316BMA0282"/>
    <s v="ENTR MA-216 (BOM JARDIM)"/>
    <s v="ENTR ACESSO OESTE SANTA INÊS"/>
    <n v="231"/>
    <n v="258.39999999999998"/>
    <n v="27.4"/>
    <x v="2"/>
    <m/>
    <m/>
    <s v="Federal"/>
    <m/>
    <m/>
    <m/>
    <s v="Federal"/>
    <s v="PAV"/>
    <s v="Pedrinhas"/>
  </r>
  <r>
    <x v="0"/>
    <s v="316BMA0285"/>
    <n v="0"/>
    <x v="266"/>
    <s v="0285"/>
    <n v="-45.405877729673399"/>
    <n v="-3.6584846500464798"/>
    <n v="-45.390411309634203"/>
    <n v="-3.6755002296518402"/>
    <s v="316"/>
    <s v="MA"/>
    <s v="Eixo Principal"/>
    <s v="-"/>
    <s v="316BMA0285"/>
    <s v="ENTR ACESSO OESTE SANTA INÊS"/>
    <s v="ENTR BR-222(A) (SANTA INÊS)"/>
    <n v="258.39999999999998"/>
    <n v="260.89999999999998"/>
    <n v="2.5"/>
    <x v="2"/>
    <m/>
    <m/>
    <s v="Federal"/>
    <m/>
    <m/>
    <m/>
    <s v="Federal"/>
    <s v="PAV"/>
    <s v="Pedrinhas"/>
  </r>
  <r>
    <x v="0"/>
    <s v="316BMA0290"/>
    <n v="0"/>
    <x v="266"/>
    <s v="0290"/>
    <n v="-45.390411309634203"/>
    <n v="-3.6755002296518402"/>
    <n v="-45.359950340235898"/>
    <n v="-3.6741156999794899"/>
    <s v="316"/>
    <s v="MA"/>
    <s v="Eixo Principal"/>
    <s v="Coinc"/>
    <s v="316BMA0290"/>
    <s v="ENTR BR-222(A) (SANTA INÊS)"/>
    <s v="ENTR ACESSO LESTE SANTA INÊS"/>
    <n v="260.89999999999998"/>
    <n v="264.39999999999998"/>
    <n v="3.5"/>
    <x v="2"/>
    <m/>
    <s v="222BMA0620"/>
    <s v="Federal"/>
    <m/>
    <m/>
    <m/>
    <s v="Federal"/>
    <s v="PAV"/>
    <s v="Pedrinhas"/>
  </r>
  <r>
    <x v="0"/>
    <s v="316BMA0295"/>
    <n v="0"/>
    <x v="266"/>
    <s v="0295"/>
    <n v="-45.307231410101402"/>
    <n v="-3.7063313797892699"/>
    <n v="-45.359950340235898"/>
    <n v="-3.6741156999794899"/>
    <s v="316"/>
    <s v="MA"/>
    <s v="Eixo Principal"/>
    <s v="Coinc"/>
    <s v="316BMA0295"/>
    <s v="ENTR ACESSO LESTE SANTA INÊS"/>
    <s v="ENTR BR-222(B) (ESTACA ZERO)"/>
    <n v="264.39999999999998"/>
    <n v="271.39999999999998"/>
    <n v="7"/>
    <x v="2"/>
    <m/>
    <s v="222BMA0610"/>
    <s v="Federal"/>
    <m/>
    <m/>
    <m/>
    <s v="Federal"/>
    <s v="PAV"/>
    <s v="Pedrinhas"/>
  </r>
  <r>
    <x v="0"/>
    <s v="316BMA0300"/>
    <n v="0"/>
    <x v="266"/>
    <s v="0300"/>
    <n v="-45.307231410101402"/>
    <n v="-3.7063313797892699"/>
    <n v="-45.169819640164199"/>
    <n v="-3.87965551978635"/>
    <s v="316"/>
    <s v="MA"/>
    <s v="Eixo Principal"/>
    <s v="-"/>
    <s v="316BMA0300"/>
    <s v="ENTR BR-222(B) (ESTACA ZERO)"/>
    <s v="INÍCIO DUPLICAÇÃO (PIO XII)"/>
    <n v="271.39999999999998"/>
    <n v="297.2"/>
    <n v="25.8"/>
    <x v="2"/>
    <m/>
    <m/>
    <s v="Federal"/>
    <m/>
    <m/>
    <m/>
    <s v="Federal"/>
    <s v="PAV"/>
    <s v="Pedrinhas"/>
  </r>
  <r>
    <x v="0"/>
    <s v="316BMA0302"/>
    <n v="0"/>
    <x v="266"/>
    <s v="0302"/>
    <n v="-45.169819640164199"/>
    <n v="-3.87965551978635"/>
    <n v="-45.162067789896497"/>
    <n v="-3.89773792016882"/>
    <s v="316"/>
    <s v="MA"/>
    <s v="Eixo Principal"/>
    <s v="-"/>
    <s v="316BMA0302"/>
    <s v="INÍCIO DUPLICAÇÃO (PIO XII)"/>
    <s v="FIM DUPLICAÇÃO (PIO XII)"/>
    <n v="297.2"/>
    <n v="299.39999999999998"/>
    <n v="2.2000000000000002"/>
    <x v="0"/>
    <m/>
    <m/>
    <s v="Federal"/>
    <m/>
    <m/>
    <m/>
    <s v="Federal"/>
    <s v="PAV"/>
    <s v="Pedrinhas"/>
  </r>
  <r>
    <x v="0"/>
    <s v="316BMA0306"/>
    <n v="0"/>
    <x v="266"/>
    <s v="0306"/>
    <n v="-45.162067789896497"/>
    <n v="-3.89773792016882"/>
    <n v="-45.067850429953303"/>
    <n v="-4.0696988498220303"/>
    <s v="316"/>
    <s v="MA"/>
    <s v="Eixo Principal"/>
    <s v="-"/>
    <s v="316BMA0306"/>
    <s v="FIM DUPLICAÇÃO (PIO XII)"/>
    <s v="ENTR MA-008 (ZÉ CHICÃO)"/>
    <n v="299.39999999999998"/>
    <n v="321.5"/>
    <n v="22.1"/>
    <x v="2"/>
    <m/>
    <m/>
    <s v="Federal"/>
    <m/>
    <m/>
    <m/>
    <s v="Federal"/>
    <s v="PAV"/>
    <s v="Pedrinhas"/>
  </r>
  <r>
    <x v="0"/>
    <s v="316BMA0310"/>
    <n v="0"/>
    <x v="266"/>
    <s v="0310"/>
    <n v="-45.067850429953303"/>
    <n v="-4.0696988498220303"/>
    <n v="-44.962520779710097"/>
    <n v="-4.17183872977352"/>
    <s v="316"/>
    <s v="MA"/>
    <s v="Eixo Principal"/>
    <s v="-"/>
    <s v="316BMA0310"/>
    <s v="ENTR MA-008 (ZÉ CHICÃO)"/>
    <s v="ENTR MA-326 (P/LAGO VERDE)"/>
    <n v="321.5"/>
    <n v="338.3"/>
    <n v="16.8"/>
    <x v="2"/>
    <m/>
    <m/>
    <s v="Federal"/>
    <m/>
    <m/>
    <m/>
    <s v="Federal"/>
    <s v="PAV"/>
    <s v="Caxias"/>
  </r>
  <r>
    <x v="0"/>
    <s v="316BMA0312"/>
    <n v="0"/>
    <x v="266"/>
    <s v="0312"/>
    <n v="-44.962520779710097"/>
    <n v="-4.17183872977352"/>
    <n v="-44.773386419647501"/>
    <n v="-4.2258340101313898"/>
    <s v="316"/>
    <s v="MA"/>
    <s v="Eixo Principal"/>
    <s v="-"/>
    <s v="316BMA0312"/>
    <s v="ENTR MA-326 (P/LAGO VERDE)"/>
    <s v="ENTR MA-245 (BACABAL (PONTE RIO MEARIM))"/>
    <n v="338.3"/>
    <n v="362.6"/>
    <n v="24.3"/>
    <x v="2"/>
    <m/>
    <m/>
    <s v="Federal"/>
    <m/>
    <m/>
    <m/>
    <s v="Federal"/>
    <s v="PAV"/>
    <s v="Caxias"/>
  </r>
  <r>
    <x v="0"/>
    <s v="316BMA0320"/>
    <n v="0"/>
    <x v="266"/>
    <s v="0320"/>
    <n v="-44.773386419647501"/>
    <n v="-4.2258340101313898"/>
    <n v="-44.652360849573398"/>
    <n v="-4.21245702996793"/>
    <s v="316"/>
    <s v="MA"/>
    <s v="Eixo Principal"/>
    <s v="-"/>
    <s v="316BMA0320"/>
    <s v="ENTR MA-245 (BACABAL (PONTE RIO MEARIM))"/>
    <s v="ENTR MA-247 (SANTO ANTÔNIO)"/>
    <n v="362.6"/>
    <n v="376.5"/>
    <n v="13.9"/>
    <x v="2"/>
    <m/>
    <m/>
    <s v="Federal"/>
    <m/>
    <m/>
    <m/>
    <s v="Federal"/>
    <s v="PAV"/>
    <s v="Caxias"/>
  </r>
  <r>
    <x v="3"/>
    <s v="316BMA0330"/>
    <s v="BR-135/316 MA"/>
    <x v="266"/>
    <s v="0330"/>
    <n v="-44.652360849573398"/>
    <n v="-4.21245702996793"/>
    <n v="-44.468869249716001"/>
    <n v="-4.1947917297544501"/>
    <s v="316"/>
    <s v="MA"/>
    <s v="Eixo Principal"/>
    <s v="-"/>
    <s v="316BMA0330"/>
    <s v="ENTR MA-247 (SANTO ANTÔNIO)"/>
    <s v="ENTR BR-135(A) (CACHUCHA)"/>
    <n v="376.5"/>
    <n v="398.7"/>
    <n v="22.2"/>
    <x v="2"/>
    <m/>
    <m/>
    <s v="Federal"/>
    <m/>
    <m/>
    <m/>
    <s v="Federal"/>
    <s v="PAV"/>
    <s v="Caxias"/>
  </r>
  <r>
    <x v="0"/>
    <s v="316BMA0340"/>
    <n v="0"/>
    <x v="266"/>
    <s v="0340"/>
    <n v="-44.468869249716001"/>
    <n v="-4.1947917297544501"/>
    <n v="-44.344779139945302"/>
    <n v="-4.3681063000656701"/>
    <s v="316"/>
    <s v="MA"/>
    <s v="Eixo Principal"/>
    <s v="Coinc"/>
    <s v="316BMA0340"/>
    <s v="ENTR BR-135(A) (CACHUCHA)"/>
    <s v="ENTR BR-135(B)/MA-020 (PERITORÓ)"/>
    <n v="398.7"/>
    <n v="423.7"/>
    <n v="25"/>
    <x v="2"/>
    <m/>
    <s v="135BMA0150"/>
    <s v="Federal"/>
    <m/>
    <m/>
    <m/>
    <s v="Federal"/>
    <s v="PAV"/>
    <s v="Caxias"/>
  </r>
  <r>
    <x v="3"/>
    <s v="316BMA0350"/>
    <s v="BR-135/316 MA"/>
    <x v="266"/>
    <s v="0350"/>
    <n v="-44.344779139945302"/>
    <n v="-4.3681063000656701"/>
    <n v="-43.993455239667497"/>
    <n v="-4.5583605696845098"/>
    <s v="316"/>
    <s v="MA"/>
    <s v="Eixo Principal"/>
    <s v="-"/>
    <s v="316BMA0350"/>
    <s v="ENTR BR-135(B)/MA-020 (PERITORÓ)"/>
    <s v="ENTR MA-026 (DEZESSETE)"/>
    <n v="423.7"/>
    <n v="468.5"/>
    <n v="44.8"/>
    <x v="2"/>
    <m/>
    <m/>
    <s v="Federal"/>
    <m/>
    <m/>
    <m/>
    <s v="Federal"/>
    <s v="PAV"/>
    <s v="Caxias"/>
  </r>
  <r>
    <x v="3"/>
    <s v="316BMA0360"/>
    <s v="BR-135/316 MA"/>
    <x v="266"/>
    <s v="0360"/>
    <n v="-43.993455239667497"/>
    <n v="-4.5583605696845098"/>
    <n v="-43.354384840288098"/>
    <n v="-4.8863812101246804"/>
    <s v="316"/>
    <s v="MA"/>
    <s v="Eixo Principal"/>
    <s v="-"/>
    <s v="316BMA0360"/>
    <s v="ENTR MA-026 (DEZESSETE)"/>
    <s v="ENTR MA-034(A)/127/349 (CAXIAS)"/>
    <n v="468.5"/>
    <n v="551.1"/>
    <n v="82.6"/>
    <x v="2"/>
    <m/>
    <m/>
    <s v="Federal"/>
    <m/>
    <m/>
    <m/>
    <s v="Federal"/>
    <s v="PAV"/>
    <s v="Caxias"/>
  </r>
  <r>
    <x v="3"/>
    <s v="316BMA0365"/>
    <s v="BR-135/316 MA"/>
    <x v="266"/>
    <s v="0365"/>
    <n v="-43.354384840288098"/>
    <n v="-4.8863812101246804"/>
    <n v="-43.335123620258699"/>
    <n v="-4.8760799895998099"/>
    <s v="316"/>
    <s v="MA"/>
    <s v="Eixo Principal"/>
    <s v="-"/>
    <s v="316BMA0365"/>
    <s v="ENTR MA-034(A)/127/349 (CAXIAS)"/>
    <s v="FIM DUPLICAÇÃO (CAXIAS)"/>
    <n v="551.1"/>
    <n v="553.6"/>
    <n v="2.5"/>
    <x v="2"/>
    <m/>
    <m/>
    <s v="Federal"/>
    <m/>
    <m/>
    <m/>
    <s v="Federal"/>
    <s v="PAV"/>
    <s v="Caxias"/>
  </r>
  <r>
    <x v="3"/>
    <s v="316BMA0371"/>
    <s v="BR-135/316 MA"/>
    <x v="266"/>
    <s v="0371"/>
    <n v="-43.335123620258699"/>
    <n v="-4.8760799895998099"/>
    <n v="-43.184967789631699"/>
    <n v="-4.9286589996131003"/>
    <s v="316"/>
    <s v="MA"/>
    <s v="Eixo Principal"/>
    <s v="-"/>
    <s v="316BMA0371"/>
    <s v="FIM DUPLICAÇÃO (CAXIAS)"/>
    <s v="ENTR MA-034(B) (P/COELHO NETO)"/>
    <n v="553.6"/>
    <n v="572.1"/>
    <n v="18.5"/>
    <x v="2"/>
    <m/>
    <m/>
    <s v="Federal"/>
    <m/>
    <m/>
    <m/>
    <s v="Federal"/>
    <s v="PAV"/>
    <s v="Caxias"/>
  </r>
  <r>
    <x v="3"/>
    <s v="316BMA0372"/>
    <s v="BR-135/316 MA"/>
    <x v="266"/>
    <s v="0372"/>
    <n v="-43.184967789631699"/>
    <n v="-4.9286589996131003"/>
    <n v="-42.840844000150398"/>
    <n v="-5.0821216895642403"/>
    <s v="316"/>
    <s v="MA"/>
    <s v="Eixo Principal"/>
    <s v="-"/>
    <s v="316BMA0372"/>
    <s v="ENTR MA-034(B) (P/COELHO NETO)"/>
    <s v="INÍCIO DUPLICAÇÃO"/>
    <n v="572.1"/>
    <n v="614.6"/>
    <n v="42.5"/>
    <x v="2"/>
    <m/>
    <m/>
    <s v="Federal"/>
    <m/>
    <m/>
    <m/>
    <s v="Federal"/>
    <s v="PAV"/>
    <s v="Caxias"/>
  </r>
  <r>
    <x v="3"/>
    <s v="316BMA0374"/>
    <s v="BR-135/316 MA"/>
    <x v="266"/>
    <s v="0374"/>
    <n v="-42.840844000150398"/>
    <n v="-5.0821216895642403"/>
    <n v="-42.829457959816899"/>
    <n v="-5.1004387401557096"/>
    <s v="316"/>
    <s v="MA"/>
    <s v="Eixo Principal"/>
    <s v="-"/>
    <s v="316BMA0374"/>
    <s v="INÍCIO DUPLICAÇÃO"/>
    <s v="ENTR AV. LUIS FIRMINO DE SOUSA (FIM DUPLICAÇÃO)"/>
    <n v="614.6"/>
    <n v="617"/>
    <n v="2.4"/>
    <x v="0"/>
    <m/>
    <m/>
    <s v="Federal"/>
    <m/>
    <m/>
    <m/>
    <s v="Federal"/>
    <s v="PAV"/>
    <s v="Caxias"/>
  </r>
  <r>
    <x v="0"/>
    <s v="316BMA0377"/>
    <n v="0"/>
    <x v="266"/>
    <s v="0377"/>
    <n v="-42.829457959816899"/>
    <n v="-5.1004387401557096"/>
    <n v="-42.820728559975002"/>
    <n v="-5.13089531007045"/>
    <s v="316"/>
    <s v="MA"/>
    <s v="Eixo Principal"/>
    <s v="-"/>
    <s v="316BMA0377"/>
    <s v="ENTR AV. LUIS FIRMINO DE SOUSA (FIM DUPLICAÇÃO)"/>
    <s v="ENTR BR-226(A)"/>
    <n v="617"/>
    <n v="620.5"/>
    <n v="3.5"/>
    <x v="2"/>
    <m/>
    <m/>
    <s v="Federal"/>
    <m/>
    <m/>
    <m/>
    <s v="Federal"/>
    <s v="PAV"/>
    <s v="Caxias"/>
  </r>
  <r>
    <x v="0"/>
    <s v="316BMA0380"/>
    <n v="0"/>
    <x v="266"/>
    <s v="0380"/>
    <n v="-42.820728559975002"/>
    <n v="-5.13089531007045"/>
    <n v="-42.815677929592702"/>
    <n v="-5.1311774903488701"/>
    <s v="316"/>
    <s v="MA"/>
    <s v="Eixo Principal"/>
    <s v="Coinc"/>
    <s v="316BMA0380"/>
    <s v="ENTR BR-226(A)"/>
    <s v="ENTR BR-226(B)/343(A) (DIV MA/PI) (TERESINA/TIMON)"/>
    <n v="620.5"/>
    <n v="621.1"/>
    <n v="0.6"/>
    <x v="2"/>
    <m/>
    <s v="226BMA0810"/>
    <s v="Federal"/>
    <m/>
    <m/>
    <m/>
    <s v="Federal"/>
    <s v="PAV"/>
    <s v="Caxias"/>
  </r>
  <r>
    <x v="0"/>
    <s v="316BPA0010"/>
    <n v="0"/>
    <x v="267"/>
    <s v="0010"/>
    <n v="-48.4358404299917"/>
    <n v="-1.4073436999517499"/>
    <n v="-48.424841869756399"/>
    <n v="-1.39873005994428"/>
    <s v="316"/>
    <s v="PA"/>
    <s v="Eixo Principal"/>
    <s v="Coinc"/>
    <s v="316BPA0010"/>
    <s v="ENTR BR-010(A)/308(A) (2º UNIT BELEM)"/>
    <s v="DIV MUN BELÉM/ANANINDEUA (ALAM M BONITA)"/>
    <n v="0"/>
    <n v="1.7"/>
    <n v="1.7"/>
    <x v="0"/>
    <m/>
    <s v="010BPA0970;308BPA0010"/>
    <s v="Convênio de Administração"/>
    <m/>
    <m/>
    <m/>
    <s v="Federal"/>
    <s v="PAV"/>
    <s v="Capanema"/>
  </r>
  <r>
    <x v="0"/>
    <s v="316BPA0020"/>
    <n v="0"/>
    <x v="267"/>
    <s v="0020"/>
    <n v="-48.424841869756399"/>
    <n v="-1.39873005994428"/>
    <n v="-48.362370050137599"/>
    <n v="-1.3658630398473399"/>
    <s v="316"/>
    <s v="PA"/>
    <s v="Eixo Principal"/>
    <s v="Coinc"/>
    <s v="316BPA0020"/>
    <s v="DIV MUN BELÉM/ANANINDEUA (ALAM M BONITA)"/>
    <s v="ACESSO ALÇA VIÁRIA"/>
    <n v="1.7"/>
    <n v="9.6"/>
    <n v="7.9"/>
    <x v="0"/>
    <m/>
    <s v="308BPA0020;010BPA0940"/>
    <s v="Convênio de Administração"/>
    <m/>
    <m/>
    <m/>
    <s v="Federal"/>
    <s v="PAV"/>
    <s v="Capanema"/>
  </r>
  <r>
    <x v="0"/>
    <s v="316BPA0030"/>
    <n v="0"/>
    <x v="267"/>
    <s v="0030"/>
    <n v="-48.362370050137599"/>
    <n v="-1.3658630398473399"/>
    <n v="-48.287546890276701"/>
    <n v="-1.3646369401426399"/>
    <s v="316"/>
    <s v="PA"/>
    <s v="Eixo Principal"/>
    <s v="Coinc"/>
    <s v="316BPA0030"/>
    <s v="ACESSO ALÇA VIÁRIA"/>
    <s v="ENTR PA-404 (P/BENFICA)"/>
    <n v="9.6"/>
    <n v="18"/>
    <n v="8.4"/>
    <x v="0"/>
    <m/>
    <s v="010BPA0930;308BPA0030"/>
    <s v="Convênio de Administração"/>
    <m/>
    <m/>
    <m/>
    <s v="Federal"/>
    <s v="PAV"/>
    <s v="Capanema"/>
  </r>
  <r>
    <x v="0"/>
    <s v="316BPA0040"/>
    <n v="0"/>
    <x v="267"/>
    <s v="0040"/>
    <n v="-48.287546890276701"/>
    <n v="-1.3646369401426399"/>
    <n v="-48.266670639838097"/>
    <n v="-1.3642523999282601"/>
    <s v="316"/>
    <s v="PA"/>
    <s v="Eixo Principal"/>
    <s v="Coinc"/>
    <s v="316BPA0040"/>
    <s v="ENTR PA-404 (P/BENFICA)"/>
    <s v="ENTR PA-406 (CANUTAMA)"/>
    <n v="18"/>
    <n v="20.399999999999999"/>
    <n v="2.4"/>
    <x v="0"/>
    <m/>
    <s v="308BPA0040;010BPA0910"/>
    <s v="Federal"/>
    <m/>
    <m/>
    <m/>
    <s v="Federal"/>
    <s v="PAV"/>
    <s v="Capanema"/>
  </r>
  <r>
    <x v="0"/>
    <s v="316BPA0050"/>
    <n v="0"/>
    <x v="267"/>
    <s v="0050"/>
    <n v="-48.266670639838097"/>
    <n v="-1.3642523999282601"/>
    <n v="-48.244883660352599"/>
    <n v="-1.34114699993404"/>
    <s v="316"/>
    <s v="PA"/>
    <s v="Eixo Principal"/>
    <s v="Coinc"/>
    <s v="316BPA0050"/>
    <s v="ENTR PA-406 (CANUTAMA)"/>
    <s v="ENTR PA-391 (P/BENEVIDES)"/>
    <n v="20.399999999999999"/>
    <n v="23.9"/>
    <n v="3.5"/>
    <x v="0"/>
    <m/>
    <s v="010BPA0890;308BPA0050"/>
    <s v="Federal"/>
    <m/>
    <m/>
    <m/>
    <s v="Federal"/>
    <s v="PAV"/>
    <s v="Capanema"/>
  </r>
  <r>
    <x v="0"/>
    <s v="316BPA0060"/>
    <n v="0"/>
    <x v="267"/>
    <s v="0060"/>
    <n v="-48.244883660352599"/>
    <n v="-1.34114699993404"/>
    <n v="-48.233221350085202"/>
    <n v="-1.3264817301476901"/>
    <s v="316"/>
    <s v="PA"/>
    <s v="Eixo Principal"/>
    <s v="Coinc"/>
    <s v="316BPA0060"/>
    <s v="ENTR PA-391 (P/BENEVIDES)"/>
    <s v="ENTR PA-406 (CAJUEIRO)"/>
    <n v="23.9"/>
    <n v="25.9"/>
    <n v="2"/>
    <x v="0"/>
    <m/>
    <s v="308BPA0060;010BPA0870"/>
    <s v="Federal"/>
    <m/>
    <m/>
    <m/>
    <s v="Federal"/>
    <s v="PAV"/>
    <s v="Capanema"/>
  </r>
  <r>
    <x v="0"/>
    <s v="316BPA0070"/>
    <n v="0"/>
    <x v="267"/>
    <s v="0070"/>
    <n v="-48.233221350085202"/>
    <n v="-1.3264817301476901"/>
    <n v="-48.155209490125699"/>
    <n v="-1.2897627401582601"/>
    <s v="316"/>
    <s v="PA"/>
    <s v="Eixo Principal"/>
    <s v="Coinc"/>
    <s v="316BPA0070"/>
    <s v="ENTR PA-406 (CAJUEIRO)"/>
    <s v="ENTR PA-140 (SANTA IZABEL DO PARÁ)"/>
    <n v="25.9"/>
    <n v="36.1"/>
    <n v="10.199999999999999"/>
    <x v="0"/>
    <m/>
    <s v="010BPA0850;308BPA0070"/>
    <s v="Federal"/>
    <m/>
    <m/>
    <m/>
    <s v="Federal"/>
    <s v="PAV"/>
    <s v="Capanema"/>
  </r>
  <r>
    <x v="0"/>
    <s v="316BPA0080"/>
    <n v="0"/>
    <x v="267"/>
    <s v="0080"/>
    <n v="-48.155209490125699"/>
    <n v="-1.2897627401582601"/>
    <n v="-48.057498989786403"/>
    <n v="-1.29031798968344"/>
    <s v="316"/>
    <s v="PA"/>
    <s v="Eixo Principal"/>
    <s v="Coinc"/>
    <s v="316BPA0080"/>
    <s v="ENTR PA-140 (SANTA IZABEL DO PARÁ)"/>
    <s v="ACESSO AMERICANO II"/>
    <n v="36.1"/>
    <n v="47.8"/>
    <n v="11.7"/>
    <x v="0"/>
    <m/>
    <s v="010BPA0830;308BPA0080"/>
    <s v="Federal"/>
    <m/>
    <m/>
    <m/>
    <s v="Federal"/>
    <s v="PAV"/>
    <s v="Capanema"/>
  </r>
  <r>
    <x v="0"/>
    <s v="316BPA0090"/>
    <n v="0"/>
    <x v="267"/>
    <s v="0090"/>
    <n v="-48.057498989786403"/>
    <n v="-1.29031798968344"/>
    <n v="-48.039251259837698"/>
    <n v="-1.30695194017982"/>
    <s v="316"/>
    <s v="PA"/>
    <s v="Eixo Principal"/>
    <s v="Coinc"/>
    <s v="316BPA0090"/>
    <s v="ACESSO AMERICANO II"/>
    <s v="ACESSO AMERICANO I"/>
    <n v="47.8"/>
    <n v="50.5"/>
    <n v="2.7"/>
    <x v="0"/>
    <m/>
    <s v="010BPA0810;308BPA0090"/>
    <s v="Federal"/>
    <m/>
    <m/>
    <m/>
    <s v="Federal"/>
    <s v="PAV"/>
    <s v="Capanema"/>
  </r>
  <r>
    <x v="0"/>
    <s v="316BPA0100"/>
    <n v="0"/>
    <x v="267"/>
    <s v="0100"/>
    <n v="-48.039251259837698"/>
    <n v="-1.30695194017982"/>
    <n v="-47.918950810431497"/>
    <n v="-1.2962455696772399"/>
    <s v="316"/>
    <s v="PA"/>
    <s v="Eixo Principal"/>
    <s v="Coinc"/>
    <s v="316BPA0100"/>
    <s v="ACESSO AMERICANO I"/>
    <s v="ENTR PA-136/320 (CASTANHAL)"/>
    <n v="50.5"/>
    <n v="64.099999999999994"/>
    <n v="13.6"/>
    <x v="0"/>
    <m/>
    <s v="010BPA0790;308BPA0100"/>
    <s v="Federal"/>
    <m/>
    <m/>
    <m/>
    <s v="Federal"/>
    <s v="PAV"/>
    <s v="Capanema"/>
  </r>
  <r>
    <x v="0"/>
    <s v="316BPA0105"/>
    <n v="0"/>
    <x v="267"/>
    <s v="0105"/>
    <n v="-47.918950810431497"/>
    <n v="-1.2962455696772399"/>
    <n v="-47.887399129765903"/>
    <n v="-1.29461574991688"/>
    <s v="316"/>
    <s v="PA"/>
    <s v="Eixo Principal"/>
    <s v="Coinc"/>
    <s v="316BPA0105"/>
    <s v="ENTR PA-136/320 (CASTANHAL)"/>
    <s v="FIM PISTA DUPLA"/>
    <n v="64.099999999999994"/>
    <n v="67.599999999999994"/>
    <n v="3.5"/>
    <x v="0"/>
    <m/>
    <s v="010BPA0780;308BPA0105"/>
    <s v="Federal"/>
    <m/>
    <m/>
    <m/>
    <s v="Federal"/>
    <s v="PAV"/>
    <s v="Capanema"/>
  </r>
  <r>
    <x v="0"/>
    <s v="316BPA0110"/>
    <n v="0"/>
    <x v="267"/>
    <s v="0110"/>
    <n v="-47.887399129765903"/>
    <n v="-1.29461574991688"/>
    <n v="-47.779755430368702"/>
    <n v="-1.3040598796596901"/>
    <s v="316"/>
    <s v="PA"/>
    <s v="Eixo Principal"/>
    <s v="Coinc"/>
    <s v="316BPA0110"/>
    <s v="FIM PISTA DUPLA"/>
    <s v="ENTR PA-127(A) (BARRO BRANCO)"/>
    <n v="67.599999999999994"/>
    <n v="80"/>
    <n v="12.4"/>
    <x v="2"/>
    <m/>
    <s v="010BPA0770;308BPA0110"/>
    <s v="Federal"/>
    <m/>
    <m/>
    <m/>
    <s v="Federal"/>
    <s v="PAV"/>
    <s v="Capanema"/>
  </r>
  <r>
    <x v="0"/>
    <s v="316BPA0120"/>
    <n v="0"/>
    <x v="267"/>
    <s v="0120"/>
    <n v="-47.779755430368702"/>
    <n v="-1.3040598796596901"/>
    <n v="-47.728935620182703"/>
    <n v="-1.31296585958671"/>
    <s v="316"/>
    <s v="PA"/>
    <s v="Eixo Principal"/>
    <s v="Coinc"/>
    <s v="316BPA0120"/>
    <s v="ENTR PA-127(A) (BARRO BRANCO)"/>
    <s v="ENTR PA-127(B) (P/IGARAPÉ AÇU)"/>
    <n v="80"/>
    <n v="85.8"/>
    <n v="5.8"/>
    <x v="2"/>
    <m/>
    <s v="308BPA0120;010BPA0750"/>
    <s v="Federal"/>
    <m/>
    <m/>
    <m/>
    <s v="Federal"/>
    <s v="PAV"/>
    <s v="Capanema"/>
  </r>
  <r>
    <x v="0"/>
    <s v="316BPA0130"/>
    <n v="0"/>
    <x v="267"/>
    <s v="0130"/>
    <n v="-47.728935620182703"/>
    <n v="-1.31296585958671"/>
    <n v="-47.645253690305502"/>
    <n v="-1.32770564989579"/>
    <s v="316"/>
    <s v="PA"/>
    <s v="Eixo Principal"/>
    <s v="Coinc"/>
    <s v="316BPA0130"/>
    <s v="ENTR PA-127(B) (P/IGARAPÉ AÇU)"/>
    <s v="ENTR PA-424 (P/COLÔNIA DO PRATA)"/>
    <n v="85.8"/>
    <n v="95.3"/>
    <n v="9.5"/>
    <x v="2"/>
    <m/>
    <s v="308BPA0130;010BPA0730"/>
    <s v="Federal"/>
    <m/>
    <m/>
    <m/>
    <s v="Federal"/>
    <s v="PAV"/>
    <s v="Capanema"/>
  </r>
  <r>
    <x v="0"/>
    <s v="316BPA0140"/>
    <n v="0"/>
    <x v="267"/>
    <s v="0140"/>
    <n v="-47.645253690305502"/>
    <n v="-1.32770564989579"/>
    <n v="-47.5821997296337"/>
    <n v="-1.33893420005324"/>
    <s v="316"/>
    <s v="PA"/>
    <s v="Eixo Principal"/>
    <s v="Coinc"/>
    <s v="316BPA0140"/>
    <s v="ENTR PA-424 (P/COLÔNIA DO PRATA)"/>
    <s v="ENTR BR-010(B) (P/SANTA MARIA DO PARÁ)"/>
    <n v="95.3"/>
    <n v="102.5"/>
    <n v="7.2"/>
    <x v="2"/>
    <m/>
    <s v="308BPA0140;010BPA0710"/>
    <s v="Federal"/>
    <m/>
    <m/>
    <m/>
    <s v="Federal"/>
    <s v="PAV"/>
    <s v="Capanema"/>
  </r>
  <r>
    <x v="0"/>
    <s v="316BPA0150"/>
    <n v="0"/>
    <x v="267"/>
    <s v="0150"/>
    <n v="-47.5821997296337"/>
    <n v="-1.33893420005324"/>
    <n v="-47.513969720026502"/>
    <n v="-1.31749083983032"/>
    <s v="316"/>
    <s v="PA"/>
    <s v="Eixo Principal"/>
    <s v="Coinc"/>
    <s v="316BPA0150"/>
    <s v="ENTR BR-010(B) (P/SANTA MARIA DO PARÁ)"/>
    <s v="ENTR PA-324 (P/SALINÓPOLIS)"/>
    <n v="102.5"/>
    <n v="110.9"/>
    <n v="8.4"/>
    <x v="2"/>
    <m/>
    <s v="308BPA0150"/>
    <s v="Federal"/>
    <m/>
    <m/>
    <m/>
    <s v="Federal"/>
    <s v="PAV"/>
    <s v="Capanema"/>
  </r>
  <r>
    <x v="0"/>
    <s v="316BPA0160"/>
    <n v="0"/>
    <x v="267"/>
    <s v="0160"/>
    <n v="-47.513969720026502"/>
    <n v="-1.31749083983032"/>
    <n v="-47.367889050339301"/>
    <n v="-1.2941872499415501"/>
    <s v="316"/>
    <s v="PA"/>
    <s v="Eixo Principal"/>
    <s v="Coinc"/>
    <s v="316BPA0160"/>
    <s v="ENTR PA-324 (P/SALINÓPOLIS)"/>
    <s v="ENTR PA-380 (P/BONITO)"/>
    <n v="110.9"/>
    <n v="128"/>
    <n v="17.100000000000001"/>
    <x v="2"/>
    <m/>
    <s v="308BPA0160"/>
    <s v="Federal"/>
    <m/>
    <m/>
    <m/>
    <s v="Federal"/>
    <s v="PAV"/>
    <s v="Capanema"/>
  </r>
  <r>
    <x v="0"/>
    <s v="316BPA0170"/>
    <n v="0"/>
    <x v="267"/>
    <s v="0170"/>
    <n v="-47.367889050339301"/>
    <n v="-1.2941872499415501"/>
    <n v="-47.268867209853703"/>
    <n v="-1.2624632196018399"/>
    <s v="316"/>
    <s v="PA"/>
    <s v="Eixo Principal"/>
    <s v="Coinc"/>
    <s v="316BPA0170"/>
    <s v="ENTR PA-380 (P/BONITO)"/>
    <s v="ENTR PA-436 (P/BOA ESPERANÇA)"/>
    <n v="128"/>
    <n v="139.80000000000001"/>
    <n v="11.8"/>
    <x v="2"/>
    <m/>
    <s v="308BPA0170"/>
    <s v="Federal"/>
    <m/>
    <m/>
    <m/>
    <s v="Federal"/>
    <s v="PAV"/>
    <s v="Capanema"/>
  </r>
  <r>
    <x v="0"/>
    <s v="316BPA0180"/>
    <n v="0"/>
    <x v="267"/>
    <s v="0180"/>
    <n v="-47.268867209853703"/>
    <n v="-1.2624632196018399"/>
    <n v="-47.1846679395737"/>
    <n v="-1.21250999973665"/>
    <s v="316"/>
    <s v="PA"/>
    <s v="Eixo Principal"/>
    <s v="Coinc"/>
    <s v="316BPA0180"/>
    <s v="ENTR PA-436 (P/BOA ESPERANÇA)"/>
    <s v="ENTR BR-308(A)/PA-124/242 (CAPANEMA)"/>
    <n v="139.80000000000001"/>
    <n v="150.69999999999999"/>
    <n v="10.9"/>
    <x v="2"/>
    <m/>
    <s v="308BPA0180"/>
    <s v="Federal"/>
    <m/>
    <m/>
    <m/>
    <s v="Federal"/>
    <s v="PAV"/>
    <s v="Capanema"/>
  </r>
  <r>
    <x v="0"/>
    <s v="316BPA0190"/>
    <n v="0"/>
    <x v="267"/>
    <s v="0190"/>
    <n v="-47.1846679395737"/>
    <n v="-1.21250999973665"/>
    <n v="-47.009512100003299"/>
    <n v="-1.4025911696467099"/>
    <s v="316"/>
    <s v="PA"/>
    <s v="Eixo Principal"/>
    <s v="-"/>
    <s v="316BPA0190"/>
    <s v="ENTR BR-308(A)/PA-124/242 (CAPANEMA)"/>
    <s v="ENTR PA-251/378 (P/OURÉM)"/>
    <n v="150.69999999999999"/>
    <n v="179.5"/>
    <n v="28.8"/>
    <x v="2"/>
    <m/>
    <m/>
    <s v="Federal"/>
    <m/>
    <m/>
    <m/>
    <s v="Federal"/>
    <s v="PAV"/>
    <s v="Capanema"/>
  </r>
  <r>
    <x v="0"/>
    <s v="316BPA0200"/>
    <n v="0"/>
    <x v="267"/>
    <s v="0200"/>
    <n v="-47.009512100003299"/>
    <n v="-1.4025911696467099"/>
    <n v="-46.869257529911003"/>
    <n v="-1.55734597044011"/>
    <s v="316"/>
    <s v="PA"/>
    <s v="Eixo Principal"/>
    <s v="-"/>
    <s v="316BPA0200"/>
    <s v="ENTR PA-251/378 (P/OURÉM)"/>
    <s v="ENTR PA-112 (P/BRAGANÇA)"/>
    <n v="179.5"/>
    <n v="202.7"/>
    <n v="23.2"/>
    <x v="2"/>
    <m/>
    <m/>
    <s v="Federal"/>
    <m/>
    <m/>
    <m/>
    <s v="Federal"/>
    <s v="PAV"/>
    <s v="Capanema"/>
  </r>
  <r>
    <x v="0"/>
    <s v="316BPA0210"/>
    <n v="0"/>
    <x v="267"/>
    <s v="0210"/>
    <n v="-46.869257529911003"/>
    <n v="-1.55734597044011"/>
    <n v="-46.7140380503157"/>
    <n v="-1.6821456902713401"/>
    <s v="316"/>
    <s v="PA"/>
    <s v="Eixo Principal"/>
    <s v="-"/>
    <s v="316BPA0210"/>
    <s v="ENTR PA-112 (P/BRAGANÇA)"/>
    <s v="ENTR PA-108/253 (P/CAPITÃO POÇO)"/>
    <n v="202.7"/>
    <n v="225.2"/>
    <n v="22.5"/>
    <x v="2"/>
    <m/>
    <m/>
    <s v="Federal"/>
    <m/>
    <m/>
    <m/>
    <s v="Federal"/>
    <s v="PAV"/>
    <s v="Capanema"/>
  </r>
  <r>
    <x v="0"/>
    <s v="316BPA0220"/>
    <n v="0"/>
    <x v="267"/>
    <s v="0220"/>
    <n v="-46.7140380503157"/>
    <n v="-1.6821456902713401"/>
    <n v="-46.449645510331997"/>
    <n v="-1.80641688033472"/>
    <s v="316"/>
    <s v="PA"/>
    <s v="Eixo Principal"/>
    <s v="-"/>
    <s v="316BPA0220"/>
    <s v="ENTR PA-108/253 (P/CAPITÃO POÇO)"/>
    <s v="ENTR PA-102 (P/VISEU)"/>
    <n v="225.2"/>
    <n v="257.89999999999998"/>
    <n v="32.700000000000003"/>
    <x v="2"/>
    <m/>
    <m/>
    <s v="Federal"/>
    <m/>
    <m/>
    <m/>
    <s v="Federal"/>
    <s v="PAV"/>
    <s v="Capanema"/>
  </r>
  <r>
    <x v="0"/>
    <s v="316BPA0230"/>
    <n v="0"/>
    <x v="267"/>
    <s v="0230"/>
    <n v="-46.449645510331997"/>
    <n v="-1.80641688033472"/>
    <n v="-46.316585719854999"/>
    <n v="-1.80092628002375"/>
    <s v="316"/>
    <s v="PA"/>
    <s v="Eixo Principal"/>
    <s v="-"/>
    <s v="316BPA0230"/>
    <s v="ENTR PA-102 (P/VISEU)"/>
    <s v="DIV PA/MA (ALTO BONITO)"/>
    <n v="257.89999999999998"/>
    <n v="274"/>
    <n v="16.100000000000001"/>
    <x v="2"/>
    <m/>
    <m/>
    <s v="Federal"/>
    <m/>
    <m/>
    <m/>
    <s v="Federal"/>
    <s v="PAV"/>
    <s v="Capanema"/>
  </r>
  <r>
    <x v="0"/>
    <s v="316BPE0570"/>
    <n v="0"/>
    <x v="268"/>
    <s v="0570"/>
    <n v="-40.661268069565701"/>
    <n v="-7.4461280402767898"/>
    <n v="-40.531909420083601"/>
    <n v="-7.5627706897155296"/>
    <s v="316"/>
    <s v="PE"/>
    <s v="Eixo Principal"/>
    <s v="-"/>
    <s v="316BPE0570"/>
    <s v="DIV PI/PE"/>
    <s v="ENTR PE-585 (P/SERROLÂNDIA)"/>
    <n v="0"/>
    <n v="20.399999999999999"/>
    <n v="20.399999999999999"/>
    <x v="2"/>
    <m/>
    <m/>
    <s v="Federal"/>
    <m/>
    <m/>
    <m/>
    <s v="Federal"/>
    <s v="PAV"/>
    <s v="Salgueiro"/>
  </r>
  <r>
    <x v="0"/>
    <s v="316BPE0590"/>
    <n v="0"/>
    <x v="268"/>
    <s v="0590"/>
    <n v="-40.531909420083601"/>
    <n v="-7.5627706897155296"/>
    <n v="-40.506500639592701"/>
    <n v="-7.5825679101808401"/>
    <s v="316"/>
    <s v="PE"/>
    <s v="Eixo Principal"/>
    <s v="-"/>
    <s v="316BPE0590"/>
    <s v="ENTR PE-585 (P/SERROLÂNDIA)"/>
    <s v="ENTR R. COELHO RODRIGUES (ARARIPINA)"/>
    <n v="20.399999999999999"/>
    <n v="24"/>
    <n v="3.6"/>
    <x v="2"/>
    <m/>
    <m/>
    <s v="Federal"/>
    <m/>
    <m/>
    <m/>
    <s v="Federal"/>
    <s v="PAV"/>
    <s v="Salgueiro"/>
  </r>
  <r>
    <x v="0"/>
    <s v="316BPE0610"/>
    <n v="0"/>
    <x v="268"/>
    <s v="0610"/>
    <n v="-40.506500639592701"/>
    <n v="-7.5825679101808401"/>
    <n v="-40.262212200232703"/>
    <n v="-7.7590605497045404"/>
    <s v="316"/>
    <s v="PE"/>
    <s v="Eixo Principal"/>
    <s v="-"/>
    <s v="316BPE0610"/>
    <s v="ENTR R. COELHO RODRIGUES (ARARIPINA)"/>
    <s v="ENTR PE-630 (TRINDADE)"/>
    <n v="24"/>
    <n v="58.7"/>
    <n v="34.700000000000003"/>
    <x v="2"/>
    <m/>
    <m/>
    <s v="Federal"/>
    <m/>
    <m/>
    <m/>
    <s v="Federal"/>
    <s v="PAV"/>
    <s v="Salgueiro"/>
  </r>
  <r>
    <x v="0"/>
    <s v="316BPE0620"/>
    <n v="0"/>
    <x v="268"/>
    <s v="0620"/>
    <n v="-40.262212200232703"/>
    <n v="-7.7590605497045404"/>
    <n v="-40.171181669798102"/>
    <n v="-7.8131741502667698"/>
    <s v="316"/>
    <s v="PE"/>
    <s v="Eixo Principal"/>
    <s v="-"/>
    <s v="316BPE0620"/>
    <s v="ENTR PE-630 (TRINDADE)"/>
    <s v="ENTR PE-590 (P/IPUBÍ)"/>
    <n v="58.7"/>
    <n v="71.2"/>
    <n v="12.5"/>
    <x v="2"/>
    <m/>
    <m/>
    <s v="Federal"/>
    <m/>
    <m/>
    <m/>
    <s v="Federal"/>
    <s v="PAV"/>
    <s v="Salgueiro"/>
  </r>
  <r>
    <x v="0"/>
    <s v="316BPE0630"/>
    <n v="0"/>
    <x v="268"/>
    <s v="0630"/>
    <n v="-40.171181669798102"/>
    <n v="-7.8131741502667698"/>
    <n v="-40.078130860050997"/>
    <n v="-7.8783682500946304"/>
    <s v="316"/>
    <s v="PE"/>
    <s v="Eixo Principal"/>
    <s v="-"/>
    <s v="316BPE0630"/>
    <s v="ENTR PE-590 (P/IPUBÍ)"/>
    <s v="ENTR BR-122 (OURICURÍ)"/>
    <n v="71.2"/>
    <n v="83.9"/>
    <n v="12.7"/>
    <x v="2"/>
    <m/>
    <m/>
    <s v="Federal"/>
    <m/>
    <m/>
    <m/>
    <s v="Federal"/>
    <s v="PAV"/>
    <s v="Salgueiro"/>
  </r>
  <r>
    <x v="0"/>
    <s v="316BPE0650"/>
    <n v="0"/>
    <x v="268"/>
    <s v="0650"/>
    <n v="-40.078130860050997"/>
    <n v="-7.8783682500946304"/>
    <n v="-39.605114820292599"/>
    <n v="-8.0847212899554908"/>
    <s v="316"/>
    <s v="PE"/>
    <s v="Eixo Principal"/>
    <s v="-"/>
    <s v="316BPE0650"/>
    <s v="ENTR BR-122 (OURICURÍ)"/>
    <s v="ENTR PE-555"/>
    <n v="83.9"/>
    <n v="141.4"/>
    <n v="57.5"/>
    <x v="2"/>
    <m/>
    <m/>
    <s v="Federal"/>
    <m/>
    <m/>
    <m/>
    <s v="Federal"/>
    <s v="PAV"/>
    <s v="Salgueiro"/>
  </r>
  <r>
    <x v="0"/>
    <s v="316BPE0660"/>
    <n v="0"/>
    <x v="268"/>
    <s v="0660"/>
    <n v="-39.605114820292599"/>
    <n v="-8.0847212899554908"/>
    <n v="-39.576830679692002"/>
    <n v="-8.0948180999752708"/>
    <s v="316"/>
    <s v="PE"/>
    <s v="Eixo Principal"/>
    <s v="-"/>
    <s v="316BPE0660"/>
    <s v="ENTR PE-555"/>
    <s v="ENTR BR-232 (PARNAMIRIM)"/>
    <n v="141.4"/>
    <n v="144.9"/>
    <n v="3.5"/>
    <x v="2"/>
    <m/>
    <m/>
    <s v="Federal"/>
    <m/>
    <m/>
    <m/>
    <s v="Federal"/>
    <s v="PAV"/>
    <s v="Salgueiro"/>
  </r>
  <r>
    <x v="0"/>
    <s v="316BPE0670"/>
    <n v="0"/>
    <x v="268"/>
    <s v="0670"/>
    <n v="-39.576830679692002"/>
    <n v="-8.0948180999752708"/>
    <n v="-39.473585687629303"/>
    <n v="-8.2389742960268606"/>
    <s v="316"/>
    <s v="PE"/>
    <s v="Eixo Principal"/>
    <s v="-"/>
    <s v="316BPE0670"/>
    <s v="ENTR BR-232 (PARNAMIRIM)"/>
    <s v="ENTR PE-483"/>
    <n v="144.9"/>
    <n v="167.7"/>
    <n v="22.8"/>
    <x v="1"/>
    <m/>
    <m/>
    <s v="Federal"/>
    <m/>
    <m/>
    <m/>
    <s v="Federal"/>
    <s v="PLA"/>
    <s v="Salgueiro"/>
  </r>
  <r>
    <x v="0"/>
    <s v="316BPE0680"/>
    <n v="0"/>
    <x v="268"/>
    <s v="0680"/>
    <n v="-39.473585687629303"/>
    <n v="-8.2389742960268606"/>
    <n v="-39.312602210223702"/>
    <n v="-8.5074817101127493"/>
    <s v="316"/>
    <s v="PE"/>
    <s v="Eixo Principal"/>
    <s v="-"/>
    <s v="316BPE0680"/>
    <s v="ENTR PE-483"/>
    <s v="ENTR BR-428(A) (CABROBÓ)"/>
    <n v="167.7"/>
    <n v="207.7"/>
    <n v="40"/>
    <x v="1"/>
    <m/>
    <m/>
    <s v="Federal"/>
    <m/>
    <m/>
    <m/>
    <s v="Federal"/>
    <s v="PLA"/>
    <s v="Salgueiro"/>
  </r>
  <r>
    <x v="0"/>
    <s v="316BPE0690"/>
    <n v="0"/>
    <x v="268"/>
    <s v="0690"/>
    <n v="-39.312602210223702"/>
    <n v="-8.5074817101127493"/>
    <n v="-39.2261571601247"/>
    <n v="-8.5482523896360405"/>
    <s v="316"/>
    <s v="PE"/>
    <s v="Eixo Principal"/>
    <s v="-"/>
    <s v="316BPE0690"/>
    <s v="ENTR BR-428(A) (CABROBÓ)"/>
    <s v="ENTR BR-116/428(B)"/>
    <n v="207.7"/>
    <n v="218.3"/>
    <n v="10.6"/>
    <x v="2"/>
    <m/>
    <s v="428BPE0010"/>
    <s v="Federal"/>
    <m/>
    <m/>
    <m/>
    <s v="Federal"/>
    <s v="PAV"/>
    <s v="Salgueiro"/>
  </r>
  <r>
    <x v="0"/>
    <s v="316BPE0710"/>
    <n v="0"/>
    <x v="268"/>
    <s v="0710"/>
    <n v="-39.2261571601247"/>
    <n v="-8.5482523896360405"/>
    <n v="-38.971397579634498"/>
    <n v="-8.67755432966851"/>
    <s v="316"/>
    <s v="PE"/>
    <s v="Eixo Principal"/>
    <s v="-"/>
    <s v="316BPE0710"/>
    <s v="ENTR BR-116/428(B)"/>
    <s v="ENTR PE-460(A)"/>
    <n v="218.3"/>
    <n v="249.9"/>
    <n v="31.6"/>
    <x v="2"/>
    <m/>
    <m/>
    <s v="Federal"/>
    <m/>
    <m/>
    <m/>
    <s v="Federal"/>
    <s v="PAV"/>
    <s v="Salgueiro"/>
  </r>
  <r>
    <x v="0"/>
    <s v="316BPE0720"/>
    <n v="0"/>
    <x v="268"/>
    <s v="0720"/>
    <n v="-38.971397579634498"/>
    <n v="-8.67755432966851"/>
    <n v="-38.9586649700123"/>
    <n v="-8.7494587200438296"/>
    <s v="316"/>
    <s v="PE"/>
    <s v="Eixo Principal"/>
    <s v="-"/>
    <s v="316BPE0720"/>
    <s v="ENTR PE-460(A)"/>
    <s v="ENTR PE-460(B) (BELÉM DO SÃO FRANCISCO)"/>
    <n v="249.9"/>
    <n v="258"/>
    <n v="8.1"/>
    <x v="2"/>
    <m/>
    <m/>
    <s v="Federal"/>
    <m/>
    <m/>
    <m/>
    <s v="Federal"/>
    <s v="PAV"/>
    <s v="Salgueiro"/>
  </r>
  <r>
    <x v="0"/>
    <s v="316BPE0725"/>
    <n v="0"/>
    <x v="268"/>
    <s v="0725"/>
    <n v="-38.9586649700123"/>
    <n v="-8.7494587200438296"/>
    <n v="-38.743183389601697"/>
    <n v="-8.66021535025817"/>
    <s v="316"/>
    <s v="PE"/>
    <s v="Eixo Principal"/>
    <s v="-"/>
    <s v="316BPE0725"/>
    <s v="ENTR PE-460(B) (BELÉM DO SÃO FRANCISCO)"/>
    <s v="ENTR PE-422 (P/ITACURUBA)"/>
    <n v="258"/>
    <n v="283.8"/>
    <n v="25.8"/>
    <x v="2"/>
    <m/>
    <m/>
    <s v="Federal"/>
    <m/>
    <m/>
    <m/>
    <s v="Federal"/>
    <s v="PAV"/>
    <s v="Salgueiro"/>
  </r>
  <r>
    <x v="0"/>
    <s v="316BPE0730"/>
    <n v="0"/>
    <x v="268"/>
    <s v="0730"/>
    <n v="-38.743183389601697"/>
    <n v="-8.66021535025817"/>
    <n v="-38.566278120438803"/>
    <n v="-8.6080097099800792"/>
    <s v="316"/>
    <s v="PE"/>
    <s v="Eixo Principal"/>
    <s v="-"/>
    <s v="316BPE0730"/>
    <s v="ENTR PE-422 (P/ITACURUBA)"/>
    <s v="ENTR PE-360 (FLORESTA)"/>
    <n v="283.8"/>
    <n v="304.39999999999998"/>
    <n v="20.6"/>
    <x v="2"/>
    <m/>
    <m/>
    <s v="Federal"/>
    <m/>
    <m/>
    <m/>
    <s v="Federal"/>
    <s v="PAV"/>
    <s v="Salgueiro"/>
  </r>
  <r>
    <x v="0"/>
    <s v="316BPE0750"/>
    <n v="0"/>
    <x v="268"/>
    <s v="0750"/>
    <n v="-38.566278120438803"/>
    <n v="-8.6080097099800792"/>
    <n v="-38.214895280392803"/>
    <n v="-9.0009703504012997"/>
    <s v="316"/>
    <s v="PE"/>
    <s v="Eixo Principal"/>
    <s v="-"/>
    <s v="316BPE0750"/>
    <s v="ENTR PE-360 (FLORESTA)"/>
    <s v="ENTR BR-110(A)"/>
    <n v="304.39999999999998"/>
    <n v="369.5"/>
    <n v="65.099999999999994"/>
    <x v="2"/>
    <m/>
    <m/>
    <s v="Federal"/>
    <m/>
    <m/>
    <m/>
    <s v="Federal"/>
    <s v="PAV"/>
    <s v="Salgueiro"/>
  </r>
  <r>
    <x v="0"/>
    <s v="316BPE0770"/>
    <n v="0"/>
    <x v="268"/>
    <s v="0770"/>
    <n v="-38.214895280392803"/>
    <n v="-9.0009703504012997"/>
    <n v="-38.173052230376001"/>
    <n v="-8.9640737200261302"/>
    <s v="316"/>
    <s v="PE"/>
    <s v="Eixo Principal"/>
    <s v="Coinc"/>
    <s v="316BPE0770"/>
    <s v="ENTR BR-110(A)"/>
    <s v="ACESSO A PETROLÂNDIA"/>
    <n v="369.5"/>
    <n v="372.7"/>
    <n v="3.2"/>
    <x v="5"/>
    <m/>
    <s v="110BPE0460"/>
    <s v="Federal"/>
    <m/>
    <m/>
    <m/>
    <s v="Federal"/>
    <s v="N_PAV"/>
    <s v="Salgueiro"/>
  </r>
  <r>
    <x v="0"/>
    <s v="316BPE0780"/>
    <n v="0"/>
    <x v="268"/>
    <s v="0780"/>
    <n v="-37.916567199816299"/>
    <n v="-8.7355582103430702"/>
    <n v="-38.173052230376001"/>
    <n v="-8.9640737200261302"/>
    <s v="316"/>
    <s v="PE"/>
    <s v="Eixo Principal"/>
    <s v="Coinc"/>
    <s v="316BPE0780"/>
    <s v="ACESSO A PETROLÂNDIA"/>
    <s v="ENTR BR-110(B)/PE-355 (HOTEL DO PEBA)"/>
    <n v="372.7"/>
    <n v="410.9"/>
    <n v="38.200000000000003"/>
    <x v="5"/>
    <m/>
    <s v="110BPE0450"/>
    <s v="Federal"/>
    <m/>
    <m/>
    <m/>
    <s v="Federal"/>
    <s v="N_PAV"/>
    <s v="Salgueiro"/>
  </r>
  <r>
    <x v="0"/>
    <s v="316BPE0790"/>
    <n v="0"/>
    <x v="268"/>
    <s v="0790"/>
    <n v="-37.916567199816299"/>
    <n v="-8.7355582103430702"/>
    <n v="-37.834065059954497"/>
    <n v="-8.8956728500219793"/>
    <s v="316"/>
    <s v="PE"/>
    <s v="Eixo Principal"/>
    <s v="-"/>
    <s v="316BPE0790"/>
    <s v="ENTR BR-110(B)/PE-355 (HOTEL DO PEBA)"/>
    <s v="ENTR PE-345 (INAJÁ)"/>
    <n v="410.9"/>
    <n v="432.3"/>
    <n v="21.4"/>
    <x v="5"/>
    <m/>
    <m/>
    <s v="Federal"/>
    <m/>
    <m/>
    <m/>
    <s v="Federal"/>
    <s v="N_PAV"/>
    <s v="Salgueiro"/>
  </r>
  <r>
    <x v="0"/>
    <s v="316BPE0810"/>
    <n v="0"/>
    <x v="268"/>
    <s v="0810"/>
    <n v="-37.834065059954497"/>
    <n v="-8.8956728500219793"/>
    <n v="-37.827635820136898"/>
    <n v="-8.9169922503920098"/>
    <s v="316"/>
    <s v="PE"/>
    <s v="Eixo Principal"/>
    <s v="-"/>
    <s v="316BPE0810"/>
    <s v="ENTR PE-345 (INAJÁ)"/>
    <s v="DIV PE/AL"/>
    <n v="432.3"/>
    <n v="434.7"/>
    <n v="2.4"/>
    <x v="2"/>
    <m/>
    <m/>
    <s v="Federal"/>
    <m/>
    <m/>
    <m/>
    <s v="Federal"/>
    <s v="PAV"/>
    <s v="Salgueiro"/>
  </r>
  <r>
    <x v="0"/>
    <s v="316BPI0390"/>
    <n v="0"/>
    <x v="269"/>
    <s v="0390"/>
    <n v="-42.815677929592702"/>
    <n v="-5.1311774903488701"/>
    <n v="-42.810573419927302"/>
    <n v="-5.12993270003403"/>
    <s v="316"/>
    <s v="PI"/>
    <s v="Eixo Principal"/>
    <s v="Coinc"/>
    <s v="316BPI0390"/>
    <s v="ENTR BR-226(A) (DIV MA/PI) (TIMON) (INÍCIO DA PONTE RIO PARNAÍBA)"/>
    <s v="FIM DA PONTE RIO PARNAÍBA"/>
    <n v="0"/>
    <n v="0.6"/>
    <n v="0.6"/>
    <x v="2"/>
    <m/>
    <s v="226BPI0800"/>
    <s v="Federal"/>
    <m/>
    <m/>
    <m/>
    <s v="Federal"/>
    <s v="PAV"/>
    <s v="Piripiri"/>
  </r>
  <r>
    <x v="0"/>
    <s v="316BPI0395"/>
    <n v="0"/>
    <x v="269"/>
    <s v="0395"/>
    <n v="-42.810573419927302"/>
    <n v="-5.12993270003403"/>
    <n v="-42.7993320697191"/>
    <n v="-5.1252910003793204"/>
    <s v="316"/>
    <s v="PI"/>
    <s v="Eixo Principal"/>
    <s v="Coinc"/>
    <s v="316BPI0395"/>
    <s v="FIM DA PONTE RIO PARNAÍBA"/>
    <s v="ENTR PI-130 (TERESINA)"/>
    <n v="0.6"/>
    <n v="1.9"/>
    <n v="1.3"/>
    <x v="2"/>
    <m/>
    <s v="226BPI0795"/>
    <s v="Federal"/>
    <m/>
    <m/>
    <m/>
    <s v="Federal"/>
    <s v="PAV"/>
    <s v="Piripiri"/>
  </r>
  <r>
    <x v="0"/>
    <s v="316BPI0400"/>
    <n v="0"/>
    <x v="269"/>
    <s v="0400"/>
    <n v="-42.7993320697191"/>
    <n v="-5.1252910003793204"/>
    <n v="-42.794929610413099"/>
    <n v="-5.12321786970886"/>
    <s v="316"/>
    <s v="PI"/>
    <s v="Eixo Principal"/>
    <s v="Coinc"/>
    <s v="316BPI0400"/>
    <s v="ENTR PI-130 (TERESINA)"/>
    <s v="ENTR BR-226(B)/343(A)"/>
    <n v="1.9"/>
    <n v="2.4"/>
    <n v="0.5"/>
    <x v="0"/>
    <m/>
    <s v="226BPI0790"/>
    <s v="Federal"/>
    <m/>
    <m/>
    <m/>
    <s v="Federal"/>
    <s v="PAV"/>
    <s v="Piripiri"/>
  </r>
  <r>
    <x v="0"/>
    <s v="316BPI0410"/>
    <n v="0"/>
    <x v="269"/>
    <s v="0410"/>
    <n v="-42.794929610413099"/>
    <n v="-5.12321786970886"/>
    <n v="-42.772269470159799"/>
    <n v="-5.1540455997246104"/>
    <s v="316"/>
    <s v="PI"/>
    <s v="Eixo Principal"/>
    <s v="-"/>
    <s v="316BPI0410"/>
    <s v="ENTR BR-226(B)/343(A)"/>
    <s v="FIM DA PISTA DUPLA"/>
    <n v="2.4"/>
    <n v="6.8"/>
    <n v="4.4000000000000004"/>
    <x v="0"/>
    <m/>
    <s v="343BPI0214"/>
    <s v="Federal"/>
    <m/>
    <m/>
    <m/>
    <s v="Federal"/>
    <s v="PAV"/>
    <s v="Piripiri"/>
  </r>
  <r>
    <x v="0"/>
    <s v="316BPI0412"/>
    <n v="0"/>
    <x v="269"/>
    <s v="0412"/>
    <n v="-42.772269470159799"/>
    <n v="-5.1540455997246104"/>
    <n v="-42.753061419848599"/>
    <n v="-5.2168178603559401"/>
    <s v="316"/>
    <s v="PI"/>
    <s v="Eixo Principal"/>
    <s v="-"/>
    <s v="316BPI0412"/>
    <s v="FIM DA PISTA DUPLA"/>
    <s v="FIM DAS OBRAS DE DUPLICAÇÃO"/>
    <n v="6.8"/>
    <n v="13.8"/>
    <n v="7"/>
    <x v="2"/>
    <s v="EOD"/>
    <s v="343BPI0215"/>
    <s v="Federal"/>
    <m/>
    <m/>
    <m/>
    <s v="Federal"/>
    <s v="PAV"/>
    <s v="Piripiri"/>
  </r>
  <r>
    <x v="0"/>
    <s v="316BPI0415"/>
    <n v="0"/>
    <x v="269"/>
    <s v="0415"/>
    <n v="-42.753061419848599"/>
    <n v="-5.2168178603559401"/>
    <n v="-42.681951000438197"/>
    <n v="-5.3469685301734504"/>
    <s v="316"/>
    <s v="PI"/>
    <s v="Eixo Principal"/>
    <s v="-"/>
    <s v="316BPI0415"/>
    <s v="FIM DAS OBRAS DE DUPLICAÇÃO"/>
    <s v="ESTÁDIO MUNICIPAL (DEMERVAL LOBÃO) "/>
    <n v="13.8"/>
    <n v="32.799999999999997"/>
    <n v="19"/>
    <x v="2"/>
    <m/>
    <s v="343BPI0216"/>
    <s v="Federal"/>
    <m/>
    <m/>
    <m/>
    <s v="Federal"/>
    <s v="PAV"/>
    <s v="Piripiri"/>
  </r>
  <r>
    <x v="0"/>
    <s v="316BPI0420"/>
    <n v="0"/>
    <x v="269"/>
    <s v="0420"/>
    <n v="-42.681951000438197"/>
    <n v="-5.3469685301734504"/>
    <n v="-42.612609890134202"/>
    <n v="-5.5610160003880598"/>
    <s v="316"/>
    <s v="PI"/>
    <s v="Eixo Principal"/>
    <s v="-"/>
    <s v="316BPI0420"/>
    <s v="ESTÁDIO MUNICIPAL (DEMERVAL LOBÃO) "/>
    <s v="ENTR PI-223 (MONSENHOR GIL)"/>
    <n v="32.799999999999997"/>
    <n v="58.4"/>
    <n v="25.6"/>
    <x v="2"/>
    <m/>
    <s v="343BPI0218"/>
    <s v="Federal"/>
    <m/>
    <m/>
    <m/>
    <s v="Federal"/>
    <s v="PAV"/>
    <s v="Piripiri"/>
  </r>
  <r>
    <x v="0"/>
    <s v="316BPI0425"/>
    <n v="0"/>
    <x v="269"/>
    <s v="0425"/>
    <n v="-42.612609890134202"/>
    <n v="-5.5610160003880598"/>
    <n v="-42.605658950000397"/>
    <n v="-5.7228672498236497"/>
    <s v="316"/>
    <s v="PI"/>
    <s v="Eixo Principal"/>
    <s v="-"/>
    <s v="316BPI0425"/>
    <s v="ENTR PI-223 (MONSENHOR GIL)"/>
    <s v="ENTR PI-232 (BAIXÃO)"/>
    <n v="58.4"/>
    <n v="77.5"/>
    <n v="19.100000000000001"/>
    <x v="2"/>
    <m/>
    <s v="343BPI0220"/>
    <s v="Federal"/>
    <m/>
    <m/>
    <m/>
    <s v="Federal"/>
    <s v="PAV"/>
    <s v="Piripiri"/>
  </r>
  <r>
    <x v="0"/>
    <s v="316BPI0430"/>
    <n v="0"/>
    <x v="269"/>
    <s v="0430"/>
    <n v="-42.605658950000397"/>
    <n v="-5.7228672498236497"/>
    <n v="-42.610754839663997"/>
    <n v="-5.7647569800505396"/>
    <s v="316"/>
    <s v="PI"/>
    <s v="Eixo Principal"/>
    <s v="-"/>
    <s v="316BPI0430"/>
    <s v="ENTR PI-232 (BAIXÃO)"/>
    <s v="ENTR BR-343(B) (ESTACA ZERO)"/>
    <n v="77.5"/>
    <n v="82.9"/>
    <n v="5.4"/>
    <x v="2"/>
    <m/>
    <s v="343BPI0225"/>
    <s v="Federal"/>
    <m/>
    <m/>
    <m/>
    <s v="Federal"/>
    <s v="PAV"/>
    <s v="Piripiri"/>
  </r>
  <r>
    <x v="0"/>
    <s v="316BPI0435"/>
    <n v="0"/>
    <x v="269"/>
    <s v="0435"/>
    <n v="-42.610754839663997"/>
    <n v="-5.7647569800505396"/>
    <n v="-42.374080350327802"/>
    <n v="-5.9387372995866397"/>
    <s v="316"/>
    <s v="PI"/>
    <s v="Eixo Principal"/>
    <s v="-"/>
    <s v="316BPI0435"/>
    <s v="ENTR BR-343(B) (ESTACA ZERO)"/>
    <s v="ENTR PI-225 (SÃO MIGUEL DA BAIXA GRANDE)"/>
    <n v="82.9"/>
    <n v="117.9"/>
    <n v="35"/>
    <x v="2"/>
    <m/>
    <m/>
    <s v="Federal"/>
    <m/>
    <m/>
    <m/>
    <s v="Federal"/>
    <s v="PAV"/>
    <s v="Picos"/>
  </r>
  <r>
    <x v="0"/>
    <s v="316BPI0440"/>
    <n v="0"/>
    <x v="269"/>
    <s v="0440"/>
    <n v="-42.374080350327802"/>
    <n v="-5.9387372995866397"/>
    <n v="-42.1210191997761"/>
    <n v="-6.1884700601451001"/>
    <s v="316"/>
    <s v="PI"/>
    <s v="Eixo Principal"/>
    <s v="-"/>
    <s v="316BPI0440"/>
    <s v="ENTR PI-225 (SÃO MIGUEL DA BAIXA GRANDE)"/>
    <s v="ENTR PI-224 (P/ELESBÃO VELOSO)"/>
    <n v="117.9"/>
    <n v="159.5"/>
    <n v="41.6"/>
    <x v="2"/>
    <m/>
    <m/>
    <s v="Federal"/>
    <m/>
    <m/>
    <m/>
    <s v="Federal"/>
    <s v="PAV"/>
    <s v="Picos"/>
  </r>
  <r>
    <x v="0"/>
    <s v="316BPI0445"/>
    <n v="0"/>
    <x v="269"/>
    <s v="0445"/>
    <n v="-42.1210191997761"/>
    <n v="-6.1884700601451001"/>
    <n v="-41.992718049598203"/>
    <n v="-6.2270144697419596"/>
    <s v="316"/>
    <s v="PI"/>
    <s v="Eixo Principal"/>
    <s v="-"/>
    <s v="316BPI0445"/>
    <s v="ENTR PI-224 (P/ELESBÃO VELOSO)"/>
    <s v="ENTR PI-386"/>
    <n v="159.5"/>
    <n v="176.1"/>
    <n v="16.600000000000001"/>
    <x v="2"/>
    <m/>
    <m/>
    <s v="Federal"/>
    <m/>
    <m/>
    <m/>
    <s v="Federal"/>
    <s v="PAV"/>
    <s v="Picos"/>
  </r>
  <r>
    <x v="0"/>
    <s v="316BPI0450"/>
    <n v="0"/>
    <x v="269"/>
    <s v="0450"/>
    <n v="-41.992718049598203"/>
    <n v="-6.2270144697419596"/>
    <n v="-41.844966380194201"/>
    <n v="-6.3135123100450397"/>
    <s v="316"/>
    <s v="PI"/>
    <s v="Eixo Principal"/>
    <s v="-"/>
    <s v="316BPI0450"/>
    <s v="ENTR PI-386"/>
    <s v="ENTR PI-237"/>
    <n v="176.1"/>
    <n v="197.9"/>
    <n v="21.8"/>
    <x v="2"/>
    <m/>
    <m/>
    <s v="Federal"/>
    <m/>
    <m/>
    <m/>
    <s v="Federal"/>
    <s v="PAV"/>
    <s v="Picos"/>
  </r>
  <r>
    <x v="0"/>
    <s v="316BPI0455"/>
    <n v="0"/>
    <x v="269"/>
    <s v="0455"/>
    <n v="-41.844966380194201"/>
    <n v="-6.3135123100450397"/>
    <n v="-41.759021349555603"/>
    <n v="-6.3921407802727597"/>
    <s v="316"/>
    <s v="PI"/>
    <s v="Eixo Principal"/>
    <s v="-"/>
    <s v="316BPI0455"/>
    <s v="ENTR PI-237"/>
    <s v="ENTR PI-120(A)"/>
    <n v="197.9"/>
    <n v="210.9"/>
    <n v="13"/>
    <x v="2"/>
    <m/>
    <m/>
    <s v="Federal"/>
    <m/>
    <m/>
    <m/>
    <s v="Federal"/>
    <s v="PAV"/>
    <s v="Picos"/>
  </r>
  <r>
    <x v="0"/>
    <s v="316BPI0460"/>
    <n v="0"/>
    <x v="269"/>
    <s v="0460"/>
    <n v="-41.759021349555603"/>
    <n v="-6.3921407802727597"/>
    <n v="-41.750577540221201"/>
    <n v="-6.4319436103093004"/>
    <s v="316"/>
    <s v="PI"/>
    <s v="Eixo Principal"/>
    <s v="-"/>
    <s v="316BPI0460"/>
    <s v="ENTR PI-120(A)"/>
    <s v="ENTR PI-120(B) (VALENÇA DO PIAUI)"/>
    <n v="210.9"/>
    <n v="215.4"/>
    <n v="4.5"/>
    <x v="2"/>
    <m/>
    <m/>
    <s v="Federal"/>
    <m/>
    <m/>
    <m/>
    <s v="Federal"/>
    <s v="PAV"/>
    <s v="Picos"/>
  </r>
  <r>
    <x v="0"/>
    <s v="316BPI0465"/>
    <n v="0"/>
    <x v="269"/>
    <s v="0465"/>
    <n v="-41.750577540221201"/>
    <n v="-6.4319436103093004"/>
    <n v="-41.717939359813499"/>
    <n v="-6.6682582197410003"/>
    <s v="316"/>
    <s v="PI"/>
    <s v="Eixo Principal"/>
    <s v="-"/>
    <s v="316BPI0465"/>
    <s v="ENTR PI-120(B) (VALENÇA DO PIAUI)"/>
    <s v="ENTR PI-227 (INHUMA)"/>
    <n v="215.4"/>
    <n v="241.8"/>
    <n v="26.4"/>
    <x v="2"/>
    <m/>
    <m/>
    <s v="Federal"/>
    <m/>
    <m/>
    <m/>
    <s v="Federal"/>
    <s v="PAV"/>
    <s v="Picos"/>
  </r>
  <r>
    <x v="0"/>
    <s v="316BPI0470"/>
    <n v="0"/>
    <x v="269"/>
    <s v="0470"/>
    <n v="-41.717939359813499"/>
    <n v="-6.6682582197410003"/>
    <n v="-41.743040500218797"/>
    <n v="-6.9403069895758396"/>
    <s v="316"/>
    <s v="PI"/>
    <s v="Eixo Principal"/>
    <s v="-"/>
    <s v="316BPI0470"/>
    <s v="ENTR PI-227 (INHUMA)"/>
    <s v="ENTR BR-230(A) (GATURIANO)"/>
    <n v="241.8"/>
    <n v="272.7"/>
    <n v="30.9"/>
    <x v="2"/>
    <m/>
    <m/>
    <s v="Federal"/>
    <m/>
    <m/>
    <m/>
    <s v="Federal"/>
    <s v="PAV"/>
    <s v="Picos"/>
  </r>
  <r>
    <x v="0"/>
    <s v="316BPI0475"/>
    <n v="0"/>
    <x v="269"/>
    <s v="0475"/>
    <n v="-41.743040500218797"/>
    <n v="-6.9403069895758396"/>
    <n v="-41.7175581803657"/>
    <n v="-6.9559908602899396"/>
    <s v="316"/>
    <s v="PI"/>
    <s v="Eixo Principal"/>
    <s v="Coinc"/>
    <s v="316BPI0475"/>
    <s v="ENTR BR-230(A) (GATURIANO)"/>
    <s v="ENTR PI-242"/>
    <n v="272.7"/>
    <n v="276.2"/>
    <n v="3.5"/>
    <x v="2"/>
    <m/>
    <s v="230BPI0840"/>
    <s v="Federal"/>
    <m/>
    <m/>
    <m/>
    <s v="Federal"/>
    <s v="PAV"/>
    <s v="Picos"/>
  </r>
  <r>
    <x v="0"/>
    <s v="316BPI0480"/>
    <n v="0"/>
    <x v="269"/>
    <s v="0480"/>
    <n v="-41.7175581803657"/>
    <n v="-6.9559908602899396"/>
    <n v="-41.467607079702901"/>
    <n v="-7.07566095958554"/>
    <s v="316"/>
    <s v="PI"/>
    <s v="Eixo Principal"/>
    <s v="Coinc"/>
    <s v="316BPI0480"/>
    <s v="ENTR PI-242"/>
    <s v="ENTR BR-407(A)/PI-238/245(A) (PICOS)"/>
    <n v="276.2"/>
    <n v="310.8"/>
    <n v="34.6"/>
    <x v="2"/>
    <m/>
    <s v="230BPI0830"/>
    <s v="Federal"/>
    <m/>
    <m/>
    <m/>
    <s v="Federal"/>
    <s v="PAV"/>
    <s v="Picos"/>
  </r>
  <r>
    <x v="0"/>
    <s v="316BPI0490"/>
    <n v="0"/>
    <x v="269"/>
    <s v="0490"/>
    <n v="-41.467607079702901"/>
    <n v="-7.07566095958554"/>
    <n v="-41.433255510033703"/>
    <n v="-7.0793327799837504"/>
    <s v="316"/>
    <s v="PI"/>
    <s v="Eixo Principal"/>
    <s v="Coinc"/>
    <s v="316BPI0490"/>
    <s v="ENTR BR-407(A)/PI-238/245(A) (PICOS)"/>
    <s v="ENTR BR-407(B)/PI-245(B)"/>
    <n v="310.8"/>
    <n v="314.89999999999998"/>
    <n v="4.0999999999999996"/>
    <x v="2"/>
    <m/>
    <s v="407BPI0130;230BPI0810"/>
    <s v="Federal"/>
    <m/>
    <m/>
    <m/>
    <s v="Federal"/>
    <s v="PAV"/>
    <s v="Picos"/>
  </r>
  <r>
    <x v="0"/>
    <s v="316BPI0510"/>
    <n v="0"/>
    <x v="269"/>
    <s v="0510"/>
    <n v="-41.433255510033703"/>
    <n v="-7.0793327799837504"/>
    <n v="-41.270149409567502"/>
    <n v="-7.1068711703681497"/>
    <s v="316"/>
    <s v="PI"/>
    <s v="Eixo Principal"/>
    <s v="Coinc"/>
    <s v="316BPI0510"/>
    <s v="ENTR BR-407(B)/PI-245(B)"/>
    <s v="ENTR BR-020"/>
    <n v="314.89999999999998"/>
    <n v="333.2"/>
    <n v="18.3"/>
    <x v="2"/>
    <m/>
    <s v="230BPI0790"/>
    <s v="Federal"/>
    <m/>
    <m/>
    <m/>
    <s v="Federal"/>
    <s v="PAV"/>
    <s v="Picos"/>
  </r>
  <r>
    <x v="0"/>
    <s v="316BPI0530"/>
    <n v="0"/>
    <x v="269"/>
    <s v="0530"/>
    <n v="-41.270149409567502"/>
    <n v="-7.1068711703681497"/>
    <n v="-41.147386200013102"/>
    <n v="-7.1204232098631897"/>
    <s v="316"/>
    <s v="PI"/>
    <s v="Eixo Principal"/>
    <s v="Coinc"/>
    <s v="316BPI0530"/>
    <s v="ENTR BR-020"/>
    <s v="ENTR PI-228"/>
    <n v="333.2"/>
    <n v="346.9"/>
    <n v="13.7"/>
    <x v="2"/>
    <m/>
    <s v="230BPI0780"/>
    <s v="Federal"/>
    <m/>
    <m/>
    <m/>
    <s v="Federal"/>
    <s v="PAV"/>
    <s v="Picos"/>
  </r>
  <r>
    <x v="0"/>
    <s v="316BPI0535"/>
    <n v="0"/>
    <x v="269"/>
    <s v="0535"/>
    <n v="-41.147386200013102"/>
    <n v="-7.1204232098631897"/>
    <n v="-41.037991859636499"/>
    <n v="-7.13242021991715"/>
    <s v="316"/>
    <s v="PI"/>
    <s v="Eixo Principal"/>
    <s v="Coinc"/>
    <s v="316BPI0535"/>
    <s v="ENTR PI-228"/>
    <s v="ENTR PI-229"/>
    <n v="346.9"/>
    <n v="359"/>
    <n v="12.1"/>
    <x v="2"/>
    <m/>
    <s v="230BPI0775"/>
    <s v="Federal"/>
    <m/>
    <m/>
    <m/>
    <s v="Federal"/>
    <s v="PAV"/>
    <s v="Picos"/>
  </r>
  <r>
    <x v="0"/>
    <s v="316BPI0540"/>
    <n v="0"/>
    <x v="269"/>
    <s v="0540"/>
    <n v="-41.037991859636499"/>
    <n v="-7.13242021991715"/>
    <n v="-40.9210011096134"/>
    <n v="-7.1469166302982199"/>
    <s v="316"/>
    <s v="PI"/>
    <s v="Eixo Principal"/>
    <s v="Coinc"/>
    <s v="316BPI0540"/>
    <s v="ENTR PI-229"/>
    <s v="ENTR BR-230(B)"/>
    <n v="359"/>
    <n v="372.1"/>
    <n v="13.1"/>
    <x v="2"/>
    <m/>
    <s v="230BPI0770"/>
    <s v="Federal"/>
    <m/>
    <m/>
    <m/>
    <s v="Federal"/>
    <s v="PAV"/>
    <s v="Picos"/>
  </r>
  <r>
    <x v="0"/>
    <s v="316BPI0550"/>
    <n v="0"/>
    <x v="269"/>
    <s v="0550"/>
    <n v="-40.9210011096134"/>
    <n v="-7.1469166302982199"/>
    <n v="-40.661268069565701"/>
    <n v="-7.4461280402767898"/>
    <s v="316"/>
    <s v="PI"/>
    <s v="Eixo Principal"/>
    <s v="-"/>
    <s v="316BPI0550"/>
    <s v="ENTR BR-230(B)"/>
    <s v="DIV PI/PE"/>
    <n v="372.1"/>
    <n v="417.8"/>
    <n v="45.7"/>
    <x v="2"/>
    <m/>
    <m/>
    <s v="Federal"/>
    <m/>
    <m/>
    <m/>
    <s v="Federal"/>
    <s v="PAV"/>
    <s v="Picos"/>
  </r>
  <r>
    <x v="0"/>
    <s v="316CMA1005"/>
    <n v="0"/>
    <x v="270"/>
    <s v="1005"/>
    <n v="-42.889556800405899"/>
    <n v="-5.0624833999888699"/>
    <n v="-42.874128040376704"/>
    <n v="-5.1328530100583398"/>
    <s v="316"/>
    <s v="MA"/>
    <s v="Contorno"/>
    <s v="-"/>
    <s v="316CMA1005"/>
    <s v="ENTR BR-316 (KM 609)"/>
    <s v="ENTR BR-226 (CONTORNO DE TIMON)"/>
    <n v="0"/>
    <n v="7.8"/>
    <n v="7.8"/>
    <x v="1"/>
    <m/>
    <m/>
    <s v="Federal"/>
    <m/>
    <m/>
    <m/>
    <s v="Federal"/>
    <s v="PLA"/>
    <s v="Caxias"/>
  </r>
  <r>
    <x v="0"/>
    <s v="316CMA1010"/>
    <n v="0"/>
    <x v="270"/>
    <s v="1010"/>
    <n v="-42.874128040376704"/>
    <n v="-5.1328530100583398"/>
    <n v="-42.820728559975002"/>
    <n v="-5.13089531007045"/>
    <s v="316"/>
    <s v="MA"/>
    <s v="Contorno"/>
    <s v="Coinc"/>
    <s v="316CMA1010"/>
    <s v="ENTR BR-226 (CONTORNO DE TIMON)"/>
    <s v="ENTR BR-226/316 (CONTORNO DE TIMON)"/>
    <n v="7.8"/>
    <n v="14.2"/>
    <n v="6.4"/>
    <x v="5"/>
    <m/>
    <s v="226BMA0812"/>
    <m/>
    <s v="MP082/2005"/>
    <m/>
    <m/>
    <m/>
    <s v="N_PAV"/>
    <s v="Caxias"/>
  </r>
  <r>
    <x v="0"/>
    <s v="316UMA1005"/>
    <n v="0"/>
    <x v="271"/>
    <s v="1005"/>
    <n v="-45.405877729673399"/>
    <n v="-3.6584846500464798"/>
    <n v="-45.382734780285801"/>
    <n v="-3.6647803099632998"/>
    <s v="316"/>
    <s v="MA"/>
    <s v="Travessia Urbana"/>
    <s v="-"/>
    <s v="316UMA1005"/>
    <s v="ENTR BR-316 (KM 260,9)"/>
    <s v="SANTA INÊS (AV CASTELO BRANCO-OESTE)"/>
    <n v="0"/>
    <n v="2.7"/>
    <n v="2.7"/>
    <x v="2"/>
    <m/>
    <m/>
    <s v="Federal"/>
    <m/>
    <m/>
    <m/>
    <s v="Federal"/>
    <s v="PAV"/>
    <s v="Caxias"/>
  </r>
  <r>
    <x v="0"/>
    <s v="316UMA1010"/>
    <n v="0"/>
    <x v="271"/>
    <s v="1010"/>
    <n v="-45.382734780285801"/>
    <n v="-3.6647803099632998"/>
    <n v="-45.359950340235898"/>
    <n v="-3.6741156999794899"/>
    <s v="316"/>
    <s v="MA"/>
    <s v="Travessia Urbana"/>
    <s v="-"/>
    <s v="316UMA1010"/>
    <s v="SANTA INÊS (AV CASTELO BRANCO-OESTE)"/>
    <s v="ENTR BR-316 (KM 266,9)"/>
    <n v="2.7"/>
    <n v="5.5"/>
    <n v="2.8"/>
    <x v="2"/>
    <m/>
    <m/>
    <s v="Federal"/>
    <m/>
    <m/>
    <m/>
    <s v="Federal"/>
    <s v="PAV"/>
    <s v="Caxias"/>
  </r>
  <r>
    <x v="0"/>
    <s v="317BAC0170"/>
    <n v="0"/>
    <x v="272"/>
    <s v="0170"/>
    <n v="-67.327273480087001"/>
    <n v="-9.5956878897842408"/>
    <n v="-67.438273009591597"/>
    <n v="-9.8826939797433493"/>
    <s v="317"/>
    <s v="AC"/>
    <s v="Eixo Principal"/>
    <s v="-"/>
    <s v="317BAC0170"/>
    <s v="DIV AM/AC"/>
    <s v="ENTR AC-445(VILA PIA)"/>
    <n v="0"/>
    <n v="38.6"/>
    <n v="38.6"/>
    <x v="2"/>
    <m/>
    <m/>
    <s v="Federal"/>
    <m/>
    <m/>
    <m/>
    <s v="Federal"/>
    <s v="PAV"/>
    <s v="Rio Branco"/>
  </r>
  <r>
    <x v="0"/>
    <s v="317BAC0175"/>
    <n v="0"/>
    <x v="272"/>
    <s v="0175"/>
    <n v="-67.438273009591597"/>
    <n v="-9.8826939797433493"/>
    <n v="-67.490237799734601"/>
    <n v="-9.9433425399262205"/>
    <s v="317"/>
    <s v="AC"/>
    <s v="Eixo Principal"/>
    <s v="-"/>
    <s v="317BAC0175"/>
    <s v="ENTR AC-445(VILA PIA)"/>
    <s v="IGARAPÉ BAGAÇO"/>
    <n v="38.6"/>
    <n v="48.5"/>
    <n v="9.9"/>
    <x v="2"/>
    <m/>
    <m/>
    <s v="Federal"/>
    <m/>
    <m/>
    <m/>
    <s v="Federal"/>
    <s v="PAV"/>
    <s v="Rio Branco"/>
  </r>
  <r>
    <x v="0"/>
    <s v="317BAC0180"/>
    <n v="0"/>
    <x v="272"/>
    <s v="0180"/>
    <n v="-67.490237799734601"/>
    <n v="-9.9433425399262205"/>
    <n v="-67.581870849859698"/>
    <n v="-10.069546550232999"/>
    <s v="317"/>
    <s v="AC"/>
    <s v="Eixo Principal"/>
    <s v="-"/>
    <s v="317BAC0180"/>
    <s v="IGARAPÉ BAGAÇO"/>
    <s v="ENTR BR-364 (QUATRO BOCAS)"/>
    <n v="48.5"/>
    <n v="69.5"/>
    <n v="21"/>
    <x v="2"/>
    <m/>
    <m/>
    <s v="Federal"/>
    <m/>
    <m/>
    <m/>
    <s v="Federal"/>
    <s v="PAV"/>
    <s v="Rio Branco"/>
  </r>
  <r>
    <x v="0"/>
    <s v="317BAC0190"/>
    <n v="0"/>
    <x v="272"/>
    <s v="0190"/>
    <n v="-67.581870849859698"/>
    <n v="-10.069546550232999"/>
    <n v="-67.725062790115601"/>
    <n v="-10.1652861404429"/>
    <s v="317"/>
    <s v="AC"/>
    <s v="Eixo Principal"/>
    <s v="-"/>
    <s v="317BAC0190"/>
    <s v="ENTR BR-364 (QUATRO BOCAS)"/>
    <s v="ENTR AC-040(A) (P/ SEN. GUIOMARD)"/>
    <n v="69.5"/>
    <n v="91"/>
    <n v="21.5"/>
    <x v="2"/>
    <m/>
    <m/>
    <s v="Federal"/>
    <m/>
    <m/>
    <m/>
    <s v="Federal"/>
    <s v="PAV"/>
    <s v="Rio Branco"/>
  </r>
  <r>
    <x v="0"/>
    <s v="317BAC0210"/>
    <n v="0"/>
    <x v="272"/>
    <s v="0210"/>
    <n v="-67.725062790115601"/>
    <n v="-10.1652861404429"/>
    <n v="-67.696356860280801"/>
    <n v="-10.2111968096849"/>
    <s v="317"/>
    <s v="AC"/>
    <s v="Eixo Principal"/>
    <s v="-"/>
    <s v="317BAC0210"/>
    <s v="ENTR AC-040(A) (P/ SEN. GUIOMARD)"/>
    <s v="ENTR AC-040(B) (P/PLÁCIDO DE CASTRO)"/>
    <n v="91"/>
    <n v="97.5"/>
    <n v="6.5"/>
    <x v="2"/>
    <m/>
    <m/>
    <s v="Federal"/>
    <m/>
    <m/>
    <m/>
    <s v="Federal"/>
    <s v="PAV"/>
    <s v="Rio Branco"/>
  </r>
  <r>
    <x v="0"/>
    <s v="317BAC0230"/>
    <n v="0"/>
    <x v="272"/>
    <s v="0230"/>
    <n v="-67.696356860280801"/>
    <n v="-10.2111968096849"/>
    <n v="-67.705881480246006"/>
    <n v="-10.4487728100171"/>
    <s v="317"/>
    <s v="AC"/>
    <s v="Eixo Principal"/>
    <s v="-"/>
    <s v="317BAC0230"/>
    <s v="ENTR AC-040(B) (P/PLÁCIDO DE CASTRO)"/>
    <s v="COLÔNIA CIDADE HORTIGRANJEIRA"/>
    <n v="97.5"/>
    <n v="127.7"/>
    <n v="30.2"/>
    <x v="2"/>
    <m/>
    <m/>
    <s v="Federal"/>
    <m/>
    <m/>
    <m/>
    <s v="Federal"/>
    <s v="PAV"/>
    <s v="Rio Branco"/>
  </r>
  <r>
    <x v="0"/>
    <s v="317BAC0250"/>
    <n v="0"/>
    <x v="272"/>
    <s v="0250"/>
    <n v="-67.705881480246006"/>
    <n v="-10.4487728100171"/>
    <n v="-67.675603100202807"/>
    <n v="-10.5690763503932"/>
    <s v="317"/>
    <s v="AC"/>
    <s v="Eixo Principal"/>
    <s v="-"/>
    <s v="317BAC0250"/>
    <s v="COLÔNIA CIDADE HORTIGRANJEIRA"/>
    <s v="INÍCIO DUPLICAÇÃO (VILA CAPIXABA)"/>
    <n v="127.7"/>
    <n v="143.4"/>
    <n v="15.7"/>
    <x v="2"/>
    <m/>
    <m/>
    <s v="Federal"/>
    <m/>
    <m/>
    <m/>
    <s v="Federal"/>
    <s v="PAV"/>
    <s v="Rio Branco"/>
  </r>
  <r>
    <x v="0"/>
    <s v="317BAC0260"/>
    <n v="0"/>
    <x v="272"/>
    <s v="0260"/>
    <n v="-67.675603100202807"/>
    <n v="-10.5690763503932"/>
    <n v="-67.680388140100504"/>
    <n v="-10.579744009578301"/>
    <s v="317"/>
    <s v="AC"/>
    <s v="Eixo Principal"/>
    <s v="-"/>
    <s v="317BAC0260"/>
    <s v="INÍCIO DUPLICAÇÃO (VILA CAPIXABA)"/>
    <s v="FIM DUPLICAÇÃO (VILA CAPIXABA)"/>
    <n v="143.4"/>
    <n v="144.80000000000001"/>
    <n v="1.4"/>
    <x v="0"/>
    <m/>
    <m/>
    <s v="Federal"/>
    <m/>
    <m/>
    <m/>
    <s v="Federal"/>
    <s v="PAV"/>
    <s v="Rio Branco"/>
  </r>
  <r>
    <x v="0"/>
    <s v="317BAC0370"/>
    <n v="0"/>
    <x v="272"/>
    <s v="0370"/>
    <n v="-67.680388140100504"/>
    <n v="-10.579744009578301"/>
    <n v="-68.429845889676002"/>
    <n v="-10.725112609559201"/>
    <s v="317"/>
    <s v="AC"/>
    <s v="Eixo Principal"/>
    <s v="-"/>
    <s v="317BAC0370"/>
    <s v="FIM DUPLICAÇÃO (VILA CAPIXABA)"/>
    <s v="ENTR AC-485 (P/XAPURÍ)"/>
    <n v="144.80000000000001"/>
    <n v="237.5"/>
    <n v="92.7"/>
    <x v="2"/>
    <m/>
    <m/>
    <s v="Federal"/>
    <m/>
    <m/>
    <m/>
    <s v="Federal"/>
    <s v="PAV"/>
    <s v="Rio Branco"/>
  </r>
  <r>
    <x v="0"/>
    <s v="317BAC0470"/>
    <n v="0"/>
    <x v="272"/>
    <s v="0470"/>
    <n v="-68.429845889676002"/>
    <n v="-10.725112609559201"/>
    <n v="-68.723478830183794"/>
    <n v="-11.036661350141101"/>
    <s v="317"/>
    <s v="AC"/>
    <s v="Eixo Principal"/>
    <s v="-"/>
    <s v="317BAC0470"/>
    <s v="ENTR AC-485 (P/XAPURÍ)"/>
    <s v="INÍCIO TRAV URB EPITACIOLÂNDIA"/>
    <n v="237.5"/>
    <n v="289.60000000000002"/>
    <n v="52.1"/>
    <x v="2"/>
    <m/>
    <m/>
    <s v="Federal"/>
    <m/>
    <m/>
    <m/>
    <s v="Federal"/>
    <s v="PAV"/>
    <s v="Rio Branco"/>
  </r>
  <r>
    <x v="0"/>
    <s v="317BAC0490"/>
    <n v="0"/>
    <x v="272"/>
    <s v="0490"/>
    <n v="-68.723478830183794"/>
    <n v="-11.036661350141101"/>
    <n v="-68.732968169745206"/>
    <n v="-11.0308902998473"/>
    <s v="317"/>
    <s v="AC"/>
    <s v="Eixo Principal"/>
    <s v="-"/>
    <s v="317BAC0490"/>
    <s v="INÍCIO TRAV URB EPITACIOLÂNDIA"/>
    <s v="INÍCIO DUPLICAÇÃO"/>
    <n v="289.60000000000002"/>
    <n v="290.8"/>
    <n v="1.2"/>
    <x v="2"/>
    <m/>
    <m/>
    <s v="Federal"/>
    <m/>
    <m/>
    <m/>
    <s v="Federal"/>
    <s v="PAV"/>
    <s v="Rio Branco"/>
  </r>
  <r>
    <x v="0"/>
    <s v="317BAC0495"/>
    <n v="0"/>
    <x v="272"/>
    <s v="0495"/>
    <n v="-68.732968169745206"/>
    <n v="-11.0308902998473"/>
    <n v="-68.737831590055805"/>
    <n v="-11.0279405001539"/>
    <s v="317"/>
    <s v="AC"/>
    <s v="Eixo Principal"/>
    <s v="-"/>
    <s v="317BAC0495"/>
    <s v="INÍCIO DUPLICAÇÃO"/>
    <s v="FIM DUPLICAÇÃO"/>
    <n v="290.8"/>
    <n v="291.39999999999998"/>
    <n v="0.6"/>
    <x v="0"/>
    <m/>
    <m/>
    <s v="Federal"/>
    <m/>
    <m/>
    <m/>
    <s v="Federal"/>
    <s v="PAV"/>
    <s v="Rio Branco"/>
  </r>
  <r>
    <x v="0"/>
    <s v="317BAC0500"/>
    <n v="0"/>
    <x v="272"/>
    <s v="0500"/>
    <n v="-68.737831590055805"/>
    <n v="-11.0279405001539"/>
    <n v="-68.7439884000446"/>
    <n v="-11.0173244602555"/>
    <s v="317"/>
    <s v="AC"/>
    <s v="Eixo Principal"/>
    <s v="-"/>
    <s v="317BAC0500"/>
    <s v="FIM DUPLICAÇÃO"/>
    <s v="INÍCIO PONTE SOBRE O RIO ACRE"/>
    <n v="291.39999999999998"/>
    <n v="292.8"/>
    <n v="1.4"/>
    <x v="2"/>
    <m/>
    <m/>
    <s v="Federal"/>
    <m/>
    <m/>
    <m/>
    <s v="Federal"/>
    <s v="PAV"/>
    <s v="Rio Branco"/>
  </r>
  <r>
    <x v="0"/>
    <s v="317BAC0510"/>
    <n v="0"/>
    <x v="272"/>
    <s v="0510"/>
    <n v="-68.7439884000446"/>
    <n v="-11.0173244602555"/>
    <n v="-68.744188730325604"/>
    <n v="-11.016544329856901"/>
    <s v="317"/>
    <s v="AC"/>
    <s v="Eixo Principal"/>
    <s v="-"/>
    <s v="317BAC0510"/>
    <s v="INÍCIO PONTE SOBRE O RIO ACRE"/>
    <s v="FIM PONTE SOBRE O RIO ACRE"/>
    <n v="292.8"/>
    <n v="292.89999999999998"/>
    <n v="0.1"/>
    <x v="2"/>
    <m/>
    <m/>
    <s v="Federal"/>
    <m/>
    <m/>
    <m/>
    <s v="Federal"/>
    <s v="PAV"/>
    <s v="Rio Branco"/>
  </r>
  <r>
    <x v="0"/>
    <s v="317BAC0515"/>
    <n v="0"/>
    <x v="272"/>
    <s v="0515"/>
    <n v="-68.744188730325604"/>
    <n v="-11.016544329856901"/>
    <n v="-68.745571000001604"/>
    <n v="-11.0067210297517"/>
    <s v="317"/>
    <s v="AC"/>
    <s v="Eixo Principal"/>
    <s v="-"/>
    <s v="317BAC0515"/>
    <s v="FIM PONTE SOBRE O RIO ACRE"/>
    <s v="ENTR AV M MARINHO MONTE (BRASILÉIA)"/>
    <n v="292.89999999999998"/>
    <n v="294.3"/>
    <n v="1.4"/>
    <x v="2"/>
    <m/>
    <m/>
    <s v="Federal"/>
    <m/>
    <m/>
    <m/>
    <s v="Federal"/>
    <s v="PAV"/>
    <s v="Rio Branco"/>
  </r>
  <r>
    <x v="0"/>
    <s v="317BAC0520"/>
    <n v="0"/>
    <x v="272"/>
    <s v="0520"/>
    <n v="-68.745571000001604"/>
    <n v="-11.0067210297517"/>
    <n v="-68.754533389903898"/>
    <n v="-10.9958383300748"/>
    <s v="317"/>
    <s v="AC"/>
    <s v="Eixo Principal"/>
    <s v="-"/>
    <s v="317BAC0520"/>
    <s v="ENTR AV M MARINHO MONTE (BRASILÉIA)"/>
    <s v="ENTR ROTATÓRIA R. NÚBIA G. FARIAS (BRASILÉIA)"/>
    <n v="294.3"/>
    <n v="295.89999999999998"/>
    <n v="1.6"/>
    <x v="2"/>
    <m/>
    <m/>
    <s v="Federal"/>
    <m/>
    <m/>
    <m/>
    <s v="Federal"/>
    <s v="PAV"/>
    <s v="Rio Branco"/>
  </r>
  <r>
    <x v="0"/>
    <s v="317BAC0525"/>
    <n v="0"/>
    <x v="272"/>
    <s v="0525"/>
    <n v="-68.754533389903898"/>
    <n v="-10.9958383300748"/>
    <n v="-68.761690219927601"/>
    <n v="-10.984060640386099"/>
    <s v="317"/>
    <s v="AC"/>
    <s v="Eixo Principal"/>
    <s v="-"/>
    <s v="317BAC0525"/>
    <s v="ENTR ROTATÓRIA R. NÚBIA G. FARIAS (BRASILÉIA)"/>
    <s v="FIM DA TRAV URB DE BRASILÉIA"/>
    <n v="295.89999999999998"/>
    <n v="296.89999999999998"/>
    <n v="1"/>
    <x v="2"/>
    <m/>
    <m/>
    <s v="Federal"/>
    <m/>
    <m/>
    <m/>
    <s v="Federal"/>
    <s v="PAV"/>
    <s v="Rio Branco"/>
  </r>
  <r>
    <x v="0"/>
    <s v="317BAC0530"/>
    <n v="0"/>
    <x v="272"/>
    <s v="0530"/>
    <n v="-68.761690219927601"/>
    <n v="-10.984060640386099"/>
    <n v="-69.364902439695797"/>
    <n v="-10.809164659921001"/>
    <s v="317"/>
    <s v="AC"/>
    <s v="Eixo Principal"/>
    <s v="-"/>
    <s v="317BAC0530"/>
    <s v="FIM DA TRAV URB DE BRASILÉIA"/>
    <s v="TRILHA CHICO MENDES (RAMAL SANTA LUZIA)"/>
    <n v="296.89999999999998"/>
    <n v="377.9"/>
    <n v="81"/>
    <x v="2"/>
    <m/>
    <m/>
    <s v="Federal"/>
    <m/>
    <m/>
    <m/>
    <s v="Federal"/>
    <s v="PAV"/>
    <s v="Rio Branco"/>
  </r>
  <r>
    <x v="0"/>
    <s v="317BAC0550"/>
    <n v="0"/>
    <x v="272"/>
    <s v="0550"/>
    <n v="-69.364902439695797"/>
    <n v="-10.809164659921001"/>
    <n v="-69.565584500424293"/>
    <n v="-10.933461450085799"/>
    <s v="317"/>
    <s v="AC"/>
    <s v="Eixo Principal"/>
    <s v="-"/>
    <s v="317BAC0550"/>
    <s v="TRILHA CHICO MENDES (RAMAL SANTA LUZIA)"/>
    <s v="POSTO ALFANDEGÁRIO BRASIL - PERU (ASSIS BRASIL)"/>
    <n v="377.9"/>
    <n v="405.7"/>
    <n v="27.8"/>
    <x v="2"/>
    <m/>
    <m/>
    <s v="Federal"/>
    <m/>
    <m/>
    <m/>
    <s v="Federal"/>
    <s v="PAV"/>
    <s v="Rio Branco"/>
  </r>
  <r>
    <x v="0"/>
    <s v="317BAC0610"/>
    <n v="0"/>
    <x v="272"/>
    <s v="0610"/>
    <n v="-69.565584500424293"/>
    <n v="-10.933461450085799"/>
    <n v="-69.5770674004401"/>
    <n v="-10.9414451302885"/>
    <s v="317"/>
    <s v="AC"/>
    <s v="Eixo Principal"/>
    <s v="-"/>
    <s v="317BAC0610"/>
    <s v="POSTO ALFANDEGÁRIO BRASIL - PERU (ASSIS BRASIL)"/>
    <s v="FRONTERIA BRA/PER"/>
    <n v="405.7"/>
    <n v="407.5"/>
    <n v="1.8"/>
    <x v="2"/>
    <m/>
    <m/>
    <s v="Federal"/>
    <m/>
    <m/>
    <m/>
    <s v="Federal"/>
    <s v="PAV"/>
    <s v="Rio Branco"/>
  </r>
  <r>
    <x v="0"/>
    <s v="317BAM0010"/>
    <n v="0"/>
    <x v="273"/>
    <s v="0010"/>
    <n v="-64.793708109941207"/>
    <n v="-7.2663960598302397"/>
    <n v="-64.9477509696315"/>
    <n v="-7.4529016341030498"/>
    <s v="317"/>
    <s v="AM"/>
    <s v="Eixo Principal"/>
    <s v="-"/>
    <s v="317BAM0010"/>
    <s v="ENTR BR-230 (LÁBREA)"/>
    <s v="PARANÁ"/>
    <n v="0"/>
    <n v="35"/>
    <n v="35"/>
    <x v="1"/>
    <m/>
    <m/>
    <s v="Federal"/>
    <m/>
    <m/>
    <m/>
    <s v="Federal"/>
    <s v="PLA"/>
    <s v="Humaitá"/>
  </r>
  <r>
    <x v="0"/>
    <s v="317BAM0030"/>
    <n v="0"/>
    <x v="273"/>
    <s v="0030"/>
    <n v="-64.9477509696315"/>
    <n v="-7.4529016341030498"/>
    <n v="-65.580123504396099"/>
    <n v="-7.7158494446960599"/>
    <s v="317"/>
    <s v="AM"/>
    <s v="Eixo Principal"/>
    <s v="-"/>
    <s v="317BAM0030"/>
    <s v="PARANÁ"/>
    <s v="BOM JESUS"/>
    <n v="35"/>
    <n v="130"/>
    <n v="95"/>
    <x v="1"/>
    <m/>
    <m/>
    <s v="Federal"/>
    <m/>
    <m/>
    <m/>
    <s v="Federal"/>
    <s v="PLA"/>
    <s v="Humaitá"/>
  </r>
  <r>
    <x v="0"/>
    <s v="317BAM0050"/>
    <n v="0"/>
    <x v="273"/>
    <s v="0050"/>
    <n v="-65.580123504396099"/>
    <n v="-7.7158494446960599"/>
    <n v="-65.981421867425098"/>
    <n v="-7.8684640128038801"/>
    <s v="317"/>
    <s v="AM"/>
    <s v="Eixo Principal"/>
    <s v="-"/>
    <s v="317BAM0050"/>
    <s v="BOM JESUS"/>
    <s v="CACAU"/>
    <n v="130"/>
    <n v="190"/>
    <n v="60"/>
    <x v="1"/>
    <m/>
    <m/>
    <s v="Federal"/>
    <m/>
    <m/>
    <m/>
    <s v="Federal"/>
    <s v="PLA"/>
    <s v="Humaitá"/>
  </r>
  <r>
    <x v="0"/>
    <s v="317BAM0070"/>
    <n v="0"/>
    <x v="273"/>
    <s v="0070"/>
    <n v="-65.981421867425098"/>
    <n v="-7.8684640128038801"/>
    <n v="-66.5353436766692"/>
    <n v="-8.2114187222961696"/>
    <s v="317"/>
    <s v="AM"/>
    <s v="Eixo Principal"/>
    <s v="-"/>
    <s v="317BAM0070"/>
    <s v="CACAU"/>
    <s v="RIO TUMIÃ"/>
    <n v="190"/>
    <n v="280"/>
    <n v="90"/>
    <x v="1"/>
    <m/>
    <m/>
    <s v="Federal"/>
    <m/>
    <m/>
    <m/>
    <s v="Federal"/>
    <s v="PLA"/>
    <s v="Humaitá"/>
  </r>
  <r>
    <x v="0"/>
    <s v="317BAM0090"/>
    <n v="0"/>
    <x v="273"/>
    <s v="0090"/>
    <n v="-66.5353436766692"/>
    <n v="-8.2114187222961696"/>
    <n v="-66.896485732030797"/>
    <n v="-8.4526614213874591"/>
    <s v="317"/>
    <s v="AM"/>
    <s v="Eixo Principal"/>
    <s v="-"/>
    <s v="317BAM0090"/>
    <s v="RIO TUMIÃ"/>
    <s v="ENTR AM-175"/>
    <n v="280"/>
    <n v="340"/>
    <n v="60"/>
    <x v="1"/>
    <m/>
    <m/>
    <s v="Federal"/>
    <m/>
    <m/>
    <m/>
    <s v="Federal"/>
    <s v="PLA"/>
    <s v="Humaitá"/>
  </r>
  <r>
    <x v="0"/>
    <s v="317BAM0110"/>
    <n v="0"/>
    <x v="273"/>
    <s v="0110"/>
    <n v="-66.896485732030797"/>
    <n v="-8.4526614213874591"/>
    <n v="-67.338903699845801"/>
    <n v="-8.7706756201836793"/>
    <s v="317"/>
    <s v="AM"/>
    <s v="Eixo Principal"/>
    <s v="-"/>
    <s v="317BAM0110"/>
    <s v="ENTR AM-175"/>
    <s v="INÍCIO DUPLICAÇÃO (BOCA DO ACRE)"/>
    <n v="340"/>
    <n v="415.3"/>
    <n v="75.3"/>
    <x v="1"/>
    <m/>
    <m/>
    <s v="Federal"/>
    <m/>
    <m/>
    <m/>
    <s v="Federal"/>
    <s v="PLA"/>
    <s v="Humaitá"/>
  </r>
  <r>
    <x v="0"/>
    <s v="317BAM0120"/>
    <n v="0"/>
    <x v="273"/>
    <s v="0120"/>
    <n v="-67.338903699845801"/>
    <n v="-8.7706756201836793"/>
    <n v="-67.328141100131603"/>
    <n v="-8.7808028497716393"/>
    <s v="317"/>
    <s v="AM"/>
    <s v="Eixo Principal"/>
    <s v="-"/>
    <s v="317BAM0120"/>
    <s v="INÍCIO DUPLICAÇÃO (BOCA DO ACRE)"/>
    <s v="FIM DUPLICAÇÃO (BOCA DO ACRE)"/>
    <n v="415.3"/>
    <n v="417"/>
    <n v="1.7"/>
    <x v="0"/>
    <m/>
    <m/>
    <s v="Federal"/>
    <m/>
    <m/>
    <m/>
    <s v="Federal"/>
    <s v="PAV"/>
    <s v="Humaitá"/>
  </r>
  <r>
    <x v="0"/>
    <s v="317BAM0122"/>
    <n v="0"/>
    <x v="273"/>
    <s v="0122"/>
    <n v="-67.328141100131603"/>
    <n v="-8.7808028497716393"/>
    <n v="-67.219072753204898"/>
    <n v="-9.0389281502139003"/>
    <s v="317"/>
    <s v="AM"/>
    <s v="Eixo Principal"/>
    <s v="-"/>
    <s v="317BAM0122"/>
    <s v="FIM DUPLICAÇÃO (BOCA DO ACRE)"/>
    <s v="INÍCIO ÁREA INDÍGENA BOCA DO ACRE (LD)"/>
    <n v="417"/>
    <n v="452"/>
    <n v="35"/>
    <x v="2"/>
    <m/>
    <m/>
    <s v="Federal"/>
    <m/>
    <m/>
    <m/>
    <s v="Federal"/>
    <s v="PAV"/>
    <s v="Humaitá"/>
  </r>
  <r>
    <x v="0"/>
    <s v="317BAM0125"/>
    <n v="0"/>
    <x v="273"/>
    <s v="0125"/>
    <n v="-67.219072753204898"/>
    <n v="-9.0389281502139003"/>
    <n v="-67.239058479665005"/>
    <n v="-9.0593716396893402"/>
    <s v="317"/>
    <s v="AM"/>
    <s v="Eixo Principal"/>
    <s v="-"/>
    <s v="317BAM0125"/>
    <s v="INÍCIO ÁREA INDÍGENA BOCA DO ACRE (LD)"/>
    <s v="INÍCIO ÁREA INDÍGENA BOCA DO ACRE (LE)"/>
    <n v="452"/>
    <n v="455.3"/>
    <n v="3.3"/>
    <x v="5"/>
    <s v="EOP"/>
    <m/>
    <s v="Federal"/>
    <m/>
    <m/>
    <m/>
    <s v="Federal"/>
    <s v="N_PAV"/>
    <s v="Humaitá"/>
  </r>
  <r>
    <x v="0"/>
    <s v="317BAM0130"/>
    <n v="0"/>
    <x v="273"/>
    <s v="0130"/>
    <n v="-67.239058479665005"/>
    <n v="-9.0593716396893402"/>
    <n v="-67.292468938090906"/>
    <n v="-9.1498961081188597"/>
    <s v="317"/>
    <s v="AM"/>
    <s v="Eixo Principal"/>
    <s v="-"/>
    <s v="317BAM0130"/>
    <s v="INÍCIO ÁREA INDÍGENA BOCA DO ACRE (LE)"/>
    <s v="FINAL ÁREA INDÍGENA BOCA DO ACRE (LD)"/>
    <n v="455.3"/>
    <n v="467.8"/>
    <n v="12.5"/>
    <x v="5"/>
    <s v="EOP"/>
    <m/>
    <s v="Federal"/>
    <m/>
    <m/>
    <m/>
    <s v="Federal"/>
    <s v="N_PAV"/>
    <s v="Humaitá"/>
  </r>
  <r>
    <x v="0"/>
    <s v="317BAM0135"/>
    <n v="0"/>
    <x v="273"/>
    <s v="0135"/>
    <n v="-67.292468938090906"/>
    <n v="-9.1498961081188597"/>
    <n v="-67.293607994213502"/>
    <n v="-9.1561819537341105"/>
    <s v="317"/>
    <s v="AM"/>
    <s v="Eixo Principal"/>
    <s v="-"/>
    <s v="317BAM0135"/>
    <s v="FINAL ÁREA INDÍGENA BOCA DO ACRE (LD)"/>
    <s v="FINAL ÁREA INDÍGENA BOCA DO ACRE (LE)"/>
    <n v="467.8"/>
    <n v="468.5"/>
    <n v="0.7"/>
    <x v="5"/>
    <s v="EOP"/>
    <m/>
    <s v="Federal"/>
    <m/>
    <m/>
    <m/>
    <s v="Federal"/>
    <s v="N_PAV"/>
    <s v="Humaitá"/>
  </r>
  <r>
    <x v="0"/>
    <s v="317BAM0140"/>
    <n v="0"/>
    <x v="273"/>
    <s v="0140"/>
    <n v="-67.293607994213502"/>
    <n v="-9.1561819537341105"/>
    <n v="-67.285430664793196"/>
    <n v="-9.23607769373052"/>
    <s v="317"/>
    <s v="AM"/>
    <s v="Eixo Principal"/>
    <s v="-"/>
    <s v="317BAM0140"/>
    <s v="FINAL ÁREA INDÍGENA BOCA DO ACRE (LE)"/>
    <s v="INÍCIO ÁREA INDÍGENA APURINÃ"/>
    <n v="468.5"/>
    <n v="478.3"/>
    <n v="9.8000000000000007"/>
    <x v="2"/>
    <m/>
    <m/>
    <s v="Federal"/>
    <m/>
    <m/>
    <m/>
    <s v="Federal"/>
    <s v="PAV"/>
    <s v="Humaitá"/>
  </r>
  <r>
    <x v="0"/>
    <s v="317BAM0150"/>
    <n v="0"/>
    <x v="273"/>
    <s v="0150"/>
    <n v="-67.285430664793196"/>
    <n v="-9.23607769373052"/>
    <n v="-67.273967917685198"/>
    <n v="-9.3602718703505108"/>
    <s v="317"/>
    <s v="AM"/>
    <s v="Eixo Principal"/>
    <s v="-"/>
    <s v="317BAM0150"/>
    <s v="INÍCIO ÁREA INDÍGENA APURINÃ"/>
    <s v="FINAL ÁREA INDÍGENA APURINÃ"/>
    <n v="478.3"/>
    <n v="496.2"/>
    <n v="17.899999999999999"/>
    <x v="5"/>
    <s v="EOP"/>
    <m/>
    <s v="Federal"/>
    <m/>
    <m/>
    <m/>
    <s v="Federal"/>
    <s v="N_PAV"/>
    <s v="Humaitá"/>
  </r>
  <r>
    <x v="0"/>
    <s v="317BAM0155"/>
    <n v="0"/>
    <x v="273"/>
    <s v="0155"/>
    <n v="-67.273967917685198"/>
    <n v="-9.3602718703505108"/>
    <n v="-67.282440964878504"/>
    <n v="-9.5111676262848697"/>
    <s v="317"/>
    <s v="AM"/>
    <s v="Eixo Principal"/>
    <s v="-"/>
    <s v="317BAM0155"/>
    <s v="FINAL ÁREA INDÍGENA APURINÃ"/>
    <s v="FIM DAS OBRAS DE PAVIMENTAÇÃO"/>
    <n v="496.2"/>
    <n v="515.29999999999995"/>
    <n v="19.100000000000001"/>
    <x v="2"/>
    <m/>
    <m/>
    <s v="Federal"/>
    <m/>
    <m/>
    <m/>
    <s v="Federal"/>
    <s v="PAV"/>
    <s v="Humaitá"/>
  </r>
  <r>
    <x v="0"/>
    <s v="317BAM0160"/>
    <n v="0"/>
    <x v="273"/>
    <s v="0160"/>
    <n v="-67.282440964878504"/>
    <n v="-9.5111676262848697"/>
    <n v="-67.327273480087001"/>
    <n v="-9.5956878897842408"/>
    <s v="317"/>
    <s v="AM"/>
    <s v="Eixo Principal"/>
    <s v="-"/>
    <s v="317BAM0160"/>
    <s v="FIM DAS OBRAS DE PAVIMENTAÇÃO"/>
    <s v="DIV AM/AC"/>
    <n v="515.29999999999995"/>
    <n v="526"/>
    <n v="10.7"/>
    <x v="5"/>
    <m/>
    <m/>
    <s v="Federal"/>
    <m/>
    <m/>
    <m/>
    <s v="Federal"/>
    <s v="N_PAV"/>
    <s v="Humaitá"/>
  </r>
  <r>
    <x v="0"/>
    <s v="317CAC1005"/>
    <n v="0"/>
    <x v="274"/>
    <s v="1005"/>
    <n v="-68.714743660291603"/>
    <n v="-11.036875619913801"/>
    <n v="-68.763952669579993"/>
    <n v="-10.9764818295727"/>
    <s v="317"/>
    <s v="AC"/>
    <s v="Contorno"/>
    <s v="-"/>
    <s v="317CAC1005"/>
    <s v="ENTR BR-317 (KM 290)"/>
    <s v="ENTR BR-317 (KM 300 - CONTORNO DE BRASILÉIA/EPITACIOLÂNDIA)"/>
    <n v="0"/>
    <n v="11"/>
    <n v="11"/>
    <x v="1"/>
    <m/>
    <m/>
    <s v="Federal"/>
    <m/>
    <m/>
    <m/>
    <s v="Federal"/>
    <s v="PLA"/>
    <s v="Rio Branco"/>
  </r>
  <r>
    <x v="0"/>
    <s v="319BAM0020"/>
    <n v="0"/>
    <x v="275"/>
    <s v="0020"/>
    <n v="-59.947465610349497"/>
    <n v="-3.1296145499714498"/>
    <n v="-59.939918589671102"/>
    <n v="-3.1345053303566601"/>
    <s v="319"/>
    <s v="AM"/>
    <s v="Eixo Principal"/>
    <s v="Coinc"/>
    <s v="319BAM0020"/>
    <s v="ENTR BR-174(A) (POLÍCIA RODOVIÁRIA FEDERAL (MANAUS))"/>
    <s v="INÍCIO TRAVESSIA RIO AMAZONAS"/>
    <n v="0"/>
    <n v="1"/>
    <n v="1"/>
    <x v="1"/>
    <m/>
    <s v="174BAM0510"/>
    <s v="Estadual"/>
    <m/>
    <s v="AMT-174"/>
    <s v="DUP"/>
    <s v="Estadual"/>
    <s v="PLA"/>
    <s v="Castanho"/>
  </r>
  <r>
    <x v="0"/>
    <s v="319BAM0030"/>
    <n v="0"/>
    <x v="275"/>
    <s v="0030"/>
    <n v="-59.939918589671102"/>
    <n v="-3.1345053303566601"/>
    <n v="-59.868711610052699"/>
    <n v="-3.1902446102005801"/>
    <s v="319"/>
    <s v="AM"/>
    <s v="Eixo Principal"/>
    <s v="Coinc"/>
    <s v="319BAM0030"/>
    <s v="INÍCIO TRAVESSIA RIO AMAZONAS"/>
    <s v="FIM TRAVESSIA RIO AMAZONAS (CAREIRO)"/>
    <n v="1"/>
    <n v="13"/>
    <n v="12"/>
    <x v="4"/>
    <m/>
    <s v="174BAM0490"/>
    <s v="Federal"/>
    <m/>
    <m/>
    <m/>
    <s v="Federal"/>
    <s v="N_PAV"/>
    <s v="Castanho"/>
  </r>
  <r>
    <x v="0"/>
    <s v="319BAM0040"/>
    <n v="0"/>
    <x v="275"/>
    <s v="0040"/>
    <n v="-59.868711610052699"/>
    <n v="-3.1902446102005801"/>
    <n v="-59.869027790100397"/>
    <n v="-3.2146161297305298"/>
    <s v="319"/>
    <s v="AM"/>
    <s v="Eixo Principal"/>
    <s v="Coinc"/>
    <s v="319BAM0040"/>
    <s v="FIM TRAVESSIA RIO AMAZONAS (CAREIRO)"/>
    <s v="RIO CAPITARI"/>
    <n v="13"/>
    <n v="16"/>
    <n v="3"/>
    <x v="2"/>
    <m/>
    <s v="174BAM0485"/>
    <s v="Federal"/>
    <m/>
    <m/>
    <m/>
    <s v="Federal"/>
    <s v="PAV"/>
    <s v="Castanho"/>
  </r>
  <r>
    <x v="0"/>
    <s v="319BAM0045"/>
    <n v="0"/>
    <x v="275"/>
    <s v="0045"/>
    <n v="-59.869027790100397"/>
    <n v="-3.2146161297305298"/>
    <n v="-59.854502300141"/>
    <n v="-3.2750720596277998"/>
    <s v="319"/>
    <s v="AM"/>
    <s v="Eixo Principal"/>
    <s v="Coinc"/>
    <s v="319BAM0045"/>
    <s v="RIO CAPITARI"/>
    <s v="RIO CURUÇÁ"/>
    <n v="16"/>
    <n v="23.3"/>
    <n v="7.3"/>
    <x v="2"/>
    <m/>
    <s v="174BAM0480"/>
    <s v="Federal"/>
    <m/>
    <m/>
    <m/>
    <s v="Federal"/>
    <s v="PAV"/>
    <s v="Castanho"/>
  </r>
  <r>
    <x v="0"/>
    <s v="319BAM0050"/>
    <n v="0"/>
    <x v="275"/>
    <s v="0050"/>
    <n v="-59.854502300141"/>
    <n v="-3.2750720596277998"/>
    <n v="-59.863638660295898"/>
    <n v="-3.2838173495909402"/>
    <s v="319"/>
    <s v="AM"/>
    <s v="Eixo Principal"/>
    <s v="Coinc"/>
    <s v="319BAM0050"/>
    <s v="RIO CURUÇÁ"/>
    <s v="RIO AUTAZ MIRIM"/>
    <n v="23.3"/>
    <n v="24.6"/>
    <n v="1.3"/>
    <x v="2"/>
    <m/>
    <s v="174BAM0475"/>
    <s v="Federal"/>
    <m/>
    <m/>
    <m/>
    <s v="Federal"/>
    <s v="PAV"/>
    <s v="Castanho"/>
  </r>
  <r>
    <x v="0"/>
    <s v="319BAM0055"/>
    <n v="0"/>
    <x v="275"/>
    <s v="0055"/>
    <n v="-59.863638660295898"/>
    <n v="-3.2838173495909402"/>
    <n v="-59.902094969607099"/>
    <n v="-3.4033791003651501"/>
    <s v="319"/>
    <s v="AM"/>
    <s v="Eixo Principal"/>
    <s v="Coinc"/>
    <s v="319BAM0055"/>
    <s v="RIO AUTAZ MIRIM"/>
    <s v="ENTR AM-254"/>
    <n v="24.6"/>
    <n v="39.4"/>
    <n v="14.8"/>
    <x v="2"/>
    <m/>
    <s v="174BAM0470"/>
    <s v="Federal"/>
    <m/>
    <m/>
    <m/>
    <s v="Federal"/>
    <s v="PAV"/>
    <s v="Castanho"/>
  </r>
  <r>
    <x v="0"/>
    <s v="319BAM0060"/>
    <n v="0"/>
    <x v="275"/>
    <s v="0060"/>
    <n v="-59.902094969607099"/>
    <n v="-3.4033791003651501"/>
    <n v="-60.004112809758297"/>
    <n v="-3.44942241960893"/>
    <s v="319"/>
    <s v="AM"/>
    <s v="Eixo Principal"/>
    <s v="Coinc"/>
    <s v="319BAM0060"/>
    <s v="ENTR AM-254"/>
    <s v="RIO ARAÇÁ"/>
    <n v="39.4"/>
    <n v="52.6"/>
    <n v="13.2"/>
    <x v="2"/>
    <m/>
    <s v="174BAM0465"/>
    <s v="Federal"/>
    <m/>
    <m/>
    <m/>
    <s v="Federal"/>
    <s v="PAV"/>
    <s v="Castanho"/>
  </r>
  <r>
    <x v="0"/>
    <s v="319BAM0070"/>
    <n v="0"/>
    <x v="275"/>
    <s v="0070"/>
    <n v="-60.004112809758297"/>
    <n v="-3.44942241960893"/>
    <n v="-60.300856800201103"/>
    <n v="-3.7650978100158401"/>
    <s v="319"/>
    <s v="AM"/>
    <s v="Eixo Principal"/>
    <s v="Coinc"/>
    <s v="319BAM0070"/>
    <s v="RIO ARAÇÁ"/>
    <s v="ENTR AM-354"/>
    <n v="52.6"/>
    <n v="103.5"/>
    <n v="50.9"/>
    <x v="2"/>
    <m/>
    <s v="174BAM0450"/>
    <s v="Federal"/>
    <m/>
    <m/>
    <m/>
    <s v="Federal"/>
    <s v="PAV"/>
    <s v="Castanho"/>
  </r>
  <r>
    <x v="0"/>
    <s v="319BAM0075"/>
    <n v="0"/>
    <x v="275"/>
    <s v="0075"/>
    <n v="-60.300856800201103"/>
    <n v="-3.7650978100158401"/>
    <n v="-60.3643395000678"/>
    <n v="-3.82679104966717"/>
    <s v="319"/>
    <s v="AM"/>
    <s v="Eixo Principal"/>
    <s v="Coinc"/>
    <s v="319BAM0075"/>
    <s v="ENTR AM-354"/>
    <s v="RIO CASTANHO"/>
    <n v="103.5"/>
    <n v="114.2"/>
    <n v="10.7"/>
    <x v="2"/>
    <m/>
    <s v="174BAM0445"/>
    <s v="Federal"/>
    <m/>
    <m/>
    <m/>
    <s v="Federal"/>
    <s v="PAV"/>
    <s v="Castanho"/>
  </r>
  <r>
    <x v="0"/>
    <s v="319BAM0085"/>
    <n v="0"/>
    <x v="275"/>
    <s v="0085"/>
    <n v="-60.3643395000678"/>
    <n v="-3.82679104966717"/>
    <n v="-60.806853969634901"/>
    <n v="-4.1808447502849599"/>
    <s v="319"/>
    <s v="AM"/>
    <s v="Eixo Principal"/>
    <s v="Coinc"/>
    <s v="319BAM0085"/>
    <s v="RIO CASTANHO"/>
    <s v="RIO TUPÃNA"/>
    <n v="114.2"/>
    <n v="178.5"/>
    <n v="64.3"/>
    <x v="2"/>
    <m/>
    <s v="174BAM0430"/>
    <s v="Federal"/>
    <m/>
    <m/>
    <m/>
    <s v="Federal"/>
    <s v="PAV"/>
    <s v="Castanho"/>
  </r>
  <r>
    <x v="0"/>
    <s v="319BAM0095"/>
    <n v="0"/>
    <x v="275"/>
    <s v="0095"/>
    <n v="-60.806853969634901"/>
    <n v="-4.1808447502849599"/>
    <n v="-60.9283082896957"/>
    <n v="-4.3519053902215301"/>
    <s v="319"/>
    <s v="AM"/>
    <s v="Eixo Principal"/>
    <s v="Coinc"/>
    <s v="319BAM0095"/>
    <s v="RIO TUPÃNA"/>
    <s v="FIM DA PAVIMENTAÇÃO"/>
    <n v="178.5"/>
    <n v="198.9"/>
    <n v="20.399999999999999"/>
    <x v="2"/>
    <m/>
    <s v="174BAM0425"/>
    <s v="Federal"/>
    <m/>
    <m/>
    <m/>
    <s v="Federal"/>
    <s v="PAV"/>
    <s v="Castanho"/>
  </r>
  <r>
    <x v="0"/>
    <s v="319BAM0100"/>
    <n v="0"/>
    <x v="275"/>
    <s v="0100"/>
    <n v="-60.9283082896957"/>
    <n v="-4.3519053902215301"/>
    <n v="-61.180458790340801"/>
    <n v="-4.5579522999586199"/>
    <s v="319"/>
    <s v="AM"/>
    <s v="Eixo Principal"/>
    <s v="Coinc"/>
    <s v="319BAM0100"/>
    <s v="FIM DA PAVIMENTAÇÃO"/>
    <s v="IGARAPÉ ATIÍ"/>
    <n v="198.9"/>
    <n v="237.8"/>
    <n v="38.9"/>
    <x v="5"/>
    <s v="EOP"/>
    <s v="174BAM0420"/>
    <s v="Federal"/>
    <m/>
    <m/>
    <m/>
    <s v="Federal"/>
    <s v="N_PAV"/>
    <s v="Castanho"/>
  </r>
  <r>
    <x v="0"/>
    <s v="319BAM0105"/>
    <n v="0"/>
    <x v="275"/>
    <s v="0105"/>
    <n v="-61.180458790340801"/>
    <n v="-4.5579522999586199"/>
    <n v="-61.268980080066598"/>
    <n v="-4.6596893097138201"/>
    <s v="319"/>
    <s v="AM"/>
    <s v="Eixo Principal"/>
    <s v="Coinc"/>
    <s v="319BAM0105"/>
    <s v="IGARAPÉ ATIÍ"/>
    <s v="ENTR AM-360 (INÍCIO DA IMPLANTAÇÃO)"/>
    <n v="237.8"/>
    <n v="250.7"/>
    <n v="12.9"/>
    <x v="5"/>
    <s v="EOP"/>
    <s v="174BAM0415"/>
    <s v="Federal"/>
    <m/>
    <m/>
    <m/>
    <s v="Federal"/>
    <s v="N_PAV"/>
    <s v="Castanho"/>
  </r>
  <r>
    <x v="0"/>
    <s v="319BAM0110"/>
    <n v="0"/>
    <x v="275"/>
    <s v="0110"/>
    <n v="-61.268980080066598"/>
    <n v="-4.6596893097138201"/>
    <n v="-61.292147869628401"/>
    <n v="-4.7110479100329599"/>
    <s v="319"/>
    <s v="AM"/>
    <s v="Eixo Principal"/>
    <s v="Coinc"/>
    <s v="319BAM0110"/>
    <s v="ENTR AM-360 (INÍCIO DA IMPLANTAÇÃO)"/>
    <s v="INÍCIO TRAVESSIA RIO IGAPÓ AÇU"/>
    <n v="250.7"/>
    <n v="260.7"/>
    <n v="10"/>
    <x v="5"/>
    <m/>
    <s v="174BAM0410"/>
    <s v="Federal"/>
    <m/>
    <m/>
    <m/>
    <s v="Federal"/>
    <s v="N_PAV"/>
    <s v="Castanho"/>
  </r>
  <r>
    <x v="0"/>
    <s v="319BAM0115"/>
    <n v="0"/>
    <x v="275"/>
    <s v="0115"/>
    <n v="-61.292147869628401"/>
    <n v="-4.7110479100329599"/>
    <n v="-61.293053739638303"/>
    <n v="-4.7129171697915204"/>
    <s v="319"/>
    <s v="AM"/>
    <s v="Eixo Principal"/>
    <s v="Coinc"/>
    <s v="319BAM0115"/>
    <s v="INÍCIO TRAVESSIA RIO IGAPÓ AÇU"/>
    <s v="FIM TRAVESSIA RIO IGAPÓ AÇU"/>
    <n v="260.7"/>
    <n v="261.10000000000002"/>
    <n v="0.4"/>
    <x v="4"/>
    <m/>
    <s v="174BAM0405"/>
    <s v="Federal"/>
    <m/>
    <m/>
    <m/>
    <s v="Federal"/>
    <s v="N_PAV"/>
    <s v="Castanho"/>
  </r>
  <r>
    <x v="0"/>
    <s v="319BAM0120"/>
    <n v="0"/>
    <x v="275"/>
    <s v="0120"/>
    <n v="-61.293053739638303"/>
    <n v="-4.7129171697915204"/>
    <n v="-61.4668989198492"/>
    <n v="-4.9042069898606497"/>
    <s v="319"/>
    <s v="AM"/>
    <s v="Eixo Principal"/>
    <s v="Coinc"/>
    <s v="319BAM0120"/>
    <s v="FIM TRAVESSIA RIO IGAPÓ AÇU"/>
    <s v="IGARAPÉ JACARETINGA"/>
    <n v="261.10000000000002"/>
    <n v="289.60000000000002"/>
    <n v="28.5"/>
    <x v="5"/>
    <m/>
    <s v="174BAM0400"/>
    <s v="Federal"/>
    <m/>
    <m/>
    <m/>
    <s v="Federal"/>
    <s v="N_PAV"/>
    <s v="Castanho"/>
  </r>
  <r>
    <x v="0"/>
    <s v="319BAM0125"/>
    <n v="0"/>
    <x v="275"/>
    <s v="0125"/>
    <n v="-61.4668989198492"/>
    <n v="-4.9042069898606497"/>
    <n v="-61.836273790103199"/>
    <n v="-5.2001367799883802"/>
    <s v="319"/>
    <s v="AM"/>
    <s v="Eixo Principal"/>
    <s v="Coinc"/>
    <s v="319BAM0125"/>
    <s v="IGARAPÉ JACARETINGA"/>
    <s v="ENTR BR-174(B)/AM-364"/>
    <n v="289.60000000000002"/>
    <n v="346.2"/>
    <n v="56.6"/>
    <x v="5"/>
    <m/>
    <s v="174BAM0390"/>
    <s v="Federal"/>
    <m/>
    <m/>
    <m/>
    <s v="Federal"/>
    <s v="N_PAV"/>
    <s v="Castanho"/>
  </r>
  <r>
    <x v="0"/>
    <s v="319BAM0130"/>
    <n v="0"/>
    <x v="275"/>
    <s v="0130"/>
    <n v="-61.836273790103199"/>
    <n v="-5.2001367799883802"/>
    <n v="-62.0001958697435"/>
    <n v="-5.3173937599140597"/>
    <s v="319"/>
    <s v="AM"/>
    <s v="Eixo Principal"/>
    <s v="-"/>
    <s v="319BAM0130"/>
    <s v="ENTR BR-174(B)/AM-364"/>
    <s v="IGARAPÉ NOVO"/>
    <n v="346.2"/>
    <n v="367.2"/>
    <n v="21"/>
    <x v="5"/>
    <m/>
    <m/>
    <s v="Federal"/>
    <m/>
    <m/>
    <m/>
    <s v="Federal"/>
    <s v="N_PAV"/>
    <s v="Castanho"/>
  </r>
  <r>
    <x v="0"/>
    <s v="319BAM0135"/>
    <n v="0"/>
    <x v="275"/>
    <s v="0135"/>
    <n v="-62.0001958697435"/>
    <n v="-5.3173937599140597"/>
    <n v="-62.101629829552898"/>
    <n v="-5.45795840006007"/>
    <s v="319"/>
    <s v="AM"/>
    <s v="Eixo Principal"/>
    <s v="-"/>
    <s v="319BAM0135"/>
    <s v="IGARAPÉ NOVO"/>
    <s v="IGARAPÉ JUTAÍ"/>
    <n v="367.2"/>
    <n v="386.2"/>
    <n v="19"/>
    <x v="5"/>
    <m/>
    <m/>
    <s v="Federal"/>
    <m/>
    <m/>
    <m/>
    <s v="Federal"/>
    <s v="N_PAV"/>
    <s v="Castanho"/>
  </r>
  <r>
    <x v="0"/>
    <s v="319BAM0140"/>
    <n v="0"/>
    <x v="275"/>
    <s v="0140"/>
    <n v="-62.101629829552898"/>
    <n v="-5.45795840006007"/>
    <n v="-62.332160049946303"/>
    <n v="-5.81732257038027"/>
    <s v="319"/>
    <s v="AM"/>
    <s v="Eixo Principal"/>
    <s v="-"/>
    <s v="319BAM0140"/>
    <s v="IGARAPÉ JUTAÍ"/>
    <s v="IGARAPÉ CAETANO"/>
    <n v="386.2"/>
    <n v="433.1"/>
    <n v="46.9"/>
    <x v="5"/>
    <m/>
    <m/>
    <s v="Federal"/>
    <m/>
    <m/>
    <m/>
    <s v="Federal"/>
    <s v="N_PAV"/>
    <s v="Castanho"/>
  </r>
  <r>
    <x v="0"/>
    <s v="319BAM0145"/>
    <n v="0"/>
    <x v="275"/>
    <s v="0145"/>
    <n v="-62.332160049946303"/>
    <n v="-5.81732257038027"/>
    <n v="-62.343505219690002"/>
    <n v="-5.8294323302378004"/>
    <s v="319"/>
    <s v="AM"/>
    <s v="Eixo Principal"/>
    <s v="-"/>
    <s v="319BAM0145"/>
    <s v="IGARAPÉ CAETANO"/>
    <s v="IGARAPÉ VELOSO"/>
    <n v="433.1"/>
    <n v="434.9"/>
    <n v="1.8"/>
    <x v="5"/>
    <m/>
    <m/>
    <s v="Federal"/>
    <m/>
    <m/>
    <m/>
    <s v="Federal"/>
    <s v="N_PAV"/>
    <s v="Humaitá"/>
  </r>
  <r>
    <x v="0"/>
    <s v="319BAM0150"/>
    <n v="0"/>
    <x v="275"/>
    <s v="0150"/>
    <n v="-62.343505219690002"/>
    <n v="-5.8294323302378004"/>
    <n v="-62.542992799977597"/>
    <n v="-6.0555905001014496"/>
    <s v="319"/>
    <s v="AM"/>
    <s v="Eixo Principal"/>
    <s v="-"/>
    <s v="319BAM0150"/>
    <s v="IGARAPÉ VELOSO"/>
    <s v="ENTR AM-366"/>
    <n v="434.9"/>
    <n v="469.6"/>
    <n v="34.700000000000003"/>
    <x v="5"/>
    <m/>
    <m/>
    <s v="Federal"/>
    <m/>
    <m/>
    <m/>
    <s v="Federal"/>
    <s v="N_PAV"/>
    <s v="Humaitá"/>
  </r>
  <r>
    <x v="0"/>
    <s v="319BAM0155"/>
    <n v="0"/>
    <x v="275"/>
    <s v="0155"/>
    <n v="-62.542992799977597"/>
    <n v="-6.0555905001014496"/>
    <n v="-62.808207680040297"/>
    <n v="-6.3708586001442304"/>
    <s v="319"/>
    <s v="AM"/>
    <s v="Eixo Principal"/>
    <s v="-"/>
    <s v="319BAM0155"/>
    <s v="ENTR AM-366"/>
    <s v="IGARAPÉ PIQUIÁ"/>
    <n v="469.6"/>
    <n v="513.79999999999995"/>
    <n v="44.2"/>
    <x v="5"/>
    <m/>
    <m/>
    <s v="Federal"/>
    <m/>
    <m/>
    <m/>
    <s v="Federal"/>
    <s v="N_PAV"/>
    <s v="Humaitá"/>
  </r>
  <r>
    <x v="0"/>
    <s v="319BAM0160"/>
    <n v="0"/>
    <x v="275"/>
    <s v="0160"/>
    <n v="-62.808207680040297"/>
    <n v="-6.3708586001442304"/>
    <n v="-62.863721540316803"/>
    <n v="-6.4298387200807898"/>
    <s v="319"/>
    <s v="AM"/>
    <s v="Eixo Principal"/>
    <s v="-"/>
    <s v="319BAM0160"/>
    <s v="IGARAPÉ PIQUIÁ"/>
    <s v="IGARAPÉ PURUZINHO"/>
    <n v="513.79999999999995"/>
    <n v="522.70000000000005"/>
    <n v="8.9"/>
    <x v="5"/>
    <m/>
    <m/>
    <s v="Federal"/>
    <m/>
    <m/>
    <m/>
    <s v="Federal"/>
    <s v="N_PAV"/>
    <s v="Humaitá"/>
  </r>
  <r>
    <x v="0"/>
    <s v="319BAM0165"/>
    <n v="0"/>
    <x v="275"/>
    <s v="0165"/>
    <n v="-62.863721540316803"/>
    <n v="-6.4298387200807898"/>
    <n v="-62.970905300339297"/>
    <n v="-6.6896511801577896"/>
    <s v="319"/>
    <s v="AM"/>
    <s v="Eixo Principal"/>
    <s v="-"/>
    <s v="319BAM0165"/>
    <s v="IGARAPÉ PURUZINHO"/>
    <s v="IGARAPÉ ACARÁ"/>
    <n v="522.70000000000005"/>
    <n v="554.20000000000005"/>
    <n v="31.5"/>
    <x v="5"/>
    <m/>
    <m/>
    <s v="Federal"/>
    <m/>
    <m/>
    <m/>
    <s v="Federal"/>
    <s v="N_PAV"/>
    <s v="Humaitá"/>
  </r>
  <r>
    <x v="0"/>
    <s v="319BAM0170"/>
    <n v="0"/>
    <x v="275"/>
    <s v="0170"/>
    <n v="-62.970905300339297"/>
    <n v="-6.6896511801577896"/>
    <n v="-63.040421710093803"/>
    <n v="-6.8301349901376502"/>
    <s v="319"/>
    <s v="AM"/>
    <s v="Eixo Principal"/>
    <s v="-"/>
    <s v="319BAM0170"/>
    <s v="IGARAPÉ ACARÁ"/>
    <s v="IGARAPÉ NAZARÉ"/>
    <n v="554.20000000000005"/>
    <n v="571.79999999999995"/>
    <n v="17.600000000000001"/>
    <x v="5"/>
    <m/>
    <m/>
    <s v="Federal"/>
    <m/>
    <m/>
    <m/>
    <s v="Federal"/>
    <s v="N_PAV"/>
    <s v="Humaitá"/>
  </r>
  <r>
    <x v="0"/>
    <s v="319BAM0175"/>
    <n v="0"/>
    <x v="275"/>
    <s v="0175"/>
    <n v="-63.040421710093803"/>
    <n v="-6.8301349901376502"/>
    <n v="-63.058605339964402"/>
    <n v="-6.85983390011432"/>
    <s v="319"/>
    <s v="AM"/>
    <s v="Eixo Principal"/>
    <s v="-"/>
    <s v="319BAM0175"/>
    <s v="IGARAPÉ NAZARÉ"/>
    <s v="IGARAPÉ SANTO ANTÔNIO"/>
    <n v="571.79999999999995"/>
    <n v="575.70000000000005"/>
    <n v="3.9"/>
    <x v="5"/>
    <m/>
    <m/>
    <s v="Federal"/>
    <m/>
    <m/>
    <m/>
    <s v="Federal"/>
    <s v="N_PAV"/>
    <s v="Humaitá"/>
  </r>
  <r>
    <x v="0"/>
    <s v="319BAM0180"/>
    <n v="0"/>
    <x v="275"/>
    <s v="0180"/>
    <n v="-63.058605339964402"/>
    <n v="-6.85983390011432"/>
    <n v="-63.0987535699212"/>
    <n v="-6.98601910020124"/>
    <s v="319"/>
    <s v="AM"/>
    <s v="Eixo Principal"/>
    <s v="-"/>
    <s v="319BAM0180"/>
    <s v="IGARAPÉ SANTO ANTÔNIO"/>
    <s v="IGARAPÉ REALIDADE"/>
    <n v="575.70000000000005"/>
    <n v="590.1"/>
    <n v="14.4"/>
    <x v="5"/>
    <m/>
    <m/>
    <s v="Federal"/>
    <m/>
    <m/>
    <m/>
    <s v="Federal"/>
    <s v="N_PAV"/>
    <s v="Humaitá"/>
  </r>
  <r>
    <x v="0"/>
    <s v="319BAM0185"/>
    <n v="0"/>
    <x v="275"/>
    <s v="0185"/>
    <n v="-63.0987535699212"/>
    <n v="-6.98601910020124"/>
    <n v="-63.110026200348798"/>
    <n v="-7.0846292904093904"/>
    <s v="319"/>
    <s v="AM"/>
    <s v="Eixo Principal"/>
    <s v="-"/>
    <s v="319BAM0185"/>
    <s v="IGARAPÉ REALIDADE"/>
    <s v="IGARAPÉ FORTALEZA"/>
    <n v="590.1"/>
    <n v="601"/>
    <n v="10.9"/>
    <x v="5"/>
    <m/>
    <m/>
    <s v="Federal"/>
    <m/>
    <m/>
    <m/>
    <s v="Federal"/>
    <s v="N_PAV"/>
    <s v="Humaitá"/>
  </r>
  <r>
    <x v="0"/>
    <s v="319BAM0190"/>
    <n v="0"/>
    <x v="275"/>
    <s v="0190"/>
    <n v="-63.110026200348798"/>
    <n v="-7.0846292904093904"/>
    <n v="-63.269332960147899"/>
    <n v="-7.5639056503254603"/>
    <s v="319"/>
    <s v="AM"/>
    <s v="Eixo Principal"/>
    <s v="-"/>
    <s v="319BAM0190"/>
    <s v="IGARAPÉ FORTALEZA"/>
    <s v="ENTR BR-230(A)"/>
    <n v="601"/>
    <n v="656.4"/>
    <n v="55.4"/>
    <x v="5"/>
    <m/>
    <m/>
    <s v="Federal"/>
    <m/>
    <m/>
    <m/>
    <s v="Federal"/>
    <s v="N_PAV"/>
    <s v="Humaitá"/>
  </r>
  <r>
    <x v="0"/>
    <s v="319BAM0195"/>
    <n v="0"/>
    <x v="275"/>
    <s v="0195"/>
    <n v="-63.269332960147899"/>
    <n v="-7.5639056503254603"/>
    <n v="-63.174998199107499"/>
    <n v="-7.5938092406039397"/>
    <s v="319"/>
    <s v="AM"/>
    <s v="Eixo Principal"/>
    <s v="Coinc"/>
    <s v="319BAM0195"/>
    <s v="ENTR BR-230(A)"/>
    <s v="IGARAPÉ DO RETIRO"/>
    <n v="656.4"/>
    <n v="667.5"/>
    <n v="11.1"/>
    <x v="2"/>
    <m/>
    <s v="230BAM2055"/>
    <s v="Federal"/>
    <m/>
    <m/>
    <m/>
    <s v="Federal"/>
    <s v="PAV"/>
    <s v="Humaitá"/>
  </r>
  <r>
    <x v="0"/>
    <s v="319BAM0200"/>
    <n v="0"/>
    <x v="275"/>
    <s v="0200"/>
    <n v="-63.174998199107499"/>
    <n v="-7.5938092406039397"/>
    <n v="-63.111403889777598"/>
    <n v="-7.5736108271778999"/>
    <s v="319"/>
    <s v="AM"/>
    <s v="Eixo Principal"/>
    <s v="Coinc"/>
    <s v="319BAM0200"/>
    <s v="IGARAPÉ DO RETIRO"/>
    <s v="IGARAPÉ BOM FUTURO"/>
    <n v="667.5"/>
    <n v="674.8"/>
    <n v="7.3"/>
    <x v="2"/>
    <m/>
    <s v="230BAM2050"/>
    <s v="Federal"/>
    <m/>
    <m/>
    <m/>
    <s v="Federal"/>
    <s v="PAV"/>
    <s v="Humaitá"/>
  </r>
  <r>
    <x v="0"/>
    <s v="319BAM0205"/>
    <n v="0"/>
    <x v="275"/>
    <s v="0205"/>
    <n v="-63.111403889777598"/>
    <n v="-7.5736108271778999"/>
    <n v="-63.077513659727501"/>
    <n v="-7.5508836298755497"/>
    <s v="319"/>
    <s v="AM"/>
    <s v="Eixo Principal"/>
    <s v="Coinc"/>
    <s v="319BAM0205"/>
    <s v="IGARAPÉ BOM FUTURO"/>
    <s v="ENTR BR-230(B) (P/HUMAITÁ)"/>
    <n v="674.8"/>
    <n v="679.3"/>
    <n v="4.5"/>
    <x v="2"/>
    <m/>
    <s v="230BAM2045"/>
    <s v="Federal"/>
    <m/>
    <m/>
    <m/>
    <s v="Federal"/>
    <s v="PAV"/>
    <s v="Humaitá"/>
  </r>
  <r>
    <x v="0"/>
    <s v="319BAM0210"/>
    <n v="0"/>
    <x v="275"/>
    <s v="0210"/>
    <n v="-63.077513659727501"/>
    <n v="-7.5508836298755497"/>
    <n v="-63.148662580013898"/>
    <n v="-7.7683812403019399"/>
    <s v="319"/>
    <s v="AM"/>
    <s v="Eixo Principal"/>
    <s v="-"/>
    <s v="319BAM0210"/>
    <s v="ENTR BR-230(B) (P/HUMAITÁ)"/>
    <s v="IGARAPÉ BEÉN"/>
    <n v="679.3"/>
    <n v="706.7"/>
    <n v="27.4"/>
    <x v="2"/>
    <m/>
    <m/>
    <s v="Federal"/>
    <m/>
    <m/>
    <m/>
    <s v="Federal"/>
    <s v="PAV"/>
    <s v="Humaitá"/>
  </r>
  <r>
    <x v="0"/>
    <s v="319BAM0215"/>
    <n v="0"/>
    <x v="275"/>
    <s v="0215"/>
    <n v="-63.148662580013898"/>
    <n v="-7.7683812403019399"/>
    <n v="-63.335005820362198"/>
    <n v="-7.9317704095766999"/>
    <s v="319"/>
    <s v="AM"/>
    <s v="Eixo Principal"/>
    <s v="-"/>
    <s v="319BAM0215"/>
    <s v="IGARAPÉ BEÉN"/>
    <s v="IGARAPÉ SÃO JOÃO"/>
    <n v="706.7"/>
    <n v="734.3"/>
    <n v="27.6"/>
    <x v="2"/>
    <m/>
    <m/>
    <s v="Federal"/>
    <m/>
    <m/>
    <m/>
    <s v="Federal"/>
    <s v="PAV"/>
    <s v="Humaitá"/>
  </r>
  <r>
    <x v="0"/>
    <s v="319BAM0220"/>
    <n v="0"/>
    <x v="275"/>
    <s v="0220"/>
    <n v="-63.335005820362198"/>
    <n v="-7.9317704095766999"/>
    <n v="-63.361893410052801"/>
    <n v="-7.9537506003098803"/>
    <s v="319"/>
    <s v="AM"/>
    <s v="Eixo Principal"/>
    <s v="-"/>
    <s v="319BAM0220"/>
    <s v="IGARAPÉ SÃO JOÃO"/>
    <s v="DIV AM/RO"/>
    <n v="734.3"/>
    <n v="741"/>
    <n v="6.7"/>
    <x v="2"/>
    <m/>
    <m/>
    <s v="Federal"/>
    <m/>
    <m/>
    <m/>
    <s v="Federal"/>
    <s v="PAV"/>
    <s v="Humaitá"/>
  </r>
  <r>
    <x v="0"/>
    <s v="319BAM0235"/>
    <n v="0"/>
    <x v="275"/>
    <s v="0235"/>
    <n v="-63.647605450231303"/>
    <n v="-8.0990214799572797"/>
    <n v="-63.740952594686398"/>
    <n v="-8.1387614752618394"/>
    <s v="319"/>
    <s v="AM"/>
    <s v="Eixo Principal"/>
    <s v="-"/>
    <s v="319BAM0235"/>
    <s v="DIV RO/AM"/>
    <s v="IGARAPÉ SÃO BERNARDO"/>
    <n v="741"/>
    <n v="753"/>
    <n v="12"/>
    <x v="2"/>
    <m/>
    <m/>
    <s v="Federal"/>
    <m/>
    <m/>
    <m/>
    <s v="Federal"/>
    <s v="PAV"/>
    <s v="Humaitá"/>
  </r>
  <r>
    <x v="0"/>
    <s v="319BAM0240"/>
    <n v="0"/>
    <x v="275"/>
    <s v="0240"/>
    <n v="-63.740952594686398"/>
    <n v="-8.1387614752618394"/>
    <n v="-63.866315968207303"/>
    <n v="-8.1982295502534708"/>
    <s v="319"/>
    <s v="AM"/>
    <s v="Eixo Principal"/>
    <s v="-"/>
    <s v="319BAM0240"/>
    <s v="IGARAPÉ SÃO BERNARDO"/>
    <s v="IGARAPÉ IÇUÃ"/>
    <n v="753"/>
    <n v="769"/>
    <n v="16"/>
    <x v="2"/>
    <m/>
    <m/>
    <s v="Federal"/>
    <m/>
    <m/>
    <m/>
    <s v="Federal"/>
    <s v="PAV"/>
    <s v="Humaitá"/>
  </r>
  <r>
    <x v="0"/>
    <s v="319BAM0250"/>
    <n v="0"/>
    <x v="275"/>
    <s v="0250"/>
    <n v="-63.866315968207303"/>
    <n v="-8.1982295502534708"/>
    <n v="-63.886371385830699"/>
    <n v="-8.2043214426803903"/>
    <s v="319"/>
    <s v="AM"/>
    <s v="Eixo Principal"/>
    <s v="-"/>
    <s v="319BAM0250"/>
    <s v="IGARAPÉ IÇUÃ"/>
    <s v="IGARAPÉ CASTANHALZINHO"/>
    <n v="769"/>
    <n v="771.4"/>
    <n v="2.4"/>
    <x v="2"/>
    <m/>
    <m/>
    <s v="Federal"/>
    <m/>
    <m/>
    <m/>
    <s v="Federal"/>
    <s v="PAV"/>
    <s v="Humaitá"/>
  </r>
  <r>
    <x v="0"/>
    <s v="319BAM0260"/>
    <n v="0"/>
    <x v="275"/>
    <s v="0260"/>
    <n v="-63.886371385830699"/>
    <n v="-8.2043214426803903"/>
    <n v="-63.9116586463294"/>
    <n v="-8.2112434426307406"/>
    <s v="319"/>
    <s v="AM"/>
    <s v="Eixo Principal"/>
    <s v="-"/>
    <s v="319BAM0260"/>
    <s v="IGARAPÉ CASTANHALZINHO"/>
    <s v="IGARAPÉ PRETO"/>
    <n v="771.4"/>
    <n v="774.4"/>
    <n v="3"/>
    <x v="2"/>
    <m/>
    <m/>
    <s v="Federal"/>
    <m/>
    <m/>
    <m/>
    <s v="Federal"/>
    <s v="PAV"/>
    <s v="Humaitá"/>
  </r>
  <r>
    <x v="0"/>
    <s v="319BAM0265"/>
    <n v="0"/>
    <x v="275"/>
    <s v="0265"/>
    <n v="-63.9116586463294"/>
    <n v="-8.2112434426307406"/>
    <n v="-63.953731939877002"/>
    <n v="-8.3502702501718797"/>
    <s v="319"/>
    <s v="AM"/>
    <s v="Eixo Principal"/>
    <s v="-"/>
    <s v="319BAM0265"/>
    <s v="IGARAPÉ PRETO"/>
    <s v="DIV AM/RO"/>
    <n v="774.4"/>
    <n v="791.6"/>
    <n v="17.2"/>
    <x v="2"/>
    <m/>
    <m/>
    <s v="Federal"/>
    <m/>
    <m/>
    <m/>
    <s v="Federal"/>
    <s v="PAV"/>
    <s v="Humaitá"/>
  </r>
  <r>
    <x v="0"/>
    <s v="319BAM0275"/>
    <n v="0"/>
    <x v="275"/>
    <s v="0275"/>
    <n v="-63.956749779578601"/>
    <n v="-8.3672126303585497"/>
    <n v="-63.964316265183399"/>
    <n v="-8.41073273792545"/>
    <s v="319"/>
    <s v="AM"/>
    <s v="Eixo Principal"/>
    <s v="-"/>
    <s v="319BAM0275"/>
    <s v="DIV RO/AM"/>
    <s v="IGARAPÉ GALO"/>
    <n v="791.6"/>
    <n v="796.4"/>
    <n v="4.8"/>
    <x v="2"/>
    <m/>
    <m/>
    <s v="Federal"/>
    <m/>
    <m/>
    <m/>
    <s v="Federal"/>
    <s v="PAV"/>
    <s v="Humaitá"/>
  </r>
  <r>
    <x v="0"/>
    <s v="319BAM0280"/>
    <n v="0"/>
    <x v="275"/>
    <s v="0280"/>
    <n v="-63.964316265183399"/>
    <n v="-8.41073273792545"/>
    <n v="-63.985473411668501"/>
    <n v="-8.53797066821169"/>
    <s v="319"/>
    <s v="AM"/>
    <s v="Eixo Principal"/>
    <s v="-"/>
    <s v="319BAM0280"/>
    <s v="IGARAPÉ GALO"/>
    <s v="IGARAPÉ BEM-TE-VI"/>
    <n v="796.4"/>
    <n v="810.4"/>
    <n v="14"/>
    <x v="2"/>
    <m/>
    <m/>
    <s v="Federal"/>
    <m/>
    <m/>
    <m/>
    <s v="Federal"/>
    <s v="PAV"/>
    <s v="Humaitá"/>
  </r>
  <r>
    <x v="0"/>
    <s v="319BAM0290"/>
    <n v="0"/>
    <x v="275"/>
    <s v="0290"/>
    <n v="-63.985473411668501"/>
    <n v="-8.53797066821169"/>
    <n v="-63.996230100138902"/>
    <n v="-8.6346060803062894"/>
    <s v="319"/>
    <s v="AM"/>
    <s v="Eixo Principal"/>
    <s v="-"/>
    <s v="319BAM0290"/>
    <s v="IGARAPÉ BEM-TE-VI"/>
    <s v="DIV AM/RO"/>
    <n v="810.4"/>
    <n v="821"/>
    <n v="10.6"/>
    <x v="2"/>
    <m/>
    <m/>
    <s v="Federal"/>
    <m/>
    <m/>
    <m/>
    <s v="Federal"/>
    <s v="PAV"/>
    <s v="Humaitá"/>
  </r>
  <r>
    <x v="0"/>
    <s v="319BRO0225"/>
    <n v="0"/>
    <x v="276"/>
    <s v="0225"/>
    <n v="-63.361893410052801"/>
    <n v="-7.9537506003098803"/>
    <n v="-63.596074782625003"/>
    <n v="-8.0750347992165494"/>
    <s v="319"/>
    <s v="RO"/>
    <s v="Eixo Principal"/>
    <s v="-"/>
    <s v="319BRO0225"/>
    <s v="DIV AM/RO"/>
    <s v="IGARAPÉ DO ÍNDIO"/>
    <n v="0"/>
    <n v="30.3"/>
    <n v="30.3"/>
    <x v="2"/>
    <m/>
    <m/>
    <s v="Federal"/>
    <m/>
    <m/>
    <m/>
    <s v="Federal"/>
    <s v="PAV"/>
    <s v="Humaitá/AM"/>
  </r>
  <r>
    <x v="0"/>
    <s v="319BRO0230"/>
    <n v="0"/>
    <x v="276"/>
    <s v="0230"/>
    <n v="-63.596074782625003"/>
    <n v="-8.0750347992165494"/>
    <n v="-63.647605450231303"/>
    <n v="-8.0990214799572797"/>
    <s v="319"/>
    <s v="RO"/>
    <s v="Eixo Principal"/>
    <s v="-"/>
    <s v="319BRO0230"/>
    <s v="IGARAPÉ DO ÍNDIO"/>
    <s v="DIV RO/AM"/>
    <n v="30.3"/>
    <n v="36.9"/>
    <n v="6.6"/>
    <x v="2"/>
    <m/>
    <m/>
    <s v="Federal"/>
    <m/>
    <m/>
    <m/>
    <s v="Federal"/>
    <s v="PAV"/>
    <s v="Humaitá/AM"/>
  </r>
  <r>
    <x v="0"/>
    <s v="319BRO0270"/>
    <n v="0"/>
    <x v="276"/>
    <s v="0270"/>
    <n v="-63.953731939877002"/>
    <n v="-8.3502702501718797"/>
    <n v="-63.956749779578601"/>
    <n v="-8.3672126303585497"/>
    <s v="319"/>
    <s v="RO"/>
    <s v="Eixo Principal"/>
    <s v="-"/>
    <s v="319BRO0270"/>
    <s v="DIV AM/RO"/>
    <s v="DIV RO/AM"/>
    <n v="36.9"/>
    <n v="39.4"/>
    <n v="2.5"/>
    <x v="2"/>
    <m/>
    <m/>
    <s v="Federal"/>
    <m/>
    <m/>
    <m/>
    <s v="Federal"/>
    <s v="PAV"/>
    <s v="Humaitá/AM"/>
  </r>
  <r>
    <x v="0"/>
    <s v="319BRO0310"/>
    <n v="0"/>
    <x v="276"/>
    <s v="0310"/>
    <n v="-63.996230100138902"/>
    <n v="-8.6346060803062894"/>
    <n v="-63.926138430044404"/>
    <n v="-8.7382139497139502"/>
    <s v="319"/>
    <s v="RO"/>
    <s v="Eixo Principal"/>
    <s v="-"/>
    <s v="319BRO0310"/>
    <s v="DIV AM/RO"/>
    <s v="INÍCIO PONTE SOBRE O RIO MADEIRA"/>
    <n v="39.4"/>
    <n v="56.7"/>
    <n v="17.3"/>
    <x v="2"/>
    <m/>
    <m/>
    <s v="Federal"/>
    <m/>
    <m/>
    <m/>
    <s v="Federal"/>
    <s v="PAV"/>
    <s v="Humaitá/AM"/>
  </r>
  <r>
    <x v="0"/>
    <s v="319BRO0330"/>
    <n v="0"/>
    <x v="276"/>
    <s v="0330"/>
    <n v="-63.926138430044404"/>
    <n v="-8.7382139497139502"/>
    <n v="-63.917995380082601"/>
    <n v="-8.7373012097829701"/>
    <s v="319"/>
    <s v="RO"/>
    <s v="Eixo Principal"/>
    <s v="-"/>
    <s v="319BRO0330"/>
    <s v="INÍCIO PONTE SOBRE O RIO MADEIRA"/>
    <s v="FIM PONTE SOBRE O RIO MADEIRA"/>
    <n v="56.7"/>
    <n v="57.7"/>
    <n v="1"/>
    <x v="2"/>
    <m/>
    <m/>
    <s v="Federal"/>
    <m/>
    <m/>
    <m/>
    <s v="Federal"/>
    <s v="PAV"/>
    <s v="Porto Velho"/>
  </r>
  <r>
    <x v="0"/>
    <s v="319BRO0335"/>
    <n v="0"/>
    <x v="276"/>
    <s v="0335"/>
    <n v="-63.917995380082601"/>
    <n v="-8.7373012097829701"/>
    <n v="-63.915323989810197"/>
    <n v="-8.7433562003283196"/>
    <s v="319"/>
    <s v="RO"/>
    <s v="Eixo Principal"/>
    <s v="-"/>
    <s v="319BRO0335"/>
    <s v="FIM PONTE SOBRE O RIO MADEIRA"/>
    <s v="INICIO PISTA DUPLA (PORTO GRANELEIRO)"/>
    <n v="57.7"/>
    <n v="58.4"/>
    <n v="0.7"/>
    <x v="2"/>
    <m/>
    <m/>
    <s v="Federal"/>
    <m/>
    <m/>
    <m/>
    <s v="Federal"/>
    <s v="PAV"/>
    <s v="Porto Velho"/>
  </r>
  <r>
    <x v="0"/>
    <s v="319BRO0340"/>
    <n v="0"/>
    <x v="276"/>
    <s v="0340"/>
    <n v="-63.915323989810197"/>
    <n v="-8.7433562003283196"/>
    <n v="-63.9025615101055"/>
    <n v="-8.7423379096667304"/>
    <s v="319"/>
    <s v="RO"/>
    <s v="Eixo Principal"/>
    <s v="-"/>
    <s v="319BRO0340"/>
    <s v="INICIO PISTA DUPLA (PORTO GRANELEIRO)"/>
    <s v="PORTO VELHO (ENTR. AV. LAURO SODRE)"/>
    <n v="58.4"/>
    <n v="59.9"/>
    <n v="1.5"/>
    <x v="0"/>
    <m/>
    <m/>
    <s v="Federal"/>
    <m/>
    <m/>
    <m/>
    <s v="Federal"/>
    <s v="PAV"/>
    <s v="Porto Velho"/>
  </r>
  <r>
    <x v="0"/>
    <s v="319BRO0345"/>
    <n v="0"/>
    <x v="276"/>
    <s v="0345"/>
    <n v="-63.9025615101055"/>
    <n v="-8.7423379096667304"/>
    <n v="-63.889833659695597"/>
    <n v="-8.7400844199599401"/>
    <s v="319"/>
    <s v="RO"/>
    <s v="Eixo Principal"/>
    <s v="-"/>
    <s v="319BRO0345"/>
    <s v="PORTO VELHO (ENTR. AV. LAURO SODRE)"/>
    <s v="PORTO VELHO (ENTR. AV. JORGE TEIXEIRA)"/>
    <n v="59.9"/>
    <n v="61.3"/>
    <n v="1.4"/>
    <x v="0"/>
    <m/>
    <m/>
    <s v="Federal"/>
    <m/>
    <m/>
    <m/>
    <s v="Federal"/>
    <s v="PAV"/>
    <s v="Porto Velho"/>
  </r>
  <r>
    <x v="0"/>
    <s v="319BRO0350"/>
    <n v="0"/>
    <x v="276"/>
    <s v="0350"/>
    <n v="-63.889833659695597"/>
    <n v="-8.7400844199599401"/>
    <n v="-63.8829202896396"/>
    <n v="-8.7706054496817298"/>
    <s v="319"/>
    <s v="RO"/>
    <s v="Eixo Principal"/>
    <s v="-"/>
    <s v="319BRO0350"/>
    <s v="PORTO VELHO (ENTR. AV. JORGE TEIXEIRA)"/>
    <s v="ENTR BR-364 (PORTO VELHO (TREVO DO ROQUE))"/>
    <n v="61.3"/>
    <n v="64.900000000000006"/>
    <n v="3.6"/>
    <x v="0"/>
    <m/>
    <m/>
    <s v="Federal"/>
    <m/>
    <m/>
    <m/>
    <s v="Federal"/>
    <s v="PAV"/>
    <s v="Porto Velho"/>
  </r>
  <r>
    <x v="0"/>
    <s v="319CRO1005"/>
    <n v="0"/>
    <x v="277"/>
    <s v="1005"/>
    <n v="-63.917995380082601"/>
    <n v="-8.7373012097829701"/>
    <n v="-63.738612080283197"/>
    <n v="-8.8004646602158196"/>
    <s v="319"/>
    <s v="RO"/>
    <s v="Contorno"/>
    <s v="-"/>
    <s v="319CRO1005"/>
    <s v="ENTR BR-319 (FIM TRAV RIO MADEIRA)"/>
    <s v="ENTR BR-364 (PRÓX P RODV FEDERAL - CONT NORTE P VELHO)"/>
    <n v="0"/>
    <n v="32.9"/>
    <n v="32.9"/>
    <x v="1"/>
    <m/>
    <m/>
    <s v="Federal"/>
    <m/>
    <m/>
    <m/>
    <s v="Federal"/>
    <s v="PLA"/>
    <s v="Porto Velho"/>
  </r>
  <r>
    <x v="0"/>
    <s v="324ABA1005"/>
    <n v="0"/>
    <x v="278"/>
    <s v="1005"/>
    <n v="-38.936028859644097"/>
    <n v="-12.272506970120499"/>
    <n v="-38.988337289733998"/>
    <n v="-12.2689209801191"/>
    <s v="324"/>
    <s v="BA"/>
    <s v="Acesso"/>
    <s v="-"/>
    <s v="324ABA1005"/>
    <s v="ENTR BR-324 (CONTORNO DE FEIRA DE SANTANA)"/>
    <s v="ENTR BR-116"/>
    <n v="0"/>
    <n v="8.6999999999999993"/>
    <n v="8.6999999999999993"/>
    <x v="0"/>
    <m/>
    <m/>
    <s v="Concessão Federal"/>
    <m/>
    <m/>
    <m/>
    <s v="Federal"/>
    <s v="PAV"/>
    <s v="Feira de Santana"/>
  </r>
  <r>
    <x v="0"/>
    <s v="324ABA2005"/>
    <n v="0"/>
    <x v="278"/>
    <s v="2005"/>
    <n v="-38.476688789555901"/>
    <n v="-12.9678175195628"/>
    <n v="-38.5055880799259"/>
    <n v="-12.9580806200245"/>
    <s v="324"/>
    <s v="BA"/>
    <s v="Acesso"/>
    <s v="-"/>
    <s v="324ABA2005"/>
    <s v="ENTR BR-324"/>
    <s v="PORTO DE SALVADOR (VIA EXPRESSA)"/>
    <n v="0"/>
    <n v="4.3"/>
    <n v="4.3"/>
    <x v="0"/>
    <m/>
    <s v="420BBA0095"/>
    <s v="Federal"/>
    <m/>
    <m/>
    <m/>
    <s v="Federal"/>
    <s v="PAV"/>
    <s v="Feira de Santana"/>
  </r>
  <r>
    <x v="0"/>
    <s v="324BBA0150"/>
    <n v="0"/>
    <x v="279"/>
    <s v="0150"/>
    <n v="-42.363559629573203"/>
    <n v="-9.3816650196249007"/>
    <n v="-42.095884959822897"/>
    <n v="-9.6096924096769296"/>
    <s v="324"/>
    <s v="BA"/>
    <s v="Eixo Principal"/>
    <s v="-"/>
    <s v="324BBA0150"/>
    <s v="DIV PI/BA"/>
    <s v="ENTR BR-235(A) (REMANSO)"/>
    <n v="0"/>
    <n v="39.5"/>
    <n v="39.5"/>
    <x v="1"/>
    <m/>
    <m/>
    <s v="Estadual"/>
    <m/>
    <s v="BAT-324"/>
    <s v="PAV"/>
    <s v="Estadual"/>
    <s v="PLA"/>
    <s v="Senhor do Bonfim"/>
  </r>
  <r>
    <x v="0"/>
    <s v="324BBA0155"/>
    <n v="0"/>
    <x v="279"/>
    <s v="0155"/>
    <n v="-42.095884959822897"/>
    <n v="-9.6096924096769296"/>
    <n v="-42.086052789704397"/>
    <n v="-9.6256697498590107"/>
    <s v="324"/>
    <s v="BA"/>
    <s v="Eixo Principal"/>
    <s v="Coinc"/>
    <s v="324BBA0155"/>
    <s v="ENTR BR-235(A) (REMANSO)"/>
    <s v="ENTR BR-235(B)"/>
    <n v="39.5"/>
    <n v="41.3"/>
    <n v="1.8"/>
    <x v="2"/>
    <m/>
    <s v="235BBA0325"/>
    <s v="Federal"/>
    <m/>
    <m/>
    <m/>
    <s v="Federal"/>
    <s v="PAV"/>
    <s v="Senhor do Bonfim"/>
  </r>
  <r>
    <x v="0"/>
    <s v="324BBA0160"/>
    <n v="0"/>
    <x v="279"/>
    <s v="0160"/>
    <n v="-42.086052789704397"/>
    <n v="-9.6256697498590107"/>
    <n v="-41.882710060420798"/>
    <n v="-9.7435699896632197"/>
    <s v="324"/>
    <s v="BA"/>
    <s v="Eixo Principal"/>
    <s v="-"/>
    <s v="324BBA0160"/>
    <s v="ENTR BR-235/BA-161 (REMANSO)"/>
    <s v="ENTR BA-210(A) (P/SENTO SÉ)"/>
    <n v="41.3"/>
    <n v="65.3"/>
    <n v="24"/>
    <x v="4"/>
    <m/>
    <m/>
    <s v="Federal"/>
    <m/>
    <m/>
    <m/>
    <s v="Federal"/>
    <s v="N_PAV"/>
    <s v="Senhor do Bonfim"/>
  </r>
  <r>
    <x v="0"/>
    <s v="324BBA0170"/>
    <n v="0"/>
    <x v="279"/>
    <s v="0170"/>
    <n v="-41.882710060420798"/>
    <n v="-9.7435699896632197"/>
    <n v="-41.7940300601391"/>
    <n v="-9.8757699895933193"/>
    <s v="324"/>
    <s v="BA"/>
    <s v="Eixo Principal"/>
    <s v="-"/>
    <s v="324BBA0170"/>
    <s v="ENTR BA-210(A) (P/SENTO SÉ)"/>
    <s v="ENTR BA-210(B)"/>
    <n v="65.3"/>
    <n v="82.8"/>
    <n v="17.5"/>
    <x v="1"/>
    <m/>
    <m/>
    <s v="Estadual"/>
    <m/>
    <s v="BA-210"/>
    <s v="PAV"/>
    <s v="Estadual"/>
    <s v="PLA"/>
    <s v="Senhor do Bonfim"/>
  </r>
  <r>
    <x v="0"/>
    <s v="324BBA0180"/>
    <n v="0"/>
    <x v="279"/>
    <s v="0180"/>
    <n v="-41.7940300601391"/>
    <n v="-9.8757699895933193"/>
    <n v="-41.672052660201999"/>
    <n v="-10.1478478695834"/>
    <s v="324"/>
    <s v="BA"/>
    <s v="Eixo Principal"/>
    <s v="-"/>
    <s v="324BBA0180"/>
    <s v="ENTR BA-210(B)"/>
    <s v="RIACHO DO MARI"/>
    <n v="82.8"/>
    <n v="114.8"/>
    <n v="32"/>
    <x v="1"/>
    <m/>
    <m/>
    <s v="Federal"/>
    <m/>
    <m/>
    <m/>
    <s v="Federal"/>
    <s v="PLA"/>
    <s v="Senhor do Bonfim"/>
  </r>
  <r>
    <x v="0"/>
    <s v="324BBA0185"/>
    <n v="0"/>
    <x v="279"/>
    <s v="0185"/>
    <n v="-41.672052660201999"/>
    <n v="-10.1478478695834"/>
    <n v="-41.313335130311899"/>
    <n v="-10.718500960250999"/>
    <s v="324"/>
    <s v="BA"/>
    <s v="Eixo Principal"/>
    <s v="-"/>
    <s v="324BBA0185"/>
    <s v="RIACHO DO MARI"/>
    <s v="ENTR BA-368(A) (UMBURANAS)"/>
    <n v="114.8"/>
    <n v="189.8"/>
    <n v="75"/>
    <x v="1"/>
    <m/>
    <m/>
    <s v="Federal"/>
    <m/>
    <m/>
    <m/>
    <s v="Federal"/>
    <s v="PLA"/>
    <s v="Senhor do Bonfim"/>
  </r>
  <r>
    <x v="0"/>
    <s v="324BBA0190"/>
    <n v="0"/>
    <x v="279"/>
    <s v="0190"/>
    <n v="-41.313335130311899"/>
    <n v="-10.718500960250999"/>
    <n v="-41.066245290187901"/>
    <n v="-10.948055310104399"/>
    <s v="324"/>
    <s v="BA"/>
    <s v="Eixo Principal"/>
    <s v="-"/>
    <s v="324BBA0190"/>
    <s v="ENTR BA-368(A) (UMBURANAS)"/>
    <s v="ENTR BR-122(A)/BA-368 (OUROLÂNDIA)"/>
    <n v="189.8"/>
    <n v="227.8"/>
    <n v="38"/>
    <x v="2"/>
    <m/>
    <m/>
    <s v="Federal"/>
    <m/>
    <m/>
    <m/>
    <s v="Federal"/>
    <s v="PAV"/>
    <s v="Feira de Santana"/>
  </r>
  <r>
    <x v="0"/>
    <s v="324BBA0200"/>
    <n v="0"/>
    <x v="279"/>
    <s v="0200"/>
    <n v="-41.066245290187901"/>
    <n v="-10.948055310104399"/>
    <n v="-40.784490220247399"/>
    <n v="-11.050177830442401"/>
    <s v="324"/>
    <s v="BA"/>
    <s v="Eixo Principal"/>
    <s v="Coinc"/>
    <s v="324BBA0200"/>
    <s v="ENTR BR-122(A)/BA-368 (OUROLÂNDIA)"/>
    <s v="ENTR BR-122(B)/BA-144 (LAGES DO BATATA)"/>
    <n v="227.8"/>
    <n v="260.8"/>
    <n v="33"/>
    <x v="2"/>
    <m/>
    <s v="122BBA0415"/>
    <s v="Federal"/>
    <m/>
    <m/>
    <m/>
    <s v="Federal"/>
    <s v="PAV"/>
    <s v="Feira de Santana"/>
  </r>
  <r>
    <x v="0"/>
    <s v="324BBA0210"/>
    <n v="0"/>
    <x v="279"/>
    <s v="0210"/>
    <n v="-40.784490220247399"/>
    <n v="-11.050177830442401"/>
    <n v="-40.599932930060604"/>
    <n v="-11.1352972897381"/>
    <s v="324"/>
    <s v="BA"/>
    <s v="Eixo Principal"/>
    <s v="-"/>
    <s v="324BBA0210"/>
    <s v="ENTR BR-122(B)/BA-144 (LAGES DO BATATA)"/>
    <s v="ENTR BA-368(B)/419 (P/ MIRANGABA)"/>
    <n v="260.8"/>
    <n v="283.8"/>
    <n v="23"/>
    <x v="2"/>
    <m/>
    <m/>
    <s v="Federal"/>
    <m/>
    <m/>
    <m/>
    <s v="Federal"/>
    <s v="PAV"/>
    <s v="Feira de Santana"/>
  </r>
  <r>
    <x v="0"/>
    <s v="324BBA0230"/>
    <n v="0"/>
    <x v="279"/>
    <s v="0230"/>
    <n v="-40.599932930060604"/>
    <n v="-11.1352972897381"/>
    <n v="-40.545103809992703"/>
    <n v="-11.1686595296135"/>
    <s v="324"/>
    <s v="BA"/>
    <s v="Eixo Principal"/>
    <s v="-"/>
    <s v="324BBA0230"/>
    <s v="ENTR BA-368(B)/419 (P/ MIRANGABA)"/>
    <s v="ENTR BA-131(A) (P/MIGUEL CALMON)"/>
    <n v="283.8"/>
    <n v="291.10000000000002"/>
    <n v="7.3"/>
    <x v="2"/>
    <m/>
    <m/>
    <m/>
    <s v="MP082/2004"/>
    <m/>
    <m/>
    <m/>
    <s v="PAV"/>
    <s v="Feira de Santana"/>
  </r>
  <r>
    <x v="0"/>
    <s v="324BBA0240"/>
    <n v="0"/>
    <x v="279"/>
    <s v="0240"/>
    <n v="-40.545103809992703"/>
    <n v="-11.1686595296135"/>
    <n v="-40.424501729770903"/>
    <n v="-11.204331429951401"/>
    <s v="324"/>
    <s v="BA"/>
    <s v="Eixo Principal"/>
    <s v="-"/>
    <s v="324BBA0240"/>
    <s v="ENTR BA-131(A) (P/MIGUEL CALMON)"/>
    <s v="ENTR BA-131(B) (P/CAÉM)"/>
    <n v="291.10000000000002"/>
    <n v="306.3"/>
    <n v="15.2"/>
    <x v="2"/>
    <m/>
    <m/>
    <s v="Federal"/>
    <m/>
    <m/>
    <m/>
    <s v="Federal"/>
    <s v="PAV"/>
    <s v="Feira de Santana"/>
  </r>
  <r>
    <x v="0"/>
    <s v="324BBA0245"/>
    <n v="0"/>
    <x v="279"/>
    <s v="0245"/>
    <n v="-40.424501729770903"/>
    <n v="-11.204331429951401"/>
    <n v="-40.267321649874098"/>
    <n v="-11.279465120318999"/>
    <s v="324"/>
    <s v="BA"/>
    <s v="Eixo Principal"/>
    <s v="-"/>
    <s v="324BBA0245"/>
    <s v="ENTR BA-131(B) (P/CAÉM)"/>
    <s v="ENTR BA-417 (P/SERROLÂNDIA)"/>
    <n v="306.3"/>
    <n v="325.7"/>
    <n v="19.399999999999999"/>
    <x v="2"/>
    <m/>
    <m/>
    <s v="Federal"/>
    <m/>
    <m/>
    <m/>
    <s v="Federal"/>
    <s v="PAV"/>
    <s v="Feira de Santana"/>
  </r>
  <r>
    <x v="0"/>
    <s v="324BBA0250"/>
    <n v="0"/>
    <x v="279"/>
    <s v="0250"/>
    <n v="-40.267321649874098"/>
    <n v="-11.279465120318999"/>
    <n v="-40.012242390074199"/>
    <n v="-11.372896489881001"/>
    <s v="324"/>
    <s v="BA"/>
    <s v="Eixo Principal"/>
    <s v="-"/>
    <s v="324BBA0250"/>
    <s v="ENTR BA-417 (P/SERROLÂNDIA)"/>
    <s v="ENTR BR-407(A) (CAPIM GROSSO)"/>
    <n v="325.7"/>
    <n v="354.4"/>
    <n v="28.7"/>
    <x v="2"/>
    <m/>
    <m/>
    <s v="Federal"/>
    <m/>
    <m/>
    <m/>
    <s v="Federal"/>
    <s v="PAV"/>
    <s v="Feira de Santana"/>
  </r>
  <r>
    <x v="0"/>
    <s v="324BBA0260"/>
    <n v="0"/>
    <x v="279"/>
    <s v="0260"/>
    <n v="-40.012242390074199"/>
    <n v="-11.372896489881001"/>
    <n v="-40.004615149869203"/>
    <n v="-11.382105769765399"/>
    <s v="324"/>
    <s v="BA"/>
    <s v="Eixo Principal"/>
    <s v="-"/>
    <s v="324BBA0260"/>
    <s v="ENTR BR-407(A) (CAPIM GROSSO)"/>
    <s v="ENTR BR-407(B)"/>
    <n v="354.4"/>
    <n v="356.1"/>
    <n v="1.7"/>
    <x v="2"/>
    <m/>
    <s v="407BBA0328"/>
    <s v="Federal"/>
    <m/>
    <m/>
    <m/>
    <s v="Federal"/>
    <s v="PAV"/>
    <s v="Feira de Santana"/>
  </r>
  <r>
    <x v="0"/>
    <s v="324BBA0265"/>
    <n v="0"/>
    <x v="279"/>
    <s v="0265"/>
    <n v="-40.004615149869203"/>
    <n v="-11.382105769765399"/>
    <n v="-39.789240909839997"/>
    <n v="-11.470511549668201"/>
    <s v="324"/>
    <s v="BA"/>
    <s v="Eixo Principal"/>
    <s v="-"/>
    <s v="324BBA0265"/>
    <s v="ENTR BR-407(B)"/>
    <s v="PONTE S/ RIO GAVIÃO (GAVIÃO)"/>
    <n v="356.1"/>
    <n v="380.9"/>
    <n v="24.8"/>
    <x v="2"/>
    <m/>
    <m/>
    <s v="Federal"/>
    <m/>
    <m/>
    <m/>
    <s v="Federal"/>
    <s v="PAV"/>
    <s v="Feira de Santana"/>
  </r>
  <r>
    <x v="0"/>
    <s v="324BBA0270"/>
    <n v="0"/>
    <x v="279"/>
    <s v="0270"/>
    <n v="-39.789240909839997"/>
    <n v="-11.470511549668201"/>
    <n v="-39.636756999735702"/>
    <n v="-11.6008189002719"/>
    <s v="324"/>
    <s v="BA"/>
    <s v="Eixo Principal"/>
    <s v="-"/>
    <s v="324BBA0270"/>
    <s v="PONTE S/ RIO GAVIÃO (GAVIÃO)"/>
    <s v="ENTR BR-349 (NOVA FÁTIMA)"/>
    <n v="380.9"/>
    <n v="403.3"/>
    <n v="22.4"/>
    <x v="2"/>
    <m/>
    <m/>
    <s v="Federal"/>
    <m/>
    <m/>
    <m/>
    <s v="Federal"/>
    <s v="PAV"/>
    <s v="Feira de Santana"/>
  </r>
  <r>
    <x v="0"/>
    <s v="324BBA0290"/>
    <n v="0"/>
    <x v="279"/>
    <s v="0290"/>
    <n v="-39.636756999735702"/>
    <n v="-11.6008189002719"/>
    <n v="-39.389785229804403"/>
    <n v="-11.807991590339499"/>
    <s v="324"/>
    <s v="BA"/>
    <s v="Eixo Principal"/>
    <s v="-"/>
    <s v="324BBA0290"/>
    <s v="ENTR BR-349 (NOVA FÁTIMA)"/>
    <s v="PONTE S/RIO JACUÍPE (RIACHÃO DO JACUÍPE)"/>
    <n v="403.3"/>
    <n v="438.2"/>
    <n v="34.9"/>
    <x v="2"/>
    <m/>
    <m/>
    <s v="Federal"/>
    <m/>
    <m/>
    <m/>
    <s v="Federal"/>
    <s v="PAV"/>
    <s v="Feira de Santana"/>
  </r>
  <r>
    <x v="0"/>
    <s v="324BBA0310"/>
    <n v="0"/>
    <x v="279"/>
    <s v="0310"/>
    <n v="-39.389785229804403"/>
    <n v="-11.807991590339499"/>
    <n v="-39.101122999626597"/>
    <n v="-11.9780920196309"/>
    <s v="324"/>
    <s v="BA"/>
    <s v="Eixo Principal"/>
    <s v="-"/>
    <s v="324BBA0310"/>
    <s v="PONTE S/RIO JACUÍPE (RIACHÃO DO JACUÍPE)"/>
    <s v="ENTR BA-411 (TANQUINHO)"/>
    <n v="438.2"/>
    <n v="475"/>
    <n v="36.799999999999997"/>
    <x v="2"/>
    <m/>
    <m/>
    <s v="Federal"/>
    <m/>
    <m/>
    <m/>
    <s v="Federal"/>
    <s v="PAV"/>
    <s v="Feira de Santana"/>
  </r>
  <r>
    <x v="0"/>
    <s v="324BBA0312"/>
    <n v="0"/>
    <x v="279"/>
    <s v="0312"/>
    <n v="-39.101122999626597"/>
    <n v="-11.9780920196309"/>
    <n v="-38.9700035198465"/>
    <n v="-12.062455399996599"/>
    <s v="324"/>
    <s v="BA"/>
    <s v="Eixo Principal"/>
    <s v="-"/>
    <s v="324BBA0312"/>
    <s v="ENTR BA-411 (TANQUINHO)"/>
    <s v="ENTR BR-116(A)"/>
    <n v="475"/>
    <n v="493.2"/>
    <n v="18.2"/>
    <x v="2"/>
    <m/>
    <m/>
    <s v="Federal"/>
    <m/>
    <m/>
    <m/>
    <s v="Federal"/>
    <s v="PAV"/>
    <s v="Feira de Santana"/>
  </r>
  <r>
    <x v="0"/>
    <s v="324BBA0330"/>
    <n v="0"/>
    <x v="279"/>
    <s v="0330"/>
    <n v="-38.9700035198465"/>
    <n v="-12.062455399996599"/>
    <n v="-38.964851300247197"/>
    <n v="-12.2300814795765"/>
    <s v="324"/>
    <s v="BA"/>
    <s v="Eixo Principal"/>
    <s v="Coinc"/>
    <s v="324BBA0330"/>
    <s v="ENTR BR-116(A)"/>
    <s v="ENTR BR-116(B)/BA-502/503 (FEIRA DE SANTANA)"/>
    <n v="493.2"/>
    <n v="512.5"/>
    <n v="19.3"/>
    <x v="2"/>
    <s v="EOD"/>
    <s v="116BBA0690"/>
    <s v="Federal"/>
    <m/>
    <m/>
    <m/>
    <s v="Federal"/>
    <s v="PAV"/>
    <s v="Feira de Santana"/>
  </r>
  <r>
    <x v="0"/>
    <s v="324BBA0340"/>
    <n v="0"/>
    <x v="279"/>
    <s v="0340"/>
    <n v="-38.964851300247197"/>
    <n v="-12.2300814795765"/>
    <n v="-38.936028859644097"/>
    <n v="-12.272506970120499"/>
    <s v="324"/>
    <s v="BA"/>
    <s v="Eixo Principal"/>
    <s v="-"/>
    <s v="324BBA0340"/>
    <s v="ENTR BR-116(B)/BA-502/503 (FEIRA DE SANTANA)"/>
    <s v="ACESSO CONTORNO DE FEIRA DE  SANTANA"/>
    <n v="512.5"/>
    <n v="519.70000000000005"/>
    <n v="7.2"/>
    <x v="2"/>
    <m/>
    <m/>
    <s v="Concessão Federal"/>
    <m/>
    <m/>
    <m/>
    <s v="Federal"/>
    <s v="PAV"/>
    <s v="Feira de Santana"/>
  </r>
  <r>
    <x v="0"/>
    <s v="324BBA0350"/>
    <n v="0"/>
    <x v="279"/>
    <s v="0350"/>
    <n v="-38.936028859644097"/>
    <n v="-12.272506970120499"/>
    <n v="-38.825404799791599"/>
    <n v="-12.360204860365901"/>
    <s v="324"/>
    <s v="BA"/>
    <s v="Eixo Principal"/>
    <s v="-"/>
    <s v="324BBA0350"/>
    <s v="ACESSO CONTORNO DE FEIRA DE  SANTANA"/>
    <s v="ENTR BR-101 (P/HUMILDES)"/>
    <n v="519.70000000000005"/>
    <n v="535.4"/>
    <n v="15.7"/>
    <x v="0"/>
    <m/>
    <m/>
    <s v="Concessão Federal"/>
    <m/>
    <m/>
    <m/>
    <s v="Federal"/>
    <s v="PAV"/>
    <s v="Feira de Santana"/>
  </r>
  <r>
    <x v="0"/>
    <s v="324BBA0370"/>
    <n v="0"/>
    <x v="279"/>
    <s v="0370"/>
    <n v="-38.825404799791599"/>
    <n v="-12.360204860365901"/>
    <n v="-38.802448809564801"/>
    <n v="-12.3778053095673"/>
    <s v="324"/>
    <s v="BA"/>
    <s v="Eixo Principal"/>
    <s v="-"/>
    <s v="324BBA0370"/>
    <s v="ENTR BR-101 (P/HUMILDES)"/>
    <s v="ENTR BA-084 (P/CONCEIÇÃO DE JACUÍPE)"/>
    <n v="535.4"/>
    <n v="538.6"/>
    <n v="3.2"/>
    <x v="0"/>
    <m/>
    <m/>
    <s v="Concessão Federal"/>
    <m/>
    <m/>
    <m/>
    <s v="Federal"/>
    <s v="PAV"/>
    <s v="Feira de Santana"/>
  </r>
  <r>
    <x v="0"/>
    <s v="324BBA0372"/>
    <n v="0"/>
    <x v="279"/>
    <s v="0372"/>
    <n v="-38.802448809564801"/>
    <n v="-12.3778053095673"/>
    <n v="-38.755142090335099"/>
    <n v="-12.403412129765901"/>
    <s v="324"/>
    <s v="BA"/>
    <s v="Eixo Principal"/>
    <s v="-"/>
    <s v="324BBA0372"/>
    <s v="ENTR BA-084 (P/CONCEIÇÃO DE JACUÍPE)"/>
    <s v="AMÉLIA RODRIGUES"/>
    <n v="538.6"/>
    <n v="544.6"/>
    <n v="6"/>
    <x v="0"/>
    <m/>
    <m/>
    <s v="Concessão Federal"/>
    <m/>
    <m/>
    <m/>
    <s v="Federal"/>
    <s v="PAV"/>
    <s v="Feira de Santana"/>
  </r>
  <r>
    <x v="0"/>
    <s v="324BBA0390"/>
    <n v="0"/>
    <x v="279"/>
    <s v="0390"/>
    <n v="-38.755142090335099"/>
    <n v="-12.403412129765901"/>
    <n v="-38.642867750246403"/>
    <n v="-12.5005179700282"/>
    <s v="324"/>
    <s v="BA"/>
    <s v="Eixo Principal"/>
    <s v="-"/>
    <s v="324BBA0390"/>
    <s v="AMÉLIA RODRIGUES"/>
    <s v="ENTR BA-515 (P/JACUÍPE)"/>
    <n v="544.6"/>
    <n v="561.5"/>
    <n v="16.899999999999999"/>
    <x v="0"/>
    <m/>
    <m/>
    <s v="Concessão Federal"/>
    <m/>
    <m/>
    <m/>
    <s v="Federal"/>
    <s v="PAV"/>
    <s v="Feira de Santana"/>
  </r>
  <r>
    <x v="0"/>
    <s v="324BBA0410"/>
    <n v="0"/>
    <x v="279"/>
    <s v="0410"/>
    <n v="-38.642867750246403"/>
    <n v="-12.5005179700282"/>
    <n v="-38.601775310382202"/>
    <n v="-12.5309842103529"/>
    <s v="324"/>
    <s v="BA"/>
    <s v="Eixo Principal"/>
    <s v="-"/>
    <s v="324BBA0410"/>
    <s v="ENTR BA-515 (P/JACUÍPE)"/>
    <s v="BA-420 (P/SANTO AMARO)"/>
    <n v="561.5"/>
    <n v="567.20000000000005"/>
    <n v="5.7"/>
    <x v="0"/>
    <m/>
    <m/>
    <s v="Concessão Federal"/>
    <m/>
    <m/>
    <m/>
    <s v="Federal"/>
    <s v="PAV"/>
    <s v="Feira de Santana"/>
  </r>
  <r>
    <x v="0"/>
    <s v="324BBA0430"/>
    <n v="0"/>
    <x v="279"/>
    <s v="0430"/>
    <n v="-38.601775310382202"/>
    <n v="-12.5309842103529"/>
    <n v="-38.540049160040603"/>
    <n v="-12.576757039605599"/>
    <s v="324"/>
    <s v="BA"/>
    <s v="Eixo Principal"/>
    <s v="-"/>
    <s v="324BBA0430"/>
    <s v="BA-420 (P/SANTO AMARO)"/>
    <s v="ENTR BR-110/420(A)/BA-523"/>
    <n v="567.20000000000005"/>
    <n v="575.70000000000005"/>
    <n v="8.5"/>
    <x v="0"/>
    <m/>
    <m/>
    <s v="Concessão Federal"/>
    <m/>
    <m/>
    <m/>
    <s v="Federal"/>
    <s v="PAV"/>
    <s v="Feira de Santana"/>
  </r>
  <r>
    <x v="0"/>
    <s v="324BBA0450"/>
    <n v="0"/>
    <x v="279"/>
    <s v="0450"/>
    <n v="-38.540049160040603"/>
    <n v="-12.576757039605599"/>
    <n v="-38.461384209713401"/>
    <n v="-12.7087893897185"/>
    <s v="324"/>
    <s v="BA"/>
    <s v="Eixo Principal"/>
    <s v="-"/>
    <s v="324BBA0450"/>
    <s v="ENTR BR-110/420(A)/BA-523"/>
    <s v="ENTR BA-522"/>
    <n v="575.70000000000005"/>
    <n v="594.20000000000005"/>
    <n v="18.5"/>
    <x v="0"/>
    <m/>
    <s v="420BBA0045"/>
    <s v="Concessão Federal"/>
    <m/>
    <m/>
    <m/>
    <s v="Federal"/>
    <s v="PAV"/>
    <s v="Feira de Santana"/>
  </r>
  <r>
    <x v="0"/>
    <s v="324BBA0470"/>
    <n v="0"/>
    <x v="279"/>
    <s v="0470"/>
    <n v="-38.461384209713401"/>
    <n v="-12.7087893897185"/>
    <n v="-38.413355940124497"/>
    <n v="-12.7834038601"/>
    <s v="324"/>
    <s v="BA"/>
    <s v="Eixo Principal"/>
    <s v="-"/>
    <s v="324BBA0470"/>
    <s v="ENTR BA-522"/>
    <s v="ENTR BA-093"/>
    <n v="594.20000000000005"/>
    <n v="604.5"/>
    <n v="10.3"/>
    <x v="0"/>
    <m/>
    <s v="420BBA0050"/>
    <s v="Concessão Federal"/>
    <m/>
    <m/>
    <m/>
    <s v="Federal"/>
    <s v="PAV"/>
    <s v="Feira de Santana"/>
  </r>
  <r>
    <x v="0"/>
    <s v="324BBA0472"/>
    <n v="0"/>
    <x v="279"/>
    <s v="0472"/>
    <n v="-38.413355940124497"/>
    <n v="-12.7834038601"/>
    <n v="-38.406883809839798"/>
    <n v="-12.7882415004448"/>
    <s v="324"/>
    <s v="BA"/>
    <s v="Eixo Principal"/>
    <s v="-"/>
    <s v="324BBA0472"/>
    <s v="ENTR BA-093"/>
    <s v="ENTR BA-876 (P/SIMÕES FILHO)"/>
    <n v="604.5"/>
    <n v="605.4"/>
    <n v="0.9"/>
    <x v="0"/>
    <m/>
    <s v="420BBA0055"/>
    <s v="Concessão Federal"/>
    <m/>
    <m/>
    <m/>
    <s v="Federal"/>
    <s v="PAV"/>
    <s v="Feira de Santana"/>
  </r>
  <r>
    <x v="0"/>
    <s v="324BBA0490"/>
    <n v="0"/>
    <x v="279"/>
    <s v="0490"/>
    <n v="-38.406883809839798"/>
    <n v="-12.7882415004448"/>
    <n v="-38.407982900090701"/>
    <n v="-12.8206597003847"/>
    <s v="324"/>
    <s v="BA"/>
    <s v="Eixo Principal"/>
    <s v="-"/>
    <s v="324BBA0490"/>
    <s v="ENTR BA-876 (P/SIMÕES FILHO)"/>
    <s v="ENTR BA-526 (C.I.ARATU)"/>
    <n v="605.4"/>
    <n v="609"/>
    <n v="3.6"/>
    <x v="0"/>
    <m/>
    <s v="420BBA0060"/>
    <s v="Concessão Federal"/>
    <m/>
    <m/>
    <m/>
    <s v="Federal"/>
    <s v="PAV"/>
    <s v="Feira de Santana"/>
  </r>
  <r>
    <x v="0"/>
    <s v="324BBA0492"/>
    <n v="0"/>
    <x v="279"/>
    <s v="0492"/>
    <n v="-38.407982900090701"/>
    <n v="-12.8206597003847"/>
    <n v="-38.424641150268798"/>
    <n v="-12.866579319679801"/>
    <s v="324"/>
    <s v="BA"/>
    <s v="Eixo Principal"/>
    <s v="-"/>
    <s v="324BBA0492"/>
    <s v="ENTR BA-526 (C.I.ARATU)"/>
    <s v="ACESSO A VALÉRIA"/>
    <n v="609"/>
    <n v="614.29999999999995"/>
    <n v="5.3"/>
    <x v="0"/>
    <m/>
    <s v="420BBA0065"/>
    <s v="Concessão Federal"/>
    <m/>
    <m/>
    <m/>
    <s v="Federal"/>
    <s v="PAV"/>
    <s v="Feira de Santana"/>
  </r>
  <r>
    <x v="0"/>
    <s v="324BBA0496"/>
    <n v="0"/>
    <x v="279"/>
    <s v="0496"/>
    <n v="-38.424641150268798"/>
    <n v="-12.866579319679801"/>
    <n v="-38.444067779904003"/>
    <n v="-12.889884379960099"/>
    <s v="324"/>
    <s v="BA"/>
    <s v="Eixo Principal"/>
    <s v="-"/>
    <s v="324BBA0496"/>
    <s v="ACESSO A VALÉRIA"/>
    <s v="ENTR BA-528 (P/BASE NAVAL DE ARATU)"/>
    <n v="614.29999999999995"/>
    <n v="617.79999999999995"/>
    <n v="3.5"/>
    <x v="0"/>
    <m/>
    <s v="420BBA0075"/>
    <s v="Concessão Federal"/>
    <m/>
    <m/>
    <m/>
    <s v="Federal"/>
    <s v="PAV"/>
    <s v="Feira de Santana"/>
  </r>
  <r>
    <x v="0"/>
    <s v="324BBA0498"/>
    <n v="0"/>
    <x v="279"/>
    <s v="0498"/>
    <n v="-38.444067779904003"/>
    <n v="-12.889884379960099"/>
    <n v="-38.476688789555901"/>
    <n v="-12.9678175195628"/>
    <s v="324"/>
    <s v="BA"/>
    <s v="Eixo Principal"/>
    <s v="-"/>
    <s v="324BBA0498"/>
    <s v="ENTR BA-528 (P/BASE NAVAL DE ARATU)"/>
    <s v="SALVADOR"/>
    <n v="617.79999999999995"/>
    <n v="628.29999999999995"/>
    <n v="10.5"/>
    <x v="0"/>
    <m/>
    <s v="420BBA0080"/>
    <s v="Concessão Federal"/>
    <m/>
    <m/>
    <m/>
    <s v="Federal"/>
    <s v="PAV"/>
    <s v="Feira de Santana"/>
  </r>
  <r>
    <x v="0"/>
    <s v="324BMA0010"/>
    <n v="0"/>
    <x v="280"/>
    <s v="0010"/>
    <n v="-46.004390450358898"/>
    <n v="-7.5852949298171097"/>
    <n v="-45.848571962925597"/>
    <n v="-7.5229443478033797"/>
    <s v="324"/>
    <s v="MA"/>
    <s v="Eixo Principal"/>
    <s v="-"/>
    <s v="324BMA0010"/>
    <s v="ENTR BR-230/330/MA-006 (BALSAS)"/>
    <s v="RIO BALSINHAS"/>
    <n v="0"/>
    <n v="20"/>
    <n v="20"/>
    <x v="1"/>
    <m/>
    <m/>
    <s v="Estadual"/>
    <m/>
    <s v="MA-378"/>
    <s v="IMP"/>
    <s v="Estadual"/>
    <s v="PLA"/>
    <s v="Barão de Grajaú"/>
  </r>
  <r>
    <x v="0"/>
    <s v="324BMA0020"/>
    <n v="0"/>
    <x v="280"/>
    <s v="0020"/>
    <n v="-45.848571962925597"/>
    <n v="-7.5229443478033797"/>
    <n v="-45.246057730379903"/>
    <n v="-7.5536314697164899"/>
    <s v="324"/>
    <s v="MA"/>
    <s v="Eixo Principal"/>
    <s v="-"/>
    <s v="324BMA0020"/>
    <s v="RIO BALSINHAS"/>
    <s v="DIV MA/PI (RIBEIRO GONÇALVES)"/>
    <n v="20"/>
    <n v="107"/>
    <n v="87"/>
    <x v="1"/>
    <m/>
    <m/>
    <s v="Estadual"/>
    <m/>
    <s v="MA-378"/>
    <s v="IMP"/>
    <s v="Estadual"/>
    <s v="PLA"/>
    <s v="Barão de Grajaú"/>
  </r>
  <r>
    <x v="0"/>
    <s v="324BPI0030"/>
    <n v="0"/>
    <x v="281"/>
    <s v="0030"/>
    <n v="-45.246057730379903"/>
    <n v="-7.5536314697164899"/>
    <n v="-45.2057849497156"/>
    <n v="-7.61396319964188"/>
    <s v="324"/>
    <s v="PI"/>
    <s v="Eixo Principal"/>
    <s v="-"/>
    <s v="324BPI0030"/>
    <s v="DIV MA/PI (RIBEIRO GONÇALVES)"/>
    <s v="ENTR PI-392"/>
    <n v="0"/>
    <n v="7"/>
    <n v="7"/>
    <x v="1"/>
    <m/>
    <m/>
    <s v="Estadual"/>
    <m/>
    <s v="PI-247"/>
    <s v="PAV"/>
    <s v="Estadual"/>
    <s v="PLA"/>
    <s v="Floriano"/>
  </r>
  <r>
    <x v="0"/>
    <s v="324BPI0040"/>
    <n v="0"/>
    <x v="281"/>
    <s v="0040"/>
    <n v="-45.2057849497156"/>
    <n v="-7.61396319964188"/>
    <n v="-44.847378419778103"/>
    <n v="-7.4050115102729102"/>
    <s v="324"/>
    <s v="PI"/>
    <s v="Eixo Principal"/>
    <s v="-"/>
    <s v="324BPI0040"/>
    <s v="ENTR PI-392"/>
    <s v="RIACHO DA VOLTA"/>
    <n v="7"/>
    <n v="64.5"/>
    <n v="57.5"/>
    <x v="1"/>
    <m/>
    <m/>
    <s v="Estadual"/>
    <m/>
    <s v="PI-247"/>
    <s v="PAV"/>
    <s v="Estadual"/>
    <s v="PLA"/>
    <s v="Floriano"/>
  </r>
  <r>
    <x v="0"/>
    <s v="324BPI0050"/>
    <n v="0"/>
    <x v="281"/>
    <s v="0050"/>
    <n v="-44.847378419778103"/>
    <n v="-7.4050115102729102"/>
    <n v="-44.500578419658297"/>
    <n v="-7.2868115102429503"/>
    <s v="324"/>
    <s v="PI"/>
    <s v="Eixo Principal"/>
    <s v="-"/>
    <s v="324BPI0050"/>
    <s v="RIACHO DA VOLTA"/>
    <s v="ACESSO URUCUÍ"/>
    <n v="64.5"/>
    <n v="117.9"/>
    <n v="53.4"/>
    <x v="1"/>
    <m/>
    <m/>
    <s v="Estadual"/>
    <m/>
    <s v="PI-247"/>
    <s v="PAV"/>
    <s v="Estadual"/>
    <s v="PLA"/>
    <s v="Floriano"/>
  </r>
  <r>
    <x v="0"/>
    <s v="324BPI0060"/>
    <n v="0"/>
    <x v="281"/>
    <s v="0060"/>
    <n v="-44.500578419658297"/>
    <n v="-7.2868115102429503"/>
    <n v="-44.390772879564601"/>
    <n v="-7.3856345996570099"/>
    <s v="324"/>
    <s v="PI"/>
    <s v="Eixo Principal"/>
    <s v="-"/>
    <s v="324BPI0060"/>
    <s v="ACESSO URUCUÍ"/>
    <s v="ENTR PI-240/391 (CRUZETA)"/>
    <n v="117.9"/>
    <n v="135.9"/>
    <n v="18"/>
    <x v="1"/>
    <m/>
    <m/>
    <s v="Estadual"/>
    <m/>
    <s v="PI-247"/>
    <s v="PAV"/>
    <s v="Estadual"/>
    <s v="PLA"/>
    <s v="Floriano"/>
  </r>
  <r>
    <x v="0"/>
    <s v="324BPI0075"/>
    <n v="0"/>
    <x v="281"/>
    <s v="0075"/>
    <n v="-44.390772879564601"/>
    <n v="-7.3856345996570099"/>
    <n v="-44.089783429861299"/>
    <n v="-7.5754850197178598"/>
    <s v="324"/>
    <s v="PI"/>
    <s v="Eixo Principal"/>
    <s v="-"/>
    <s v="324BPI0075"/>
    <s v="ENTR PI-240/391 (CRUZETA)"/>
    <s v="FIM PAVIMENTAÇÃO"/>
    <n v="135.9"/>
    <n v="168.9"/>
    <n v="33"/>
    <x v="1"/>
    <m/>
    <m/>
    <s v="Estadual"/>
    <m/>
    <s v="PI-247"/>
    <s v="PAV"/>
    <s v="Estadual"/>
    <s v="PLA"/>
    <s v="Floriano"/>
  </r>
  <r>
    <x v="0"/>
    <s v="324BPI0076"/>
    <n v="0"/>
    <x v="281"/>
    <s v="0076"/>
    <n v="-44.089783429861299"/>
    <n v="-7.5754850197178598"/>
    <n v="-44.065106780253601"/>
    <n v="-7.5697279601771399"/>
    <s v="324"/>
    <s v="PI"/>
    <s v="Eixo Principal"/>
    <s v="-"/>
    <s v="324BPI0076"/>
    <s v="FIM PAVIMENTAÇÃO"/>
    <s v="SEBASTIÃO LEAL"/>
    <n v="168.9"/>
    <n v="177.3"/>
    <n v="8.4"/>
    <x v="1"/>
    <m/>
    <m/>
    <s v="Estadual"/>
    <m/>
    <s v="PI-247"/>
    <s v="EOP"/>
    <s v="Estadual"/>
    <s v="PLA"/>
    <s v="Floriano"/>
  </r>
  <r>
    <x v="0"/>
    <s v="324BPI0077"/>
    <n v="0"/>
    <x v="281"/>
    <s v="0077"/>
    <n v="-44.065106780253601"/>
    <n v="-7.5697279601771399"/>
    <n v="-43.964888809970503"/>
    <n v="-7.6028161397529699"/>
    <s v="324"/>
    <s v="PI"/>
    <s v="Eixo Principal"/>
    <s v="-"/>
    <s v="324BPI0077"/>
    <s v="SEBASTIÃO LEAL"/>
    <s v="ENTR BR-135(A)/PI-343(A)/250(A)"/>
    <n v="177.3"/>
    <n v="190.3"/>
    <n v="13"/>
    <x v="1"/>
    <m/>
    <m/>
    <s v="Estadual"/>
    <m/>
    <s v="PI-247"/>
    <s v="IMP"/>
    <s v="Estadual"/>
    <s v="PLA"/>
    <s v="Floriano"/>
  </r>
  <r>
    <x v="0"/>
    <s v="324BPI0080"/>
    <n v="0"/>
    <x v="281"/>
    <s v="0080"/>
    <n v="-43.964888809970503"/>
    <n v="-7.6028161397529699"/>
    <n v="-43.959528859569097"/>
    <n v="-7.6189688198551204"/>
    <s v="324"/>
    <s v="PI"/>
    <s v="Eixo Principal"/>
    <s v="Coinc"/>
    <s v="324BPI0080"/>
    <s v="ENTR BR-135(A)/PI-343(A)/250(A)"/>
    <s v="ENTR BR-343(B) (BERTOLÍNIA)"/>
    <n v="190.3"/>
    <n v="192.2"/>
    <n v="1.9"/>
    <x v="2"/>
    <m/>
    <s v="135BPI0400;343BPI0340"/>
    <s v="Federal"/>
    <m/>
    <m/>
    <m/>
    <s v="Federal"/>
    <s v="PAV"/>
    <s v="Floriano"/>
  </r>
  <r>
    <x v="0"/>
    <s v="324BPI0085"/>
    <n v="0"/>
    <x v="281"/>
    <s v="0085"/>
    <n v="-43.959528859569097"/>
    <n v="-7.6189688198551204"/>
    <n v="-43.952896429626399"/>
    <n v="-7.6505607595713601"/>
    <s v="324"/>
    <s v="PI"/>
    <s v="Eixo Principal"/>
    <s v="Coinc"/>
    <s v="324BPI0085"/>
    <s v="ENTR BR-343(B) (BERTOLÍNIA)"/>
    <s v="FIM DO CONTORNO DE BERTOLÍNIA"/>
    <n v="192.2"/>
    <n v="196.1"/>
    <n v="3.9"/>
    <x v="2"/>
    <m/>
    <s v="135BPI0405"/>
    <s v="Federal"/>
    <m/>
    <m/>
    <m/>
    <s v="Federal"/>
    <s v="PAV"/>
    <s v="Floriano"/>
  </r>
  <r>
    <x v="0"/>
    <s v="324BPI0090"/>
    <n v="0"/>
    <x v="281"/>
    <s v="0090"/>
    <n v="-43.952896429626399"/>
    <n v="-7.6505607595713601"/>
    <n v="-43.872916999619797"/>
    <n v="-8.0046335500982195"/>
    <s v="324"/>
    <s v="PI"/>
    <s v="Eixo Principal"/>
    <s v="Coinc"/>
    <s v="324BPI0090"/>
    <s v="FIM DO CONTORNO DE BERTOLÍNIA"/>
    <s v="RUA JUSCELINO KUBITSCHEK (MANOEL EMÍDIO)"/>
    <n v="196.1"/>
    <n v="247.6"/>
    <n v="51.5"/>
    <x v="2"/>
    <m/>
    <s v="135BPI0410"/>
    <s v="Federal"/>
    <m/>
    <m/>
    <m/>
    <s v="Federal"/>
    <s v="PAV"/>
    <s v="Floriano"/>
  </r>
  <r>
    <x v="0"/>
    <s v="324BPI0095"/>
    <n v="0"/>
    <x v="281"/>
    <s v="0095"/>
    <n v="-43.872916999619797"/>
    <n v="-8.0046335500982195"/>
    <n v="-43.783194339746899"/>
    <n v="-8.0975072500594898"/>
    <s v="324"/>
    <s v="PI"/>
    <s v="Eixo Principal"/>
    <s v="Coinc"/>
    <s v="324BPI0095"/>
    <s v="RUA JUSCELINO KUBITSCHEK (MANOEL EMÍDIO)"/>
    <s v="ENTR PI-394 (COLÔNIA DO PADRE)"/>
    <n v="247.6"/>
    <n v="266.60000000000002"/>
    <n v="19"/>
    <x v="2"/>
    <m/>
    <s v="135BPI0415"/>
    <s v="Federal"/>
    <m/>
    <m/>
    <m/>
    <s v="Federal"/>
    <s v="PAV"/>
    <s v="Floriano"/>
  </r>
  <r>
    <x v="0"/>
    <s v="324BPI0097"/>
    <n v="0"/>
    <x v="281"/>
    <s v="0097"/>
    <n v="-43.783194339746899"/>
    <n v="-8.0975072500594898"/>
    <n v="-43.665816810197597"/>
    <n v="-8.09639826007162"/>
    <s v="324"/>
    <s v="PI"/>
    <s v="Eixo Principal"/>
    <s v="Coinc"/>
    <s v="324BPI0097"/>
    <s v="ENTR PI-394 (COLÔNIA DO PADRE)"/>
    <s v="ENTR BR-135(B)/PI-141/250(B) (ELISEU MARTINS)"/>
    <n v="266.60000000000002"/>
    <n v="280.60000000000002"/>
    <n v="14"/>
    <x v="2"/>
    <m/>
    <s v="135BPI0417"/>
    <s v="Federal"/>
    <m/>
    <m/>
    <m/>
    <s v="Federal"/>
    <s v="PAV"/>
    <s v="Floriano"/>
  </r>
  <r>
    <x v="0"/>
    <s v="324BPI0110"/>
    <n v="0"/>
    <x v="281"/>
    <s v="0110"/>
    <n v="-43.665816810197597"/>
    <n v="-8.09639826007162"/>
    <n v="-43.597696249881999"/>
    <n v="-8.1176797603126207"/>
    <s v="324"/>
    <s v="PI"/>
    <s v="Eixo Principal"/>
    <s v="-"/>
    <s v="324BPI0110"/>
    <s v="ENTR BR-135(B)/PI-141/250(B) (ELISEU MARTINS)"/>
    <s v="ENTR PI-394"/>
    <n v="280.60000000000002"/>
    <n v="289.60000000000002"/>
    <n v="9"/>
    <x v="1"/>
    <m/>
    <m/>
    <s v="Estadual"/>
    <m/>
    <s v="PI-141"/>
    <s v="PAV"/>
    <s v="Estadual"/>
    <s v="PLA"/>
    <s v="Floriano"/>
  </r>
  <r>
    <x v="0"/>
    <s v="324BPI0115"/>
    <n v="0"/>
    <x v="281"/>
    <s v="0115"/>
    <n v="-43.597696249881999"/>
    <n v="-8.1176797603126207"/>
    <n v="-42.9421784202978"/>
    <n v="-8.1106115099132108"/>
    <s v="324"/>
    <s v="PI"/>
    <s v="Eixo Principal"/>
    <s v="-"/>
    <s v="324BPI0115"/>
    <s v="ENTR PI-394"/>
    <s v="ENTR PI-140 (CANTO DO BURITI)"/>
    <n v="289.60000000000002"/>
    <n v="364.6"/>
    <n v="75"/>
    <x v="1"/>
    <m/>
    <m/>
    <s v="Estadual"/>
    <m/>
    <s v="PI-141"/>
    <s v="PAV"/>
    <s v="Estadual"/>
    <s v="PLA"/>
    <s v="Floriano"/>
  </r>
  <r>
    <x v="0"/>
    <s v="324BPI0120"/>
    <n v="0"/>
    <x v="281"/>
    <s v="0120"/>
    <n v="-42.9421784202978"/>
    <n v="-8.1106115099132108"/>
    <n v="-42.9001784196982"/>
    <n v="-8.1925115095984307"/>
    <s v="324"/>
    <s v="PI"/>
    <s v="Eixo Principal"/>
    <s v="-"/>
    <s v="324BPI0120"/>
    <s v="ENTR PI-140 (CANTO DO BURITI)"/>
    <s v="ENTR PI-141(B)"/>
    <n v="364.6"/>
    <n v="374.6"/>
    <n v="10"/>
    <x v="1"/>
    <m/>
    <m/>
    <s v="Estadual"/>
    <m/>
    <s v="PI-141"/>
    <s v="PAV"/>
    <s v="Estadual"/>
    <s v="PLA"/>
    <s v="Floriano"/>
  </r>
  <r>
    <x v="0"/>
    <s v="324BPI0122"/>
    <n v="0"/>
    <x v="281"/>
    <s v="0122"/>
    <n v="-42.9001784196982"/>
    <n v="-8.1925115095984307"/>
    <n v="-42.8756784203227"/>
    <n v="-8.4020115102229607"/>
    <s v="324"/>
    <s v="PI"/>
    <s v="Eixo Principal"/>
    <s v="-"/>
    <s v="324BPI0122"/>
    <s v="ENTR PI-141(B)"/>
    <s v="ACESSO TAMBORIL DO PIAUÍ"/>
    <n v="374.6"/>
    <n v="399.6"/>
    <n v="25"/>
    <x v="1"/>
    <m/>
    <m/>
    <s v="Estadual"/>
    <m/>
    <s v="PI-140"/>
    <s v="PAV"/>
    <s v="Estadual"/>
    <s v="PLA"/>
    <s v="Floriano"/>
  </r>
  <r>
    <x v="0"/>
    <s v="324BPI0125"/>
    <n v="0"/>
    <x v="281"/>
    <s v="0125"/>
    <n v="-42.8756784203227"/>
    <n v="-8.4020115102229607"/>
    <n v="-42.687403789653096"/>
    <n v="-9.0330348101083402"/>
    <s v="324"/>
    <s v="PI"/>
    <s v="Eixo Principal"/>
    <s v="-"/>
    <s v="324BPI0125"/>
    <s v="ACESSO TAMBORIL DO PIAUÍ"/>
    <s v="ENTR BR-020/PI-144 (SÃO RAIMUNDO NONATO)"/>
    <n v="399.6"/>
    <n v="476.6"/>
    <n v="77"/>
    <x v="1"/>
    <m/>
    <m/>
    <s v="Estadual"/>
    <m/>
    <s v="PI-140"/>
    <s v="PAV"/>
    <s v="Estadual"/>
    <s v="PLA"/>
    <s v="Floriano"/>
  </r>
  <r>
    <x v="0"/>
    <s v="324BPI0130"/>
    <n v="0"/>
    <x v="281"/>
    <s v="0130"/>
    <n v="-42.687403789653096"/>
    <n v="-9.0330348101083402"/>
    <n v="-42.542616329779698"/>
    <n v="-9.17132826009105"/>
    <s v="324"/>
    <s v="PI"/>
    <s v="Eixo Principal"/>
    <s v="-"/>
    <s v="324BPI0130"/>
    <s v="ENTR BR-020/PI-144 (SÃO RAIMUNDO NONATO)"/>
    <s v="SÃO LOURENÇO DO PIAUÍ"/>
    <n v="476.6"/>
    <n v="498.6"/>
    <n v="22"/>
    <x v="1"/>
    <m/>
    <m/>
    <s v="Estadual"/>
    <m/>
    <s v="PI-140"/>
    <s v="PAV"/>
    <s v="Estadual"/>
    <s v="PLA"/>
    <s v="Picos"/>
  </r>
  <r>
    <x v="0"/>
    <s v="324BPI0131"/>
    <n v="0"/>
    <x v="281"/>
    <s v="0131"/>
    <n v="-42.542616329779698"/>
    <n v="-9.17132826009105"/>
    <n v="-42.444678419673203"/>
    <n v="-9.3371115100880502"/>
    <s v="324"/>
    <s v="PI"/>
    <s v="Eixo Principal"/>
    <s v="-"/>
    <s v="324BPI0131"/>
    <s v="SÃO LOURENÇO DO PIAUÍ"/>
    <s v="ENTR PI-467 (DIRCEU ARCOVERDE)"/>
    <n v="498.6"/>
    <n v="520.6"/>
    <n v="22"/>
    <x v="1"/>
    <m/>
    <m/>
    <s v="Estadual"/>
    <m/>
    <s v="PI-140"/>
    <s v="PAV"/>
    <s v="Estadual"/>
    <s v="PLA"/>
    <s v="Picos"/>
  </r>
  <r>
    <x v="0"/>
    <s v="324BPI0132"/>
    <n v="0"/>
    <x v="281"/>
    <s v="0132"/>
    <n v="-42.444678419673203"/>
    <n v="-9.3371115100880502"/>
    <n v="-42.363559629573203"/>
    <n v="-9.3816650196249007"/>
    <s v="324"/>
    <s v="PI"/>
    <s v="Eixo Principal"/>
    <s v="-"/>
    <s v="324BPI0132"/>
    <s v="ENTR PI-467 (DIRCEU ARCOVERDE)"/>
    <s v="DIV PI/BA"/>
    <n v="520.6"/>
    <n v="530.6"/>
    <n v="10"/>
    <x v="1"/>
    <m/>
    <m/>
    <s v="Estadual"/>
    <m/>
    <s v="PI-140"/>
    <s v="PAV"/>
    <s v="Estadual"/>
    <s v="PLA"/>
    <s v="Picos"/>
  </r>
  <r>
    <x v="0"/>
    <s v="330ABA1005"/>
    <n v="0"/>
    <x v="282"/>
    <s v="1005"/>
    <n v="-40.113120969956697"/>
    <n v="-13.8710207302224"/>
    <n v="-40.080376899774002"/>
    <n v="-13.8629626203286"/>
    <s v="330"/>
    <s v="BA"/>
    <s v="Acesso"/>
    <s v="-"/>
    <s v="330ABA1005"/>
    <s v="JEQUIÉ"/>
    <s v="ENTR BR-116"/>
    <n v="0"/>
    <n v="4.0999999999999996"/>
    <n v="4.0999999999999996"/>
    <x v="2"/>
    <m/>
    <m/>
    <m/>
    <s v="MP082/2006"/>
    <m/>
    <m/>
    <m/>
    <s v="PAV"/>
    <s v="Jequié"/>
  </r>
  <r>
    <x v="0"/>
    <s v="330BBA0090"/>
    <n v="0"/>
    <x v="283"/>
    <s v="0090"/>
    <n v="-43.915451749698398"/>
    <n v="-10.3906065099823"/>
    <n v="-43.630950009934899"/>
    <n v="-10.714100000114801"/>
    <s v="330"/>
    <s v="BA"/>
    <s v="Eixo Principal"/>
    <s v="-"/>
    <s v="330BBA0090"/>
    <s v="DIV PI/BA"/>
    <s v="ENTR BR-020/BA-351(A) (BURITIRAMA)"/>
    <n v="0"/>
    <n v="50"/>
    <n v="50"/>
    <x v="1"/>
    <m/>
    <m/>
    <s v="Federal"/>
    <m/>
    <m/>
    <m/>
    <s v="Federal"/>
    <s v="PLA"/>
    <s v="Barreiras"/>
  </r>
  <r>
    <x v="0"/>
    <s v="330BBA0100"/>
    <n v="0"/>
    <x v="283"/>
    <s v="0100"/>
    <n v="-43.630950009934899"/>
    <n v="-10.714100000114801"/>
    <n v="-43.371501310337102"/>
    <n v="-11.153804990308"/>
    <s v="330"/>
    <s v="BA"/>
    <s v="Eixo Principal"/>
    <s v="-"/>
    <s v="330BBA0100"/>
    <s v="ENTR BR-020/BA-351(A) (BURITIRAMA)"/>
    <s v="ENTR BA-161(A)/351(B) (ESTREITO)"/>
    <n v="50"/>
    <n v="112.4"/>
    <n v="62.4"/>
    <x v="1"/>
    <m/>
    <m/>
    <s v="Estadual"/>
    <m/>
    <s v="BA-351"/>
    <s v="IMP"/>
    <s v="Estadual"/>
    <s v="PLA"/>
    <s v="Barreiras"/>
  </r>
  <r>
    <x v="0"/>
    <s v="330BBA0110"/>
    <n v="0"/>
    <x v="283"/>
    <s v="0110"/>
    <n v="-43.371501310337102"/>
    <n v="-11.153804990308"/>
    <n v="-43.133000420233103"/>
    <n v="-11.076546100322201"/>
    <s v="330"/>
    <s v="BA"/>
    <s v="Eixo Principal"/>
    <s v="-"/>
    <s v="330BBA0110"/>
    <s v="ENTR BA-161(A)/351(B) (ESTREITO)"/>
    <s v="ENTR BA-161(B) (INÍCIO TRAV RIO S FRANCISCO) (BARRA)"/>
    <n v="112.4"/>
    <n v="146.4"/>
    <n v="34"/>
    <x v="1"/>
    <m/>
    <m/>
    <s v="Estadual"/>
    <m/>
    <s v="BA-161"/>
    <s v="PAV"/>
    <s v="Estadual"/>
    <s v="PLA"/>
    <s v="Barreiras"/>
  </r>
  <r>
    <x v="0"/>
    <s v="330BBA0115"/>
    <n v="0"/>
    <x v="283"/>
    <s v="0115"/>
    <n v="-43.133000420233103"/>
    <n v="-11.076546100322201"/>
    <n v="-43.119907869552399"/>
    <n v="-11.0826587796788"/>
    <s v="330"/>
    <s v="BA"/>
    <s v="Eixo Principal"/>
    <s v="-"/>
    <s v="330BBA0115"/>
    <s v="ENTR BA-161(B) (INÍCIO TRAV RIO S FRANCISCO) (BARRA)"/>
    <s v="ENTR BA-160(A) (FIM TRAV RIO S FRANCISCO)"/>
    <n v="146.4"/>
    <n v="147.4"/>
    <n v="1"/>
    <x v="4"/>
    <m/>
    <m/>
    <s v="Federal"/>
    <m/>
    <m/>
    <m/>
    <s v="Federal"/>
    <s v="N_PAV"/>
    <s v="Barreiras"/>
  </r>
  <r>
    <x v="0"/>
    <s v="330BBA0120"/>
    <n v="0"/>
    <x v="283"/>
    <s v="0120"/>
    <n v="-43.119907869552399"/>
    <n v="-11.0826587796788"/>
    <n v="-42.746432349773102"/>
    <n v="-11.140998479795901"/>
    <s v="330"/>
    <s v="BA"/>
    <s v="Eixo Principal"/>
    <s v="-"/>
    <s v="330BBA0120"/>
    <s v="ENTR BA-160(A) (FIM TRAV RIO S FRANCISCO)"/>
    <s v="ENTR BA-160(B) (P/XIQUE-XIQUE)"/>
    <n v="147.4"/>
    <n v="194.4"/>
    <n v="47"/>
    <x v="1"/>
    <m/>
    <m/>
    <s v="Estadual"/>
    <m/>
    <s v="BA-160"/>
    <s v="PAV"/>
    <s v="Estadual"/>
    <s v="PLA"/>
    <s v="Barreiras"/>
  </r>
  <r>
    <x v="0"/>
    <s v="330BBA0125"/>
    <n v="0"/>
    <x v="283"/>
    <s v="0125"/>
    <n v="-42.746432349773102"/>
    <n v="-11.140998479795901"/>
    <n v="-42.5080671197017"/>
    <n v="-11.432870400248699"/>
    <s v="330"/>
    <s v="BA"/>
    <s v="Eixo Principal"/>
    <s v="-"/>
    <s v="330BBA0125"/>
    <s v="ENTR BA-160(B) (P/XIQUE-XIQUE)"/>
    <s v="ENTR BA-225 (GENTIO DO OURO)"/>
    <n v="194.4"/>
    <n v="247.8"/>
    <n v="53.4"/>
    <x v="1"/>
    <m/>
    <m/>
    <m/>
    <s v="MP082/2004"/>
    <s v="BAT-330"/>
    <s v="PAV"/>
    <m/>
    <s v="PLA"/>
    <s v="Barreiras"/>
  </r>
  <r>
    <x v="0"/>
    <s v="330BBA0130"/>
    <n v="0"/>
    <x v="283"/>
    <s v="0130"/>
    <n v="-42.5080671197017"/>
    <n v="-11.432870400248699"/>
    <n v="-42.008674809694597"/>
    <n v="-11.645747329975199"/>
    <s v="330"/>
    <s v="BA"/>
    <s v="Eixo Principal"/>
    <s v="-"/>
    <s v="330BBA0130"/>
    <s v="ENTR BA-225 (GENTIO DO OURO)"/>
    <s v="ENTR BA-148 (IBIPEBA)"/>
    <n v="247.8"/>
    <n v="302.8"/>
    <n v="55"/>
    <x v="1"/>
    <m/>
    <m/>
    <s v="Federal"/>
    <m/>
    <m/>
    <m/>
    <s v="Federal"/>
    <s v="PLA"/>
    <s v="Feira de Santana"/>
  </r>
  <r>
    <x v="0"/>
    <s v="330BBA0135"/>
    <n v="0"/>
    <x v="283"/>
    <s v="0135"/>
    <n v="-42.008674809694597"/>
    <n v="-11.645747329975199"/>
    <n v="-41.765969630393997"/>
    <n v="-11.688178190371101"/>
    <s v="330"/>
    <s v="BA"/>
    <s v="Eixo Principal"/>
    <s v="-"/>
    <s v="330BBA0135"/>
    <s v="ENTR BA-148 (IBIPEBA)"/>
    <s v="ENTR BA-432(A) (CANARANA)"/>
    <n v="302.8"/>
    <n v="329.8"/>
    <n v="27"/>
    <x v="1"/>
    <m/>
    <m/>
    <s v="Federal"/>
    <m/>
    <m/>
    <m/>
    <s v="Federal"/>
    <s v="PLA"/>
    <s v="Feira de Santana"/>
  </r>
  <r>
    <x v="0"/>
    <s v="330BBA0140"/>
    <n v="0"/>
    <x v="283"/>
    <s v="0140"/>
    <n v="-41.765969630393997"/>
    <n v="-11.688178190371101"/>
    <n v="-41.669643979885699"/>
    <n v="-12.0146637096624"/>
    <s v="330"/>
    <s v="BA"/>
    <s v="Eixo Principal"/>
    <s v="-"/>
    <s v="330BBA0140"/>
    <s v="ENTR BA-432(A) (CANARANA)"/>
    <s v="ENTR BR-122(A)/BA-432(B) (SEGREDO)"/>
    <n v="329.8"/>
    <n v="369.2"/>
    <n v="39.4"/>
    <x v="1"/>
    <m/>
    <m/>
    <s v="Estadual"/>
    <m/>
    <s v="BA-432"/>
    <s v="PAV"/>
    <s v="Estadual"/>
    <s v="PLA"/>
    <s v="Feira de Santana"/>
  </r>
  <r>
    <x v="0"/>
    <s v="330BBA0145"/>
    <n v="0"/>
    <x v="283"/>
    <s v="0145"/>
    <n v="-41.669643979885699"/>
    <n v="-12.0146637096624"/>
    <n v="-41.648799210215302"/>
    <n v="-12.087426129712"/>
    <s v="330"/>
    <s v="BA"/>
    <s v="Eixo Principal"/>
    <s v="Coinc"/>
    <s v="330BBA0145"/>
    <s v="ENTR BR-122(A)/BA-432(B) (SEGREDO)"/>
    <s v="SOUTO SOARES"/>
    <n v="369.2"/>
    <n v="377.6"/>
    <n v="8.4"/>
    <x v="1"/>
    <m/>
    <s v="122BBA0440"/>
    <s v="Estadual"/>
    <m/>
    <s v="BAT-122"/>
    <s v="PAV"/>
    <s v="Estadual"/>
    <s v="PLA"/>
    <s v="Feira de Santana"/>
  </r>
  <r>
    <x v="0"/>
    <s v="330BBA0150"/>
    <n v="0"/>
    <x v="283"/>
    <s v="0150"/>
    <n v="-41.648799210215302"/>
    <n v="-12.087426129712"/>
    <n v="-41.613850319836303"/>
    <n v="-12.245349410247"/>
    <s v="330"/>
    <s v="BA"/>
    <s v="Eixo Principal"/>
    <s v="Coinc"/>
    <s v="330BBA0150"/>
    <s v="SOUTO SOARES"/>
    <s v="IRAQUARA"/>
    <n v="377.6"/>
    <n v="396.2"/>
    <n v="18.600000000000001"/>
    <x v="1"/>
    <m/>
    <s v="122BBA0445"/>
    <s v="Estadual"/>
    <m/>
    <s v="BAT-122"/>
    <s v="PAV"/>
    <s v="Estadual"/>
    <s v="PLA"/>
    <s v="Feira de Santana"/>
  </r>
  <r>
    <x v="0"/>
    <s v="330BBA0155"/>
    <n v="0"/>
    <x v="283"/>
    <s v="0155"/>
    <n v="-41.613850319836303"/>
    <n v="-12.245349410247"/>
    <n v="-41.628885290124003"/>
    <n v="-12.4091523701856"/>
    <s v="330"/>
    <s v="BA"/>
    <s v="Eixo Principal"/>
    <s v="Coinc"/>
    <s v="330BBA0155"/>
    <s v="IRAQUARA"/>
    <s v="ENTR BR-349(A)"/>
    <n v="396.2"/>
    <n v="416.9"/>
    <n v="20.7"/>
    <x v="1"/>
    <m/>
    <s v="122BBA0450"/>
    <s v="Estadual"/>
    <m/>
    <s v="BAT-122"/>
    <s v="PAV"/>
    <s v="Estadual"/>
    <s v="PLA"/>
    <s v="Feira de Santana"/>
  </r>
  <r>
    <x v="0"/>
    <s v="330BBA0160"/>
    <n v="0"/>
    <x v="283"/>
    <s v="0160"/>
    <n v="-41.628885290124003"/>
    <n v="-12.4091523701856"/>
    <n v="-41.641700589710403"/>
    <n v="-12.457641160111301"/>
    <s v="330"/>
    <s v="BA"/>
    <s v="Eixo Principal"/>
    <s v="Coinc"/>
    <s v="330BBA0160"/>
    <s v="ENTR BR-349(A)"/>
    <s v="ENTR BR-242(A)"/>
    <n v="416.9"/>
    <n v="422.3"/>
    <n v="5.4"/>
    <x v="1"/>
    <m/>
    <s v="349BBA0360;122BBA0455"/>
    <s v="Estadual"/>
    <m/>
    <s v="BAT-122"/>
    <s v="PAV"/>
    <s v="Estadual"/>
    <s v="PLA"/>
    <s v="Feira de Santana"/>
  </r>
  <r>
    <x v="0"/>
    <s v="330BBA0165"/>
    <n v="0"/>
    <x v="283"/>
    <s v="0165"/>
    <n v="-41.641700589710403"/>
    <n v="-12.457641160111301"/>
    <n v="-41.769303730182898"/>
    <n v="-12.427284119966099"/>
    <s v="330"/>
    <s v="BA"/>
    <s v="Eixo Principal"/>
    <s v="Coinc"/>
    <s v="330BBA0165"/>
    <s v="ENTR BR-242(A)"/>
    <s v="ENTR BR-122(B)/242(B)/349(B) (SEABRA)"/>
    <n v="422.3"/>
    <n v="442.3"/>
    <n v="20"/>
    <x v="2"/>
    <m/>
    <s v="122BBA0460;242BBA0160;349BBA0365"/>
    <s v="Federal"/>
    <m/>
    <m/>
    <m/>
    <s v="Federal"/>
    <s v="PAV"/>
    <s v="Feira de Santana"/>
  </r>
  <r>
    <x v="0"/>
    <s v="330BBA0170"/>
    <n v="0"/>
    <x v="283"/>
    <s v="0170"/>
    <n v="-41.769303730182898"/>
    <n v="-12.427284119966099"/>
    <n v="-41.537530060363899"/>
    <n v="-12.7714699896482"/>
    <s v="330"/>
    <s v="BA"/>
    <s v="Eixo Principal"/>
    <s v="-"/>
    <s v="330BBA0170"/>
    <s v="ENTR BR-122(B)/242(B)/349(B) (SEABRA)"/>
    <s v="GUINÉ"/>
    <n v="442.3"/>
    <n v="485.6"/>
    <n v="43.3"/>
    <x v="1"/>
    <m/>
    <m/>
    <s v="Federal"/>
    <m/>
    <m/>
    <m/>
    <s v="Federal"/>
    <s v="PLA"/>
    <s v="Jequié"/>
  </r>
  <r>
    <x v="0"/>
    <s v="330BBA0172"/>
    <n v="0"/>
    <x v="283"/>
    <s v="0172"/>
    <n v="-41.537530060363899"/>
    <n v="-12.7714699896482"/>
    <n v="-41.438070070177503"/>
    <n v="-13.0211399901184"/>
    <s v="330"/>
    <s v="BA"/>
    <s v="Eixo Principal"/>
    <s v="-"/>
    <s v="330BBA0172"/>
    <s v="GUINÉ"/>
    <s v="ENTR BA-142/245"/>
    <n v="485.6"/>
    <n v="521.6"/>
    <n v="36"/>
    <x v="1"/>
    <m/>
    <m/>
    <s v="Federal"/>
    <m/>
    <m/>
    <m/>
    <s v="Federal"/>
    <s v="PLA"/>
    <s v="Jequié"/>
  </r>
  <r>
    <x v="0"/>
    <s v="330BBA0180"/>
    <n v="0"/>
    <x v="283"/>
    <s v="0180"/>
    <n v="-41.438070070177503"/>
    <n v="-13.0211399901184"/>
    <n v="-41.386890069820801"/>
    <n v="-13.2765899900359"/>
    <s v="330"/>
    <s v="BA"/>
    <s v="Eixo Principal"/>
    <s v="-"/>
    <s v="330BBA0180"/>
    <s v="ENTR BA-142/245"/>
    <s v="CASCAVEL"/>
    <n v="521.6"/>
    <n v="557.9"/>
    <n v="36.299999999999997"/>
    <x v="1"/>
    <m/>
    <m/>
    <s v="Federal"/>
    <m/>
    <m/>
    <m/>
    <s v="Federal"/>
    <s v="PLA"/>
    <s v="Jequié"/>
  </r>
  <r>
    <x v="0"/>
    <s v="330BBA0190"/>
    <n v="0"/>
    <x v="283"/>
    <s v="0190"/>
    <n v="-41.386890069820801"/>
    <n v="-13.2765899900359"/>
    <n v="-40.959089509872904"/>
    <n v="-13.292358879958201"/>
    <s v="330"/>
    <s v="BA"/>
    <s v="Eixo Principal"/>
    <s v="-"/>
    <s v="330BBA0190"/>
    <s v="CASCAVEL"/>
    <s v="ENTR BR-407 (IRAMAIA)"/>
    <n v="557.9"/>
    <n v="642.29999999999995"/>
    <n v="84.4"/>
    <x v="1"/>
    <m/>
    <m/>
    <s v="Federal"/>
    <m/>
    <m/>
    <m/>
    <s v="Federal"/>
    <s v="PLA"/>
    <s v="Jequié"/>
  </r>
  <r>
    <x v="0"/>
    <s v="330BBA0200"/>
    <n v="0"/>
    <x v="283"/>
    <s v="0200"/>
    <n v="-40.959089509872904"/>
    <n v="-13.292358879958201"/>
    <n v="-40.710209419928702"/>
    <n v="-13.572269919720901"/>
    <s v="330"/>
    <s v="BA"/>
    <s v="Eixo Principal"/>
    <s v="-"/>
    <s v="330BBA0200"/>
    <s v="ENTR BR-407 (IRAMAIA)"/>
    <s v="ENTR BA-026(A)"/>
    <n v="642.29999999999995"/>
    <n v="693.5"/>
    <n v="51.2"/>
    <x v="3"/>
    <m/>
    <m/>
    <s v="Federal"/>
    <m/>
    <m/>
    <m/>
    <s v="Federal"/>
    <s v="N_PAV"/>
    <s v="Jequié"/>
  </r>
  <r>
    <x v="0"/>
    <s v="330BBA0210"/>
    <n v="0"/>
    <x v="283"/>
    <s v="0210"/>
    <n v="-40.710209419928702"/>
    <n v="-13.572269919720901"/>
    <n v="-40.574660129761099"/>
    <n v="-13.5231499801873"/>
    <s v="330"/>
    <s v="BA"/>
    <s v="Eixo Principal"/>
    <s v="-"/>
    <s v="330BBA0210"/>
    <s v="ENTR BA-026(A)"/>
    <s v="ENTR BA-026(B)/130(A) (P/MARACÁS)"/>
    <n v="693.5"/>
    <n v="711"/>
    <n v="17.5"/>
    <x v="1"/>
    <m/>
    <m/>
    <s v="Estadual"/>
    <m/>
    <s v="BA-026"/>
    <s v="PAV"/>
    <s v="Estadual"/>
    <s v="PLA"/>
    <s v="Jequié"/>
  </r>
  <r>
    <x v="0"/>
    <s v="330BBA0220"/>
    <n v="0"/>
    <x v="283"/>
    <s v="0220"/>
    <n v="-40.574660129761099"/>
    <n v="-13.5231499801873"/>
    <n v="-40.113620930061799"/>
    <n v="-13.857529379677"/>
    <s v="330"/>
    <s v="BA"/>
    <s v="Eixo Principal"/>
    <s v="-"/>
    <s v="330BBA0220"/>
    <s v="ENTR BA-026(B)/130(A) (P/MARACÁS)"/>
    <s v="ENTR BR-116(A)"/>
    <n v="711"/>
    <n v="778.3"/>
    <n v="67.3"/>
    <x v="1"/>
    <m/>
    <m/>
    <s v="Estadual"/>
    <m/>
    <s v="BA-130"/>
    <s v="PAV"/>
    <s v="Estadual"/>
    <s v="PLA"/>
    <s v="Jequié"/>
  </r>
  <r>
    <x v="0"/>
    <s v="330BBA0230"/>
    <n v="0"/>
    <x v="283"/>
    <s v="0230"/>
    <n v="-40.113620930061799"/>
    <n v="-13.857529379677"/>
    <n v="-40.105871099671397"/>
    <n v="-13.835109549965599"/>
    <s v="330"/>
    <s v="BA"/>
    <s v="Eixo Principal"/>
    <s v="Coinc"/>
    <s v="330BBA0230"/>
    <s v="ENTR BR-116(A)"/>
    <s v="ENTR BR-116(B)"/>
    <n v="778.3"/>
    <n v="781.1"/>
    <n v="2.8"/>
    <x v="2"/>
    <m/>
    <s v="116BBA0870"/>
    <s v="Concessão Federal"/>
    <m/>
    <m/>
    <m/>
    <s v="Federal"/>
    <s v="PAV"/>
    <s v="Jequié"/>
  </r>
  <r>
    <x v="0"/>
    <s v="330BBA0250"/>
    <n v="0"/>
    <x v="283"/>
    <s v="0250"/>
    <n v="-40.105871099671397"/>
    <n v="-13.835109549965599"/>
    <n v="-40.080376899774002"/>
    <n v="-13.8629626203286"/>
    <s v="330"/>
    <s v="BA"/>
    <s v="Eixo Principal"/>
    <s v="-"/>
    <s v="330BBA0250"/>
    <s v="ENTR BR-116(B)"/>
    <s v="P/JEQUIÉ"/>
    <n v="781.1"/>
    <n v="785.4"/>
    <n v="4.3"/>
    <x v="2"/>
    <m/>
    <m/>
    <m/>
    <s v="MP082/2006"/>
    <m/>
    <m/>
    <m/>
    <s v="PAV"/>
    <s v="Jequié"/>
  </r>
  <r>
    <x v="0"/>
    <s v="330BBA0252"/>
    <n v="0"/>
    <x v="283"/>
    <s v="0252"/>
    <n v="-40.080376899774002"/>
    <n v="-13.8629626203286"/>
    <n v="-40.033577599626398"/>
    <n v="-13.8814651497967"/>
    <s v="330"/>
    <s v="BA"/>
    <s v="Eixo Principal"/>
    <s v="-"/>
    <s v="330BBA0252"/>
    <s v="P/JEQUIÉ"/>
    <s v="ENTR BA-130(A)"/>
    <n v="785.4"/>
    <n v="786.9"/>
    <n v="1.5"/>
    <x v="2"/>
    <m/>
    <m/>
    <m/>
    <s v="MP082/2006"/>
    <m/>
    <m/>
    <m/>
    <s v="PAV"/>
    <s v="Jequié"/>
  </r>
  <r>
    <x v="0"/>
    <s v="330BBA0270"/>
    <n v="0"/>
    <x v="283"/>
    <s v="0270"/>
    <n v="-40.033577599626398"/>
    <n v="-13.8814651497967"/>
    <n v="-39.926207910166802"/>
    <n v="-14.003208930147901"/>
    <s v="330"/>
    <s v="BA"/>
    <s v="Eixo Principal"/>
    <s v="-"/>
    <s v="330BBA0270"/>
    <s v="ENTR BA-130(A)"/>
    <s v="ENTR BA-130(B) (P/ ITAGI)"/>
    <n v="786.9"/>
    <n v="809.5"/>
    <n v="22.6"/>
    <x v="2"/>
    <m/>
    <m/>
    <m/>
    <s v="MP082/2006"/>
    <m/>
    <m/>
    <m/>
    <s v="PAV"/>
    <s v="Jequié"/>
  </r>
  <r>
    <x v="0"/>
    <s v="330BBA0272"/>
    <n v="0"/>
    <x v="283"/>
    <s v="0272"/>
    <n v="-39.926207910166802"/>
    <n v="-14.003208930147901"/>
    <n v="-39.729030080273901"/>
    <n v="-14.1399186497258"/>
    <s v="330"/>
    <s v="BA"/>
    <s v="Eixo Principal"/>
    <s v="-"/>
    <s v="330BBA0272"/>
    <s v="ENTR BA-130(B) (P/ ITAGI)"/>
    <s v="ENTR BA-650 (IPIAÚ)"/>
    <n v="809.5"/>
    <n v="840"/>
    <n v="30.5"/>
    <x v="2"/>
    <m/>
    <m/>
    <m/>
    <s v="MP082/2006"/>
    <m/>
    <m/>
    <m/>
    <s v="PAV"/>
    <s v="Jequié"/>
  </r>
  <r>
    <x v="0"/>
    <s v="330BBA0290"/>
    <n v="0"/>
    <x v="283"/>
    <s v="0290"/>
    <n v="-39.729030080273901"/>
    <n v="-14.1399186497258"/>
    <n v="-39.602634939750601"/>
    <n v="-14.207023840377801"/>
    <s v="330"/>
    <s v="BA"/>
    <s v="Eixo Principal"/>
    <s v="-"/>
    <s v="330BBA0290"/>
    <s v="ENTR BA-650 (IPIAÚ)"/>
    <s v="BARRA DO ROCHA"/>
    <n v="840"/>
    <n v="857.4"/>
    <n v="17.399999999999999"/>
    <x v="2"/>
    <m/>
    <m/>
    <m/>
    <s v="MP082/2006"/>
    <m/>
    <m/>
    <m/>
    <s v="PAV"/>
    <s v="Jequié"/>
  </r>
  <r>
    <x v="0"/>
    <s v="330BBA0310"/>
    <n v="0"/>
    <x v="283"/>
    <s v="0310"/>
    <n v="-39.602634939750601"/>
    <n v="-14.207023840377801"/>
    <n v="-39.550931939557302"/>
    <n v="-14.1937546997195"/>
    <s v="330"/>
    <s v="BA"/>
    <s v="Eixo Principal"/>
    <s v="-"/>
    <s v="330BBA0310"/>
    <s v="BARRA DO ROCHA"/>
    <s v="ENTR BA-120 (P/ IBIRATAIA)"/>
    <n v="857.4"/>
    <n v="863.7"/>
    <n v="6.3"/>
    <x v="2"/>
    <m/>
    <m/>
    <m/>
    <s v="MP082/2006"/>
    <m/>
    <m/>
    <m/>
    <s v="PAV"/>
    <s v="Jequié"/>
  </r>
  <r>
    <x v="0"/>
    <s v="330BBA0312"/>
    <n v="0"/>
    <x v="283"/>
    <s v="0312"/>
    <n v="-39.550931939557302"/>
    <n v="-14.1937546997195"/>
    <n v="-39.4466573100867"/>
    <n v="-14.2289896203746"/>
    <s v="330"/>
    <s v="BA"/>
    <s v="Eixo Principal"/>
    <s v="-"/>
    <s v="330BBA0312"/>
    <s v="ENTR BA-120 (P/ IBIRATAIA)"/>
    <s v="ENTR BA-652 (P/IBIRAPITANGA)"/>
    <n v="863.7"/>
    <n v="876.9"/>
    <n v="13.2"/>
    <x v="2"/>
    <m/>
    <m/>
    <m/>
    <s v="MP082/2006"/>
    <m/>
    <m/>
    <m/>
    <s v="PAV"/>
    <s v="Jequié"/>
  </r>
  <r>
    <x v="0"/>
    <s v="330BBA0330"/>
    <n v="0"/>
    <x v="283"/>
    <s v="0330"/>
    <n v="-39.4466573100867"/>
    <n v="-14.2289896203746"/>
    <n v="-39.326385360196099"/>
    <n v="-14.2667068398487"/>
    <s v="330"/>
    <s v="BA"/>
    <s v="Eixo Principal"/>
    <s v="-"/>
    <s v="330BBA0330"/>
    <s v="ENTR BA-652 (P/IBIRAPITANGA)"/>
    <s v="ENTR BR-030/101 (UBAÍTABA)"/>
    <n v="876.9"/>
    <n v="892.8"/>
    <n v="15.9"/>
    <x v="2"/>
    <m/>
    <m/>
    <m/>
    <s v="MP082/2006"/>
    <m/>
    <m/>
    <m/>
    <s v="PAV"/>
    <s v="Jequié"/>
  </r>
  <r>
    <x v="0"/>
    <s v="330BMA0010"/>
    <n v="0"/>
    <x v="284"/>
    <s v="0010"/>
    <n v="-46.049785870121703"/>
    <n v="-7.5212974697024002"/>
    <n v="-46.027583304026201"/>
    <n v="-8.1169822569255494"/>
    <s v="330"/>
    <s v="MA"/>
    <s v="Eixo Principal"/>
    <s v="-"/>
    <s v="330BMA0010"/>
    <s v="ENTR BR-230/324 (BALSAS)"/>
    <s v="BURITIRANA"/>
    <n v="0"/>
    <n v="74"/>
    <n v="74"/>
    <x v="1"/>
    <m/>
    <m/>
    <s v="Estadual"/>
    <m/>
    <s v="MA-006"/>
    <s v="PAV"/>
    <s v="Estadual"/>
    <s v="PLA"/>
    <s v="Barão de Grajaú"/>
  </r>
  <r>
    <x v="0"/>
    <s v="330BMA0015"/>
    <n v="0"/>
    <x v="284"/>
    <s v="0015"/>
    <n v="-46.027583304026201"/>
    <n v="-8.1169822569255494"/>
    <n v="-45.755245925558903"/>
    <n v="-8.4593662116812904"/>
    <s v="330"/>
    <s v="MA"/>
    <s v="Eixo Principal"/>
    <s v="-"/>
    <s v="330BMA0015"/>
    <s v="BURITIRANA"/>
    <s v="ENTR MA-006 (TASSO FRAGOSO)"/>
    <n v="74"/>
    <n v="143"/>
    <n v="69"/>
    <x v="1"/>
    <m/>
    <m/>
    <s v="Estadual"/>
    <m/>
    <s v="MA-006"/>
    <s v="PAV"/>
    <s v="Estadual"/>
    <s v="PLA"/>
    <s v="Barão de Grajaú"/>
  </r>
  <r>
    <x v="0"/>
    <s v="330BMA0020"/>
    <n v="0"/>
    <x v="284"/>
    <s v="0020"/>
    <n v="-45.755245925558903"/>
    <n v="-8.4593662116812904"/>
    <n v="-45.743610190258003"/>
    <n v="-8.4718859697616704"/>
    <s v="330"/>
    <s v="MA"/>
    <s v="Eixo Principal"/>
    <s v="-"/>
    <s v="330BMA0020"/>
    <s v="ENTR MA-006 (TASSO FRAGOSO)"/>
    <s v="DIV MA/PI (RIO PARNAÍBA)"/>
    <n v="143"/>
    <n v="145.5"/>
    <n v="2.5"/>
    <x v="1"/>
    <m/>
    <m/>
    <s v="Federal"/>
    <m/>
    <m/>
    <m/>
    <s v="Federal"/>
    <s v="PLA"/>
    <s v="Barão de Grajaú"/>
  </r>
  <r>
    <x v="0"/>
    <s v="330BPI0030"/>
    <n v="0"/>
    <x v="285"/>
    <s v="0030"/>
    <n v="-45.743610190258003"/>
    <n v="-8.4718859697616704"/>
    <n v="-45.517559043315103"/>
    <n v="-8.5675686373826299"/>
    <s v="330"/>
    <s v="PI"/>
    <s v="Eixo Principal"/>
    <s v="-"/>
    <s v="330BPI0030"/>
    <s v="DIV MA/PI (RIO PARNAÍBA)"/>
    <s v="ENTR PI-392"/>
    <n v="0"/>
    <n v="38"/>
    <n v="38"/>
    <x v="1"/>
    <m/>
    <m/>
    <s v="Federal"/>
    <m/>
    <m/>
    <m/>
    <s v="Federal"/>
    <s v="PLA"/>
    <s v="Floriano"/>
  </r>
  <r>
    <x v="0"/>
    <s v="330BPI0040"/>
    <n v="0"/>
    <x v="285"/>
    <s v="0040"/>
    <n v="-45.517559043315103"/>
    <n v="-8.5675686373826299"/>
    <n v="-45.114831210591802"/>
    <n v="-8.7380348038630498"/>
    <s v="330"/>
    <s v="PI"/>
    <s v="Eixo Principal"/>
    <s v="-"/>
    <s v="330BPI0040"/>
    <s v="ENTR PI-392"/>
    <s v="RIACHO COLHER"/>
    <n v="38"/>
    <n v="105.7"/>
    <n v="67.7"/>
    <x v="1"/>
    <m/>
    <m/>
    <s v="Federal"/>
    <m/>
    <m/>
    <m/>
    <s v="Federal"/>
    <s v="PLA"/>
    <s v="Floriano"/>
  </r>
  <r>
    <x v="0"/>
    <s v="330BPI0050"/>
    <n v="0"/>
    <x v="285"/>
    <s v="0050"/>
    <n v="-45.114831210591802"/>
    <n v="-8.7380348038630498"/>
    <n v="-44.888588455892403"/>
    <n v="-8.8380999037874997"/>
    <s v="330"/>
    <s v="PI"/>
    <s v="Eixo Principal"/>
    <s v="-"/>
    <s v="330BPI0050"/>
    <s v="RIACHO COLHER"/>
    <s v="RIO URUÇUÍ PRETO"/>
    <n v="105.7"/>
    <n v="144"/>
    <n v="38.299999999999997"/>
    <x v="1"/>
    <m/>
    <m/>
    <s v="Federal"/>
    <m/>
    <m/>
    <m/>
    <s v="Federal"/>
    <s v="PLA"/>
    <s v="Floriano"/>
  </r>
  <r>
    <x v="0"/>
    <s v="330BPI0060"/>
    <n v="0"/>
    <x v="285"/>
    <s v="0060"/>
    <n v="-44.888588455892403"/>
    <n v="-8.8380999037874997"/>
    <n v="-44.360655290209401"/>
    <n v="-9.0784687100628503"/>
    <s v="330"/>
    <s v="PI"/>
    <s v="Eixo Principal"/>
    <s v="-"/>
    <s v="330BPI0060"/>
    <s v="RIO URUÇUÍ PRETO"/>
    <s v="ENTR BR-135(A)/235(A) (BOM JESUS)"/>
    <n v="144"/>
    <n v="233.8"/>
    <n v="89.8"/>
    <x v="1"/>
    <m/>
    <m/>
    <s v="Federal"/>
    <m/>
    <m/>
    <m/>
    <s v="Federal"/>
    <s v="PLA"/>
    <s v="Floriano"/>
  </r>
  <r>
    <x v="0"/>
    <s v="330BPI0070"/>
    <n v="0"/>
    <x v="285"/>
    <s v="0070"/>
    <n v="-44.360655290209401"/>
    <n v="-9.0784687100628503"/>
    <n v="-44.602009409906302"/>
    <n v="-9.4712710500189097"/>
    <s v="330"/>
    <s v="PI"/>
    <s v="Eixo Principal"/>
    <s v="Coinc"/>
    <s v="330BPI0070"/>
    <s v="ENTR BR-135(A)/235(A) (BOM JESUS)"/>
    <s v="ENTR BR-135(B)/235(B)/PI-257(A) (REDENÇÃO DO GURGÉIA)"/>
    <n v="233.8"/>
    <n v="289.10000000000002"/>
    <n v="55.3"/>
    <x v="2"/>
    <m/>
    <s v="135BPI0450;235BPI0410"/>
    <s v="Federal"/>
    <m/>
    <m/>
    <m/>
    <s v="Federal"/>
    <s v="PAV"/>
    <s v="Floriano"/>
  </r>
  <r>
    <x v="0"/>
    <s v="330BPI0075"/>
    <n v="0"/>
    <x v="285"/>
    <s v="0075"/>
    <n v="-44.602009409906302"/>
    <n v="-9.4712710500189097"/>
    <n v="-44.304378419928"/>
    <n v="-10.037211509703299"/>
    <s v="330"/>
    <s v="PI"/>
    <s v="Eixo Principal"/>
    <s v="-"/>
    <s v="330BPI0075"/>
    <s v="ENTR BR-135(B)/235(B)/PI-257(A) (REDENÇÃO DO GURGÉIA)"/>
    <s v="ENTR PI-255(A)/257(B) (CURIMATÃ)"/>
    <n v="289.10000000000002"/>
    <n v="374.1"/>
    <n v="85"/>
    <x v="1"/>
    <m/>
    <m/>
    <s v="Estadual"/>
    <m/>
    <s v="PI-257"/>
    <s v="PAV"/>
    <s v="Estadual"/>
    <s v="PLA"/>
    <s v="Floriano"/>
  </r>
  <r>
    <x v="0"/>
    <s v="330BPI0080"/>
    <n v="0"/>
    <x v="285"/>
    <s v="0080"/>
    <n v="-44.304378419928"/>
    <n v="-10.037211509703299"/>
    <n v="-43.9635784204077"/>
    <n v="-10.1333115104177"/>
    <s v="330"/>
    <s v="PI"/>
    <s v="Eixo Principal"/>
    <s v="-"/>
    <s v="330BPI0080"/>
    <s v="ENTR PI-255(A)/257(B) (CURIMATÃ)"/>
    <s v="ENTR PI-255(B) (AVELINO LOPES)"/>
    <n v="374.1"/>
    <n v="416.1"/>
    <n v="42"/>
    <x v="1"/>
    <m/>
    <m/>
    <s v="Estadual"/>
    <m/>
    <s v="PI-255"/>
    <s v="IMP"/>
    <s v="Estadual"/>
    <s v="PLA"/>
    <s v="Floriano"/>
  </r>
  <r>
    <x v="0"/>
    <s v="330BPI0085"/>
    <n v="0"/>
    <x v="285"/>
    <s v="0085"/>
    <n v="-43.9635784204077"/>
    <n v="-10.1333115104177"/>
    <n v="-43.915451749698398"/>
    <n v="-10.3906065099823"/>
    <s v="330"/>
    <s v="PI"/>
    <s v="Eixo Principal"/>
    <s v="-"/>
    <s v="330BPI0085"/>
    <s v="ENTR PI-255(B) (AVELINO LOPES)"/>
    <s v="DIV PI/BA"/>
    <n v="416.1"/>
    <n v="451.1"/>
    <n v="35"/>
    <x v="1"/>
    <m/>
    <m/>
    <s v="Federal"/>
    <m/>
    <m/>
    <m/>
    <s v="Federal"/>
    <s v="PLA"/>
    <s v="Floriano"/>
  </r>
  <r>
    <x v="0"/>
    <s v="342BBA0010"/>
    <n v="0"/>
    <x v="286"/>
    <s v="0010"/>
    <n v="-43.774920399756503"/>
    <n v="-14.3221427100179"/>
    <n v="-43.764455540390799"/>
    <n v="-14.328193919813399"/>
    <s v="342"/>
    <s v="BA"/>
    <s v="Eixo Principal"/>
    <s v="Coinc"/>
    <s v="342BBA0010"/>
    <s v="ENTR BR-030(A) (CARINHANHA) (INÍCIO PONTE S/RIO SÃO FRANCISCO)"/>
    <s v="ENTR BR-030(B) (P/ MALHADA)"/>
    <n v="0"/>
    <n v="1.1000000000000001"/>
    <n v="1.1000000000000001"/>
    <x v="2"/>
    <m/>
    <s v="030BBA0240"/>
    <s v="Federal"/>
    <m/>
    <m/>
    <m/>
    <s v="Federal"/>
    <s v="PAV"/>
    <s v="Vitória da Conquista"/>
  </r>
  <r>
    <x v="0"/>
    <s v="342BBA0011"/>
    <n v="0"/>
    <x v="286"/>
    <s v="0011"/>
    <n v="-43.764455540390799"/>
    <n v="-14.328193919813399"/>
    <n v="-43.366087610154999"/>
    <n v="-14.699523409877401"/>
    <s v="342"/>
    <s v="BA"/>
    <s v="Eixo Principal"/>
    <s v="-"/>
    <s v="342BBA0011"/>
    <s v="ENTR BR-030(B) (P/MALHADA) (FIM TRV RIO SÃO FRANCISCO)"/>
    <s v="DIV BA/MG"/>
    <n v="1.1000000000000001"/>
    <n v="61.2"/>
    <n v="60.1"/>
    <x v="1"/>
    <m/>
    <m/>
    <s v="Federal"/>
    <m/>
    <m/>
    <m/>
    <s v="Federal"/>
    <s v="PLA"/>
    <s v="Vitória da Conquista"/>
  </r>
  <r>
    <x v="0"/>
    <s v="342BES0230"/>
    <n v="0"/>
    <x v="287"/>
    <s v="0230"/>
    <n v="-41.042827870409802"/>
    <n v="-18.1637719997779"/>
    <n v="-41.000826209661703"/>
    <n v="-18.333840899737702"/>
    <s v="342"/>
    <s v="ES"/>
    <s v="Eixo Principal"/>
    <s v="-"/>
    <s v="342BES0230"/>
    <s v="DIV MG/ES"/>
    <s v="ENTR ES-080 (P/SANTA RITA)"/>
    <n v="0"/>
    <n v="28"/>
    <n v="28"/>
    <x v="1"/>
    <m/>
    <m/>
    <s v="Estadual"/>
    <m/>
    <s v="ES-080"/>
    <s v="LEN"/>
    <s v="Estadual"/>
    <s v="PLA"/>
    <s v="Colatina"/>
  </r>
  <r>
    <x v="0"/>
    <s v="342BES0250"/>
    <n v="0"/>
    <x v="287"/>
    <s v="0250"/>
    <n v="-41.000826209661703"/>
    <n v="-18.333840899737702"/>
    <n v="-40.832297340250001"/>
    <n v="-18.373090310369399"/>
    <s v="342"/>
    <s v="ES"/>
    <s v="Eixo Principal"/>
    <s v="-"/>
    <s v="342BES0250"/>
    <s v="ENTR ES-080 (P/SANTA RITA)"/>
    <s v="ENTR ES-320 (ECOPORANGA) (P /COTAXÉ)"/>
    <n v="28"/>
    <n v="49.6"/>
    <n v="21.6"/>
    <x v="1"/>
    <m/>
    <m/>
    <s v="Estadual"/>
    <m/>
    <s v="ES-313"/>
    <s v="LEN"/>
    <s v="Estadual"/>
    <s v="PLA"/>
    <s v="Colatina"/>
  </r>
  <r>
    <x v="0"/>
    <s v="342BES0260"/>
    <n v="0"/>
    <x v="287"/>
    <s v="0260"/>
    <n v="-40.832297340250001"/>
    <n v="-18.373090310369399"/>
    <n v="-40.819332969940497"/>
    <n v="-18.382015989945899"/>
    <s v="342"/>
    <s v="ES"/>
    <s v="Eixo Principal"/>
    <s v="-"/>
    <s v="342BES0260"/>
    <s v="ENTR ES-320 (ECOPORANGA) (P /COTAXÉ)"/>
    <s v="FIM PAVIMENTAÇÃO"/>
    <n v="49.6"/>
    <n v="51.6"/>
    <n v="2"/>
    <x v="2"/>
    <m/>
    <m/>
    <s v="Federal"/>
    <m/>
    <m/>
    <m/>
    <s v="Federal"/>
    <s v="PAV"/>
    <s v="Colatina"/>
  </r>
  <r>
    <x v="0"/>
    <s v="342BES0262"/>
    <n v="0"/>
    <x v="287"/>
    <s v="0262"/>
    <n v="-40.819332969940497"/>
    <n v="-18.382015989945899"/>
    <n v="-40.808027530446097"/>
    <n v="-18.3830639897113"/>
    <s v="342"/>
    <s v="ES"/>
    <s v="Eixo Principal"/>
    <s v="-"/>
    <s v="342BES0262"/>
    <s v="FIM PAVIMENTAÇÃO"/>
    <s v="INÍCIO PAVIMENTAÇÃO"/>
    <n v="51.6"/>
    <n v="53.5"/>
    <n v="1.9"/>
    <x v="5"/>
    <m/>
    <m/>
    <s v="Federal"/>
    <m/>
    <m/>
    <m/>
    <s v="Federal"/>
    <s v="N_PAV"/>
    <s v="Colatina"/>
  </r>
  <r>
    <x v="0"/>
    <s v="342BES0265"/>
    <n v="0"/>
    <x v="287"/>
    <s v="0265"/>
    <n v="-40.808027530446097"/>
    <n v="-18.3830639897113"/>
    <n v="-40.587797040401"/>
    <n v="-18.450349870350099"/>
    <s v="342"/>
    <s v="ES"/>
    <s v="Eixo Principal"/>
    <s v="-"/>
    <s v="342BES0265"/>
    <s v="INÍCIO PAVIMENTAÇÃO"/>
    <s v="FIM DA PAVIMENTAÇÃO"/>
    <n v="53.5"/>
    <n v="82.8"/>
    <n v="29.3"/>
    <x v="2"/>
    <m/>
    <m/>
    <s v="Federal"/>
    <m/>
    <m/>
    <m/>
    <s v="Federal"/>
    <s v="PAV"/>
    <s v="Colatina"/>
  </r>
  <r>
    <x v="0"/>
    <s v="342BES0270"/>
    <n v="0"/>
    <x v="287"/>
    <s v="0270"/>
    <n v="-40.587797040401"/>
    <n v="-18.450349870350099"/>
    <n v="-40.536749350102298"/>
    <n v="-18.6006529595663"/>
    <s v="342"/>
    <s v="ES"/>
    <s v="Eixo Principal"/>
    <s v="-"/>
    <s v="342BES0270"/>
    <s v="FIM DA PAVIMENTAÇÃO"/>
    <s v="ENTR ES-220"/>
    <n v="82.8"/>
    <n v="105.9"/>
    <n v="23.1"/>
    <x v="5"/>
    <s v="EOP"/>
    <m/>
    <s v="Federal"/>
    <m/>
    <m/>
    <m/>
    <s v="Federal"/>
    <s v="N_PAV"/>
    <s v="Colatina"/>
  </r>
  <r>
    <x v="0"/>
    <s v="342BES0290"/>
    <n v="0"/>
    <x v="287"/>
    <s v="0290"/>
    <n v="-40.536749350102298"/>
    <n v="-18.6006529595663"/>
    <n v="-40.421085770092098"/>
    <n v="-18.663317250290799"/>
    <s v="342"/>
    <s v="ES"/>
    <s v="Eixo Principal"/>
    <s v="-"/>
    <s v="342BES0290"/>
    <s v="ENTR ES-220"/>
    <s v="ENTR ES-137"/>
    <n v="105.9"/>
    <n v="121.4"/>
    <n v="15.5"/>
    <x v="2"/>
    <m/>
    <m/>
    <s v="Federal"/>
    <m/>
    <m/>
    <m/>
    <s v="Federal"/>
    <s v="PAV"/>
    <s v="Colatina"/>
  </r>
  <r>
    <x v="0"/>
    <s v="342BES0300"/>
    <n v="0"/>
    <x v="287"/>
    <s v="0300"/>
    <n v="-40.421085770092098"/>
    <n v="-18.663317250290799"/>
    <n v="-40.400622130406902"/>
    <n v="-18.694554759994102"/>
    <s v="342"/>
    <s v="ES"/>
    <s v="Eixo Principal"/>
    <s v="-"/>
    <s v="342BES0300"/>
    <s v="ENTR ES-137"/>
    <s v="ENTR ES-130 (P/NOVA VENÉCIA)"/>
    <n v="121.4"/>
    <n v="125.9"/>
    <n v="4.5"/>
    <x v="2"/>
    <m/>
    <m/>
    <s v="Federal"/>
    <m/>
    <m/>
    <m/>
    <s v="Federal"/>
    <s v="PAV"/>
    <s v="Colatina"/>
  </r>
  <r>
    <x v="0"/>
    <s v="342BES0310"/>
    <n v="0"/>
    <x v="287"/>
    <s v="0310"/>
    <n v="-40.400622130406902"/>
    <n v="-18.694554759994102"/>
    <n v="-40.334475930020098"/>
    <n v="-18.7256012303124"/>
    <s v="342"/>
    <s v="ES"/>
    <s v="Eixo Principal"/>
    <s v="-"/>
    <s v="342BES0310"/>
    <s v="ENTR ES-130 (P/NOVA VENÉCIA)"/>
    <s v="ENTR BR-381/ES-344"/>
    <n v="125.9"/>
    <n v="135.9"/>
    <n v="10"/>
    <x v="1"/>
    <m/>
    <m/>
    <s v="Federal"/>
    <m/>
    <m/>
    <m/>
    <s v="Federal"/>
    <s v="PLA"/>
    <s v="Colatina"/>
  </r>
  <r>
    <x v="0"/>
    <s v="342BES0320"/>
    <n v="0"/>
    <x v="287"/>
    <s v="0320"/>
    <n v="-40.334475930020098"/>
    <n v="-18.7256012303124"/>
    <n v="-40.155588490316497"/>
    <n v="-19.0976223296067"/>
    <s v="342"/>
    <s v="ES"/>
    <s v="Eixo Principal"/>
    <s v="-"/>
    <s v="342BES0320"/>
    <s v="ENTR BR-381/ES-344"/>
    <s v="ENTR ES-356"/>
    <n v="135.9"/>
    <n v="177.9"/>
    <n v="42"/>
    <x v="1"/>
    <m/>
    <m/>
    <s v="Federal"/>
    <m/>
    <m/>
    <m/>
    <s v="Federal"/>
    <s v="PLA"/>
    <s v="Colatina"/>
  </r>
  <r>
    <x v="0"/>
    <s v="342BES0330"/>
    <n v="0"/>
    <x v="287"/>
    <s v="0330"/>
    <n v="-40.155588490316497"/>
    <n v="-19.0976223296067"/>
    <n v="-40.095169859801103"/>
    <n v="-19.194695760101101"/>
    <s v="342"/>
    <s v="ES"/>
    <s v="Eixo Principal"/>
    <s v="-"/>
    <s v="342BES0330"/>
    <s v="ENTR ES-356"/>
    <s v="ENTR BR-101(A) (SOORETAMA)"/>
    <n v="177.9"/>
    <n v="209.9"/>
    <n v="32"/>
    <x v="1"/>
    <m/>
    <m/>
    <s v="Federal"/>
    <m/>
    <m/>
    <m/>
    <s v="Federal"/>
    <s v="PLA"/>
    <s v="Colatina"/>
  </r>
  <r>
    <x v="0"/>
    <s v="342BES0340"/>
    <n v="0"/>
    <x v="287"/>
    <s v="0340"/>
    <n v="-40.095169859801103"/>
    <n v="-19.194695760101101"/>
    <n v="-40.086945629836897"/>
    <n v="-19.283158989595599"/>
    <s v="342"/>
    <s v="ES"/>
    <s v="Eixo Principal"/>
    <s v="Coinc"/>
    <s v="342BES0340"/>
    <s v="ENTR BR-101(A) (SOORETAMA)"/>
    <s v="ENTR ES-358 (P/LAGOA)"/>
    <n v="209.9"/>
    <n v="219.7"/>
    <n v="9.8000000000000007"/>
    <x v="2"/>
    <m/>
    <s v="101BES2150"/>
    <s v="Concessão Federal"/>
    <m/>
    <m/>
    <m/>
    <s v="Federal"/>
    <s v="PAV"/>
    <s v="Colatina"/>
  </r>
  <r>
    <x v="0"/>
    <s v="342BES0350"/>
    <n v="0"/>
    <x v="287"/>
    <s v="0350"/>
    <n v="-40.086945629836897"/>
    <n v="-19.283158989595599"/>
    <n v="-40.064151200117699"/>
    <n v="-19.407459289814302"/>
    <s v="342"/>
    <s v="ES"/>
    <s v="Eixo Principal"/>
    <s v="Coinc"/>
    <s v="342BES0350"/>
    <s v="ENTR ES-358 (P/LAGOA)"/>
    <s v="ENTR BR-101(B)/ES-245/248 (LINHARES)"/>
    <n v="219.7"/>
    <n v="234.3"/>
    <n v="14.6"/>
    <x v="2"/>
    <m/>
    <s v="101BES2170"/>
    <s v="Concessão Federal"/>
    <m/>
    <m/>
    <m/>
    <s v="Federal"/>
    <s v="PAV"/>
    <s v="Colatina"/>
  </r>
  <r>
    <x v="0"/>
    <s v="342BMG0030"/>
    <n v="0"/>
    <x v="288"/>
    <s v="0030"/>
    <n v="-43.366087610154999"/>
    <n v="-14.699523409877401"/>
    <n v="-42.824947640321199"/>
    <n v="-14.934164819850499"/>
    <s v="342"/>
    <s v="MG"/>
    <s v="Eixo Principal"/>
    <s v="-"/>
    <s v="342BMG0030"/>
    <s v="DIV BA/MG"/>
    <s v="ENTR BR-122 (ESPINOSA)"/>
    <n v="0"/>
    <n v="63.5"/>
    <n v="63.5"/>
    <x v="1"/>
    <m/>
    <m/>
    <s v="Federal"/>
    <m/>
    <m/>
    <m/>
    <s v="Federal"/>
    <s v="PLA"/>
    <s v="Montes Claros"/>
  </r>
  <r>
    <x v="0"/>
    <s v="342BMG0035"/>
    <n v="0"/>
    <x v="288"/>
    <s v="0035"/>
    <n v="-42.824947640321199"/>
    <n v="-14.934164819850499"/>
    <n v="-42.5027799604267"/>
    <n v="-15.1758155503473"/>
    <s v="342"/>
    <s v="MG"/>
    <s v="Eixo Principal"/>
    <s v="-"/>
    <s v="342BMG0035"/>
    <s v="ENTR BR-122 (ESPINOSA)"/>
    <s v="ENTR MG-635(A) (MONTEZUMA)"/>
    <n v="63.5"/>
    <n v="127.5"/>
    <n v="64"/>
    <x v="1"/>
    <m/>
    <m/>
    <s v="Estadual"/>
    <m/>
    <s v="MGT-342"/>
    <s v="LEN"/>
    <s v="Estadual"/>
    <s v="PLA"/>
    <s v="Montes Claros"/>
  </r>
  <r>
    <x v="0"/>
    <s v="342BMG0040"/>
    <n v="0"/>
    <x v="288"/>
    <s v="0040"/>
    <n v="-42.5027799604267"/>
    <n v="-15.1758155503473"/>
    <n v="-42.524757630360199"/>
    <n v="-15.322403550083701"/>
    <s v="342"/>
    <s v="MG"/>
    <s v="Eixo Principal"/>
    <s v="-"/>
    <s v="342BMG0040"/>
    <s v="ENTR MG-635(A) (MONTEZUMA)"/>
    <s v="ENTR MG-635(A) (ACESSO SANTO ANTÔNIO DO RETIRO)"/>
    <n v="127.5"/>
    <n v="147"/>
    <n v="19.5"/>
    <x v="1"/>
    <m/>
    <m/>
    <s v="Estadual"/>
    <m/>
    <s v="MG-635"/>
    <s v="PAV"/>
    <s v="Estadual"/>
    <s v="PLA"/>
    <s v="Montes Claros"/>
  </r>
  <r>
    <x v="0"/>
    <s v="342BMG0045"/>
    <n v="0"/>
    <x v="288"/>
    <s v="0045"/>
    <n v="-42.524757630360199"/>
    <n v="-15.322403550083701"/>
    <n v="-42.544382660331401"/>
    <n v="-15.618890239992499"/>
    <s v="342"/>
    <s v="MG"/>
    <s v="Eixo Principal"/>
    <s v="-"/>
    <s v="342BMG0045"/>
    <s v="ENTR MG-635(A) (ACESSO SANTO ANTÔNIO DO RETIRO)"/>
    <s v="ENTR MG-629(A) (RIO PARDO DE MINAS)"/>
    <n v="147"/>
    <n v="182.2"/>
    <n v="35.200000000000003"/>
    <x v="1"/>
    <m/>
    <m/>
    <s v="Estadual"/>
    <m/>
    <s v="MGT-342"/>
    <s v="LEN"/>
    <s v="Estadual"/>
    <s v="PLA"/>
    <s v="Montes Claros"/>
  </r>
  <r>
    <x v="0"/>
    <s v="342BMG0050"/>
    <n v="0"/>
    <x v="288"/>
    <s v="0050"/>
    <n v="-42.544382660331401"/>
    <n v="-15.618890239992499"/>
    <n v="-42.665241180436098"/>
    <n v="-15.889468409639299"/>
    <s v="342"/>
    <s v="MG"/>
    <s v="Eixo Principal"/>
    <s v="-"/>
    <s v="342BMG0050"/>
    <s v="ENTR MG-629(A) (RIO PARDO DE MINAS)"/>
    <s v="ENTR MG-629(B) (ACESSO A TAIOBEIRAS)"/>
    <n v="182.2"/>
    <n v="225.1"/>
    <n v="42.9"/>
    <x v="1"/>
    <m/>
    <m/>
    <s v="Estadual"/>
    <m/>
    <s v="MG-629"/>
    <s v="PAV"/>
    <s v="Estadual"/>
    <s v="PLA"/>
    <s v="Montes Claros"/>
  </r>
  <r>
    <x v="0"/>
    <s v="342BMG0055"/>
    <n v="0"/>
    <x v="288"/>
    <s v="0055"/>
    <n v="-42.665241180436098"/>
    <n v="-15.889468409639299"/>
    <n v="-42.461345160350803"/>
    <n v="-15.971564750213"/>
    <s v="342"/>
    <s v="MG"/>
    <s v="Eixo Principal"/>
    <s v="-"/>
    <s v="342BMG0055"/>
    <s v="ENTR MG-629(B) (ACESSO A TAIOBEIRAS)"/>
    <s v="PEQUI"/>
    <n v="225.1"/>
    <n v="252"/>
    <n v="26.9"/>
    <x v="1"/>
    <m/>
    <m/>
    <s v="Estadual"/>
    <m/>
    <s v="MGT-342"/>
    <s v="IMP"/>
    <s v="Estadual"/>
    <s v="PLA"/>
    <s v="Montes Claros"/>
  </r>
  <r>
    <x v="0"/>
    <s v="342BMG0060"/>
    <n v="0"/>
    <x v="288"/>
    <s v="0060"/>
    <n v="-42.461345160350803"/>
    <n v="-15.971564750213"/>
    <n v="-42.4086520902217"/>
    <n v="-16.021404499917701"/>
    <s v="342"/>
    <s v="MG"/>
    <s v="Eixo Principal"/>
    <s v="-"/>
    <s v="342BMG0060"/>
    <s v="PEQUI"/>
    <s v="NOVORIZONTE"/>
    <n v="252"/>
    <n v="265.3"/>
    <n v="13.3"/>
    <x v="1"/>
    <m/>
    <m/>
    <s v="Estadual"/>
    <m/>
    <s v="MGT-342"/>
    <s v="IMP"/>
    <s v="Estadual"/>
    <s v="PLA"/>
    <s v="Montes Claros"/>
  </r>
  <r>
    <x v="0"/>
    <s v="342BMG0065"/>
    <n v="0"/>
    <x v="288"/>
    <s v="0065"/>
    <n v="-42.4086520902217"/>
    <n v="-16.021404499917701"/>
    <n v="-42.302886880325197"/>
    <n v="-16.1429281999763"/>
    <s v="342"/>
    <s v="MG"/>
    <s v="Eixo Principal"/>
    <s v="-"/>
    <s v="342BMG0065"/>
    <s v="NOVORIZONTE"/>
    <s v="ENTR BR-251 (SALINAS)"/>
    <n v="265.3"/>
    <n v="288"/>
    <n v="22.7"/>
    <x v="1"/>
    <m/>
    <m/>
    <s v="Estadual"/>
    <m/>
    <s v="MGT-342"/>
    <s v="PAV"/>
    <s v="Estadual"/>
    <s v="PLA"/>
    <s v="Montes Claros"/>
  </r>
  <r>
    <x v="0"/>
    <s v="342BMG0070"/>
    <n v="0"/>
    <x v="288"/>
    <s v="0070"/>
    <n v="-42.302886880325197"/>
    <n v="-16.1429281999763"/>
    <n v="-42.181481499571497"/>
    <n v="-16.6296917297894"/>
    <s v="342"/>
    <s v="MG"/>
    <s v="Eixo Principal"/>
    <s v="-"/>
    <s v="342BMG0070"/>
    <s v="ENTR BR-251 (SALINAS)"/>
    <s v="ENTR MG-114 (CORONEL MURTA)"/>
    <n v="288"/>
    <n v="361"/>
    <n v="73"/>
    <x v="1"/>
    <m/>
    <m/>
    <s v="Estadual"/>
    <m/>
    <s v="MGT-342"/>
    <s v="PAV"/>
    <s v="Estadual"/>
    <s v="PLA"/>
    <s v="Montes Claros"/>
  </r>
  <r>
    <x v="0"/>
    <s v="342BMG0080"/>
    <n v="0"/>
    <x v="288"/>
    <s v="0080"/>
    <n v="-42.181481499571497"/>
    <n v="-16.6296917297894"/>
    <n v="-42.094693619814599"/>
    <n v="-16.832599590098901"/>
    <s v="342"/>
    <s v="MG"/>
    <s v="Eixo Principal"/>
    <s v="-"/>
    <s v="342BMG0080"/>
    <s v="ENTR MG-114 (CORONEL MURTA)"/>
    <s v="ENTR BR-367(A)"/>
    <n v="361"/>
    <n v="396.5"/>
    <n v="35.5"/>
    <x v="1"/>
    <m/>
    <m/>
    <s v="Estadual"/>
    <m/>
    <s v="MGT-342"/>
    <s v="PAV"/>
    <s v="Estadual"/>
    <s v="PLA"/>
    <s v="Montes Claros"/>
  </r>
  <r>
    <x v="0"/>
    <s v="342BMG0090"/>
    <n v="0"/>
    <x v="288"/>
    <s v="0090"/>
    <n v="-42.094693619814599"/>
    <n v="-16.832599590098901"/>
    <n v="-42.066145379805299"/>
    <n v="-16.8481607402259"/>
    <s v="342"/>
    <s v="MG"/>
    <s v="Eixo Principal"/>
    <s v="-"/>
    <s v="342BMG0090"/>
    <s v="ENTR BR-367(A)"/>
    <s v="ENTR BR-120 (ARAÇUAÍ)"/>
    <n v="396.5"/>
    <n v="402.1"/>
    <n v="5.6"/>
    <x v="2"/>
    <m/>
    <s v="367BMG0160"/>
    <s v="Federal"/>
    <m/>
    <m/>
    <m/>
    <s v="Federal"/>
    <s v="PAV"/>
    <s v="Montes Claros"/>
  </r>
  <r>
    <x v="0"/>
    <s v="342BMG0100"/>
    <n v="0"/>
    <x v="288"/>
    <s v="0100"/>
    <n v="-42.066145379805299"/>
    <n v="-16.8481607402259"/>
    <n v="-41.999050630282298"/>
    <n v="-16.8265579598818"/>
    <s v="342"/>
    <s v="MG"/>
    <s v="Eixo Principal"/>
    <s v="-"/>
    <s v="342BMG0100"/>
    <s v="ENTR BR-120 (ARAÇUAÍ)"/>
    <s v="ENTR BR-367(B)"/>
    <n v="402.1"/>
    <n v="409.9"/>
    <n v="7.8"/>
    <x v="2"/>
    <m/>
    <s v="367BMG0150"/>
    <s v="Federal"/>
    <m/>
    <m/>
    <m/>
    <s v="Federal"/>
    <s v="PAV"/>
    <s v="Teófilo Otoni"/>
  </r>
  <r>
    <x v="0"/>
    <s v="342BMG0110"/>
    <n v="0"/>
    <x v="288"/>
    <s v="0110"/>
    <n v="-41.999050630282298"/>
    <n v="-16.8265579598818"/>
    <n v="-41.697581310429001"/>
    <n v="-17.187880910275702"/>
    <s v="342"/>
    <s v="MG"/>
    <s v="Eixo Principal"/>
    <s v="-"/>
    <s v="342BMG0110"/>
    <s v="ENTR BR-367(B)"/>
    <s v="ENTR MG-211 (CARAÍ)"/>
    <n v="409.9"/>
    <n v="471.9"/>
    <n v="62"/>
    <x v="1"/>
    <m/>
    <m/>
    <s v="Estadual"/>
    <m/>
    <s v="MGT-342"/>
    <s v="LEN"/>
    <s v="Estadual"/>
    <s v="PLA"/>
    <s v="Teófilo Otoni"/>
  </r>
  <r>
    <x v="0"/>
    <s v="342BMG0120"/>
    <n v="0"/>
    <x v="288"/>
    <s v="0120"/>
    <n v="-41.697581310429001"/>
    <n v="-17.187880910275702"/>
    <n v="-41.516755909957197"/>
    <n v="-17.300412819795699"/>
    <s v="342"/>
    <s v="MG"/>
    <s v="Eixo Principal"/>
    <s v="-"/>
    <s v="342BMG0120"/>
    <s v="ENTR MG-211 (CARAÍ)"/>
    <s v="ENTR BR-116(A) (CATUJÍ)"/>
    <n v="471.9"/>
    <n v="499.4"/>
    <n v="27.5"/>
    <x v="1"/>
    <m/>
    <m/>
    <s v="Estadual"/>
    <m/>
    <s v="MGT-342"/>
    <s v="PAV"/>
    <s v="Estadual"/>
    <s v="PLA"/>
    <s v="Teófilo Otoni"/>
  </r>
  <r>
    <x v="0"/>
    <s v="342BMG0130"/>
    <n v="0"/>
    <x v="288"/>
    <s v="0130"/>
    <n v="-41.516755909957197"/>
    <n v="-17.300412819795699"/>
    <n v="-41.484908650014098"/>
    <n v="-17.683109520188101"/>
    <s v="342"/>
    <s v="MG"/>
    <s v="Eixo Principal"/>
    <s v="Coinc"/>
    <s v="342BMG0130"/>
    <s v="ENTR BR-116(A) (CATUJÍ)"/>
    <s v="ENTR MG-409 (P/TOPÁZIO)"/>
    <n v="499.4"/>
    <n v="547.29999999999995"/>
    <n v="47.9"/>
    <x v="2"/>
    <m/>
    <s v="116BMG1090"/>
    <s v="Federal"/>
    <m/>
    <m/>
    <m/>
    <s v="Federal"/>
    <s v="PAV"/>
    <s v="Teófilo Otoni"/>
  </r>
  <r>
    <x v="0"/>
    <s v="342BMG0150"/>
    <n v="0"/>
    <x v="288"/>
    <s v="0150"/>
    <n v="-41.484908650014098"/>
    <n v="-17.683109520188101"/>
    <n v="-41.514104660001998"/>
    <n v="-17.851849060285801"/>
    <s v="342"/>
    <s v="MG"/>
    <s v="Eixo Principal"/>
    <s v="Coinc"/>
    <s v="342BMG0150"/>
    <s v="ENTR MG-409 (P/TOPÁZIO)"/>
    <s v="ENTR BR-116(B)/418/MG-217 (TEÓFILO OTONI)"/>
    <n v="547.29999999999995"/>
    <n v="568.4"/>
    <n v="21.1"/>
    <x v="2"/>
    <m/>
    <s v="116BMG1110"/>
    <s v="Federal"/>
    <m/>
    <m/>
    <m/>
    <s v="Federal"/>
    <s v="PAV"/>
    <s v="Teófilo Otoni"/>
  </r>
  <r>
    <x v="0"/>
    <s v="342BMG0170"/>
    <n v="0"/>
    <x v="288"/>
    <s v="0170"/>
    <n v="-41.514104660001998"/>
    <n v="-17.851849060285801"/>
    <n v="-41.501840410106801"/>
    <n v="-17.891150410363"/>
    <s v="342"/>
    <s v="MG"/>
    <s v="Eixo Principal"/>
    <s v="-"/>
    <s v="342BMG0170"/>
    <s v="ENTR BR-116(B)/418/MG-217 (TEÓFILO OTONI)"/>
    <s v="TEÓFILO OTONI"/>
    <n v="568.4"/>
    <n v="573.20000000000005"/>
    <n v="4.8"/>
    <x v="1"/>
    <m/>
    <m/>
    <s v="Estadual"/>
    <m/>
    <s v="MGT-342"/>
    <s v="PAV"/>
    <s v="Estadual"/>
    <s v="PLA"/>
    <s v="Teófilo Otoni"/>
  </r>
  <r>
    <x v="0"/>
    <s v="342BMG0180"/>
    <n v="0"/>
    <x v="288"/>
    <s v="0180"/>
    <n v="-41.501840410106801"/>
    <n v="-17.891150410363"/>
    <n v="-41.428985939949101"/>
    <n v="-18.065255179882602"/>
    <s v="342"/>
    <s v="MG"/>
    <s v="Eixo Principal"/>
    <s v="-"/>
    <s v="342BMG0180"/>
    <s v="TEÓFILO OTONI"/>
    <s v="FREI GASPAR"/>
    <n v="573.20000000000005"/>
    <n v="601.20000000000005"/>
    <n v="28"/>
    <x v="1"/>
    <m/>
    <m/>
    <s v="Estadual"/>
    <m/>
    <s v="MGT-342"/>
    <s v="PAV"/>
    <s v="Estadual"/>
    <s v="PLA"/>
    <s v="Teófilo Otoni"/>
  </r>
  <r>
    <x v="0"/>
    <s v="342BMG0190"/>
    <n v="0"/>
    <x v="288"/>
    <s v="0190"/>
    <n v="-41.428985939949101"/>
    <n v="-18.065255179882602"/>
    <n v="-41.270450790371598"/>
    <n v="-18.069745650441298"/>
    <s v="342"/>
    <s v="MG"/>
    <s v="Eixo Principal"/>
    <s v="-"/>
    <s v="342BMG0190"/>
    <s v="FREI GASPAR"/>
    <s v="OURO VERDE DE MINAS"/>
    <n v="601.20000000000005"/>
    <n v="620.1"/>
    <n v="18.899999999999999"/>
    <x v="1"/>
    <m/>
    <m/>
    <s v="Estadual"/>
    <m/>
    <s v="MGT-342"/>
    <s v="PAV"/>
    <s v="Estadual"/>
    <s v="PLA"/>
    <s v="Teófilo Otoni"/>
  </r>
  <r>
    <x v="0"/>
    <s v="342BMG0200"/>
    <n v="0"/>
    <x v="288"/>
    <s v="0200"/>
    <n v="-41.270450790371598"/>
    <n v="-18.069745650441298"/>
    <n v="-41.1119084597075"/>
    <n v="-18.046086050430802"/>
    <s v="342"/>
    <s v="MG"/>
    <s v="Eixo Principal"/>
    <s v="-"/>
    <s v="342BMG0200"/>
    <s v="OURO VERDE DE MINAS"/>
    <s v="ENTR MG-412 (ATALÉIA)"/>
    <n v="620.1"/>
    <n v="644.4"/>
    <n v="24.3"/>
    <x v="1"/>
    <m/>
    <m/>
    <s v="Federal"/>
    <m/>
    <m/>
    <m/>
    <s v="Federal"/>
    <s v="PLA"/>
    <s v="Teófilo Otoni"/>
  </r>
  <r>
    <x v="0"/>
    <s v="342BMG0210"/>
    <n v="0"/>
    <x v="288"/>
    <s v="0210"/>
    <n v="-41.1119084597075"/>
    <n v="-18.046086050430802"/>
    <n v="-41.042827870409802"/>
    <n v="-18.1637719997779"/>
    <s v="342"/>
    <s v="MG"/>
    <s v="Eixo Principal"/>
    <s v="-"/>
    <s v="342BMG0210"/>
    <s v="ENTR MG-412 (ATALÉIA)"/>
    <s v="DIV MG/ES"/>
    <n v="644.4"/>
    <n v="663.2"/>
    <n v="18.8"/>
    <x v="1"/>
    <m/>
    <m/>
    <s v="Estadual"/>
    <m/>
    <s v="MG-412"/>
    <s v="IMP"/>
    <s v="Estadual"/>
    <s v="PLA"/>
    <s v="Teófilo Otoni"/>
  </r>
  <r>
    <x v="0"/>
    <s v="343API1005"/>
    <n v="0"/>
    <x v="289"/>
    <s v="1005"/>
    <n v="-42.749379390346498"/>
    <n v="-5.0787763599410001"/>
    <n v="-42.794257920266702"/>
    <n v="-5.0822486000927798"/>
    <s v="343"/>
    <s v="PI"/>
    <s v="Acesso"/>
    <s v="-"/>
    <s v="343API1005"/>
    <s v="ENTR BR-343 (KM 341,5 - ACESSO A TERESINA)"/>
    <s v="PONTE SOBRE O RIO POTI (AV JOÃO XXIII)"/>
    <n v="0"/>
    <n v="4.9000000000000004"/>
    <n v="4.9000000000000004"/>
    <x v="0"/>
    <m/>
    <m/>
    <s v="Federal"/>
    <m/>
    <m/>
    <m/>
    <s v="Federal"/>
    <s v="PAV"/>
    <s v="Piripiri"/>
  </r>
  <r>
    <x v="0"/>
    <s v="343BPI0010"/>
    <n v="0"/>
    <x v="290"/>
    <s v="0010"/>
    <n v="-41.665638209735498"/>
    <n v="-2.88184235014426"/>
    <n v="-41.684262199840497"/>
    <n v="-2.9023053800891598"/>
    <s v="343"/>
    <s v="PI"/>
    <s v="Eixo Principal"/>
    <s v="-"/>
    <s v="343BPI0010"/>
    <s v="LUÍS CORREIA"/>
    <s v="P/PORTINHO"/>
    <n v="0"/>
    <n v="3.4"/>
    <n v="3.4"/>
    <x v="2"/>
    <m/>
    <m/>
    <s v="Federal"/>
    <m/>
    <m/>
    <m/>
    <s v="Federal"/>
    <s v="PAV"/>
    <s v="Piripiri"/>
  </r>
  <r>
    <x v="0"/>
    <s v="343BPI0020"/>
    <n v="0"/>
    <x v="290"/>
    <s v="0020"/>
    <n v="-41.684262199840497"/>
    <n v="-2.9023053800891598"/>
    <n v="-41.753322500433001"/>
    <n v="-2.9037738003206002"/>
    <s v="343"/>
    <s v="PI"/>
    <s v="Eixo Principal"/>
    <s v="-"/>
    <s v="343BPI0020"/>
    <s v="P/PORTINHO"/>
    <s v="INÍCIO PISTA DUPLA (PARNAÍBA)"/>
    <n v="3.4"/>
    <n v="11.3"/>
    <n v="7.9"/>
    <x v="2"/>
    <m/>
    <m/>
    <s v="Federal"/>
    <m/>
    <m/>
    <m/>
    <s v="Federal"/>
    <s v="PAV"/>
    <s v="Piripiri"/>
  </r>
  <r>
    <x v="0"/>
    <s v="343BPI0025"/>
    <n v="0"/>
    <x v="290"/>
    <s v="0025"/>
    <n v="-41.753322500433001"/>
    <n v="-2.9037738003206002"/>
    <n v="-41.7535057696754"/>
    <n v="-2.92878488981074"/>
    <s v="343"/>
    <s v="PI"/>
    <s v="Eixo Principal"/>
    <s v="-"/>
    <s v="343BPI0025"/>
    <s v="INÍCIO PISTA DUPLA (PARNAÍBA)"/>
    <s v="ENTR BR-402(A)/PI-210"/>
    <n v="11.3"/>
    <n v="14.1"/>
    <n v="2.8"/>
    <x v="0"/>
    <m/>
    <m/>
    <s v="Federal"/>
    <m/>
    <m/>
    <m/>
    <s v="Federal"/>
    <s v="PAV"/>
    <s v="Piripiri"/>
  </r>
  <r>
    <x v="0"/>
    <s v="343BPI0028"/>
    <n v="0"/>
    <x v="290"/>
    <s v="0028"/>
    <n v="-41.7535057696754"/>
    <n v="-2.92878488981074"/>
    <n v="-41.755385330268702"/>
    <n v="-2.9391936701517198"/>
    <s v="343"/>
    <s v="PI"/>
    <s v="Eixo Principal"/>
    <s v="-"/>
    <s v="343BPI0028"/>
    <s v="ENTR BR-402(A)/PI-210"/>
    <s v="FIM PISTA DUPLA"/>
    <n v="14.1"/>
    <n v="15.3"/>
    <n v="1.2"/>
    <x v="0"/>
    <m/>
    <s v="402BPI0180"/>
    <s v="Federal"/>
    <m/>
    <m/>
    <m/>
    <s v="Federal"/>
    <s v="PAV"/>
    <s v="Piripiri"/>
  </r>
  <r>
    <x v="0"/>
    <s v="343BPI0030"/>
    <n v="0"/>
    <x v="290"/>
    <s v="0030"/>
    <n v="-41.755385330268702"/>
    <n v="-2.9391936701517198"/>
    <n v="-41.780067890220799"/>
    <n v="-3.1006380204282702"/>
    <s v="343"/>
    <s v="PI"/>
    <s v="Eixo Principal"/>
    <s v="-"/>
    <s v="343BPI0030"/>
    <s v="FIM PISTA DUPLA"/>
    <s v="ENTR BR-402(B)"/>
    <n v="15.3"/>
    <n v="33.4"/>
    <n v="18.100000000000001"/>
    <x v="2"/>
    <m/>
    <s v="402BPI0175"/>
    <s v="Federal"/>
    <m/>
    <m/>
    <m/>
    <s v="Federal"/>
    <s v="PAV"/>
    <s v="Piripiri"/>
  </r>
  <r>
    <x v="0"/>
    <s v="343BPI0035"/>
    <n v="0"/>
    <x v="290"/>
    <s v="0035"/>
    <n v="-41.780067890220799"/>
    <n v="-3.1006380204282702"/>
    <n v="-41.869320760444602"/>
    <n v="-3.1754692301208198"/>
    <s v="343"/>
    <s v="PI"/>
    <s v="Eixo Principal"/>
    <s v="-"/>
    <s v="343BPI0035"/>
    <s v="ENTR BR-402(B)"/>
    <s v="BURITI DOS LOPES (PRAÇA)"/>
    <n v="33.4"/>
    <n v="48.1"/>
    <n v="14.7"/>
    <x v="2"/>
    <m/>
    <m/>
    <s v="Federal"/>
    <m/>
    <m/>
    <m/>
    <s v="Federal"/>
    <s v="PAV"/>
    <s v="Piripiri"/>
  </r>
  <r>
    <x v="0"/>
    <s v="343BPI0050"/>
    <n v="0"/>
    <x v="290"/>
    <s v="0050"/>
    <n v="-41.869320760444602"/>
    <n v="-3.1754692301208198"/>
    <n v="-41.829243950148097"/>
    <n v="-3.2100969096446099"/>
    <s v="343"/>
    <s v="PI"/>
    <s v="Eixo Principal"/>
    <s v="-"/>
    <s v="343BPI0050"/>
    <s v="BURITI DOS LOPES (PRAÇA)"/>
    <s v="ENTR PI-211 (CAXINGÓ)"/>
    <n v="48.1"/>
    <n v="54.2"/>
    <n v="6.1"/>
    <x v="2"/>
    <m/>
    <m/>
    <s v="Federal"/>
    <m/>
    <m/>
    <m/>
    <s v="Federal"/>
    <s v="PAV"/>
    <s v="Piripiri"/>
  </r>
  <r>
    <x v="0"/>
    <s v="343BPI0070"/>
    <n v="0"/>
    <x v="290"/>
    <s v="0070"/>
    <n v="-41.829243950148097"/>
    <n v="-3.2100969096446099"/>
    <n v="-41.738245539899701"/>
    <n v="-3.4225236099765599"/>
    <s v="343"/>
    <s v="PI"/>
    <s v="Eixo Principal"/>
    <s v="-"/>
    <s v="343BPI0070"/>
    <s v="ENTR PI-211 (CAXINGÓ)"/>
    <s v="ENTR PI-213(A)"/>
    <n v="54.2"/>
    <n v="81.7"/>
    <n v="27.5"/>
    <x v="2"/>
    <m/>
    <m/>
    <s v="Federal"/>
    <m/>
    <m/>
    <m/>
    <s v="Federal"/>
    <s v="PAV"/>
    <s v="Piripiri"/>
  </r>
  <r>
    <x v="0"/>
    <s v="343BPI0075"/>
    <n v="0"/>
    <x v="290"/>
    <s v="0075"/>
    <n v="-41.738245539899701"/>
    <n v="-3.4225236099765599"/>
    <n v="-41.745514359799799"/>
    <n v="-3.4733263096613798"/>
    <s v="343"/>
    <s v="PI"/>
    <s v="Eixo Principal"/>
    <s v="-"/>
    <s v="343BPI0075"/>
    <s v="ENTR PI-213(A)"/>
    <s v="ENTR PI-213(B)"/>
    <n v="81.7"/>
    <n v="87.5"/>
    <n v="5.8"/>
    <x v="2"/>
    <m/>
    <m/>
    <s v="Federal"/>
    <m/>
    <m/>
    <m/>
    <s v="Federal"/>
    <s v="PAV"/>
    <s v="Piripiri"/>
  </r>
  <r>
    <x v="0"/>
    <s v="343BPI0090"/>
    <n v="0"/>
    <x v="290"/>
    <s v="0090"/>
    <n v="-41.745514359799799"/>
    <n v="-3.4733263096613798"/>
    <n v="-41.711859990446101"/>
    <n v="-3.9179699295685202"/>
    <s v="343"/>
    <s v="PI"/>
    <s v="Eixo Principal"/>
    <s v="-"/>
    <s v="343BPI0090"/>
    <s v="ENTR PI-213(B)"/>
    <s v="ENTR PI-110(A)/111 (INÍCIO PISTA DUPLA (PIRACURUCA))"/>
    <n v="87.5"/>
    <n v="139.69999999999999"/>
    <n v="52.2"/>
    <x v="2"/>
    <m/>
    <m/>
    <s v="Federal"/>
    <m/>
    <m/>
    <m/>
    <s v="Federal"/>
    <s v="PAV"/>
    <s v="Piripiri"/>
  </r>
  <r>
    <x v="0"/>
    <s v="343BPI0100"/>
    <n v="0"/>
    <x v="290"/>
    <s v="0100"/>
    <n v="-41.711859990446101"/>
    <n v="-3.9179699295685202"/>
    <n v="-41.714842860009902"/>
    <n v="-3.9356343601375499"/>
    <s v="343"/>
    <s v="PI"/>
    <s v="Eixo Principal"/>
    <s v="-"/>
    <s v="343BPI0100"/>
    <s v="ENTR PI-110(A)/111 (INÍCIO PISTA DUPLA (PIRACURUCA))"/>
    <s v="FIM PISTA DUPLA (PIRACURUCA)"/>
    <n v="139.69999999999999"/>
    <n v="141.69999999999999"/>
    <n v="2"/>
    <x v="0"/>
    <m/>
    <m/>
    <s v="Federal"/>
    <m/>
    <m/>
    <m/>
    <s v="Federal"/>
    <s v="PAV"/>
    <s v="Piripiri"/>
  </r>
  <r>
    <x v="0"/>
    <s v="343BPI0110"/>
    <n v="0"/>
    <x v="290"/>
    <s v="0110"/>
    <n v="-41.714842860009902"/>
    <n v="-3.9356343601375499"/>
    <n v="-41.722807999789303"/>
    <n v="-3.9436602095509499"/>
    <s v="343"/>
    <s v="PI"/>
    <s v="Eixo Principal"/>
    <s v="-"/>
    <s v="343BPI0110"/>
    <s v="FIM PISTA DUPLA (PIRACURUCA)"/>
    <s v="ENTR PI-110(B)"/>
    <n v="141.69999999999999"/>
    <n v="143"/>
    <n v="1.3"/>
    <x v="2"/>
    <m/>
    <m/>
    <s v="Federal"/>
    <m/>
    <m/>
    <m/>
    <s v="Federal"/>
    <s v="PAV"/>
    <s v="Piripiri"/>
  </r>
  <r>
    <x v="0"/>
    <s v="343BPI0112"/>
    <n v="0"/>
    <x v="290"/>
    <s v="0112"/>
    <n v="-41.722807999789303"/>
    <n v="-3.9436602095509499"/>
    <n v="-41.781920009800501"/>
    <n v="-4.1313860100562403"/>
    <s v="343"/>
    <s v="PI"/>
    <s v="Eixo Principal"/>
    <s v="-"/>
    <s v="343BPI0112"/>
    <s v="ENTR PI-110(B)"/>
    <s v="ENTR PI-345 (BRASILEIRA)"/>
    <n v="143"/>
    <n v="166.7"/>
    <n v="23.7"/>
    <x v="2"/>
    <m/>
    <m/>
    <s v="Federal"/>
    <m/>
    <m/>
    <m/>
    <s v="Federal"/>
    <s v="PAV"/>
    <s v="Piripiri"/>
  </r>
  <r>
    <x v="0"/>
    <s v="343BPI0115"/>
    <n v="0"/>
    <x v="290"/>
    <s v="0115"/>
    <n v="-41.781920009800501"/>
    <n v="-4.1313860100562403"/>
    <n v="-41.771500440293003"/>
    <n v="-4.2354861998281796"/>
    <s v="343"/>
    <s v="PI"/>
    <s v="Eixo Principal"/>
    <s v="-"/>
    <s v="343BPI0115"/>
    <s v="ENTR PI-345 (BRASILEIRA)"/>
    <s v="ENTR BR-222(A)"/>
    <n v="166.7"/>
    <n v="179"/>
    <n v="12.3"/>
    <x v="2"/>
    <m/>
    <m/>
    <s v="Federal"/>
    <m/>
    <m/>
    <m/>
    <s v="Federal"/>
    <s v="PAV"/>
    <s v="Piripiri"/>
  </r>
  <r>
    <x v="0"/>
    <s v="343BPI0117"/>
    <n v="0"/>
    <x v="290"/>
    <s v="0117"/>
    <n v="-41.771500440293003"/>
    <n v="-4.2354861998281796"/>
    <n v="-41.769312580411203"/>
    <n v="-4.2463801500238603"/>
    <s v="343"/>
    <s v="PI"/>
    <s v="Eixo Principal"/>
    <s v="Coinc"/>
    <s v="343BPI0117"/>
    <s v="ENTR BR-222(A)"/>
    <s v="ACESSO A PIRIPIRI"/>
    <n v="179"/>
    <n v="180.4"/>
    <n v="1.4"/>
    <x v="2"/>
    <m/>
    <s v="222BPI0275"/>
    <s v="Federal"/>
    <m/>
    <m/>
    <m/>
    <s v="Federal"/>
    <s v="PAV"/>
    <s v="Piripiri"/>
  </r>
  <r>
    <x v="0"/>
    <s v="343BPI0119"/>
    <n v="0"/>
    <x v="290"/>
    <s v="0119"/>
    <n v="-41.769312580411203"/>
    <n v="-4.2463801500238603"/>
    <n v="-41.755696279859301"/>
    <n v="-4.2640056102706501"/>
    <s v="343"/>
    <s v="PI"/>
    <s v="Eixo Principal"/>
    <s v="Coinc"/>
    <s v="343BPI0119"/>
    <s v="ACESSO A PIRIPIRI"/>
    <s v="ENTR BR-222(B)"/>
    <n v="180.4"/>
    <n v="182.9"/>
    <n v="2.5"/>
    <x v="2"/>
    <m/>
    <s v="222BPI0274"/>
    <s v="Federal"/>
    <m/>
    <m/>
    <m/>
    <s v="Federal"/>
    <s v="PAV"/>
    <s v="Piripiri"/>
  </r>
  <r>
    <x v="0"/>
    <s v="343BPI0121"/>
    <n v="0"/>
    <x v="290"/>
    <s v="0121"/>
    <n v="-41.755696279859301"/>
    <n v="-4.2640056102706501"/>
    <n v="-41.763072159552401"/>
    <n v="-4.2773461499048704"/>
    <s v="343"/>
    <s v="PI"/>
    <s v="Eixo Principal"/>
    <s v="-"/>
    <s v="343BPI0121"/>
    <s v="ENTR BR-222(B)"/>
    <s v="ACESSO CALDERÃO"/>
    <n v="182.9"/>
    <n v="184.6"/>
    <n v="1.7"/>
    <x v="2"/>
    <m/>
    <m/>
    <s v="Federal"/>
    <m/>
    <m/>
    <m/>
    <s v="Federal"/>
    <s v="PAV"/>
    <s v="Piripiri"/>
  </r>
  <r>
    <x v="0"/>
    <s v="343BPI0122"/>
    <n v="0"/>
    <x v="290"/>
    <s v="0122"/>
    <n v="-41.763072159552401"/>
    <n v="-4.2773461499048704"/>
    <n v="-41.770481369919203"/>
    <n v="-4.3072300603190001"/>
    <s v="343"/>
    <s v="PI"/>
    <s v="Eixo Principal"/>
    <s v="-"/>
    <s v="343BPI0122"/>
    <s v="ACESSO CALDERÃO"/>
    <s v="ENTR BR-404(A)/407(A) (ACESSO PIRIPIRI)"/>
    <n v="184.6"/>
    <n v="188"/>
    <n v="3.4"/>
    <x v="2"/>
    <m/>
    <m/>
    <s v="Federal"/>
    <m/>
    <m/>
    <m/>
    <s v="Federal"/>
    <s v="PAV"/>
    <s v="Piripiri"/>
  </r>
  <r>
    <x v="0"/>
    <s v="343BPI0123"/>
    <n v="0"/>
    <x v="290"/>
    <s v="0123"/>
    <n v="-41.770481369919203"/>
    <n v="-4.3072300603190001"/>
    <n v="-41.777407350268902"/>
    <n v="-4.3149371297446901"/>
    <s v="343"/>
    <s v="PI"/>
    <s v="Eixo Principal"/>
    <s v="-"/>
    <s v="343BPI0123"/>
    <s v="ENTR BR-404(A)/407(A) (ACESSO PIRIPIRI)"/>
    <s v="ENTR BR-404(B)/407(B)"/>
    <n v="188"/>
    <n v="189.2"/>
    <n v="1.2"/>
    <x v="2"/>
    <m/>
    <s v="404BPI0013;407BPI0013"/>
    <s v="Federal"/>
    <m/>
    <m/>
    <m/>
    <s v="Federal"/>
    <s v="PAV"/>
    <s v="Piripiri"/>
  </r>
  <r>
    <x v="0"/>
    <s v="343BPI0130"/>
    <n v="0"/>
    <x v="290"/>
    <s v="0130"/>
    <n v="-41.777407350268902"/>
    <n v="-4.3149371297446901"/>
    <n v="-41.936213979991102"/>
    <n v="-4.45436676971058"/>
    <s v="343"/>
    <s v="PI"/>
    <s v="Eixo Principal"/>
    <s v="-"/>
    <s v="343BPI0130"/>
    <s v="ENTR BR-404(B)/407(B)"/>
    <s v="INÍCIO PISTA DUPLA (CAPITÃO CAMPOS)"/>
    <n v="189.2"/>
    <n v="212.9"/>
    <n v="23.7"/>
    <x v="2"/>
    <m/>
    <m/>
    <s v="Federal"/>
    <m/>
    <m/>
    <m/>
    <s v="Federal"/>
    <s v="PAV"/>
    <s v="Piripiri"/>
  </r>
  <r>
    <x v="0"/>
    <s v="343BPI0132"/>
    <n v="0"/>
    <x v="290"/>
    <s v="0132"/>
    <n v="-41.936213979991102"/>
    <n v="-4.45436676971058"/>
    <n v="-41.945478319968402"/>
    <n v="-4.4658882101726904"/>
    <s v="343"/>
    <s v="PI"/>
    <s v="Eixo Principal"/>
    <s v="-"/>
    <s v="343BPI0132"/>
    <s v="INÍCIO PISTA DUPLA (CAPITÃO CAMPOS)"/>
    <s v="FIM PISTA DUPLA (CAPITÃO CAMPOS)"/>
    <n v="212.9"/>
    <n v="214.4"/>
    <n v="1.5"/>
    <x v="0"/>
    <m/>
    <m/>
    <s v="Federal"/>
    <m/>
    <m/>
    <m/>
    <s v="Federal"/>
    <s v="PAV"/>
    <s v="Piripiri"/>
  </r>
  <r>
    <x v="0"/>
    <s v="343BPI0133"/>
    <n v="0"/>
    <x v="290"/>
    <s v="0133"/>
    <n v="-41.945478319968402"/>
    <n v="-4.4658882101726904"/>
    <n v="-42.133211080327001"/>
    <n v="-4.7995581201110999"/>
    <s v="343"/>
    <s v="PI"/>
    <s v="Eixo Principal"/>
    <s v="-"/>
    <s v="343BPI0133"/>
    <s v="FIM PISTA DUPLA (CAPITÃO CAMPOS)"/>
    <s v="ENTR PI-115(A)"/>
    <n v="214.4"/>
    <n v="259.39999999999998"/>
    <n v="45"/>
    <x v="2"/>
    <m/>
    <m/>
    <s v="Federal"/>
    <m/>
    <m/>
    <m/>
    <s v="Federal"/>
    <s v="PAV"/>
    <s v="Piripiri"/>
  </r>
  <r>
    <x v="0"/>
    <s v="343BPI0135"/>
    <n v="0"/>
    <x v="290"/>
    <s v="0135"/>
    <n v="-42.133211080327001"/>
    <n v="-4.7995581201110999"/>
    <n v="-42.180471450297098"/>
    <n v="-4.8363567900337898"/>
    <s v="343"/>
    <s v="PI"/>
    <s v="Eixo Principal"/>
    <s v="-"/>
    <s v="343BPI0135"/>
    <s v="ENTR PI-115(A)"/>
    <s v="ENTR PI-114/115(B)/215 (CAMPO MAIOR)"/>
    <n v="259.39999999999998"/>
    <n v="266.89999999999998"/>
    <n v="7.5"/>
    <x v="2"/>
    <m/>
    <m/>
    <s v="Federal"/>
    <m/>
    <m/>
    <m/>
    <s v="Federal"/>
    <s v="PAV"/>
    <s v="Piripiri"/>
  </r>
  <r>
    <x v="0"/>
    <s v="343BPI0150"/>
    <n v="0"/>
    <x v="290"/>
    <s v="0150"/>
    <n v="-42.180471450297098"/>
    <n v="-4.8363567900337898"/>
    <n v="-42.439444330291501"/>
    <n v="-5.03096362996751"/>
    <s v="343"/>
    <s v="PI"/>
    <s v="Eixo Principal"/>
    <s v="-"/>
    <s v="343BPI0150"/>
    <s v="ENTR PI-114/115(B)/215 (CAMPO MAIOR)"/>
    <s v="ENTR BR-226(A)/PI-352 (ALTOS)"/>
    <n v="266.89999999999998"/>
    <n v="304.39999999999998"/>
    <n v="37.5"/>
    <x v="2"/>
    <m/>
    <m/>
    <s v="Federal"/>
    <m/>
    <m/>
    <m/>
    <s v="Federal"/>
    <s v="PAV"/>
    <s v="Piripiri"/>
  </r>
  <r>
    <x v="0"/>
    <s v="343BPI0170"/>
    <n v="0"/>
    <x v="290"/>
    <s v="0170"/>
    <n v="-42.439444330291501"/>
    <n v="-5.03096362996751"/>
    <n v="-42.668502589822502"/>
    <n v="-5.0578509597539201"/>
    <s v="343"/>
    <s v="PI"/>
    <s v="Eixo Principal"/>
    <s v="Coinc"/>
    <s v="343BPI0170"/>
    <s v="ENTR BR-226(A)/PI-352 (ALTOS)"/>
    <s v="INÍCIO DAS OBRAS DE DUPLICAÇÃO"/>
    <n v="304.39999999999998"/>
    <n v="332.2"/>
    <n v="27.8"/>
    <x v="2"/>
    <m/>
    <s v="226BPI0765"/>
    <s v="Federal"/>
    <m/>
    <m/>
    <m/>
    <s v="Federal"/>
    <s v="PAV"/>
    <s v="Piripiri"/>
  </r>
  <r>
    <x v="0"/>
    <s v="343BPI0175"/>
    <n v="0"/>
    <x v="290"/>
    <s v="0175"/>
    <n v="-42.668502589822502"/>
    <n v="-5.0578509597539201"/>
    <n v="-42.684149459729703"/>
    <n v="-5.0568872102764999"/>
    <s v="343"/>
    <s v="PI"/>
    <s v="Eixo Principal"/>
    <s v="Coinc"/>
    <s v="343BPI0175"/>
    <s v="INÍCIO DAS OBRAS DE DUPLICAÇÃO"/>
    <s v="ENTR PI-113"/>
    <n v="332.2"/>
    <n v="333.5"/>
    <n v="1.3"/>
    <x v="2"/>
    <s v="EOD"/>
    <s v="226BPI0770"/>
    <s v="Federal"/>
    <m/>
    <m/>
    <m/>
    <s v="Federal"/>
    <s v="PAV"/>
    <s v="Piripiri"/>
  </r>
  <r>
    <x v="0"/>
    <s v="343BPI0180"/>
    <n v="0"/>
    <x v="290"/>
    <s v="0180"/>
    <n v="-42.684149459729703"/>
    <n v="-5.0568872102764999"/>
    <n v="-42.7460371301094"/>
    <n v="-5.0776008102291703"/>
    <s v="343"/>
    <s v="PI"/>
    <s v="Eixo Principal"/>
    <s v="Coinc"/>
    <s v="343BPI0180"/>
    <s v="ENTR PI-113"/>
    <s v="INÍCIO DA PISTA DUPLA"/>
    <n v="333.5"/>
    <n v="341.2"/>
    <n v="7.7"/>
    <x v="2"/>
    <s v="EOD"/>
    <s v="226BPI0775"/>
    <s v="Federal"/>
    <m/>
    <m/>
    <m/>
    <s v="Federal"/>
    <s v="PAV"/>
    <s v="Piripiri"/>
  </r>
  <r>
    <x v="0"/>
    <s v="343BPI0185"/>
    <n v="0"/>
    <x v="290"/>
    <s v="0185"/>
    <n v="-42.7460371301094"/>
    <n v="-5.0776008102291703"/>
    <n v="-42.749379390346498"/>
    <n v="-5.0787763599410001"/>
    <s v="343"/>
    <s v="PI"/>
    <s v="Eixo Principal"/>
    <s v="Coinc"/>
    <s v="343BPI0185"/>
    <s v="INÍCIO DA PISTA DUPLA"/>
    <s v="ACESSO A TERESINA (FIM DA PISTA DUPLA)"/>
    <n v="341.2"/>
    <n v="341.5"/>
    <n v="0.3"/>
    <x v="0"/>
    <m/>
    <s v="226BPI0780"/>
    <s v="Federal"/>
    <m/>
    <m/>
    <m/>
    <s v="Federal"/>
    <s v="PAV"/>
    <s v="Piripiri"/>
  </r>
  <r>
    <x v="0"/>
    <s v="343BPI0190"/>
    <n v="0"/>
    <x v="290"/>
    <s v="0190"/>
    <n v="-42.749379390346498"/>
    <n v="-5.0787763599410001"/>
    <n v="-42.794929610413099"/>
    <n v="-5.12321786970886"/>
    <s v="343"/>
    <s v="PI"/>
    <s v="Eixo Principal"/>
    <s v="Coinc"/>
    <s v="343BPI0190"/>
    <s v="ACESSO A TERESINA (FIM DA PISTA DUPLA)"/>
    <s v="ENTR BR-226(B)/316(A) (TERESINA)"/>
    <n v="341.5"/>
    <n v="349.1"/>
    <n v="7.6"/>
    <x v="2"/>
    <m/>
    <s v="226BPI0785"/>
    <s v="Federal"/>
    <m/>
    <m/>
    <m/>
    <s v="Federal"/>
    <s v="PAV"/>
    <s v="Piripiri"/>
  </r>
  <r>
    <x v="0"/>
    <s v="343BPI0214"/>
    <n v="0"/>
    <x v="290"/>
    <s v="0214"/>
    <n v="-42.794929610413099"/>
    <n v="-5.12321786970886"/>
    <n v="-42.772269470159799"/>
    <n v="-5.1540455997246104"/>
    <s v="343"/>
    <s v="PI"/>
    <s v="Eixo Principal"/>
    <s v="Coinc"/>
    <s v="343BPI0214"/>
    <s v="ENTR BR-226(B)/316(A) (TERESINA)"/>
    <s v="FIM DA PISTA DUPLA"/>
    <n v="349.1"/>
    <n v="353.5"/>
    <n v="4.4000000000000004"/>
    <x v="0"/>
    <m/>
    <s v="316BPI0410"/>
    <s v="Federal"/>
    <m/>
    <m/>
    <m/>
    <s v="Federal"/>
    <s v="PAV"/>
    <s v="Piripiri"/>
  </r>
  <r>
    <x v="0"/>
    <s v="343BPI0215"/>
    <n v="0"/>
    <x v="290"/>
    <s v="0215"/>
    <n v="-42.772269470159799"/>
    <n v="-5.1540455997246104"/>
    <n v="-42.753061419848599"/>
    <n v="-5.2168178603559401"/>
    <s v="343"/>
    <s v="PI"/>
    <s v="Eixo Principal"/>
    <s v="Coinc"/>
    <s v="343BPI0215"/>
    <s v="FIM DA PISTA DUPLA"/>
    <s v="FIM DAS OBRAS DE DUPLICAÇÃO"/>
    <n v="353.5"/>
    <n v="360.5"/>
    <n v="7"/>
    <x v="2"/>
    <s v="EOD"/>
    <s v="316BPI0412"/>
    <s v="Federal"/>
    <m/>
    <m/>
    <m/>
    <s v="Federal"/>
    <s v="PAV"/>
    <s v="Piripiri"/>
  </r>
  <r>
    <x v="0"/>
    <s v="343BPI0216"/>
    <n v="0"/>
    <x v="290"/>
    <s v="0216"/>
    <n v="-42.753061419848599"/>
    <n v="-5.2168178603559401"/>
    <n v="-42.681951000438197"/>
    <n v="-5.3469685301734504"/>
    <s v="343"/>
    <s v="PI"/>
    <s v="Eixo Principal"/>
    <s v="Coinc"/>
    <s v="343BPI0216"/>
    <s v="FIM DAS OBRAS DE DUPLICAÇÃO"/>
    <s v="DEMERVAL LOBÃO"/>
    <n v="360.5"/>
    <n v="379.5"/>
    <n v="19"/>
    <x v="2"/>
    <m/>
    <s v="316BPI0415"/>
    <s v="Federal"/>
    <m/>
    <m/>
    <m/>
    <s v="Federal"/>
    <s v="PAV"/>
    <s v="Piripiri"/>
  </r>
  <r>
    <x v="0"/>
    <s v="343BPI0218"/>
    <n v="0"/>
    <x v="290"/>
    <s v="0218"/>
    <n v="-42.681951000438197"/>
    <n v="-5.3469685301734504"/>
    <n v="-42.612609890134202"/>
    <n v="-5.5610160003880598"/>
    <s v="343"/>
    <s v="PI"/>
    <s v="Eixo Principal"/>
    <s v="Coinc"/>
    <s v="343BPI0218"/>
    <s v="DEMERVAL LOBÃO"/>
    <s v="ENTR PI-223 (MONSENHOR GIL)"/>
    <n v="379.5"/>
    <n v="405.1"/>
    <n v="25.6"/>
    <x v="2"/>
    <m/>
    <s v="316BPI0420"/>
    <s v="Federal"/>
    <m/>
    <m/>
    <m/>
    <s v="Federal"/>
    <s v="PAV"/>
    <s v="Piripiri"/>
  </r>
  <r>
    <x v="0"/>
    <s v="343BPI0220"/>
    <n v="0"/>
    <x v="290"/>
    <s v="0220"/>
    <n v="-42.612609890134202"/>
    <n v="-5.5610160003880598"/>
    <n v="-42.605658950000397"/>
    <n v="-5.7228672498236497"/>
    <s v="343"/>
    <s v="PI"/>
    <s v="Eixo Principal"/>
    <s v="Coinc"/>
    <s v="343BPI0220"/>
    <s v="ENTR PI-223 (MONSENHOR GIL)"/>
    <s v="ENTR PI-232 (BAIXÃO)"/>
    <n v="405.1"/>
    <n v="424.2"/>
    <n v="19.100000000000001"/>
    <x v="2"/>
    <m/>
    <s v="316BPI0425"/>
    <s v="Federal"/>
    <m/>
    <m/>
    <m/>
    <s v="Federal"/>
    <s v="PAV"/>
    <s v="Piripiri"/>
  </r>
  <r>
    <x v="0"/>
    <s v="343BPI0225"/>
    <n v="0"/>
    <x v="290"/>
    <s v="0225"/>
    <n v="-42.605658950000397"/>
    <n v="-5.7228672498236497"/>
    <n v="-42.610754839663997"/>
    <n v="-5.7647569800505396"/>
    <s v="343"/>
    <s v="PI"/>
    <s v="Eixo Principal"/>
    <s v="Coinc"/>
    <s v="343BPI0225"/>
    <s v="ENTR PI-232 (BAIXÃO)"/>
    <s v="ENTR BR-316(B) (ESTACA ZERO)"/>
    <n v="424.2"/>
    <n v="429.6"/>
    <n v="5.4"/>
    <x v="2"/>
    <m/>
    <s v="316BPI0430"/>
    <s v="Federal"/>
    <m/>
    <m/>
    <m/>
    <s v="Federal"/>
    <s v="PAV"/>
    <s v="Piripiri"/>
  </r>
  <r>
    <x v="0"/>
    <s v="343BPI0230"/>
    <n v="0"/>
    <x v="290"/>
    <s v="0230"/>
    <n v="-42.610754839663997"/>
    <n v="-5.7647569800505396"/>
    <n v="-42.643832210288203"/>
    <n v="-5.8908629498652001"/>
    <s v="343"/>
    <s v="PI"/>
    <s v="Eixo Principal"/>
    <s v="-"/>
    <s v="343BPI0230"/>
    <s v="ENTR BR-316(B) (ESTACA ZERO)"/>
    <s v="ENTR PI-361 (ÁGUA BRANCA)"/>
    <n v="429.6"/>
    <n v="444.3"/>
    <n v="14.7"/>
    <x v="2"/>
    <m/>
    <m/>
    <s v="Federal"/>
    <m/>
    <m/>
    <m/>
    <s v="Federal"/>
    <s v="PAV"/>
    <s v="Floriano"/>
  </r>
  <r>
    <x v="0"/>
    <s v="343BPI0250"/>
    <n v="0"/>
    <x v="290"/>
    <s v="0250"/>
    <n v="-42.643832210288203"/>
    <n v="-5.8908629498652001"/>
    <n v="-42.709942659925701"/>
    <n v="-5.9364113101337903"/>
    <s v="343"/>
    <s v="PI"/>
    <s v="Eixo Principal"/>
    <s v="-"/>
    <s v="343BPI0250"/>
    <s v="ENTR PI-361 (ÁGUA BRANCA)"/>
    <s v="ENTR PI-233 (P/SÃO PEDRO DO PIAUÍ)"/>
    <n v="444.3"/>
    <n v="453.5"/>
    <n v="9.1999999999999993"/>
    <x v="2"/>
    <m/>
    <m/>
    <s v="Federal"/>
    <m/>
    <m/>
    <m/>
    <s v="Federal"/>
    <s v="PAV"/>
    <s v="Floriano"/>
  </r>
  <r>
    <x v="0"/>
    <s v="343BPI0255"/>
    <n v="0"/>
    <x v="290"/>
    <s v="0255"/>
    <n v="-42.709942659925701"/>
    <n v="-5.9364113101337903"/>
    <n v="-42.7358290298857"/>
    <n v="-6.0411170197345996"/>
    <s v="343"/>
    <s v="PI"/>
    <s v="Eixo Principal"/>
    <s v="-"/>
    <s v="343BPI0255"/>
    <s v="ENTR PI-233 (P/SÃO PEDRO DO PIAUÍ)"/>
    <s v="ENTR PI-231 (P/SÃO GONÇALO)"/>
    <n v="453.5"/>
    <n v="466"/>
    <n v="12.5"/>
    <x v="2"/>
    <m/>
    <m/>
    <s v="Federal"/>
    <m/>
    <m/>
    <m/>
    <s v="Federal"/>
    <s v="PAV"/>
    <s v="Floriano"/>
  </r>
  <r>
    <x v="0"/>
    <s v="343BPI0257"/>
    <n v="0"/>
    <x v="290"/>
    <s v="0257"/>
    <n v="-42.7358290298857"/>
    <n v="-6.0411170197345996"/>
    <n v="-42.723840690195601"/>
    <n v="-6.0959132003338796"/>
    <s v="343"/>
    <s v="PI"/>
    <s v="Eixo Principal"/>
    <s v="-"/>
    <s v="343BPI0257"/>
    <s v="ENTR PI-231 (P/SÃO GONÇALO)"/>
    <s v="ENTR PI-383 (ANGICAL DO PIAUÍ)"/>
    <n v="466"/>
    <n v="470.2"/>
    <n v="4.2"/>
    <x v="2"/>
    <m/>
    <m/>
    <s v="Federal"/>
    <m/>
    <m/>
    <m/>
    <s v="Federal"/>
    <s v="PAV"/>
    <s v="Floriano"/>
  </r>
  <r>
    <x v="0"/>
    <s v="343BPI0260"/>
    <n v="0"/>
    <x v="290"/>
    <s v="0260"/>
    <n v="-42.723840690195601"/>
    <n v="-6.0959132003338796"/>
    <n v="-42.701961510415302"/>
    <n v="-6.2178022904433297"/>
    <s v="343"/>
    <s v="PI"/>
    <s v="Eixo Principal"/>
    <s v="-"/>
    <s v="343BPI0260"/>
    <s v="ENTR PI-383 (ANGICAL DO PIAUÍ)"/>
    <s v="ENTR PI-130 (P/REGENERAÇÃO)"/>
    <n v="470.2"/>
    <n v="486.6"/>
    <n v="16.399999999999999"/>
    <x v="2"/>
    <m/>
    <m/>
    <s v="Federal"/>
    <m/>
    <m/>
    <m/>
    <s v="Federal"/>
    <s v="PAV"/>
    <s v="Floriano"/>
  </r>
  <r>
    <x v="0"/>
    <s v="343BPI0270"/>
    <n v="0"/>
    <x v="290"/>
    <s v="0270"/>
    <n v="-42.701961510415302"/>
    <n v="-6.2178022904433297"/>
    <n v="-42.840591820356103"/>
    <n v="-6.2469666595836202"/>
    <s v="343"/>
    <s v="PI"/>
    <s v="Eixo Principal"/>
    <s v="-"/>
    <s v="343BPI0270"/>
    <s v="ENTR PI-130 (P/REGENERAÇÃO)"/>
    <s v="ENTR PI-130 (P/AMARANTE)"/>
    <n v="486.6"/>
    <n v="504.3"/>
    <n v="17.7"/>
    <x v="2"/>
    <m/>
    <m/>
    <s v="Federal"/>
    <m/>
    <m/>
    <m/>
    <s v="Federal"/>
    <s v="PAV"/>
    <s v="Floriano"/>
  </r>
  <r>
    <x v="0"/>
    <s v="343BPI0290"/>
    <n v="0"/>
    <x v="290"/>
    <s v="0290"/>
    <n v="-42.840591820356103"/>
    <n v="-6.2469666595836202"/>
    <n v="-42.811391999940703"/>
    <n v="-6.6023609498978999"/>
    <s v="343"/>
    <s v="PI"/>
    <s v="Eixo Principal"/>
    <s v="-"/>
    <s v="343BPI0290"/>
    <s v="ENTR PI-130 (P/AMARANTE)"/>
    <s v="ENTR PI-120"/>
    <n v="504.3"/>
    <n v="548.79999999999995"/>
    <n v="44.5"/>
    <x v="2"/>
    <m/>
    <m/>
    <s v="Federal"/>
    <m/>
    <m/>
    <m/>
    <s v="Federal"/>
    <s v="PAV"/>
    <s v="Floriano"/>
  </r>
  <r>
    <x v="0"/>
    <s v="343BPI0310"/>
    <n v="0"/>
    <x v="290"/>
    <s v="0310"/>
    <n v="-42.811391999940703"/>
    <n v="-6.6023609498978999"/>
    <n v="-42.940906269908297"/>
    <n v="-6.8147554796815903"/>
    <s v="343"/>
    <s v="PI"/>
    <s v="Eixo Principal"/>
    <s v="-"/>
    <s v="343BPI0310"/>
    <s v="ENTR PI-120"/>
    <s v="ENTR BR-230(A)"/>
    <n v="548.79999999999995"/>
    <n v="580.20000000000005"/>
    <n v="31.4"/>
    <x v="2"/>
    <m/>
    <m/>
    <s v="Federal"/>
    <m/>
    <m/>
    <m/>
    <s v="Federal"/>
    <s v="PAV"/>
    <s v="Floriano"/>
  </r>
  <r>
    <x v="0"/>
    <s v="343BPI0312"/>
    <n v="0"/>
    <x v="290"/>
    <s v="0312"/>
    <n v="-42.940906269908297"/>
    <n v="-6.8147554796815903"/>
    <n v="-43.004596800401899"/>
    <n v="-6.77851005019863"/>
    <s v="343"/>
    <s v="PI"/>
    <s v="Eixo Principal"/>
    <s v="Coinc"/>
    <s v="343BPI0312"/>
    <s v="ENTR BR-230(A)"/>
    <s v="ENTR BR-230(B)"/>
    <n v="580.20000000000005"/>
    <n v="588.29999999999995"/>
    <n v="8.1"/>
    <x v="2"/>
    <m/>
    <s v="230BPI0895"/>
    <s v="Federal"/>
    <m/>
    <m/>
    <m/>
    <s v="Federal"/>
    <s v="PAV"/>
    <s v="Floriano"/>
  </r>
  <r>
    <x v="0"/>
    <s v="343BPI0313"/>
    <n v="0"/>
    <x v="290"/>
    <s v="0313"/>
    <n v="-43.004596800401899"/>
    <n v="-6.77851005019863"/>
    <n v="-43.008153920367"/>
    <n v="-6.7753139396864901"/>
    <s v="343"/>
    <s v="PI"/>
    <s v="Eixo Principal"/>
    <s v="-"/>
    <s v="343BPI0313"/>
    <s v="ENTR BR-230(B)"/>
    <s v="ENTR PI-140(A)/250(A) (INÍCIO PISTA DUPLA) (FLORIANO)"/>
    <n v="588.29999999999995"/>
    <n v="588.79999999999995"/>
    <n v="0.5"/>
    <x v="2"/>
    <m/>
    <m/>
    <s v="Federal"/>
    <m/>
    <m/>
    <m/>
    <s v="Federal"/>
    <s v="PAV"/>
    <s v="Floriano"/>
  </r>
  <r>
    <x v="0"/>
    <s v="343BPI0314"/>
    <n v="0"/>
    <x v="290"/>
    <s v="0314"/>
    <n v="-43.008153920367"/>
    <n v="-6.7753139396864901"/>
    <n v="-43.015715000147097"/>
    <n v="-6.7845668699650297"/>
    <s v="343"/>
    <s v="PI"/>
    <s v="Eixo Principal"/>
    <s v="-"/>
    <s v="343BPI0314"/>
    <s v="ENTR PI-140(A)/250(A) (INÍCIO PISTA DUPLA) (FLORIANO)"/>
    <s v="ENTR PI-140(B)"/>
    <n v="588.79999999999995"/>
    <n v="590.1"/>
    <n v="1.3"/>
    <x v="0"/>
    <m/>
    <m/>
    <s v="Federal"/>
    <m/>
    <m/>
    <m/>
    <s v="Federal"/>
    <s v="PAV"/>
    <s v="Floriano"/>
  </r>
  <r>
    <x v="0"/>
    <s v="343BPI0316"/>
    <n v="0"/>
    <x v="290"/>
    <s v="0316"/>
    <n v="-43.015715000147097"/>
    <n v="-6.7845668699650297"/>
    <n v="-43.033177120127903"/>
    <n v="-6.7769412701234701"/>
    <s v="343"/>
    <s v="PI"/>
    <s v="Eixo Principal"/>
    <s v="-"/>
    <s v="343BPI0316"/>
    <s v="ENTR PI-140(B)"/>
    <s v="FIM DE PISTA DUPLA"/>
    <n v="590.1"/>
    <n v="592.20000000000005"/>
    <n v="2.1"/>
    <x v="0"/>
    <m/>
    <m/>
    <s v="Federal"/>
    <m/>
    <m/>
    <m/>
    <s v="Federal"/>
    <s v="PAV"/>
    <s v="Floriano"/>
  </r>
  <r>
    <x v="0"/>
    <s v="343BPI0320"/>
    <n v="0"/>
    <x v="290"/>
    <s v="0320"/>
    <n v="-43.033177120127903"/>
    <n v="-6.7769412701234701"/>
    <n v="-43.494919589667198"/>
    <n v="-7.08050637996541"/>
    <s v="343"/>
    <s v="PI"/>
    <s v="Eixo Principal"/>
    <s v="-"/>
    <s v="343BPI0320"/>
    <s v="FIM DE PISTA DUPLA"/>
    <s v="ENTR BR-135(A)/PI-218"/>
    <n v="592.20000000000005"/>
    <n v="655.29999999999995"/>
    <n v="63.1"/>
    <x v="2"/>
    <m/>
    <m/>
    <s v="Federal"/>
    <m/>
    <m/>
    <m/>
    <s v="Federal"/>
    <s v="PAV"/>
    <s v="Floriano"/>
  </r>
  <r>
    <x v="0"/>
    <s v="343BPI0325"/>
    <n v="0"/>
    <x v="290"/>
    <s v="0325"/>
    <n v="-43.494919589667198"/>
    <n v="-7.08050637996541"/>
    <n v="-43.503448800421701"/>
    <n v="-7.0865524402428797"/>
    <s v="343"/>
    <s v="PI"/>
    <s v="Eixo Principal"/>
    <s v="Coinc"/>
    <s v="343BPI0325"/>
    <s v="ENTR BR-135(A)/PI-218"/>
    <s v="INÍCIO DE PISTA DUPLA (JERUMENHA)"/>
    <n v="655.29999999999995"/>
    <n v="656.5"/>
    <n v="1.2"/>
    <x v="2"/>
    <m/>
    <s v="135BPI0380"/>
    <s v="Federal"/>
    <m/>
    <m/>
    <m/>
    <s v="Federal"/>
    <s v="PAV"/>
    <s v="Floriano"/>
  </r>
  <r>
    <x v="0"/>
    <s v="343BPI0330"/>
    <n v="0"/>
    <x v="290"/>
    <s v="0330"/>
    <n v="-43.503448800421701"/>
    <n v="-7.0865524402428797"/>
    <n v="-43.505613490170298"/>
    <n v="-7.0880519302523304"/>
    <s v="343"/>
    <s v="PI"/>
    <s v="Eixo Principal"/>
    <s v="Coinc"/>
    <s v="343BPI0330"/>
    <s v="INÍCIO DE PISTA DUPLA (JERUMENHA)"/>
    <s v="FIM DE PISTA DUPLA"/>
    <n v="656.5"/>
    <n v="656.8"/>
    <n v="0.3"/>
    <x v="0"/>
    <m/>
    <s v="135BPI0390"/>
    <s v="Federal"/>
    <m/>
    <m/>
    <m/>
    <s v="Federal"/>
    <s v="PAV"/>
    <s v="Floriano"/>
  </r>
  <r>
    <x v="0"/>
    <s v="343BPI0331"/>
    <n v="0"/>
    <x v="290"/>
    <s v="0331"/>
    <n v="-43.505613490170298"/>
    <n v="-7.0880519302523304"/>
    <n v="-43.507527010063399"/>
    <n v="-7.0879838398822699"/>
    <s v="343"/>
    <s v="PI"/>
    <s v="Eixo Principal"/>
    <s v="Coinc"/>
    <s v="343BPI0331"/>
    <s v="FIM DE PISTA DUPLA"/>
    <s v="INÍCIO DE PISTA DUPLA"/>
    <n v="656.8"/>
    <n v="657"/>
    <n v="0.2"/>
    <x v="2"/>
    <m/>
    <s v="135BPI0391"/>
    <s v="Federal"/>
    <m/>
    <m/>
    <m/>
    <s v="Federal"/>
    <s v="PAV"/>
    <s v="Floriano"/>
  </r>
  <r>
    <x v="0"/>
    <s v="343BPI0332"/>
    <n v="0"/>
    <x v="290"/>
    <s v="0332"/>
    <n v="-43.507527010063399"/>
    <n v="-7.0879838398822699"/>
    <n v="-43.5086116697926"/>
    <n v="-7.0884640598684401"/>
    <s v="343"/>
    <s v="PI"/>
    <s v="Eixo Principal"/>
    <s v="Coinc"/>
    <s v="343BPI0332"/>
    <s v="INÍCIO DE PISTA DUPLA"/>
    <s v="FIM DE PISTA DUPLA"/>
    <n v="657"/>
    <n v="657.1"/>
    <n v="0.1"/>
    <x v="0"/>
    <m/>
    <s v="135BPI0392"/>
    <s v="Federal"/>
    <m/>
    <m/>
    <m/>
    <s v="Federal"/>
    <s v="PAV"/>
    <s v="Floriano"/>
  </r>
  <r>
    <x v="0"/>
    <s v="343BPI0333"/>
    <n v="0"/>
    <x v="290"/>
    <s v="0333"/>
    <n v="-43.5086116697926"/>
    <n v="-7.0884640598684401"/>
    <n v="-43.718748070267097"/>
    <n v="-7.3175840902335301"/>
    <s v="343"/>
    <s v="PI"/>
    <s v="Eixo Principal"/>
    <s v="Coinc"/>
    <s v="343BPI0333"/>
    <s v="FIM DE PISTA DUPLA"/>
    <s v="ENTR PI-219(A)"/>
    <n v="657.1"/>
    <n v="693.2"/>
    <n v="36.1"/>
    <x v="2"/>
    <m/>
    <s v="135BPI0393"/>
    <s v="Federal"/>
    <m/>
    <m/>
    <m/>
    <s v="Federal"/>
    <s v="PAV"/>
    <s v="Floriano"/>
  </r>
  <r>
    <x v="0"/>
    <s v="343BPI0334"/>
    <n v="0"/>
    <x v="290"/>
    <s v="0334"/>
    <n v="-43.718748070267097"/>
    <n v="-7.3175840902335301"/>
    <n v="-43.784371889550997"/>
    <n v="-7.3955094102310497"/>
    <s v="343"/>
    <s v="PI"/>
    <s v="Eixo Principal"/>
    <s v="Coinc"/>
    <s v="343BPI0334"/>
    <s v="ENTR PI-219(A)"/>
    <s v="ENTR PI-219(B) (SANTA FÉ)"/>
    <n v="693.2"/>
    <n v="704.5"/>
    <n v="11.3"/>
    <x v="2"/>
    <m/>
    <s v="135BPI0395"/>
    <s v="Federal"/>
    <m/>
    <m/>
    <m/>
    <s v="Federal"/>
    <s v="PAV"/>
    <s v="Floriano"/>
  </r>
  <r>
    <x v="0"/>
    <s v="343BPI0335"/>
    <n v="0"/>
    <x v="290"/>
    <s v="0335"/>
    <n v="-43.784371889550997"/>
    <n v="-7.3955094102310497"/>
    <n v="-43.964888809970503"/>
    <n v="-7.6028161397529699"/>
    <s v="343"/>
    <s v="PI"/>
    <s v="Eixo Principal"/>
    <s v="Coinc"/>
    <s v="343BPI0335"/>
    <s v="ENTR PI-219(B) (SANTA FÉ)"/>
    <s v="ENTR BR-324(A)/PI-247(A)"/>
    <n v="704.5"/>
    <n v="736"/>
    <n v="31.5"/>
    <x v="2"/>
    <m/>
    <s v="135BPI0397"/>
    <s v="Federal"/>
    <m/>
    <m/>
    <m/>
    <s v="Federal"/>
    <s v="PAV"/>
    <s v="Floriano"/>
  </r>
  <r>
    <x v="0"/>
    <s v="343BPI0340"/>
    <n v="0"/>
    <x v="290"/>
    <s v="0340"/>
    <n v="-43.964888809970503"/>
    <n v="-7.6028161397529699"/>
    <n v="-43.959528859569097"/>
    <n v="-7.6189688198551204"/>
    <s v="343"/>
    <s v="PI"/>
    <s v="Eixo Principal"/>
    <s v="Coinc"/>
    <s v="343BPI0340"/>
    <s v="ENTR BR-324(A)/PI-247(A)"/>
    <s v="ENTR BR-135(B)/324(B)/PI-247(B) (BERTOLÍNIA)"/>
    <n v="736"/>
    <n v="737.9"/>
    <n v="1.9"/>
    <x v="2"/>
    <m/>
    <s v="324BPI0080;135BPI0400"/>
    <s v="Federal"/>
    <m/>
    <m/>
    <m/>
    <s v="Federal"/>
    <s v="PAV"/>
    <s v="Floriano"/>
  </r>
  <r>
    <x v="0"/>
    <s v="349BBA0170"/>
    <n v="0"/>
    <x v="291"/>
    <s v="0170"/>
    <n v="-38.003632210158301"/>
    <n v="-11.192649939842701"/>
    <n v="-38.065583059710299"/>
    <n v="-11.2001693702202"/>
    <s v="349"/>
    <s v="BA"/>
    <s v="Eixo Principal"/>
    <s v="-"/>
    <s v="349BBA0170"/>
    <s v="DIV SE/BA (TOBIAS BARRETO)"/>
    <s v="SAMBAÍBA"/>
    <n v="0"/>
    <n v="7"/>
    <n v="7"/>
    <x v="1"/>
    <m/>
    <m/>
    <s v="Estadual"/>
    <m/>
    <s v="BAT-349"/>
    <s v="PAV"/>
    <s v="Estadual"/>
    <s v="PLA"/>
    <s v="Cruz das Almas"/>
  </r>
  <r>
    <x v="0"/>
    <s v="349BBA0172"/>
    <n v="0"/>
    <x v="291"/>
    <s v="0172"/>
    <n v="-38.065583059710299"/>
    <n v="-11.2001693702202"/>
    <n v="-38.2204459302354"/>
    <n v="-11.308125600216201"/>
    <s v="349"/>
    <s v="BA"/>
    <s v="Eixo Principal"/>
    <s v="-"/>
    <s v="349BBA0172"/>
    <s v="SAMBAÍBA"/>
    <s v="ITAPICURÚ"/>
    <n v="7"/>
    <n v="30"/>
    <n v="23"/>
    <x v="1"/>
    <m/>
    <m/>
    <s v="Estadual"/>
    <m/>
    <s v="BAT-349"/>
    <s v="PAV"/>
    <s v="Estadual"/>
    <s v="PLA"/>
    <s v="Cruz das Almas"/>
  </r>
  <r>
    <x v="0"/>
    <s v="349BBA0174"/>
    <n v="0"/>
    <x v="291"/>
    <s v="0174"/>
    <n v="-38.2204459302354"/>
    <n v="-11.308125600216201"/>
    <n v="-38.333224000387197"/>
    <n v="-11.357943099794101"/>
    <s v="349"/>
    <s v="BA"/>
    <s v="Eixo Principal"/>
    <s v="-"/>
    <s v="349BBA0174"/>
    <s v="ITAPICURÚ"/>
    <s v="ENTR BR-110 (OLINDINA)"/>
    <n v="30"/>
    <n v="44"/>
    <n v="14"/>
    <x v="1"/>
    <m/>
    <m/>
    <s v="Estadual"/>
    <m/>
    <s v="BAT-349"/>
    <s v="PAV"/>
    <s v="Estadual"/>
    <s v="PLA"/>
    <s v="Cruz das Almas"/>
  </r>
  <r>
    <x v="0"/>
    <s v="349BBA0190"/>
    <n v="0"/>
    <x v="291"/>
    <s v="0190"/>
    <n v="-38.333224000387197"/>
    <n v="-11.357943099794101"/>
    <n v="-38.4616899666186"/>
    <n v="-11.3837667762156"/>
    <s v="349"/>
    <s v="BA"/>
    <s v="Eixo Principal"/>
    <s v="-"/>
    <s v="349BBA0190"/>
    <s v="ENTR BR-110 (OLINDINA)"/>
    <s v="UMBUZEIRO"/>
    <n v="44"/>
    <n v="62"/>
    <n v="18"/>
    <x v="1"/>
    <m/>
    <m/>
    <s v="Estadual"/>
    <m/>
    <s v="BAT-349"/>
    <s v="IMP"/>
    <s v="Estadual"/>
    <s v="PLA"/>
    <s v="Feira de Santana"/>
  </r>
  <r>
    <x v="0"/>
    <s v="349BBA0200"/>
    <n v="0"/>
    <x v="291"/>
    <s v="0200"/>
    <n v="-38.4616899666186"/>
    <n v="-11.3837667762156"/>
    <n v="-38.595700659757497"/>
    <n v="-11.3700599400141"/>
    <s v="349"/>
    <s v="BA"/>
    <s v="Eixo Principal"/>
    <s v="-"/>
    <s v="349BBA0200"/>
    <s v="UMBUZEIRO"/>
    <s v="ENTR BA-084"/>
    <n v="62"/>
    <n v="80"/>
    <n v="18"/>
    <x v="1"/>
    <m/>
    <m/>
    <s v="Federal"/>
    <m/>
    <m/>
    <m/>
    <s v="Federal"/>
    <s v="PLA"/>
    <s v="Feira de Santana"/>
  </r>
  <r>
    <x v="0"/>
    <s v="349BBA0210"/>
    <n v="0"/>
    <x v="291"/>
    <s v="0210"/>
    <n v="-38.595700659757497"/>
    <n v="-11.3700599400141"/>
    <n v="-38.997265939771196"/>
    <n v="-11.491596539948301"/>
    <s v="349"/>
    <s v="BA"/>
    <s v="Eixo Principal"/>
    <s v="-"/>
    <s v="349BBA0210"/>
    <s v="ENTR BA-084"/>
    <s v="ENTR BR-116 (TEOFILÂNDIA)"/>
    <n v="80"/>
    <n v="124.3"/>
    <n v="44.3"/>
    <x v="1"/>
    <m/>
    <m/>
    <s v="Federal"/>
    <m/>
    <m/>
    <m/>
    <s v="Federal"/>
    <s v="PLA"/>
    <s v="Feira de Santana"/>
  </r>
  <r>
    <x v="0"/>
    <s v="349BBA0230"/>
    <n v="0"/>
    <x v="291"/>
    <s v="0230"/>
    <n v="-38.997265939771196"/>
    <n v="-11.491596539948301"/>
    <n v="-39.075940240349702"/>
    <n v="-11.5292449298096"/>
    <s v="349"/>
    <s v="BA"/>
    <s v="Eixo Principal"/>
    <s v="-"/>
    <s v="349BBA0230"/>
    <s v="ENTR BR-116 (TEOFILÂNDIA)"/>
    <s v="BARROCAS"/>
    <n v="124.3"/>
    <n v="137.30000000000001"/>
    <n v="13"/>
    <x v="1"/>
    <m/>
    <m/>
    <s v="Estadual"/>
    <m/>
    <s v="BAT-349"/>
    <s v="IMP"/>
    <s v="Estadual"/>
    <s v="PLA"/>
    <s v="Feira de Santana"/>
  </r>
  <r>
    <x v="0"/>
    <s v="349BBA0240"/>
    <n v="0"/>
    <x v="291"/>
    <s v="0240"/>
    <n v="-39.075940240349702"/>
    <n v="-11.5292449298096"/>
    <n v="-39.2883772001476"/>
    <n v="-11.557568049725599"/>
    <s v="349"/>
    <s v="BA"/>
    <s v="Eixo Principal"/>
    <s v="-"/>
    <s v="349BBA0240"/>
    <s v="BARROCAS"/>
    <s v="ENTR BA-120(A)/409 (CONCEIÇÃO DO COITÉ)"/>
    <n v="137.30000000000001"/>
    <n v="164.8"/>
    <n v="27.5"/>
    <x v="1"/>
    <m/>
    <m/>
    <s v="Federal"/>
    <m/>
    <m/>
    <m/>
    <s v="Federal"/>
    <s v="PLA"/>
    <s v="Feira de Santana"/>
  </r>
  <r>
    <x v="0"/>
    <s v="349BBA0250"/>
    <n v="0"/>
    <x v="291"/>
    <s v="0250"/>
    <n v="-39.2883772001476"/>
    <n v="-11.557568049725599"/>
    <n v="-39.2991714901721"/>
    <n v="-11.569348809699701"/>
    <s v="349"/>
    <s v="BA"/>
    <s v="Eixo Principal"/>
    <s v="-"/>
    <s v="349BBA0250"/>
    <s v="ENTR BA-120(A)/409 (CONCEIÇÃO DO COITÉ)"/>
    <s v="ENTR BA-120(B)"/>
    <n v="164.8"/>
    <n v="167.7"/>
    <n v="2.9"/>
    <x v="1"/>
    <m/>
    <m/>
    <s v="Estadual"/>
    <m/>
    <s v="BAT-349"/>
    <s v="IMP"/>
    <s v="Estadual"/>
    <s v="PLA"/>
    <s v="Feira de Santana"/>
  </r>
  <r>
    <x v="0"/>
    <s v="349BBA0270"/>
    <n v="0"/>
    <x v="291"/>
    <s v="0270"/>
    <n v="-39.2991714901721"/>
    <n v="-11.569348809699701"/>
    <n v="-39.636756999735702"/>
    <n v="-11.6008189002719"/>
    <s v="349"/>
    <s v="BA"/>
    <s v="Eixo Principal"/>
    <s v="-"/>
    <s v="349BBA0270"/>
    <s v="ENTR BA-120(B)"/>
    <s v="ENTR BR-324 (NOVA FÁTIMA)"/>
    <n v="167.7"/>
    <n v="216.9"/>
    <n v="49.2"/>
    <x v="1"/>
    <m/>
    <m/>
    <s v="Federal"/>
    <m/>
    <m/>
    <m/>
    <s v="Federal"/>
    <s v="PLA"/>
    <s v="Feira de Santana"/>
  </r>
  <r>
    <x v="0"/>
    <s v="349BBA0290"/>
    <n v="0"/>
    <x v="291"/>
    <s v="0290"/>
    <n v="-39.636756999735702"/>
    <n v="-11.6008189002719"/>
    <n v="-39.835062260214997"/>
    <n v="-11.6629954400874"/>
    <s v="349"/>
    <s v="BA"/>
    <s v="Eixo Principal"/>
    <s v="-"/>
    <s v="349BBA0290"/>
    <s v="ENTR BR-324 (NOVA FÁTIMA)"/>
    <s v="CAPELA DO ALTO ALEGRE"/>
    <n v="216.9"/>
    <n v="241.5"/>
    <n v="24.6"/>
    <x v="1"/>
    <m/>
    <m/>
    <s v="Estadual"/>
    <m/>
    <s v="BAT-349"/>
    <s v="PAV"/>
    <s v="Estadual"/>
    <s v="PLA"/>
    <s v="Feira de Santana"/>
  </r>
  <r>
    <x v="0"/>
    <s v="349BBA0310"/>
    <n v="0"/>
    <x v="291"/>
    <s v="0310"/>
    <n v="-39.835062260214997"/>
    <n v="-11.6629954400874"/>
    <n v="-39.907895019839202"/>
    <n v="-11.812881519966099"/>
    <s v="349"/>
    <s v="BA"/>
    <s v="Eixo Principal"/>
    <s v="-"/>
    <s v="349BBA0310"/>
    <s v="CAPELA DO ALTO ALEGRE"/>
    <s v="ENTR BA-414 (PINTADAS)"/>
    <n v="241.5"/>
    <n v="261.5"/>
    <n v="20"/>
    <x v="3"/>
    <m/>
    <m/>
    <s v="Federal"/>
    <m/>
    <m/>
    <m/>
    <s v="Federal"/>
    <s v="N_PAV"/>
    <s v="Feira de Santana"/>
  </r>
  <r>
    <x v="0"/>
    <s v="349BBA0320"/>
    <n v="0"/>
    <x v="291"/>
    <s v="0320"/>
    <n v="-39.907895019839202"/>
    <n v="-11.812881519966099"/>
    <n v="-40.188030200333401"/>
    <n v="-11.883779979962"/>
    <s v="349"/>
    <s v="BA"/>
    <s v="Eixo Principal"/>
    <s v="-"/>
    <s v="349BBA0320"/>
    <s v="ENTR BA-414 (PINTADAS)"/>
    <s v="ENTR BR-407"/>
    <n v="261.5"/>
    <n v="291.5"/>
    <n v="30"/>
    <x v="3"/>
    <m/>
    <m/>
    <s v="Federal"/>
    <m/>
    <m/>
    <m/>
    <s v="Federal"/>
    <s v="N_PAV"/>
    <s v="Feira de Santana"/>
  </r>
  <r>
    <x v="0"/>
    <s v="349BBA0330"/>
    <n v="0"/>
    <x v="291"/>
    <s v="0330"/>
    <n v="-40.188030200333401"/>
    <n v="-11.883779979962"/>
    <n v="-40.484310160385498"/>
    <n v="-11.8585599797592"/>
    <s v="349"/>
    <s v="BA"/>
    <s v="Eixo Principal"/>
    <s v="-"/>
    <s v="349BBA0330"/>
    <s v="ENTR BR-407"/>
    <s v="ENTR BA-052/421 (MUNDO NOVO)"/>
    <n v="291.5"/>
    <n v="326.5"/>
    <n v="35"/>
    <x v="1"/>
    <m/>
    <m/>
    <s v="Federal"/>
    <m/>
    <m/>
    <m/>
    <s v="Federal"/>
    <s v="PLA"/>
    <s v="Feira de Santana"/>
  </r>
  <r>
    <x v="0"/>
    <s v="349BBA0340"/>
    <n v="0"/>
    <x v="291"/>
    <s v="0340"/>
    <n v="-40.484310160385498"/>
    <n v="-11.8585599797592"/>
    <n v="-41.102878830193703"/>
    <n v="-12.0867219497581"/>
    <s v="349"/>
    <s v="BA"/>
    <s v="Eixo Principal"/>
    <s v="-"/>
    <s v="349BBA0340"/>
    <s v="ENTR BA-052/421 (MUNDO NOVO)"/>
    <s v="ENTR BA-046/142/424 (UTINGA)"/>
    <n v="326.5"/>
    <n v="411.1"/>
    <n v="84.6"/>
    <x v="3"/>
    <m/>
    <m/>
    <s v="Federal"/>
    <m/>
    <m/>
    <m/>
    <s v="Federal"/>
    <s v="N_PAV"/>
    <s v="Feira de Santana"/>
  </r>
  <r>
    <x v="0"/>
    <s v="349BBA0350"/>
    <n v="0"/>
    <x v="291"/>
    <s v="0350"/>
    <n v="-41.102878830193703"/>
    <n v="-12.0867219497581"/>
    <n v="-41.628885290124003"/>
    <n v="-12.4091523701856"/>
    <s v="349"/>
    <s v="BA"/>
    <s v="Eixo Principal"/>
    <s v="-"/>
    <s v="349BBA0350"/>
    <s v="ENTR BA-046/142/424 (UTINGA)"/>
    <s v="ENTR BR-122(A)/330(A)"/>
    <n v="411.1"/>
    <n v="494.5"/>
    <n v="83.4"/>
    <x v="3"/>
    <m/>
    <m/>
    <s v="Federal"/>
    <m/>
    <m/>
    <m/>
    <s v="Federal"/>
    <s v="N_PAV"/>
    <s v="Feira de Santana"/>
  </r>
  <r>
    <x v="0"/>
    <s v="349BBA0360"/>
    <n v="0"/>
    <x v="291"/>
    <s v="0360"/>
    <n v="-41.628885290124003"/>
    <n v="-12.4091523701856"/>
    <n v="-41.641700589710403"/>
    <n v="-12.457641160111301"/>
    <s v="349"/>
    <s v="BA"/>
    <s v="Eixo Principal"/>
    <s v="Coinc"/>
    <s v="349BBA0360"/>
    <s v="ENTR BR-122(A)/330(A)"/>
    <s v="ENTR BR-242(A)"/>
    <n v="494.5"/>
    <n v="499.9"/>
    <n v="5.4"/>
    <x v="1"/>
    <m/>
    <s v="330BBA0160;122BBA0455"/>
    <s v="Estadual"/>
    <m/>
    <s v="BAT-122"/>
    <s v="PAV"/>
    <s v="Estadual"/>
    <s v="PLA"/>
    <s v="Feira de Santana"/>
  </r>
  <r>
    <x v="0"/>
    <s v="349BBA0365"/>
    <n v="0"/>
    <x v="291"/>
    <s v="0365"/>
    <n v="-41.641700589710403"/>
    <n v="-12.457641160111301"/>
    <n v="-41.769303730182898"/>
    <n v="-12.427284119966099"/>
    <s v="349"/>
    <s v="BA"/>
    <s v="Eixo Principal"/>
    <s v="Coinc"/>
    <s v="349BBA0365"/>
    <s v="ENTR BR-242(A)"/>
    <s v="ENTR BR-330(B) (SEABRA)"/>
    <n v="499.9"/>
    <n v="519.9"/>
    <n v="20"/>
    <x v="2"/>
    <m/>
    <s v="242BBA0160;330BBA0165;122BBA0460"/>
    <s v="Federal"/>
    <m/>
    <m/>
    <m/>
    <s v="Federal"/>
    <s v="PAV"/>
    <s v="Feira de Santana"/>
  </r>
  <r>
    <x v="0"/>
    <s v="349BBA0370"/>
    <n v="0"/>
    <x v="291"/>
    <s v="0370"/>
    <n v="-41.769303730182898"/>
    <n v="-12.427284119966099"/>
    <n v="-41.917687020439502"/>
    <n v="-12.3923661204"/>
    <s v="349"/>
    <s v="BA"/>
    <s v="Eixo Principal"/>
    <s v="Coinc"/>
    <s v="349BBA0370"/>
    <s v="ENTR BR-330(B) (SEABRA)"/>
    <s v="ENTR BA-148(A) (P/BONINAL)"/>
    <n v="519.9"/>
    <n v="538.29999999999995"/>
    <n v="18.399999999999999"/>
    <x v="2"/>
    <m/>
    <s v="242BBA0170;122BBA0465"/>
    <s v="Federal"/>
    <m/>
    <m/>
    <m/>
    <s v="Federal"/>
    <s v="PAV"/>
    <s v="Feira de Santana"/>
  </r>
  <r>
    <x v="0"/>
    <s v="349BBA0380"/>
    <n v="0"/>
    <x v="291"/>
    <s v="0380"/>
    <n v="-41.917687020439502"/>
    <n v="-12.3923661204"/>
    <n v="-42.110152859666599"/>
    <n v="-12.4245208495574"/>
    <s v="349"/>
    <s v="BA"/>
    <s v="Eixo Principal"/>
    <s v="Coinc"/>
    <s v="349BBA0380"/>
    <s v="ENTR BA-148(A) (P/BONINAL)"/>
    <s v="ENTR BA-148(B) (P/BARRA DO MENDES)"/>
    <n v="538.29999999999995"/>
    <n v="560.5"/>
    <n v="22.2"/>
    <x v="2"/>
    <m/>
    <s v="242BBA0200;122BBA0470"/>
    <s v="Federal"/>
    <m/>
    <m/>
    <m/>
    <s v="Federal"/>
    <s v="PAV"/>
    <s v="Feira de Santana"/>
  </r>
  <r>
    <x v="0"/>
    <s v="349BBA0390"/>
    <n v="0"/>
    <x v="291"/>
    <s v="0390"/>
    <n v="-42.110152859666599"/>
    <n v="-12.4245208495574"/>
    <n v="-42.205404309561096"/>
    <n v="-12.456066559623901"/>
    <s v="349"/>
    <s v="BA"/>
    <s v="Eixo Principal"/>
    <s v="Coinc"/>
    <s v="349BBA0390"/>
    <s v="ENTR BA-148(B) (P/BARRA DO MENDES)"/>
    <s v="ENTR BR-242(B)/122(B)/BA-152 (P/IBITIARA)"/>
    <n v="560.5"/>
    <n v="573.4"/>
    <n v="12.9"/>
    <x v="2"/>
    <m/>
    <s v="242BBA0205;122BBA0480"/>
    <s v="Federal"/>
    <m/>
    <m/>
    <m/>
    <s v="Federal"/>
    <s v="PAV"/>
    <s v="Feira de Santana"/>
  </r>
  <r>
    <x v="0"/>
    <s v="349BBA0402"/>
    <n v="0"/>
    <x v="291"/>
    <s v="0402"/>
    <n v="-42.205404309561096"/>
    <n v="-12.456066559623901"/>
    <n v="-42.492144030222697"/>
    <n v="-12.887958060016301"/>
    <s v="349"/>
    <s v="BA"/>
    <s v="Eixo Principal"/>
    <s v="-"/>
    <s v="349BBA0402"/>
    <s v="ENTR BR-242(B)/122(B)/BA-152 (P/IBITIARA)"/>
    <s v="ENTR BA-476 (IBIPITANGA)"/>
    <n v="573.4"/>
    <n v="630.4"/>
    <n v="57"/>
    <x v="1"/>
    <m/>
    <m/>
    <s v="Federal"/>
    <m/>
    <m/>
    <m/>
    <s v="Federal"/>
    <s v="PLA"/>
    <s v="Feira de Santana"/>
  </r>
  <r>
    <x v="0"/>
    <s v="349BBA0410"/>
    <n v="0"/>
    <x v="291"/>
    <s v="0410"/>
    <n v="-42.492144030222697"/>
    <n v="-12.887958060016301"/>
    <n v="-42.626581139607801"/>
    <n v="-13.038396759802501"/>
    <s v="349"/>
    <s v="BA"/>
    <s v="Eixo Principal"/>
    <s v="-"/>
    <s v="349BBA0410"/>
    <s v="ENTR BA-476 (IBIPITANGA)"/>
    <s v="ENTR BA-156"/>
    <n v="630.4"/>
    <n v="656.4"/>
    <n v="26"/>
    <x v="1"/>
    <m/>
    <m/>
    <s v="Estadual"/>
    <m/>
    <s v="BAT-349"/>
    <s v="IMP"/>
    <s v="Estadual"/>
    <s v="PLA"/>
    <s v="Vitória da Conquista"/>
  </r>
  <r>
    <x v="0"/>
    <s v="349BBA0412"/>
    <n v="0"/>
    <x v="291"/>
    <s v="0412"/>
    <n v="-42.626581139607801"/>
    <n v="-13.038396759802501"/>
    <n v="-42.651301839807999"/>
    <n v="-13.003324940193799"/>
    <s v="349"/>
    <s v="BA"/>
    <s v="Eixo Principal"/>
    <s v="-"/>
    <s v="349BBA0412"/>
    <s v="ENTR BA-156"/>
    <s v="ENTR BA-572 (MACAÚBAS)"/>
    <n v="656.4"/>
    <n v="661"/>
    <n v="4.5999999999999996"/>
    <x v="1"/>
    <m/>
    <m/>
    <s v="Federal"/>
    <m/>
    <m/>
    <m/>
    <s v="Federal"/>
    <s v="PLA"/>
    <s v="Vitória da Conquista"/>
  </r>
  <r>
    <x v="0"/>
    <s v="349BBA0420"/>
    <n v="0"/>
    <x v="291"/>
    <s v="0420"/>
    <n v="-42.651301839807999"/>
    <n v="-13.003324940193799"/>
    <n v="-43.388300010337097"/>
    <n v="-13.281909999746601"/>
    <s v="349"/>
    <s v="BA"/>
    <s v="Eixo Principal"/>
    <s v="-"/>
    <s v="349BBA0420"/>
    <s v="ENTR BA-572 (MACAÚBAS)"/>
    <s v="ENTR BR-430(A)/BA-160(A)"/>
    <n v="661"/>
    <n v="750"/>
    <n v="89"/>
    <x v="1"/>
    <m/>
    <m/>
    <s v="Federal"/>
    <m/>
    <m/>
    <m/>
    <s v="Federal"/>
    <s v="PLA"/>
    <s v="Vitória da Conquista"/>
  </r>
  <r>
    <x v="0"/>
    <s v="349BBA0430"/>
    <n v="0"/>
    <x v="291"/>
    <s v="0430"/>
    <n v="-43.388300010337097"/>
    <n v="-13.281909999746601"/>
    <n v="-43.409634819691099"/>
    <n v="-13.2668680300355"/>
    <s v="349"/>
    <s v="BA"/>
    <s v="Eixo Principal"/>
    <s v="-"/>
    <s v="349BBA0430"/>
    <s v="ENTR BR-430(A)/BA-160(A)"/>
    <s v="ENTR BA-160(B) (BOM JESUS DA LAPA)"/>
    <n v="750"/>
    <n v="752.8"/>
    <n v="2.8"/>
    <x v="2"/>
    <m/>
    <s v="430BBA0110"/>
    <s v="Federal"/>
    <m/>
    <m/>
    <m/>
    <s v="Federal"/>
    <s v="PAV"/>
    <s v="Vitória da Conquista"/>
  </r>
  <r>
    <x v="0"/>
    <s v="349BBA0431"/>
    <n v="0"/>
    <x v="291"/>
    <s v="0431"/>
    <n v="-43.409634819691099"/>
    <n v="-13.2668680300355"/>
    <n v="-43.5183097204172"/>
    <n v="-13.261215419555899"/>
    <s v="349"/>
    <s v="BA"/>
    <s v="Eixo Principal"/>
    <s v="-"/>
    <s v="349BBA0431"/>
    <s v="ENTR BA-160(B) (BOM JESUS DA LAPA)"/>
    <s v="ENTR BR-430(B)/BA-161(A)"/>
    <n v="752.8"/>
    <n v="764.9"/>
    <n v="12.1"/>
    <x v="2"/>
    <m/>
    <s v="430BBA0090"/>
    <s v="Federal"/>
    <m/>
    <m/>
    <m/>
    <s v="Federal"/>
    <s v="PAV"/>
    <s v="Vitória da Conquista"/>
  </r>
  <r>
    <x v="0"/>
    <s v="349BBA0432"/>
    <n v="0"/>
    <x v="291"/>
    <s v="0432"/>
    <n v="-43.5183097204172"/>
    <n v="-13.261215419555899"/>
    <n v="-43.580537130384201"/>
    <n v="-13.264876000227099"/>
    <s v="349"/>
    <s v="BA"/>
    <s v="Eixo Principal"/>
    <s v="-"/>
    <s v="349BBA0432"/>
    <s v="ENTR BR-430(B)/BA-161(A)"/>
    <s v="ENTR BA-161(B) (P/ CARIRANHA)"/>
    <n v="764.9"/>
    <n v="771.7"/>
    <n v="6.8"/>
    <x v="2"/>
    <m/>
    <m/>
    <s v="Federal"/>
    <m/>
    <m/>
    <m/>
    <s v="Federal"/>
    <s v="PAV"/>
    <s v="Vitória da Conquista"/>
  </r>
  <r>
    <x v="0"/>
    <s v="349BBA0434"/>
    <n v="0"/>
    <x v="291"/>
    <s v="0434"/>
    <n v="-43.580537130384201"/>
    <n v="-13.264876000227099"/>
    <n v="-43.898348479898402"/>
    <n v="-13.336412049876101"/>
    <s v="349"/>
    <s v="BA"/>
    <s v="Eixo Principal"/>
    <s v="-"/>
    <s v="349BBA0434"/>
    <s v="ENTR BA-161(B) (P/ CARIRANHA)"/>
    <s v="ENTR BA-575 (P/PORTO NOVO)"/>
    <n v="771.7"/>
    <n v="807"/>
    <n v="35.299999999999997"/>
    <x v="2"/>
    <m/>
    <m/>
    <s v="Federal"/>
    <m/>
    <m/>
    <m/>
    <s v="Federal"/>
    <s v="PAV"/>
    <s v="Vitória da Conquista"/>
  </r>
  <r>
    <x v="0"/>
    <s v="349BBA0450"/>
    <n v="0"/>
    <x v="291"/>
    <s v="0450"/>
    <n v="-43.898348479898402"/>
    <n v="-13.336412049876101"/>
    <n v="-44.203123620358703"/>
    <n v="-13.3987860799136"/>
    <s v="349"/>
    <s v="BA"/>
    <s v="Eixo Principal"/>
    <s v="-"/>
    <s v="349BBA0450"/>
    <s v="ENTR BA-575 (P/PORTO NOVO)"/>
    <s v="ENTR BA-172 (SANTA MARIA DA VITÓRIA)"/>
    <n v="807"/>
    <n v="841.4"/>
    <n v="34.4"/>
    <x v="2"/>
    <m/>
    <m/>
    <s v="Federal"/>
    <m/>
    <m/>
    <m/>
    <s v="Federal"/>
    <s v="PAV"/>
    <s v="Vitória da Conquista"/>
  </r>
  <r>
    <x v="0"/>
    <s v="349BBA0470"/>
    <n v="0"/>
    <x v="291"/>
    <s v="0470"/>
    <n v="-44.203123620358703"/>
    <n v="-13.3987860799136"/>
    <n v="-44.641965050046899"/>
    <n v="-13.350612630068699"/>
    <s v="349"/>
    <s v="BA"/>
    <s v="Eixo Principal"/>
    <s v="-"/>
    <s v="349BBA0470"/>
    <s v="ENTR BA-172 (SANTA MARIA DA VITÓRIA)"/>
    <s v="ENTR BR-135(A (CORRENTINA)"/>
    <n v="841.4"/>
    <n v="892.6"/>
    <n v="51.2"/>
    <x v="2"/>
    <m/>
    <m/>
    <s v="Federal"/>
    <m/>
    <m/>
    <m/>
    <s v="Federal"/>
    <s v="PAV"/>
    <s v="Barreiras"/>
  </r>
  <r>
    <x v="0"/>
    <s v="349BBA0480"/>
    <n v="0"/>
    <x v="291"/>
    <s v="0480"/>
    <n v="-44.641965050046899"/>
    <n v="-13.350612630068699"/>
    <n v="-44.663301980002302"/>
    <n v="-13.3740902801422"/>
    <s v="349"/>
    <s v="BA"/>
    <s v="Eixo Principal"/>
    <s v="Coinc"/>
    <s v="349BBA0480"/>
    <s v="ENTR BR-135(A) (CORRENTINA)"/>
    <s v="ENTR BR-135(B)"/>
    <n v="892.6"/>
    <n v="896.4"/>
    <n v="3.8"/>
    <x v="2"/>
    <m/>
    <s v="135BBA0605"/>
    <s v="Federal"/>
    <m/>
    <m/>
    <m/>
    <s v="Federal"/>
    <s v="PAV"/>
    <s v="Barreiras"/>
  </r>
  <r>
    <x v="0"/>
    <s v="349BBA0485"/>
    <n v="0"/>
    <x v="291"/>
    <s v="0485"/>
    <n v="-44.663301980002302"/>
    <n v="-13.3740902801422"/>
    <n v="-45.366255800064998"/>
    <n v="-13.6247227701396"/>
    <s v="349"/>
    <s v="BA"/>
    <s v="Eixo Principal"/>
    <s v="-"/>
    <s v="349BBA0485"/>
    <s v="ENTR BR-135(B)"/>
    <s v="PONTO VI (POSTO ABASTECIMENTO)"/>
    <n v="896.4"/>
    <n v="984.4"/>
    <n v="88"/>
    <x v="2"/>
    <m/>
    <m/>
    <s v="Federal"/>
    <m/>
    <m/>
    <m/>
    <s v="Federal"/>
    <s v="PAV"/>
    <s v="Barreiras"/>
  </r>
  <r>
    <x v="0"/>
    <s v="349BBA0490"/>
    <n v="0"/>
    <x v="291"/>
    <s v="0490"/>
    <n v="-45.366255800064998"/>
    <n v="-13.6247227701396"/>
    <n v="-46.164115260011201"/>
    <n v="-13.7986405697064"/>
    <s v="349"/>
    <s v="BA"/>
    <s v="Eixo Principal"/>
    <s v="-"/>
    <s v="349BBA0490"/>
    <s v="PONTO VI (POSTO ABASTECIMENTO)"/>
    <s v="ENTR BR-020(A)"/>
    <n v="984.4"/>
    <n v="1074.4000000000001"/>
    <n v="90"/>
    <x v="2"/>
    <m/>
    <m/>
    <s v="Federal"/>
    <m/>
    <m/>
    <m/>
    <s v="Federal"/>
    <s v="PAV"/>
    <s v="Barreiras"/>
  </r>
  <r>
    <x v="0"/>
    <s v="349BBA0501"/>
    <n v="0"/>
    <x v="291"/>
    <s v="0501"/>
    <n v="-46.164115260011201"/>
    <n v="-13.7986405697064"/>
    <n v="-46.197733060232501"/>
    <n v="-13.9564905599913"/>
    <s v="349"/>
    <s v="BA"/>
    <s v="Eixo Principal"/>
    <s v="Coinc"/>
    <s v="349BBA0501"/>
    <s v="ENTR BR-020(A)"/>
    <s v="DIV BA/GO"/>
    <n v="1074.4000000000001"/>
    <n v="1092.5"/>
    <n v="18.100000000000001"/>
    <x v="2"/>
    <m/>
    <s v="020BBA0220"/>
    <s v="Federal"/>
    <m/>
    <m/>
    <m/>
    <s v="Federal"/>
    <s v="PAV"/>
    <s v="Barreiras"/>
  </r>
  <r>
    <x v="0"/>
    <s v="349BGO0510"/>
    <n v="0"/>
    <x v="292"/>
    <s v="0510"/>
    <n v="-46.197733060232501"/>
    <n v="-13.9564905599913"/>
    <n v="-46.309380849846299"/>
    <n v="-14.1149769798037"/>
    <s v="349"/>
    <s v="GO"/>
    <s v="Eixo Principal"/>
    <s v="Coinc"/>
    <s v="349BGO0510"/>
    <s v="ENTR BR-020(A) (DIV BA/GO)"/>
    <s v="ENTR BR-020(B)/GO-108 (P/POSSE)"/>
    <n v="0"/>
    <n v="22.8"/>
    <n v="22.8"/>
    <x v="2"/>
    <m/>
    <s v="020BGO0210"/>
    <s v="Federal"/>
    <m/>
    <m/>
    <m/>
    <s v="Federal"/>
    <s v="PAV"/>
    <s v="Brasília"/>
  </r>
  <r>
    <x v="0"/>
    <s v="349BSE0010"/>
    <n v="0"/>
    <x v="293"/>
    <s v="0010"/>
    <n v="-37.090904380432697"/>
    <n v="-10.907912559716801"/>
    <n v="-37.1318142300426"/>
    <n v="-10.9029715998594"/>
    <s v="349"/>
    <s v="SE"/>
    <s v="Eixo Principal"/>
    <s v="Coinc"/>
    <s v="349BSE0010"/>
    <s v="ENTR BR-235(A) (ARACAJU)"/>
    <s v="ENTR BR-101(A)/235(B)"/>
    <n v="0"/>
    <n v="4.5"/>
    <n v="4.5"/>
    <x v="0"/>
    <m/>
    <s v="235BSE0010"/>
    <s v="Federal"/>
    <m/>
    <m/>
    <m/>
    <s v="Federal"/>
    <s v="PAV"/>
    <s v="Nossa Senhora do Socorro"/>
  </r>
  <r>
    <x v="0"/>
    <s v="349BSE0030"/>
    <n v="0"/>
    <x v="293"/>
    <s v="0030"/>
    <n v="-37.1318142300426"/>
    <n v="-10.9029715998594"/>
    <n v="-37.220836669676501"/>
    <n v="-10.953580429992799"/>
    <s v="349"/>
    <s v="SE"/>
    <s v="Eixo Principal"/>
    <s v="Coinc"/>
    <s v="349BSE0030"/>
    <s v="ENTR BR-101(A)/235(B)"/>
    <s v="ENTR SE-464 (P/SÃO CRISTOVÃO)"/>
    <n v="4.5"/>
    <n v="16.2"/>
    <n v="11.7"/>
    <x v="0"/>
    <m/>
    <s v="101BSE1230"/>
    <s v="Federal"/>
    <m/>
    <m/>
    <m/>
    <s v="Federal"/>
    <s v="PAV"/>
    <s v="Nossa Senhora do Socorro"/>
  </r>
  <r>
    <x v="0"/>
    <s v="349BSE0040"/>
    <n v="0"/>
    <x v="293"/>
    <s v="0040"/>
    <n v="-37.220836669676501"/>
    <n v="-10.953580429992799"/>
    <n v="-37.264489099891897"/>
    <n v="-10.964306709686801"/>
    <s v="349"/>
    <s v="SE"/>
    <s v="Eixo Principal"/>
    <s v="Coinc"/>
    <s v="349BSE0040"/>
    <s v="ENTR SE-464 (P/SÃO CRISTOVÃO)"/>
    <s v="ENTR SE-258"/>
    <n v="16.2"/>
    <n v="21.3"/>
    <n v="5.0999999999999996"/>
    <x v="0"/>
    <m/>
    <s v="101BSE1250"/>
    <s v="Federal"/>
    <m/>
    <m/>
    <m/>
    <s v="Federal"/>
    <s v="PAV"/>
    <s v="Nossa Senhora do Socorro"/>
  </r>
  <r>
    <x v="0"/>
    <s v="349BSE0045"/>
    <n v="0"/>
    <x v="293"/>
    <s v="0045"/>
    <n v="-37.264489099891897"/>
    <n v="-10.964306709686801"/>
    <n v="-37.3059387603654"/>
    <n v="-11.001125650328399"/>
    <s v="349"/>
    <s v="SE"/>
    <s v="Eixo Principal"/>
    <s v="Coinc"/>
    <s v="349BSE0045"/>
    <s v="ENTR SE-258"/>
    <s v="ITAPORANGA D`AJUDA"/>
    <n v="21.3"/>
    <n v="27.5"/>
    <n v="6.2"/>
    <x v="0"/>
    <m/>
    <s v="101BSE1260"/>
    <s v="Federal"/>
    <m/>
    <m/>
    <m/>
    <s v="Federal"/>
    <s v="PAV"/>
    <s v="Nossa Senhora do Socorro"/>
  </r>
  <r>
    <x v="0"/>
    <s v="349BSE0050"/>
    <n v="0"/>
    <x v="293"/>
    <s v="0050"/>
    <n v="-37.3059387603654"/>
    <n v="-11.001125650328399"/>
    <n v="-37.3284878604263"/>
    <n v="-11.025869529654999"/>
    <s v="349"/>
    <s v="SE"/>
    <s v="Eixo Principal"/>
    <s v="Coinc"/>
    <s v="349BSE0050"/>
    <s v="ITAPORANGA D`AJUDA"/>
    <s v="ENTR SE-270(A)"/>
    <n v="27.5"/>
    <n v="31.4"/>
    <n v="3.9"/>
    <x v="0"/>
    <m/>
    <s v="101BSE1270"/>
    <s v="Federal"/>
    <m/>
    <m/>
    <m/>
    <s v="Federal"/>
    <s v="PAV"/>
    <s v="Nossa Senhora do Socorro"/>
  </r>
  <r>
    <x v="0"/>
    <s v="349BSE0060"/>
    <n v="0"/>
    <x v="293"/>
    <s v="0060"/>
    <n v="-37.3284878604263"/>
    <n v="-11.025869529654999"/>
    <n v="-37.3648148898952"/>
    <n v="-11.043742920399399"/>
    <s v="349"/>
    <s v="SE"/>
    <s v="Eixo Principal"/>
    <s v="Coinc"/>
    <s v="349BSE0060"/>
    <s v="ENTR SE-270(A)"/>
    <s v="ENTR BR-101(B)"/>
    <n v="31.4"/>
    <n v="36.700000000000003"/>
    <n v="5.3"/>
    <x v="0"/>
    <m/>
    <s v="101BSE1280"/>
    <s v="Federal"/>
    <m/>
    <m/>
    <m/>
    <s v="Federal"/>
    <s v="PAV"/>
    <s v="Nossa Senhora do Socorro"/>
  </r>
  <r>
    <x v="0"/>
    <s v="349BSE0070"/>
    <n v="0"/>
    <x v="293"/>
    <s v="0070"/>
    <n v="-37.3648148898952"/>
    <n v="-11.043742920399399"/>
    <n v="-37.459264579796397"/>
    <n v="-11.026208940090401"/>
    <s v="349"/>
    <s v="SE"/>
    <s v="Eixo Principal"/>
    <s v="-"/>
    <s v="349BSE0070"/>
    <s v="ENTR BR-101(B)"/>
    <s v="ENTR SE-468 (SALGADO)"/>
    <n v="36.700000000000003"/>
    <n v="49.1"/>
    <n v="12.4"/>
    <x v="1"/>
    <m/>
    <m/>
    <s v="Estadual"/>
    <m/>
    <s v="SE-270"/>
    <s v="PAV"/>
    <s v="Estadual"/>
    <s v="PLA"/>
    <s v="Nossa Senhora do Socorro"/>
  </r>
  <r>
    <x v="0"/>
    <s v="349BSE0080"/>
    <n v="0"/>
    <x v="293"/>
    <s v="0080"/>
    <n v="-37.459264579796397"/>
    <n v="-11.026208940090401"/>
    <n v="-37.5409252995629"/>
    <n v="-10.9887526598073"/>
    <s v="349"/>
    <s v="SE"/>
    <s v="Eixo Principal"/>
    <s v="-"/>
    <s v="349BSE0080"/>
    <s v="ENTR SE-468 (SALGADO)"/>
    <s v="ENTR SE-160/270(B)"/>
    <n v="49.1"/>
    <n v="57.7"/>
    <n v="8.6"/>
    <x v="1"/>
    <m/>
    <m/>
    <s v="Estadual"/>
    <m/>
    <s v="SE-270"/>
    <s v="PAV"/>
    <s v="Estadual"/>
    <s v="PLA"/>
    <s v="Nossa Senhora do Socorro"/>
  </r>
  <r>
    <x v="0"/>
    <s v="349BSE0090"/>
    <n v="0"/>
    <x v="293"/>
    <s v="0090"/>
    <n v="-37.5409252995629"/>
    <n v="-10.9887526598073"/>
    <n v="-37.727829189865098"/>
    <n v="-11.0693247996997"/>
    <s v="349"/>
    <s v="SE"/>
    <s v="Eixo Principal"/>
    <s v="-"/>
    <s v="349BSE0090"/>
    <s v="ENTR SE-160/270(B)"/>
    <s v="ENTR SE-170(A) (RIACHÃO DO DANTAS)"/>
    <n v="57.7"/>
    <n v="79.7"/>
    <n v="22"/>
    <x v="1"/>
    <m/>
    <m/>
    <s v="Federal"/>
    <m/>
    <m/>
    <m/>
    <s v="Federal"/>
    <s v="PLA"/>
    <s v="Nossa Senhora do Socorro"/>
  </r>
  <r>
    <x v="0"/>
    <s v="349BSE0100"/>
    <n v="0"/>
    <x v="293"/>
    <s v="0100"/>
    <n v="-37.727829189865098"/>
    <n v="-11.0693247996997"/>
    <n v="-37.818761079959799"/>
    <n v="-11.1025706196383"/>
    <s v="349"/>
    <s v="SE"/>
    <s v="Eixo Principal"/>
    <s v="-"/>
    <s v="349BSE0100"/>
    <s v="ENTR SE-170(A) (RIACHÃO DO DANTAS)"/>
    <s v="ENTR SE-287(A)"/>
    <n v="79.7"/>
    <n v="90"/>
    <n v="10.3"/>
    <x v="1"/>
    <m/>
    <m/>
    <s v="Estadual"/>
    <m/>
    <s v="SE-170"/>
    <s v="PAV"/>
    <s v="Estadual"/>
    <s v="PLA"/>
    <s v="Nossa Senhora do Socorro"/>
  </r>
  <r>
    <x v="0"/>
    <s v="349BSE0110"/>
    <n v="0"/>
    <x v="293"/>
    <s v="0110"/>
    <n v="-37.818761079959799"/>
    <n v="-11.1025706196383"/>
    <n v="-37.856847359617902"/>
    <n v="-11.1166614402732"/>
    <s v="349"/>
    <s v="SE"/>
    <s v="Eixo Principal"/>
    <s v="-"/>
    <s v="349BSE0110"/>
    <s v="ENTR SE-287(A)"/>
    <s v="ENTR SE-287(B) (POVOADO TANQUE NOVO)"/>
    <n v="90"/>
    <n v="94.5"/>
    <n v="4.5"/>
    <x v="1"/>
    <m/>
    <m/>
    <s v="Estadual"/>
    <m/>
    <s v="SE-170"/>
    <s v="PAV"/>
    <s v="Estadual"/>
    <s v="PLA"/>
    <s v="Nossa Senhora do Socorro"/>
  </r>
  <r>
    <x v="0"/>
    <s v="349BSE0120"/>
    <n v="0"/>
    <x v="293"/>
    <s v="0120"/>
    <n v="-37.856847359617902"/>
    <n v="-11.1166614402732"/>
    <n v="-37.899775849975399"/>
    <n v="-11.1298063296982"/>
    <s v="349"/>
    <s v="SE"/>
    <s v="Eixo Principal"/>
    <s v="-"/>
    <s v="349BSE0120"/>
    <s v="ENTR SE-287(B) (POVOADO TANQUE NOVO)"/>
    <s v="ENTR SE-490"/>
    <n v="94.5"/>
    <n v="99.5"/>
    <n v="5"/>
    <x v="1"/>
    <m/>
    <m/>
    <s v="Estadual"/>
    <m/>
    <s v="SE-170"/>
    <s v="PAV"/>
    <s v="Estadual"/>
    <s v="PLA"/>
    <s v="Nossa Senhora do Socorro"/>
  </r>
  <r>
    <x v="0"/>
    <s v="349BSE0130"/>
    <n v="0"/>
    <x v="293"/>
    <s v="0130"/>
    <n v="-37.899775849975399"/>
    <n v="-11.1298063296982"/>
    <n v="-37.980001789550798"/>
    <n v="-11.1664446496008"/>
    <s v="349"/>
    <s v="SE"/>
    <s v="Eixo Principal"/>
    <s v="-"/>
    <s v="349BSE0130"/>
    <s v="ENTR SE-490"/>
    <s v="ENTR SE-290(A)"/>
    <n v="99.5"/>
    <n v="109.2"/>
    <n v="9.6999999999999993"/>
    <x v="1"/>
    <m/>
    <m/>
    <s v="Estadual"/>
    <m/>
    <s v="SE-170"/>
    <s v="PAV"/>
    <s v="Estadual"/>
    <s v="PLA"/>
    <s v="Nossa Senhora do Socorro"/>
  </r>
  <r>
    <x v="0"/>
    <s v="349BSE0140"/>
    <n v="0"/>
    <x v="293"/>
    <s v="0140"/>
    <n v="-37.980001789550798"/>
    <n v="-11.1664446496008"/>
    <n v="-37.994712129760899"/>
    <n v="-11.179752759682"/>
    <s v="349"/>
    <s v="SE"/>
    <s v="Eixo Principal"/>
    <s v="-"/>
    <s v="349BSE0140"/>
    <s v="ENTR SE-290(A)"/>
    <s v="ENTR SE-290(B)/170(B) (TOBIAS BARRETO)"/>
    <n v="109.2"/>
    <n v="111.4"/>
    <n v="2.2000000000000002"/>
    <x v="1"/>
    <m/>
    <m/>
    <s v="Estadual"/>
    <m/>
    <s v="SE-170"/>
    <s v="PAV"/>
    <s v="Estadual"/>
    <s v="PLA"/>
    <s v="Nossa Senhora do Socorro"/>
  </r>
  <r>
    <x v="0"/>
    <s v="349BSE0150"/>
    <n v="0"/>
    <x v="293"/>
    <s v="0150"/>
    <n v="-37.994712129760899"/>
    <n v="-11.179752759682"/>
    <n v="-38.003632210158301"/>
    <n v="-11.192649939842701"/>
    <s v="349"/>
    <s v="SE"/>
    <s v="Eixo Principal"/>
    <s v="-"/>
    <s v="349BSE0150"/>
    <s v="ENTR SE-290(B)/170(B) (TOBIAS BARRETO)"/>
    <s v="DIV SE/BA"/>
    <n v="111.4"/>
    <n v="113.4"/>
    <n v="2"/>
    <x v="1"/>
    <m/>
    <m/>
    <s v="Federal"/>
    <m/>
    <m/>
    <m/>
    <s v="Federal"/>
    <s v="PLA"/>
    <s v="Nossa Senhora do Socorro"/>
  </r>
  <r>
    <x v="0"/>
    <s v="352BGO0010"/>
    <n v="0"/>
    <x v="294"/>
    <s v="0010"/>
    <n v="-49.230992730030401"/>
    <n v="-16.709869040323799"/>
    <n v="-49.194046840189401"/>
    <n v="-16.720648880041701"/>
    <s v="352"/>
    <s v="GO"/>
    <s v="Eixo Principal"/>
    <s v="-"/>
    <s v="352BGO0010"/>
    <s v="ENTR BR-153/GO-020(A) (GOIÂNIA)"/>
    <s v="AUTÓDROMO INTERNACIONAL"/>
    <n v="0"/>
    <n v="4.4000000000000004"/>
    <n v="4.4000000000000004"/>
    <x v="1"/>
    <m/>
    <m/>
    <s v="Estadual"/>
    <m/>
    <s v="GO-020"/>
    <s v="DUP"/>
    <s v="Estadual"/>
    <s v="PLA"/>
    <s v="Goiânia"/>
  </r>
  <r>
    <x v="0"/>
    <s v="352BGO0012"/>
    <n v="0"/>
    <x v="294"/>
    <s v="0012"/>
    <n v="-49.194046840189401"/>
    <n v="-16.720648880041701"/>
    <n v="-49.141511469778401"/>
    <n v="-16.741929060078"/>
    <s v="352"/>
    <s v="GO"/>
    <s v="Eixo Principal"/>
    <s v="-"/>
    <s v="352BGO0012"/>
    <s v="AUTÓDROMO INTERNACIONAL"/>
    <s v="ENTR GO-536"/>
    <n v="4.4000000000000004"/>
    <n v="10.5"/>
    <n v="6.1"/>
    <x v="1"/>
    <m/>
    <m/>
    <s v="Estadual"/>
    <m/>
    <s v="GO-020"/>
    <s v="PAV"/>
    <s v="Estadual"/>
    <s v="PLA"/>
    <s v="Goiânia"/>
  </r>
  <r>
    <x v="0"/>
    <s v="352BGO0015"/>
    <n v="0"/>
    <x v="294"/>
    <s v="0015"/>
    <n v="-49.141511469778401"/>
    <n v="-16.741929060078"/>
    <n v="-49.027744190341998"/>
    <n v="-16.843061239784301"/>
    <s v="352"/>
    <s v="GO"/>
    <s v="Eixo Principal"/>
    <s v="-"/>
    <s v="352BGO0015"/>
    <s v="ENTR GO-536"/>
    <s v="ENTR GO-414"/>
    <n v="10.5"/>
    <n v="28"/>
    <n v="17.5"/>
    <x v="1"/>
    <m/>
    <m/>
    <s v="Estadual"/>
    <m/>
    <s v="GO-020"/>
    <s v="PAV"/>
    <s v="Estadual"/>
    <s v="PLA"/>
    <s v="Goiânia"/>
  </r>
  <r>
    <x v="0"/>
    <s v="352BGO0020"/>
    <n v="0"/>
    <x v="294"/>
    <s v="0020"/>
    <n v="-49.027744190341998"/>
    <n v="-16.843061239784301"/>
    <n v="-48.962329850142403"/>
    <n v="-16.972857910364201"/>
    <s v="352"/>
    <s v="GO"/>
    <s v="Eixo Principal"/>
    <s v="-"/>
    <s v="352BGO0020"/>
    <s v="ENTR GO-414"/>
    <s v="ENTR GO-147/219(A) (BELA VISTA DE GOIÁS)"/>
    <n v="28"/>
    <n v="45.3"/>
    <n v="17.3"/>
    <x v="1"/>
    <m/>
    <m/>
    <s v="Estadual"/>
    <m/>
    <s v="GO-020"/>
    <s v="PAV"/>
    <s v="Estadual"/>
    <s v="PLA"/>
    <s v="Goiânia"/>
  </r>
  <r>
    <x v="0"/>
    <s v="352BGO0025"/>
    <n v="0"/>
    <x v="294"/>
    <s v="0025"/>
    <n v="-48.962329850142403"/>
    <n v="-16.972857910364201"/>
    <n v="-48.962276380050803"/>
    <n v="-16.978342700155402"/>
    <s v="352"/>
    <s v="GO"/>
    <s v="Eixo Principal"/>
    <s v="-"/>
    <s v="352BGO0025"/>
    <s v="ENTR GO-147/219(A) (BELA VISTA DE GOIÁS)"/>
    <s v="ENTR GO-219(B) (BELA VISTA DE GOIÁS)"/>
    <n v="45.3"/>
    <n v="45.9"/>
    <n v="0.6"/>
    <x v="1"/>
    <m/>
    <m/>
    <s v="Estadual"/>
    <m/>
    <s v="GO-020"/>
    <s v="PAV"/>
    <s v="Estadual"/>
    <s v="PLA"/>
    <s v="Goiânia"/>
  </r>
  <r>
    <x v="0"/>
    <s v="352BGO0027"/>
    <n v="0"/>
    <x v="294"/>
    <s v="0027"/>
    <n v="-48.962276380050803"/>
    <n v="-16.978342700155402"/>
    <n v="-48.949415230328498"/>
    <n v="-17.034447620061499"/>
    <s v="352"/>
    <s v="GO"/>
    <s v="Eixo Principal"/>
    <s v="-"/>
    <s v="352BGO0027"/>
    <s v="ENTR GO-219(B) (BELA VISTA DE GOIÁS)"/>
    <s v="ENTR GO-147(B)"/>
    <n v="45.9"/>
    <n v="52.6"/>
    <n v="6.7"/>
    <x v="1"/>
    <m/>
    <m/>
    <s v="Estadual"/>
    <m/>
    <s v="GO-020"/>
    <s v="PAV"/>
    <s v="Estadual"/>
    <s v="PLA"/>
    <s v="Goiânia"/>
  </r>
  <r>
    <x v="0"/>
    <s v="352BGO0030"/>
    <n v="0"/>
    <x v="294"/>
    <s v="0030"/>
    <n v="-48.949415230328498"/>
    <n v="-17.034447620061499"/>
    <n v="-48.8138734198224"/>
    <n v="-17.145026849609302"/>
    <s v="352"/>
    <s v="GO"/>
    <s v="Eixo Principal"/>
    <s v="-"/>
    <s v="352BGO0030"/>
    <s v="ENTR GO-147(B)"/>
    <s v="ENTR GO-450"/>
    <n v="52.6"/>
    <n v="71.400000000000006"/>
    <n v="18.8"/>
    <x v="1"/>
    <m/>
    <m/>
    <s v="Estadual"/>
    <m/>
    <s v="GO-020"/>
    <s v="PAV"/>
    <s v="Estadual"/>
    <s v="PLA"/>
    <s v="Goiânia"/>
  </r>
  <r>
    <x v="0"/>
    <s v="352BGO0040"/>
    <n v="0"/>
    <x v="294"/>
    <s v="0040"/>
    <n v="-48.8138734198224"/>
    <n v="-17.145026849609302"/>
    <n v="-48.716673530259101"/>
    <n v="-17.191017830108699"/>
    <s v="352"/>
    <s v="GO"/>
    <s v="Eixo Principal"/>
    <s v="-"/>
    <s v="352BGO0040"/>
    <s v="ENTR GO-450"/>
    <s v="CRISTIANÓPOLIS"/>
    <n v="71.400000000000006"/>
    <n v="85.9"/>
    <n v="14.5"/>
    <x v="1"/>
    <m/>
    <m/>
    <s v="Estadual"/>
    <m/>
    <s v="GO-020"/>
    <s v="PAV"/>
    <s v="Estadual"/>
    <s v="PLA"/>
    <s v="Goiânia"/>
  </r>
  <r>
    <x v="0"/>
    <s v="352BGO0045"/>
    <n v="0"/>
    <x v="294"/>
    <s v="0045"/>
    <n v="-48.716673530259101"/>
    <n v="-17.191017830108699"/>
    <n v="-48.7081119403137"/>
    <n v="-17.208274449606101"/>
    <s v="352"/>
    <s v="GO"/>
    <s v="Eixo Principal"/>
    <s v="-"/>
    <s v="352BGO0045"/>
    <s v="CRISTIANÓPOLIS"/>
    <s v="ENTR GO-139(A)"/>
    <n v="85.9"/>
    <n v="86.9"/>
    <n v="1"/>
    <x v="1"/>
    <m/>
    <m/>
    <s v="Estadual"/>
    <m/>
    <s v="GO-020"/>
    <s v="PAV"/>
    <s v="Estadual"/>
    <s v="PLA"/>
    <s v="Goiânia"/>
  </r>
  <r>
    <x v="0"/>
    <s v="352BGO0047"/>
    <n v="0"/>
    <x v="294"/>
    <s v="0047"/>
    <n v="-48.7081119403137"/>
    <n v="-17.208274449606101"/>
    <n v="-48.711664050155697"/>
    <n v="-17.2310773698247"/>
    <s v="352"/>
    <s v="GO"/>
    <s v="Eixo Principal"/>
    <s v="-"/>
    <s v="352BGO0047"/>
    <s v="ENTR GO-139(A)"/>
    <s v="ENTR GO-139(B)"/>
    <n v="86.9"/>
    <n v="89.6"/>
    <n v="2.7"/>
    <x v="1"/>
    <m/>
    <m/>
    <s v="Estadual"/>
    <m/>
    <s v="GO-020"/>
    <s v="PAV"/>
    <s v="Estadual"/>
    <s v="PLA"/>
    <s v="Goiânia"/>
  </r>
  <r>
    <x v="0"/>
    <s v="352BGO0050"/>
    <n v="0"/>
    <x v="294"/>
    <s v="0050"/>
    <n v="-48.711664050155697"/>
    <n v="-17.2310773698247"/>
    <n v="-48.5866538700799"/>
    <n v="-17.262303080422701"/>
    <s v="352"/>
    <s v="GO"/>
    <s v="Eixo Principal"/>
    <s v="-"/>
    <s v="352BGO0050"/>
    <s v="ENTR GO-139(B)"/>
    <s v="ENTR GO-552 (P/SANTO ANTÔNIO DA ESPERANÇA)"/>
    <n v="89.6"/>
    <n v="103.9"/>
    <n v="14.3"/>
    <x v="1"/>
    <m/>
    <m/>
    <s v="Estadual"/>
    <m/>
    <s v="GO-020"/>
    <s v="PAV"/>
    <s v="Estadual"/>
    <s v="PLA"/>
    <s v="Goiânia"/>
  </r>
  <r>
    <x v="0"/>
    <s v="352BGO0053"/>
    <n v="0"/>
    <x v="294"/>
    <s v="0053"/>
    <n v="-48.5866538700799"/>
    <n v="-17.262303080422701"/>
    <n v="-48.484807990196501"/>
    <n v="-17.317439130111701"/>
    <s v="352"/>
    <s v="GO"/>
    <s v="Eixo Principal"/>
    <s v="-"/>
    <s v="352BGO0053"/>
    <s v="ENTR GO-552 (P/SANTO ANTÔNIO DA ESPERANÇA)"/>
    <s v="SANTA CRUZ DE GOIÁS"/>
    <n v="103.9"/>
    <n v="118.8"/>
    <n v="14.9"/>
    <x v="1"/>
    <m/>
    <m/>
    <s v="Estadual"/>
    <m/>
    <s v="GO-020"/>
    <s v="PAV"/>
    <s v="Estadual"/>
    <s v="PLA"/>
    <s v="Goiânia"/>
  </r>
  <r>
    <x v="0"/>
    <s v="352BGO0055"/>
    <n v="0"/>
    <x v="294"/>
    <s v="0055"/>
    <n v="-48.484807990196501"/>
    <n v="-17.317439130111701"/>
    <n v="-48.432228669917102"/>
    <n v="-17.329570489886098"/>
    <s v="352"/>
    <s v="GO"/>
    <s v="Eixo Principal"/>
    <s v="-"/>
    <s v="352BGO0055"/>
    <s v="SANTA CRUZ DE GOIÁS"/>
    <s v="PALMELO"/>
    <n v="118.8"/>
    <n v="125.1"/>
    <n v="6.3"/>
    <x v="1"/>
    <m/>
    <m/>
    <s v="Estadual"/>
    <m/>
    <s v="GO-020"/>
    <s v="PAV"/>
    <s v="Estadual"/>
    <s v="PLA"/>
    <s v="Goiânia"/>
  </r>
  <r>
    <x v="0"/>
    <s v="352BGO0060"/>
    <n v="0"/>
    <x v="294"/>
    <s v="0060"/>
    <n v="-48.432228669917102"/>
    <n v="-17.329570489886098"/>
    <n v="-48.293328469833"/>
    <n v="-17.3006948498873"/>
    <s v="352"/>
    <s v="GO"/>
    <s v="Eixo Principal"/>
    <s v="-"/>
    <s v="352BGO0060"/>
    <s v="PALMELO"/>
    <s v="ENTR GO-330(A)/309 (PIRES DO RIO)"/>
    <n v="125.1"/>
    <n v="139.30000000000001"/>
    <n v="14.2"/>
    <x v="1"/>
    <m/>
    <m/>
    <s v="Estadual"/>
    <m/>
    <s v="GO-020"/>
    <s v="PAV"/>
    <s v="Estadual"/>
    <s v="PLA"/>
    <s v="Goiânia"/>
  </r>
  <r>
    <x v="0"/>
    <s v="352BGO0065"/>
    <n v="0"/>
    <x v="294"/>
    <s v="0065"/>
    <n v="-48.293328469833"/>
    <n v="-17.3006948498873"/>
    <n v="-48.246018389836699"/>
    <n v="-17.372831689830502"/>
    <s v="352"/>
    <s v="GO"/>
    <s v="Eixo Principal"/>
    <s v="-"/>
    <s v="352BGO0065"/>
    <s v="ENTR GO-330(A)/309 (PIRES DO RIO)"/>
    <s v="ENTR GO-020(B)"/>
    <n v="139.30000000000001"/>
    <n v="150.80000000000001"/>
    <n v="11.5"/>
    <x v="1"/>
    <m/>
    <m/>
    <s v="Estadual"/>
    <m/>
    <s v="GO-020"/>
    <s v="PAV"/>
    <s v="Estadual"/>
    <s v="PLA"/>
    <s v="Goiânia"/>
  </r>
  <r>
    <x v="0"/>
    <s v="352BGO0070"/>
    <n v="0"/>
    <x v="294"/>
    <s v="0070"/>
    <n v="-48.246018389836699"/>
    <n v="-17.372831689830502"/>
    <n v="-48.206251830357601"/>
    <n v="-17.466899520396499"/>
    <s v="352"/>
    <s v="GO"/>
    <s v="Eixo Principal"/>
    <s v="-"/>
    <s v="352BGO0070"/>
    <s v="ENTR GO-020(B)"/>
    <s v="URUTAÍ"/>
    <n v="150.80000000000001"/>
    <n v="162.9"/>
    <n v="12.1"/>
    <x v="1"/>
    <m/>
    <m/>
    <s v="Estadual"/>
    <m/>
    <s v="GO-330"/>
    <s v="PAV"/>
    <s v="Estadual"/>
    <s v="PLA"/>
    <s v="Goiânia"/>
  </r>
  <r>
    <x v="0"/>
    <s v="352BGO0080"/>
    <n v="0"/>
    <x v="294"/>
    <s v="0080"/>
    <n v="-48.206251830357601"/>
    <n v="-17.466899520396499"/>
    <n v="-48.151803219742703"/>
    <n v="-17.730850069674901"/>
    <s v="352"/>
    <s v="GO"/>
    <s v="Eixo Principal"/>
    <s v="-"/>
    <s v="352BGO0080"/>
    <s v="URUTAÍ"/>
    <s v="ENTR BR-490/GO-213/307 (IPAMERI)"/>
    <n v="162.9"/>
    <n v="197.1"/>
    <n v="34.200000000000003"/>
    <x v="1"/>
    <m/>
    <m/>
    <s v="Estadual"/>
    <m/>
    <s v="GO-330"/>
    <s v="PAV"/>
    <s v="Estadual"/>
    <s v="PLA"/>
    <s v="Goiânia"/>
  </r>
  <r>
    <x v="0"/>
    <s v="352BGO0085"/>
    <n v="0"/>
    <x v="294"/>
    <s v="0085"/>
    <n v="-48.151803219742703"/>
    <n v="-17.730850069674901"/>
    <n v="-47.992172310103903"/>
    <n v="-18.0338560098469"/>
    <s v="352"/>
    <s v="GO"/>
    <s v="Eixo Principal"/>
    <s v="-"/>
    <s v="352BGO0085"/>
    <s v="ENTR BR-490/GO-213/307 (IPAMERI)"/>
    <s v="ENTR GO-305 (P/GOIANDIRA)"/>
    <n v="197.1"/>
    <n v="239.4"/>
    <n v="42.3"/>
    <x v="1"/>
    <m/>
    <m/>
    <s v="Estadual"/>
    <m/>
    <s v="GO-330"/>
    <s v="PAV"/>
    <s v="Estadual"/>
    <s v="PLA"/>
    <s v="Goiânia"/>
  </r>
  <r>
    <x v="0"/>
    <s v="352BGO0090"/>
    <n v="0"/>
    <x v="294"/>
    <s v="0090"/>
    <n v="-47.992172310103903"/>
    <n v="-18.0338560098469"/>
    <n v="-47.941166569581398"/>
    <n v="-18.181630540017299"/>
    <s v="352"/>
    <s v="GO"/>
    <s v="Eixo Principal"/>
    <s v="-"/>
    <s v="352BGO0090"/>
    <s v="ENTR GO-305 (P/GOIANDIRA)"/>
    <s v="ENTR BR-050(A)/GO-210/330(B) (CATALÃO)"/>
    <n v="239.4"/>
    <n v="254.6"/>
    <n v="15.2"/>
    <x v="1"/>
    <m/>
    <m/>
    <s v="Estadual"/>
    <m/>
    <s v="GO-330"/>
    <s v="PAV"/>
    <s v="Estadual"/>
    <s v="PLA"/>
    <s v="Goiânia"/>
  </r>
  <r>
    <x v="0"/>
    <s v="352BGO0095"/>
    <n v="0"/>
    <x v="294"/>
    <s v="0095"/>
    <n v="-47.941166569581398"/>
    <n v="-18.181630540017299"/>
    <n v="-47.889623129803503"/>
    <n v="-18.110937899764199"/>
    <s v="352"/>
    <s v="GO"/>
    <s v="Eixo Principal"/>
    <s v="Coinc"/>
    <s v="352BGO0095"/>
    <s v="ENTR BR-050(A)/GO-210/330(B) (CATALÃO)"/>
    <s v="ENTR GO-504"/>
    <n v="254.6"/>
    <n v="265"/>
    <n v="10.4"/>
    <x v="2"/>
    <m/>
    <s v="050BGO0150"/>
    <s v="Concessão Federal"/>
    <m/>
    <m/>
    <m/>
    <s v="Federal"/>
    <s v="PAV"/>
    <s v="Goiânia"/>
  </r>
  <r>
    <x v="0"/>
    <s v="352BGO0100"/>
    <n v="0"/>
    <x v="294"/>
    <s v="0100"/>
    <n v="-47.889623129803503"/>
    <n v="-18.110937899764199"/>
    <n v="-47.8643947398253"/>
    <n v="-18.0711530399807"/>
    <s v="352"/>
    <s v="GO"/>
    <s v="Eixo Principal"/>
    <s v="Coinc"/>
    <s v="352BGO0100"/>
    <s v="ENTR GO-504"/>
    <s v="ENTR BR-050(B)"/>
    <n v="265"/>
    <n v="270"/>
    <n v="5"/>
    <x v="2"/>
    <m/>
    <s v="050BGO0140"/>
    <s v="Concessão Federal"/>
    <m/>
    <m/>
    <m/>
    <s v="Federal"/>
    <s v="PAV"/>
    <s v="Goiânia"/>
  </r>
  <r>
    <x v="0"/>
    <s v="352BGO0105"/>
    <n v="0"/>
    <x v="294"/>
    <s v="0105"/>
    <n v="-47.8643947398253"/>
    <n v="-18.0711530399807"/>
    <n v="-47.565352670389302"/>
    <n v="-18.1507022199314"/>
    <s v="352"/>
    <s v="GO"/>
    <s v="Eixo Principal"/>
    <s v="-"/>
    <s v="352BGO0105"/>
    <s v="ENTR BR-050(B)"/>
    <s v="DAVINÓPOLIS"/>
    <n v="270"/>
    <n v="307.3"/>
    <n v="37.299999999999997"/>
    <x v="1"/>
    <m/>
    <m/>
    <s v="Estadual"/>
    <m/>
    <s v="GO-210"/>
    <s v="PAV"/>
    <s v="Estadual"/>
    <s v="PLA"/>
    <s v="Goiânia"/>
  </r>
  <r>
    <x v="0"/>
    <s v="352BGO0110"/>
    <n v="0"/>
    <x v="294"/>
    <s v="0110"/>
    <n v="-47.565352670389302"/>
    <n v="-18.1507022199314"/>
    <n v="-47.569040059850799"/>
    <n v="-18.213924789997002"/>
    <s v="352"/>
    <s v="GO"/>
    <s v="Eixo Principal"/>
    <s v="-"/>
    <s v="352BGO0110"/>
    <s v="DAVINÓPOLIS"/>
    <s v="DIV GO/MG"/>
    <n v="307.3"/>
    <n v="314.60000000000002"/>
    <n v="7.3"/>
    <x v="1"/>
    <m/>
    <m/>
    <s v="Estadual"/>
    <m/>
    <s v="GO-210"/>
    <s v="IMP"/>
    <s v="Estadual"/>
    <s v="PLA"/>
    <s v="Goiânia"/>
  </r>
  <r>
    <x v="0"/>
    <s v="352BMG0130"/>
    <n v="0"/>
    <x v="295"/>
    <s v="0130"/>
    <n v="-47.569040059850799"/>
    <n v="-18.213924789997002"/>
    <n v="-47.401232610396598"/>
    <n v="-18.4684513201722"/>
    <s v="352"/>
    <s v="MG"/>
    <s v="Eixo Principal"/>
    <s v="-"/>
    <s v="352BMG0130"/>
    <s v="DIV GO/MG (PONTE SOBRE O RIO PARANAÍBA)"/>
    <s v="ENTR MG-190 (ABADIA DOS DOURADOS)"/>
    <n v="0"/>
    <n v="39.700000000000003"/>
    <n v="39.700000000000003"/>
    <x v="2"/>
    <m/>
    <m/>
    <s v="Federal"/>
    <m/>
    <m/>
    <m/>
    <s v="Federal"/>
    <s v="PAV"/>
    <s v="Patos de Minas"/>
  </r>
  <r>
    <x v="0"/>
    <s v="352BMG0160"/>
    <n v="0"/>
    <x v="295"/>
    <s v="0160"/>
    <n v="-47.401232610396598"/>
    <n v="-18.4684513201722"/>
    <n v="-47.231569450369797"/>
    <n v="-18.481619820398301"/>
    <s v="352"/>
    <s v="MG"/>
    <s v="Eixo Principal"/>
    <s v="-"/>
    <s v="352BMG0160"/>
    <s v="ENTR MG-190 (ABADIA DOS DOURADOS)"/>
    <s v="ENTR MG-188(A) (COROMANDEL)"/>
    <n v="39.700000000000003"/>
    <n v="63.7"/>
    <n v="24"/>
    <x v="2"/>
    <m/>
    <m/>
    <s v="Federal"/>
    <m/>
    <m/>
    <m/>
    <s v="Federal"/>
    <s v="PAV"/>
    <s v="Patos de Minas"/>
  </r>
  <r>
    <x v="0"/>
    <s v="352BMG0170"/>
    <n v="0"/>
    <x v="295"/>
    <s v="0170"/>
    <n v="-47.231569450369797"/>
    <n v="-18.481619820398301"/>
    <n v="-47.202358390227403"/>
    <n v="-18.427077870047601"/>
    <s v="352"/>
    <s v="MG"/>
    <s v="Eixo Principal"/>
    <s v="-"/>
    <s v="352BMG0170"/>
    <s v="ENTR MG-188(A) (COROMANDEL)"/>
    <s v="ENTR MG-188(B)"/>
    <n v="63.7"/>
    <n v="66.7"/>
    <n v="3"/>
    <x v="2"/>
    <m/>
    <m/>
    <s v="Federal"/>
    <m/>
    <m/>
    <m/>
    <s v="Federal"/>
    <s v="PAV"/>
    <s v="Patos de Minas"/>
  </r>
  <r>
    <x v="0"/>
    <s v="352BMG0173"/>
    <n v="0"/>
    <x v="295"/>
    <s v="0173"/>
    <n v="-47.202358390227403"/>
    <n v="-18.427077870047601"/>
    <n v="-46.888691829864001"/>
    <n v="-18.381957790319699"/>
    <s v="352"/>
    <s v="MG"/>
    <s v="Eixo Principal"/>
    <s v="-"/>
    <s v="352BMG0173"/>
    <s v="ENTR MG-188(B)"/>
    <s v="ACESSO LAGAMAR (ROCINHA)"/>
    <n v="66.7"/>
    <n v="107.9"/>
    <n v="41.2"/>
    <x v="5"/>
    <m/>
    <m/>
    <s v="Federal"/>
    <m/>
    <m/>
    <m/>
    <s v="Federal"/>
    <s v="N_PAV"/>
    <s v="Patos de Minas"/>
  </r>
  <r>
    <x v="0"/>
    <s v="352BMG0180"/>
    <n v="0"/>
    <x v="295"/>
    <s v="0180"/>
    <n v="-46.888691829864001"/>
    <n v="-18.381957790319699"/>
    <n v="-46.588334930012898"/>
    <n v="-18.6916481799195"/>
    <s v="352"/>
    <s v="MG"/>
    <s v="Eixo Principal"/>
    <s v="-"/>
    <s v="352BMG0180"/>
    <s v="ACESSO LAGAMAR (ROCINHA)"/>
    <s v="ENTR BR-146(A)/365(A)"/>
    <n v="107.9"/>
    <n v="165"/>
    <n v="57.1"/>
    <x v="5"/>
    <m/>
    <m/>
    <s v="Federal"/>
    <m/>
    <m/>
    <m/>
    <s v="Federal"/>
    <s v="N_PAV"/>
    <s v="Patos de Minas"/>
  </r>
  <r>
    <x v="0"/>
    <s v="352BMG0190"/>
    <n v="0"/>
    <x v="295"/>
    <s v="0190"/>
    <n v="-46.588334930012898"/>
    <n v="-18.6916481799195"/>
    <n v="-46.487401309822502"/>
    <n v="-18.638191060169198"/>
    <s v="352"/>
    <s v="MG"/>
    <s v="Eixo Principal"/>
    <s v="Coinc"/>
    <s v="352BMG0190"/>
    <s v="ENTR BR-146(A)/365(A)"/>
    <s v="ENTR BR-146(B)/354(A)/365(B) (P/ PATOS DE MINAS)"/>
    <n v="165"/>
    <n v="177.7"/>
    <n v="12.7"/>
    <x v="2"/>
    <m/>
    <s v="146BMG0030;365BMG0170"/>
    <s v="Federal"/>
    <m/>
    <m/>
    <m/>
    <s v="Federal"/>
    <s v="PAV"/>
    <s v="Patos de Minas"/>
  </r>
  <r>
    <x v="0"/>
    <s v="352BMG0210"/>
    <n v="0"/>
    <x v="295"/>
    <s v="0210"/>
    <n v="-46.487401309822502"/>
    <n v="-18.638191060169198"/>
    <n v="-46.477131419879001"/>
    <n v="-18.6644149304046"/>
    <s v="352"/>
    <s v="MG"/>
    <s v="Eixo Principal"/>
    <s v="-"/>
    <s v="352BMG0210"/>
    <s v="ENTR BR-146(B)/354(A)/365(B) (P/ PATOS DE MINAS)"/>
    <s v="ACESSO AEROPORTO"/>
    <n v="177.7"/>
    <n v="180.9"/>
    <n v="3.2"/>
    <x v="0"/>
    <m/>
    <s v="354BMG0130"/>
    <s v="Federal"/>
    <m/>
    <m/>
    <m/>
    <s v="Federal"/>
    <s v="PAV"/>
    <s v="Patos de Minas"/>
  </r>
  <r>
    <x v="0"/>
    <s v="352BMG0212"/>
    <n v="0"/>
    <x v="295"/>
    <s v="0212"/>
    <n v="-46.419175619659001"/>
    <n v="-18.771377549834"/>
    <n v="-46.477131419879001"/>
    <n v="-18.6644149304046"/>
    <s v="352"/>
    <s v="MG"/>
    <s v="Eixo Principal"/>
    <s v="-"/>
    <s v="352BMG0212"/>
    <s v="ACESSO AEROPORTO"/>
    <s v="ACESSO LAGOA FORMOSA"/>
    <n v="180.9"/>
    <n v="195.2"/>
    <n v="14.3"/>
    <x v="2"/>
    <m/>
    <s v="354BMG0132"/>
    <s v="Federal"/>
    <m/>
    <m/>
    <m/>
    <s v="Federal"/>
    <s v="PAV"/>
    <s v="Patos de Minas"/>
  </r>
  <r>
    <x v="0"/>
    <s v="352BMG0215"/>
    <n v="0"/>
    <x v="295"/>
    <s v="0215"/>
    <n v="-46.419175619659001"/>
    <n v="-18.771377549834"/>
    <n v="-46.268024020092398"/>
    <n v="-18.991722310436199"/>
    <s v="352"/>
    <s v="MG"/>
    <s v="Eixo Principal"/>
    <s v="-"/>
    <s v="352BMG0215"/>
    <s v="ACESSO LAGOA FORMOSA"/>
    <s v="ACESSO CARMO DO PARANAIBA"/>
    <n v="195.2"/>
    <n v="228"/>
    <n v="32.799999999999997"/>
    <x v="2"/>
    <m/>
    <s v="354BMG0135"/>
    <s v="Federal"/>
    <m/>
    <m/>
    <m/>
    <s v="Federal"/>
    <s v="PAV"/>
    <s v="Patos de Minas"/>
  </r>
  <r>
    <x v="0"/>
    <s v="352BMG0220"/>
    <n v="0"/>
    <x v="295"/>
    <s v="0220"/>
    <n v="-46.268024020092398"/>
    <n v="-18.991722310436199"/>
    <n v="-46.203510920192699"/>
    <n v="-19.076219689786701"/>
    <s v="352"/>
    <s v="MG"/>
    <s v="Eixo Principal"/>
    <s v="-"/>
    <s v="352BMG0220"/>
    <s v="ACESSO CARMO DO PARANAIBA"/>
    <s v="ENTR MG-230"/>
    <n v="228"/>
    <n v="239.9"/>
    <n v="11.9"/>
    <x v="2"/>
    <m/>
    <s v="354BMG0140"/>
    <s v="Federal"/>
    <m/>
    <m/>
    <m/>
    <s v="Federal"/>
    <s v="PAV"/>
    <s v="Patos de Minas"/>
  </r>
  <r>
    <x v="0"/>
    <s v="352BMG0225"/>
    <n v="0"/>
    <x v="295"/>
    <s v="0225"/>
    <n v="-46.203510920192699"/>
    <n v="-19.076219689786701"/>
    <n v="-46.1685911300765"/>
    <n v="-19.088298539945601"/>
    <s v="352"/>
    <s v="MG"/>
    <s v="Eixo Principal"/>
    <s v="-"/>
    <s v="352BMG0225"/>
    <s v="ENTR MG-230"/>
    <s v="ENTR BR-354(B)"/>
    <n v="239.9"/>
    <n v="243.8"/>
    <n v="3.9"/>
    <x v="2"/>
    <m/>
    <m/>
    <s v="Federal"/>
    <m/>
    <m/>
    <m/>
    <s v="Federal"/>
    <s v="PAV"/>
    <s v="Patos de Minas"/>
  </r>
  <r>
    <x v="0"/>
    <s v="352BMG0230"/>
    <n v="0"/>
    <x v="295"/>
    <s v="0230"/>
    <n v="-46.1685911300765"/>
    <n v="-19.088298539945601"/>
    <n v="-46.131549590141397"/>
    <n v="-19.084440190262502"/>
    <s v="352"/>
    <s v="MG"/>
    <s v="Eixo Principal"/>
    <s v="-"/>
    <s v="352BMG0230"/>
    <s v="ENTR BR-354(B)"/>
    <s v="ARAPUÁ"/>
    <n v="243.8"/>
    <n v="249.1"/>
    <n v="5.3"/>
    <x v="1"/>
    <m/>
    <m/>
    <s v="Estadual"/>
    <m/>
    <s v="MG-419"/>
    <s v="PAV"/>
    <s v="Estadual"/>
    <s v="PLA"/>
    <s v="Patos de Minas"/>
  </r>
  <r>
    <x v="0"/>
    <s v="352BMG0250"/>
    <n v="0"/>
    <x v="295"/>
    <s v="0250"/>
    <n v="-46.131549590141397"/>
    <n v="-19.084440190262502"/>
    <n v="-45.9620920996705"/>
    <n v="-19.0044537203628"/>
    <s v="352"/>
    <s v="MG"/>
    <s v="Eixo Principal"/>
    <s v="-"/>
    <s v="352BMG0250"/>
    <s v="ARAPUÁ"/>
    <s v="TIROS"/>
    <n v="249.1"/>
    <n v="276.3"/>
    <n v="27.2"/>
    <x v="1"/>
    <m/>
    <m/>
    <s v="Estadual"/>
    <m/>
    <s v="MGT-352"/>
    <s v="IMP"/>
    <s v="Estadual"/>
    <s v="PLA"/>
    <s v="Patos de Minas"/>
  </r>
  <r>
    <x v="0"/>
    <s v="352BMG0255"/>
    <n v="0"/>
    <x v="295"/>
    <s v="0255"/>
    <n v="-45.9620920996705"/>
    <n v="-19.0044537203628"/>
    <n v="-45.717641040401602"/>
    <n v="-19.150728309963402"/>
    <s v="352"/>
    <s v="MG"/>
    <s v="Eixo Principal"/>
    <s v="-"/>
    <s v="352BMG0255"/>
    <s v="TIROS"/>
    <s v="CEDRO DO ABAETÉ"/>
    <n v="276.3"/>
    <n v="313.5"/>
    <n v="37.200000000000003"/>
    <x v="1"/>
    <m/>
    <m/>
    <s v="Federal"/>
    <m/>
    <m/>
    <m/>
    <s v="Federal"/>
    <s v="PLA"/>
    <s v="Bom Despacho"/>
  </r>
  <r>
    <x v="0"/>
    <s v="352BMG0260"/>
    <n v="0"/>
    <x v="295"/>
    <s v="0260"/>
    <n v="-45.717641040401602"/>
    <n v="-19.150728309963402"/>
    <n v="-45.410099790373003"/>
    <n v="-19.174377479636899"/>
    <s v="352"/>
    <s v="MG"/>
    <s v="Eixo Principal"/>
    <s v="-"/>
    <s v="352BMG0260"/>
    <s v="CEDRO DO ABAETÉ"/>
    <s v="ENTR MG-176 (ABAETÉ)"/>
    <n v="313.5"/>
    <n v="352.6"/>
    <n v="39.1"/>
    <x v="1"/>
    <m/>
    <m/>
    <s v="Estadual"/>
    <m/>
    <s v="MGT-352"/>
    <s v="PAV"/>
    <s v="Estadual"/>
    <s v="PLA"/>
    <s v="Bom Despacho"/>
  </r>
  <r>
    <x v="0"/>
    <s v="352BMG0270"/>
    <n v="0"/>
    <x v="295"/>
    <s v="0270"/>
    <n v="-45.410099790373003"/>
    <n v="-19.174377479636899"/>
    <n v="-45.371994169894997"/>
    <n v="-19.194252469875501"/>
    <s v="352"/>
    <s v="MG"/>
    <s v="Eixo Principal"/>
    <s v="-"/>
    <s v="352BMG0270"/>
    <s v="ENTR MG-176 (ABAETÉ)"/>
    <s v="ENTR MG-060"/>
    <n v="352.6"/>
    <n v="359.7"/>
    <n v="7.1"/>
    <x v="2"/>
    <m/>
    <m/>
    <s v="Federal"/>
    <m/>
    <m/>
    <m/>
    <s v="Federal"/>
    <s v="PAV"/>
    <s v="Bom Despacho"/>
  </r>
  <r>
    <x v="0"/>
    <s v="352BMG0290"/>
    <n v="0"/>
    <x v="295"/>
    <s v="0290"/>
    <n v="-45.371994169894997"/>
    <n v="-19.194252469875501"/>
    <n v="-45.235070060035099"/>
    <n v="-19.319704080378902"/>
    <s v="352"/>
    <s v="MG"/>
    <s v="Eixo Principal"/>
    <s v="-"/>
    <s v="352BMG0290"/>
    <s v="ENTR MG-060"/>
    <s v="ENTR MG-164 (MARTINHO CAMPOS)"/>
    <n v="359.7"/>
    <n v="380"/>
    <n v="20.3"/>
    <x v="2"/>
    <m/>
    <m/>
    <s v="Federal"/>
    <m/>
    <m/>
    <m/>
    <s v="Federal"/>
    <s v="PAV"/>
    <s v="Bom Despacho"/>
  </r>
  <r>
    <x v="0"/>
    <s v="352BMG0310"/>
    <n v="0"/>
    <x v="295"/>
    <s v="0310"/>
    <n v="-45.235070060035099"/>
    <n v="-19.319704080378902"/>
    <n v="-45.001915609817502"/>
    <n v="-19.508762030443201"/>
    <s v="352"/>
    <s v="MG"/>
    <s v="Eixo Principal"/>
    <s v="-"/>
    <s v="352BMG0310"/>
    <s v="ENTR MG-164 (MARTINHO CAMPOS)"/>
    <s v="PONTE S/ RIO PARÁ"/>
    <n v="380"/>
    <n v="413.5"/>
    <n v="33.5"/>
    <x v="2"/>
    <m/>
    <m/>
    <s v="Federal"/>
    <m/>
    <m/>
    <m/>
    <s v="Federal"/>
    <s v="PAV"/>
    <s v="Bom Despacho"/>
  </r>
  <r>
    <x v="0"/>
    <s v="352BMG0315"/>
    <n v="0"/>
    <x v="295"/>
    <s v="0315"/>
    <n v="-45.001915609817502"/>
    <n v="-19.508762030443201"/>
    <n v="-44.939527240090001"/>
    <n v="-19.6422496895714"/>
    <s v="352"/>
    <s v="MG"/>
    <s v="Eixo Principal"/>
    <s v="-"/>
    <s v="352BMG0315"/>
    <s v="PONTE S/ RIO PARÁ"/>
    <s v="ENTR MG-423(A) (PITANGUI)"/>
    <n v="413.5"/>
    <n v="430.7"/>
    <n v="17.2"/>
    <x v="2"/>
    <m/>
    <m/>
    <s v="Federal"/>
    <m/>
    <m/>
    <m/>
    <s v="Federal"/>
    <s v="PAV"/>
    <s v="Bom Despacho"/>
  </r>
  <r>
    <x v="0"/>
    <s v="352BMG0330"/>
    <n v="0"/>
    <x v="295"/>
    <s v="0330"/>
    <n v="-44.939527240090001"/>
    <n v="-19.6422496895714"/>
    <n v="-44.8567007102695"/>
    <n v="-19.723116450064001"/>
    <s v="352"/>
    <s v="MG"/>
    <s v="Eixo Principal"/>
    <s v="-"/>
    <s v="352BMG0330"/>
    <s v="ENTR MG-423(A) (PITANGUI)"/>
    <s v="ENTR MG-423(B)"/>
    <n v="430.7"/>
    <n v="438.1"/>
    <n v="7.4"/>
    <x v="2"/>
    <m/>
    <m/>
    <s v="Federal"/>
    <m/>
    <m/>
    <m/>
    <s v="Federal"/>
    <s v="PAV"/>
    <s v="Bom Despacho"/>
  </r>
  <r>
    <x v="0"/>
    <s v="352BMG0331"/>
    <n v="0"/>
    <x v="295"/>
    <s v="0331"/>
    <n v="-44.8567007102695"/>
    <n v="-19.723116450064001"/>
    <n v="-44.605066739738199"/>
    <n v="-19.8840599795843"/>
    <s v="352"/>
    <s v="MG"/>
    <s v="Eixo Principal"/>
    <s v="-"/>
    <s v="352BMG0331"/>
    <s v="ENTR MG-423(B)"/>
    <s v="ENTR BR-262 (PARÁ DE MINAS)"/>
    <n v="438.1"/>
    <n v="484.6"/>
    <n v="46.5"/>
    <x v="2"/>
    <m/>
    <m/>
    <s v="Federal"/>
    <m/>
    <m/>
    <m/>
    <s v="Federal"/>
    <s v="PAV"/>
    <s v="Bom Despacho"/>
  </r>
  <r>
    <x v="0"/>
    <s v="354BGO0010"/>
    <n v="0"/>
    <x v="296"/>
    <s v="0010"/>
    <n v="-47.604500769694702"/>
    <n v="-16.7542418301962"/>
    <n v="-47.3515739904472"/>
    <n v="-17.7849290796132"/>
    <s v="354"/>
    <s v="GO"/>
    <s v="Eixo Principal"/>
    <s v="-"/>
    <s v="354BGO0010"/>
    <s v="ENTR BR-040/050/457 (CRISTALINA)"/>
    <s v="DIV GO/MG"/>
    <n v="0"/>
    <n v="62"/>
    <n v="62"/>
    <x v="1"/>
    <m/>
    <m/>
    <s v="Federal"/>
    <m/>
    <m/>
    <m/>
    <s v="Federal"/>
    <s v="PLA"/>
    <s v="Goiânia"/>
  </r>
  <r>
    <x v="0"/>
    <s v="354BMG0030"/>
    <n v="0"/>
    <x v="297"/>
    <s v="0030"/>
    <n v="-47.3515739904472"/>
    <n v="-17.7849290796132"/>
    <n v="-47.095640759613303"/>
    <n v="-17.736456570114498"/>
    <s v="354"/>
    <s v="MG"/>
    <s v="Eixo Principal"/>
    <s v="-"/>
    <s v="354BMG0030"/>
    <s v="DIV GO/MG"/>
    <s v="ENTR MG-188(A) (GUARDA MOR)"/>
    <n v="0"/>
    <n v="80"/>
    <n v="80"/>
    <x v="1"/>
    <m/>
    <m/>
    <s v="Federal"/>
    <m/>
    <m/>
    <m/>
    <s v="Federal"/>
    <s v="PLA"/>
    <s v="Patos de Minas"/>
  </r>
  <r>
    <x v="0"/>
    <s v="354BMG0050"/>
    <n v="0"/>
    <x v="297"/>
    <s v="0050"/>
    <n v="-47.095640759613303"/>
    <n v="-17.736456570114498"/>
    <n v="-47.061474970093698"/>
    <n v="-17.894548110207001"/>
    <s v="354"/>
    <s v="MG"/>
    <s v="Eixo Principal"/>
    <s v="-"/>
    <s v="354BMG0050"/>
    <s v="ENTR MG-188(A) (GUARDA MOR)"/>
    <s v="ENTR MG-188(B)"/>
    <n v="80"/>
    <n v="96.2"/>
    <n v="16.2"/>
    <x v="1"/>
    <m/>
    <m/>
    <s v="Estadual"/>
    <m/>
    <s v="MG-188"/>
    <s v="PAV"/>
    <s v="Estadual"/>
    <s v="PLA"/>
    <s v="Patos de Minas"/>
  </r>
  <r>
    <x v="0"/>
    <s v="354BMG0070"/>
    <n v="0"/>
    <x v="297"/>
    <s v="0070"/>
    <n v="-47.061474970093698"/>
    <n v="-17.894548110207001"/>
    <n v="-46.907636000201101"/>
    <n v="-17.986751620091098"/>
    <s v="354"/>
    <s v="MG"/>
    <s v="Eixo Principal"/>
    <s v="-"/>
    <s v="354BMG0070"/>
    <s v="ENTR MG-188(B)"/>
    <s v="ACESSO VAZANTE"/>
    <n v="96.2"/>
    <n v="117.3"/>
    <n v="21.1"/>
    <x v="1"/>
    <m/>
    <m/>
    <s v="Estadual"/>
    <m/>
    <s v="MGT-354"/>
    <s v="PAV"/>
    <s v="Estadual"/>
    <s v="PLA"/>
    <s v="Patos de Minas"/>
  </r>
  <r>
    <x v="0"/>
    <s v="354BMG0079"/>
    <n v="0"/>
    <x v="297"/>
    <s v="0079"/>
    <n v="-46.907636000201101"/>
    <n v="-17.986751620091098"/>
    <n v="-46.805346839984601"/>
    <n v="-18.1832619695641"/>
    <s v="354"/>
    <s v="MG"/>
    <s v="Eixo Principal"/>
    <s v="-"/>
    <s v="354BMG0079"/>
    <s v="ACESSO VAZANTE"/>
    <s v="ACESSO LAGAMAR"/>
    <n v="117.3"/>
    <n v="145.6"/>
    <n v="28.3"/>
    <x v="1"/>
    <m/>
    <m/>
    <s v="Estadual"/>
    <m/>
    <s v="MGT-354"/>
    <s v="PAV"/>
    <s v="Estadual"/>
    <s v="PLA"/>
    <s v="Patos de Minas"/>
  </r>
  <r>
    <x v="0"/>
    <s v="354BMG0085"/>
    <n v="0"/>
    <x v="297"/>
    <s v="0085"/>
    <n v="-46.805346839984601"/>
    <n v="-18.1832619695641"/>
    <n v="-46.5311757195837"/>
    <n v="-18.296161420313201"/>
    <s v="354"/>
    <s v="MG"/>
    <s v="Eixo Principal"/>
    <s v="-"/>
    <s v="354BMG0085"/>
    <s v="ACESSO LAGAMAR"/>
    <s v="ENTR MG-410"/>
    <n v="145.6"/>
    <n v="181.5"/>
    <n v="35.9"/>
    <x v="1"/>
    <m/>
    <m/>
    <s v="Estadual"/>
    <m/>
    <s v="MGT-354"/>
    <s v="PAV"/>
    <s v="Estadual"/>
    <s v="PLA"/>
    <s v="Patos de Minas"/>
  </r>
  <r>
    <x v="0"/>
    <s v="354BMG0090"/>
    <n v="0"/>
    <x v="297"/>
    <s v="0090"/>
    <n v="-46.5311757195837"/>
    <n v="-18.296161420313201"/>
    <n v="-46.429241150358699"/>
    <n v="-18.413715410337801"/>
    <s v="354"/>
    <s v="MG"/>
    <s v="Eixo Principal"/>
    <s v="-"/>
    <s v="354BMG0090"/>
    <s v="ENTR MG-410"/>
    <s v="PRESIDENTE OLEGÁRIO"/>
    <n v="181.5"/>
    <n v="200.5"/>
    <n v="19"/>
    <x v="1"/>
    <m/>
    <m/>
    <s v="Estadual"/>
    <m/>
    <s v="MGT-354"/>
    <s v="PAV"/>
    <s v="Estadual"/>
    <s v="PLA"/>
    <s v="Patos de Minas"/>
  </r>
  <r>
    <x v="0"/>
    <s v="354BMG0100"/>
    <n v="0"/>
    <x v="297"/>
    <s v="0100"/>
    <n v="-46.429241150358699"/>
    <n v="-18.413715410337801"/>
    <n v="-46.470292289757303"/>
    <n v="-18.633050160336602"/>
    <s v="354"/>
    <s v="MG"/>
    <s v="Eixo Principal"/>
    <s v="-"/>
    <s v="354BMG0100"/>
    <s v="PRESIDENTE OLEGÁRIO"/>
    <s v="ENTR BR-365(A)"/>
    <n v="200.5"/>
    <n v="228.5"/>
    <n v="28"/>
    <x v="1"/>
    <m/>
    <m/>
    <s v="Estadual"/>
    <m/>
    <s v="MGT-354"/>
    <s v="PAV"/>
    <s v="Estadual"/>
    <s v="PLA"/>
    <s v="Patos de Minas"/>
  </r>
  <r>
    <x v="0"/>
    <s v="354BMG0110"/>
    <n v="0"/>
    <x v="297"/>
    <s v="0110"/>
    <n v="-46.470292289757303"/>
    <n v="-18.633050160336602"/>
    <n v="-46.487401309822502"/>
    <n v="-18.638191060169198"/>
    <s v="354"/>
    <s v="MG"/>
    <s v="Eixo Principal"/>
    <s v="-"/>
    <s v="354BMG0110"/>
    <s v="ENTR BR-365(A)"/>
    <s v="ENTR BR-146/352(A)/365(B) (P/PATOS DE MINAS)"/>
    <n v="228.5"/>
    <n v="230.5"/>
    <n v="2"/>
    <x v="2"/>
    <m/>
    <s v="365BMG0160"/>
    <s v="Federal"/>
    <m/>
    <m/>
    <m/>
    <s v="Federal"/>
    <s v="PAV"/>
    <s v="Patos de Minas"/>
  </r>
  <r>
    <x v="0"/>
    <s v="354BMG0130"/>
    <n v="0"/>
    <x v="297"/>
    <s v="0130"/>
    <n v="-46.487401309822502"/>
    <n v="-18.638191060169198"/>
    <n v="-46.477131419879001"/>
    <n v="-18.6644149304046"/>
    <s v="354"/>
    <s v="MG"/>
    <s v="Eixo Principal"/>
    <s v="Coinc"/>
    <s v="354BMG0130"/>
    <s v="ENTR BR-146/352(A)/365(B) (P/PATOS DE MINAS)"/>
    <s v="ACESSO AEROPORTO"/>
    <n v="230.5"/>
    <n v="233.7"/>
    <n v="3.2"/>
    <x v="0"/>
    <m/>
    <s v="352BMG0210"/>
    <s v="Federal"/>
    <m/>
    <m/>
    <m/>
    <s v="Federal"/>
    <s v="PAV"/>
    <s v="Patos de Minas"/>
  </r>
  <r>
    <x v="0"/>
    <s v="354BMG0132"/>
    <n v="0"/>
    <x v="297"/>
    <s v="0132"/>
    <n v="-46.477131419879001"/>
    <n v="-18.6644149304046"/>
    <n v="-46.419175619659001"/>
    <n v="-18.771377549834"/>
    <s v="354"/>
    <s v="MG"/>
    <s v="Eixo Principal"/>
    <s v="Coinc"/>
    <s v="354BMG0132"/>
    <s v="ACESSO AEROPORTO"/>
    <s v="ACESSO LAGOA FORMOSA"/>
    <n v="233.7"/>
    <n v="248"/>
    <n v="14.3"/>
    <x v="2"/>
    <m/>
    <s v="352BMG0212"/>
    <s v="Federal"/>
    <m/>
    <m/>
    <m/>
    <s v="Federal"/>
    <s v="PAV"/>
    <s v="Patos de Minas"/>
  </r>
  <r>
    <x v="0"/>
    <s v="354BMG0135"/>
    <n v="0"/>
    <x v="297"/>
    <s v="0135"/>
    <n v="-46.419175619659001"/>
    <n v="-18.771377549834"/>
    <n v="-46.268024020092398"/>
    <n v="-18.991722310436199"/>
    <s v="354"/>
    <s v="MG"/>
    <s v="Eixo Principal"/>
    <s v="Coinc"/>
    <s v="354BMG0135"/>
    <s v="ACESSO LAGOA FORMOSA"/>
    <s v="ACESSO CARMO DO PARANAÍBA"/>
    <n v="248"/>
    <n v="280.8"/>
    <n v="32.799999999999997"/>
    <x v="2"/>
    <m/>
    <s v="352BMG0215"/>
    <s v="Federal"/>
    <m/>
    <m/>
    <m/>
    <s v="Federal"/>
    <s v="PAV"/>
    <s v="Patos de Minas"/>
  </r>
  <r>
    <x v="0"/>
    <s v="354BMG0140"/>
    <n v="0"/>
    <x v="297"/>
    <s v="0140"/>
    <n v="-46.268024020092398"/>
    <n v="-18.991722310436199"/>
    <n v="-46.203510920192699"/>
    <n v="-19.076219689786701"/>
    <s v="354"/>
    <s v="MG"/>
    <s v="Eixo Principal"/>
    <s v="Coinc"/>
    <s v="354BMG0140"/>
    <s v="ACESSO CARMO DO PARANAÍBA"/>
    <s v="ENTR MG-230"/>
    <n v="280.8"/>
    <n v="292.7"/>
    <n v="11.9"/>
    <x v="2"/>
    <m/>
    <s v="352BMG0220"/>
    <s v="Federal"/>
    <m/>
    <m/>
    <m/>
    <s v="Federal"/>
    <s v="PAV"/>
    <s v="Patos de Minas"/>
  </r>
  <r>
    <x v="0"/>
    <s v="354BMG0145"/>
    <n v="0"/>
    <x v="297"/>
    <s v="0145"/>
    <n v="-46.203510920192699"/>
    <n v="-19.076219689786701"/>
    <n v="-46.1685911300765"/>
    <n v="-19.088298539945601"/>
    <s v="354"/>
    <s v="MG"/>
    <s v="Eixo Principal"/>
    <s v="-"/>
    <s v="354BMG0145"/>
    <s v="ENTR MG-230"/>
    <s v="ENTR BR-352(B) (P/ARAPUÁ)"/>
    <n v="292.7"/>
    <n v="296.60000000000002"/>
    <n v="3.9"/>
    <x v="2"/>
    <m/>
    <m/>
    <s v="Federal"/>
    <m/>
    <m/>
    <m/>
    <s v="Federal"/>
    <s v="PAV"/>
    <s v="Patos de Minas"/>
  </r>
  <r>
    <x v="0"/>
    <s v="354BMG0150"/>
    <n v="0"/>
    <x v="297"/>
    <s v="0150"/>
    <n v="-46.1685911300765"/>
    <n v="-19.088298539945601"/>
    <n v="-46.152836280370003"/>
    <n v="-19.228133589793199"/>
    <s v="354"/>
    <s v="MG"/>
    <s v="Eixo Principal"/>
    <s v="-"/>
    <s v="354BMG0150"/>
    <s v="ENTR BR-352(B) (P/ARAPUÁ)"/>
    <s v="ENTR MG-230 (P/ RIO PARANAÍBA)"/>
    <n v="296.60000000000002"/>
    <n v="313.60000000000002"/>
    <n v="17"/>
    <x v="2"/>
    <m/>
    <m/>
    <s v="Federal"/>
    <m/>
    <m/>
    <m/>
    <s v="Federal"/>
    <s v="PAV"/>
    <s v="Bom Despacho"/>
  </r>
  <r>
    <x v="0"/>
    <s v="354BMG0170"/>
    <n v="0"/>
    <x v="297"/>
    <s v="0170"/>
    <n v="-46.152836280370003"/>
    <n v="-19.228133589793199"/>
    <n v="-46.134464729963199"/>
    <n v="-19.3541312902268"/>
    <s v="354"/>
    <s v="MG"/>
    <s v="Eixo Principal"/>
    <s v="-"/>
    <s v="354BMG0170"/>
    <s v="ENTR MG-230 (P/ RIO PARANAÍBA)"/>
    <s v="ENTR MG-235(A) (GUARDA DOS FERREIROS)"/>
    <n v="313.60000000000002"/>
    <n v="327.9"/>
    <n v="14.3"/>
    <x v="2"/>
    <m/>
    <m/>
    <s v="Federal"/>
    <m/>
    <m/>
    <m/>
    <s v="Federal"/>
    <s v="PAV"/>
    <s v="Bom Despacho"/>
  </r>
  <r>
    <x v="0"/>
    <s v="354BMG0190"/>
    <n v="0"/>
    <x v="297"/>
    <s v="0190"/>
    <n v="-46.134464729963199"/>
    <n v="-19.3541312902268"/>
    <n v="-46.157092849854997"/>
    <n v="-19.410457269787099"/>
    <s v="354"/>
    <s v="MG"/>
    <s v="Eixo Principal"/>
    <s v="-"/>
    <s v="354BMG0190"/>
    <s v="ENTR MG-235(A) (GUARDA DOS FERREIROS)"/>
    <s v="ENTR MG-235(B)"/>
    <n v="327.9"/>
    <n v="334.8"/>
    <n v="6.9"/>
    <x v="2"/>
    <m/>
    <m/>
    <s v="Federal"/>
    <m/>
    <m/>
    <m/>
    <s v="Federal"/>
    <s v="PAV"/>
    <s v="Bom Despacho"/>
  </r>
  <r>
    <x v="0"/>
    <s v="354BMG0210"/>
    <n v="0"/>
    <x v="297"/>
    <s v="0210"/>
    <n v="-46.157092849854997"/>
    <n v="-19.410457269787099"/>
    <n v="-46.070320479806199"/>
    <n v="-19.6492188400773"/>
    <s v="354"/>
    <s v="MG"/>
    <s v="Eixo Principal"/>
    <s v="-"/>
    <s v="354BMG0210"/>
    <s v="ENTR MG-235(B)"/>
    <s v="ENTR BR-262(A)"/>
    <n v="334.8"/>
    <n v="366.2"/>
    <n v="31.4"/>
    <x v="2"/>
    <m/>
    <m/>
    <s v="Federal"/>
    <m/>
    <m/>
    <m/>
    <s v="Federal"/>
    <s v="PAV"/>
    <s v="Bom Despacho"/>
  </r>
  <r>
    <x v="0"/>
    <s v="354BMG0230"/>
    <n v="0"/>
    <x v="297"/>
    <s v="0230"/>
    <n v="-46.070320479806199"/>
    <n v="-19.6492188400773"/>
    <n v="-46.015715639864801"/>
    <n v="-19.734259230079299"/>
    <s v="354"/>
    <s v="MG"/>
    <s v="Eixo Principal"/>
    <s v="Coinc"/>
    <s v="354BMG0230"/>
    <s v="ENTR BR-262(A)"/>
    <s v="ENTR BR-262(B)"/>
    <n v="366.2"/>
    <n v="379.2"/>
    <n v="13"/>
    <x v="2"/>
    <m/>
    <s v="262BMG0830"/>
    <s v="Concessão Federal"/>
    <m/>
    <m/>
    <m/>
    <s v="Federal"/>
    <s v="PAV"/>
    <s v="Bom Despacho"/>
  </r>
  <r>
    <x v="0"/>
    <s v="354BMG0250"/>
    <n v="0"/>
    <x v="297"/>
    <s v="0250"/>
    <n v="-46.015715639864801"/>
    <n v="-19.734259230079299"/>
    <n v="-45.947730639757097"/>
    <n v="-20.013857699673"/>
    <s v="354"/>
    <s v="MG"/>
    <s v="Eixo Principal"/>
    <s v="-"/>
    <s v="354BMG0250"/>
    <s v="ENTR BR-262(B)"/>
    <s v="ENTR MG-176(A) (P/BAMBUÍ)"/>
    <n v="379.2"/>
    <n v="417.9"/>
    <n v="38.700000000000003"/>
    <x v="2"/>
    <m/>
    <m/>
    <s v="Federal"/>
    <m/>
    <m/>
    <m/>
    <s v="Federal"/>
    <s v="PAV"/>
    <s v="Bom Despacho"/>
  </r>
  <r>
    <x v="0"/>
    <s v="354BMG0270"/>
    <n v="0"/>
    <x v="297"/>
    <s v="0270"/>
    <n v="-45.947730639757097"/>
    <n v="-20.013857699673"/>
    <n v="-45.7064405796689"/>
    <n v="-20.1906465003356"/>
    <s v="354"/>
    <s v="MG"/>
    <s v="Eixo Principal"/>
    <s v="-"/>
    <s v="354BMG0270"/>
    <s v="ENTR MG-176(A) (P/BAMBUÍ)"/>
    <s v="ENTR R. 11 (IGUATAMA)"/>
    <n v="417.9"/>
    <n v="453.7"/>
    <n v="35.799999999999997"/>
    <x v="2"/>
    <m/>
    <m/>
    <s v="Federal"/>
    <m/>
    <m/>
    <m/>
    <s v="Federal"/>
    <s v="PAV"/>
    <s v="Bom Despacho"/>
  </r>
  <r>
    <x v="0"/>
    <s v="354BMG0290"/>
    <n v="0"/>
    <x v="297"/>
    <s v="0290"/>
    <n v="-45.7064405796689"/>
    <n v="-20.1906465003356"/>
    <n v="-45.548867149799001"/>
    <n v="-20.289259169974599"/>
    <s v="354"/>
    <s v="MG"/>
    <s v="Eixo Principal"/>
    <s v="-"/>
    <s v="354BMG0290"/>
    <s v="ENTR R. 11 (IGUATAMA)"/>
    <s v="ENTR MG-170 (ARCOS)"/>
    <n v="453.7"/>
    <n v="474.3"/>
    <n v="20.6"/>
    <x v="2"/>
    <m/>
    <m/>
    <s v="Federal"/>
    <m/>
    <m/>
    <m/>
    <s v="Federal"/>
    <s v="PAV"/>
    <s v="Bom Despacho"/>
  </r>
  <r>
    <x v="0"/>
    <s v="354BMG0310"/>
    <n v="0"/>
    <x v="297"/>
    <s v="0310"/>
    <n v="-45.548867149799001"/>
    <n v="-20.289259169974599"/>
    <n v="-45.500773440141998"/>
    <n v="-20.378014650355698"/>
    <s v="354"/>
    <s v="MG"/>
    <s v="Eixo Principal"/>
    <s v="-"/>
    <s v="354BMG0310"/>
    <s v="ENTR MG-170 (ARCOS)"/>
    <s v="ENTR MG-439"/>
    <n v="474.3"/>
    <n v="487.4"/>
    <n v="13.1"/>
    <x v="2"/>
    <m/>
    <m/>
    <s v="Federal"/>
    <m/>
    <m/>
    <m/>
    <s v="Federal"/>
    <s v="PAV"/>
    <s v="Bom Despacho"/>
  </r>
  <r>
    <x v="0"/>
    <s v="354BMG0320"/>
    <n v="0"/>
    <x v="297"/>
    <s v="0320"/>
    <n v="-45.500773440141998"/>
    <n v="-20.378014650355698"/>
    <n v="-45.435381209774903"/>
    <n v="-20.417285519710902"/>
    <s v="354"/>
    <s v="MG"/>
    <s v="Eixo Principal"/>
    <s v="-"/>
    <s v="354BMG0320"/>
    <s v="ENTR MG-439"/>
    <s v="ENTR MG-050"/>
    <n v="487.4"/>
    <n v="497.3"/>
    <n v="9.9"/>
    <x v="2"/>
    <m/>
    <m/>
    <s v="Federal"/>
    <m/>
    <m/>
    <m/>
    <s v="Federal"/>
    <s v="PAV"/>
    <s v="Oliveira"/>
  </r>
  <r>
    <x v="0"/>
    <s v="354BMG0330"/>
    <n v="0"/>
    <x v="297"/>
    <s v="0330"/>
    <n v="-45.435381209774903"/>
    <n v="-20.417285519710902"/>
    <n v="-45.3923447603024"/>
    <n v="-20.496131880381899"/>
    <s v="354"/>
    <s v="MG"/>
    <s v="Eixo Principal"/>
    <s v="-"/>
    <s v="354BMG0330"/>
    <s v="ENTR MG-050"/>
    <s v="ACESSO FORMIGA"/>
    <n v="497.3"/>
    <n v="509.4"/>
    <n v="12.1"/>
    <x v="2"/>
    <m/>
    <m/>
    <s v="Federal"/>
    <m/>
    <m/>
    <m/>
    <s v="Federal"/>
    <s v="PAV"/>
    <s v="Oliveira"/>
  </r>
  <r>
    <x v="0"/>
    <s v="354BMG0350"/>
    <n v="0"/>
    <x v="297"/>
    <s v="0350"/>
    <n v="-45.3923447603024"/>
    <n v="-20.496131880381899"/>
    <n v="-45.3089737602307"/>
    <n v="-20.777798510093099"/>
    <s v="354"/>
    <s v="MG"/>
    <s v="Eixo Principal"/>
    <s v="-"/>
    <s v="354BMG0350"/>
    <s v="ACESSO FORMIGA"/>
    <s v="ENTR MG-164 (CANDEIAS)"/>
    <n v="509.4"/>
    <n v="545.29999999999995"/>
    <n v="35.9"/>
    <x v="2"/>
    <m/>
    <m/>
    <s v="Federal"/>
    <m/>
    <m/>
    <m/>
    <s v="Federal"/>
    <s v="PAV"/>
    <s v="Oliveira"/>
  </r>
  <r>
    <x v="0"/>
    <s v="354BMG0370"/>
    <n v="0"/>
    <x v="297"/>
    <s v="0370"/>
    <n v="-45.3089737602307"/>
    <n v="-20.777798510093099"/>
    <n v="-45.269300970363403"/>
    <n v="-20.8649377702618"/>
    <s v="354"/>
    <s v="MG"/>
    <s v="Eixo Principal"/>
    <s v="-"/>
    <s v="354BMG0370"/>
    <s v="ENTR MG-164 (CANDEIAS)"/>
    <s v="ENTR BR-369(A)"/>
    <n v="545.29999999999995"/>
    <n v="556.29999999999995"/>
    <n v="11"/>
    <x v="2"/>
    <m/>
    <m/>
    <s v="Federal"/>
    <m/>
    <m/>
    <m/>
    <s v="Federal"/>
    <s v="PAV"/>
    <s v="Oliveira"/>
  </r>
  <r>
    <x v="0"/>
    <s v="354BMG0380"/>
    <n v="0"/>
    <x v="297"/>
    <s v="0380"/>
    <n v="-45.269300970363403"/>
    <n v="-20.8649377702618"/>
    <n v="-45.258015920298398"/>
    <n v="-20.893098739715001"/>
    <s v="354"/>
    <s v="MG"/>
    <s v="Eixo Principal"/>
    <s v="-"/>
    <s v="354BMG0380"/>
    <s v="ENTR BR-369(A)"/>
    <s v="ENTR BR-369(B) (CAMPO BELO)"/>
    <n v="556.29999999999995"/>
    <n v="559.9"/>
    <n v="3.6"/>
    <x v="2"/>
    <m/>
    <s v="369BMG0022"/>
    <s v="Federal"/>
    <m/>
    <m/>
    <m/>
    <s v="Federal"/>
    <s v="PAV"/>
    <s v="Oliveira"/>
  </r>
  <r>
    <x v="0"/>
    <s v="354BMG0390"/>
    <n v="0"/>
    <x v="297"/>
    <s v="0390"/>
    <n v="-45.258015920298398"/>
    <n v="-20.893098739715001"/>
    <n v="-45.0911391000893"/>
    <n v="-21.107021039589199"/>
    <s v="354"/>
    <s v="MG"/>
    <s v="Eixo Principal"/>
    <s v="-"/>
    <s v="354BMG0390"/>
    <s v="ENTR BR-369(B) (CAMPO BELO)"/>
    <s v="ENTR BR-381 (PERDÕES)"/>
    <n v="559.9"/>
    <n v="592.1"/>
    <n v="32.200000000000003"/>
    <x v="2"/>
    <m/>
    <m/>
    <s v="Federal"/>
    <m/>
    <m/>
    <m/>
    <s v="Federal"/>
    <s v="PAV"/>
    <s v="Oliveira"/>
  </r>
  <r>
    <x v="0"/>
    <s v="354BMG0410"/>
    <n v="0"/>
    <x v="297"/>
    <s v="0410"/>
    <n v="-45.0911391000893"/>
    <n v="-21.107021039589199"/>
    <n v="-44.986191210256003"/>
    <n v="-21.263955439991399"/>
    <s v="354"/>
    <s v="MG"/>
    <s v="Eixo Principal"/>
    <s v="-"/>
    <s v="354BMG0410"/>
    <s v="ENTR BR-381 (PERDÕES)"/>
    <s v="ENTR BR-265 (LAVRAS)"/>
    <n v="592.1"/>
    <n v="610.1"/>
    <n v="18"/>
    <x v="1"/>
    <m/>
    <m/>
    <s v="Federal"/>
    <m/>
    <m/>
    <m/>
    <s v="Federal"/>
    <s v="PLA"/>
    <s v="Oliveira"/>
  </r>
  <r>
    <x v="0"/>
    <s v="354BMG0420"/>
    <n v="0"/>
    <x v="297"/>
    <s v="0420"/>
    <n v="-44.986191210256003"/>
    <n v="-21.263955439991399"/>
    <n v="-44.909889590132401"/>
    <n v="-21.5082271501627"/>
    <s v="354"/>
    <s v="MG"/>
    <s v="Eixo Principal"/>
    <s v="-"/>
    <s v="354BMG0420"/>
    <s v="ENTR BR-265 (LAVRAS)"/>
    <s v="LUMINÁRIAS"/>
    <n v="610.1"/>
    <n v="647.29999999999995"/>
    <n v="37.200000000000003"/>
    <x v="1"/>
    <m/>
    <m/>
    <s v="Estadual"/>
    <m/>
    <s v="MGT-354"/>
    <s v="PAV"/>
    <s v="Estadual"/>
    <s v="PLA"/>
    <s v="Caxambu"/>
  </r>
  <r>
    <x v="0"/>
    <s v="354BMG0430"/>
    <n v="0"/>
    <x v="297"/>
    <s v="0430"/>
    <n v="-44.909889590132401"/>
    <n v="-21.5082271501627"/>
    <n v="-44.802259560430301"/>
    <n v="-21.8189608495634"/>
    <s v="354"/>
    <s v="MG"/>
    <s v="Eixo Principal"/>
    <s v="-"/>
    <s v="354BMG0430"/>
    <s v="LUMINÁRIAS"/>
    <s v="ENTR BR-383(A) (CRUZÍLIA)"/>
    <n v="647.29999999999995"/>
    <n v="678.3"/>
    <n v="31"/>
    <x v="1"/>
    <m/>
    <m/>
    <s v="Federal"/>
    <m/>
    <m/>
    <m/>
    <s v="Federal"/>
    <s v="PLA"/>
    <s v="Caxambu"/>
  </r>
  <r>
    <x v="0"/>
    <s v="354BMG0450"/>
    <n v="0"/>
    <x v="297"/>
    <s v="0450"/>
    <n v="-44.802259560430301"/>
    <n v="-21.8189608495634"/>
    <n v="-44.819400869754297"/>
    <n v="-21.923267879808702"/>
    <s v="354"/>
    <s v="MG"/>
    <s v="Eixo Principal"/>
    <s v="-"/>
    <s v="354BMG0450"/>
    <s v="ENTR BR-383(A) (CRUZÍLIA)"/>
    <s v="ENTR BR-267(A)"/>
    <n v="678.3"/>
    <n v="691.3"/>
    <n v="13"/>
    <x v="1"/>
    <m/>
    <s v="383BMG0170"/>
    <s v="Estadual"/>
    <m/>
    <s v="MGT-354"/>
    <s v="PAV"/>
    <s v="Estadual"/>
    <s v="PLA"/>
    <s v="Caxambu"/>
  </r>
  <r>
    <x v="0"/>
    <s v="354BMG0470"/>
    <n v="0"/>
    <x v="297"/>
    <s v="0470"/>
    <n v="-44.819400869754297"/>
    <n v="-21.923267879808702"/>
    <n v="-44.872666870079897"/>
    <n v="-21.9359424004214"/>
    <s v="354"/>
    <s v="MG"/>
    <s v="Eixo Principal"/>
    <s v="Coinc"/>
    <s v="354BMG0470"/>
    <s v="ENTR BR-267(A)"/>
    <s v="ACESSO BAEPENDI"/>
    <n v="691.3"/>
    <n v="697.4"/>
    <n v="6.1"/>
    <x v="2"/>
    <m/>
    <s v="267BMG0210;383BMG0190"/>
    <s v="Federal"/>
    <m/>
    <m/>
    <m/>
    <s v="Federal"/>
    <s v="PAV"/>
    <s v="Caxambu"/>
  </r>
  <r>
    <x v="0"/>
    <s v="354BMG0490"/>
    <n v="0"/>
    <x v="297"/>
    <s v="0490"/>
    <n v="-44.872666870079897"/>
    <n v="-21.9359424004214"/>
    <n v="-44.923995430344803"/>
    <n v="-21.969451790068"/>
    <s v="354"/>
    <s v="MG"/>
    <s v="Eixo Principal"/>
    <s v="Coinc"/>
    <s v="354BMG0490"/>
    <s v="ACESSO BAEPENDI"/>
    <s v="ENTR BR-267(B)/383(B) (CAXAMBÚ)"/>
    <n v="697.4"/>
    <n v="704.4"/>
    <n v="7"/>
    <x v="2"/>
    <m/>
    <s v="383BMG0210;267BMG0230"/>
    <s v="Federal"/>
    <m/>
    <m/>
    <m/>
    <s v="Federal"/>
    <s v="PAV"/>
    <s v="Caxambu"/>
  </r>
  <r>
    <x v="0"/>
    <s v="354BMG0510"/>
    <n v="0"/>
    <x v="297"/>
    <s v="0510"/>
    <n v="-44.923995430344803"/>
    <n v="-21.969451790068"/>
    <n v="-44.970392259595002"/>
    <n v="-22.141108149921099"/>
    <s v="354"/>
    <s v="MG"/>
    <s v="Eixo Principal"/>
    <s v="-"/>
    <s v="354BMG0510"/>
    <s v="ENTR BR-267(B)/383(B) (CAXAMBÚ)"/>
    <s v="ENTR BR-460 (P/SÃO LOURENÇO)"/>
    <n v="704.4"/>
    <n v="728.8"/>
    <n v="24.4"/>
    <x v="2"/>
    <m/>
    <m/>
    <s v="Federal"/>
    <m/>
    <m/>
    <m/>
    <s v="Federal"/>
    <s v="PAV"/>
    <s v="Caxambu"/>
  </r>
  <r>
    <x v="0"/>
    <s v="354BMG0530"/>
    <n v="0"/>
    <x v="297"/>
    <s v="0530"/>
    <n v="-44.970392259595002"/>
    <n v="-22.141108149921099"/>
    <n v="-44.972955400271402"/>
    <n v="-22.1974570603949"/>
    <s v="354"/>
    <s v="MG"/>
    <s v="Eixo Principal"/>
    <s v="-"/>
    <s v="354BMG0530"/>
    <s v="ENTR BR-460 (P/SÃO LOURENÇO)"/>
    <s v="ENTR MG-350/AV HAROLDO RUSSANO (POUSO ALTO)"/>
    <n v="728.8"/>
    <n v="737.3"/>
    <n v="8.5"/>
    <x v="2"/>
    <m/>
    <m/>
    <s v="Federal"/>
    <m/>
    <m/>
    <m/>
    <s v="Federal"/>
    <s v="PAV"/>
    <s v="Caxambu"/>
  </r>
  <r>
    <x v="0"/>
    <s v="354BMG0550"/>
    <n v="0"/>
    <x v="297"/>
    <s v="0550"/>
    <n v="-44.972955400271402"/>
    <n v="-22.1974570603949"/>
    <n v="-44.930477199563001"/>
    <n v="-22.253351549734099"/>
    <s v="354"/>
    <s v="MG"/>
    <s v="Eixo Principal"/>
    <s v="-"/>
    <s v="354BMG0550"/>
    <s v="ENTR MG-350/AV HAROLDO RUSSANO (POUSO ALTO)"/>
    <s v="ENTR MG-158 (P/ITANHANDÚ)"/>
    <n v="737.3"/>
    <n v="746.9"/>
    <n v="9.6"/>
    <x v="2"/>
    <m/>
    <m/>
    <s v="Federal"/>
    <m/>
    <m/>
    <m/>
    <s v="Federal"/>
    <s v="PAV"/>
    <s v="Caxambu"/>
  </r>
  <r>
    <x v="0"/>
    <s v="354BMG0570"/>
    <n v="0"/>
    <x v="297"/>
    <s v="0570"/>
    <n v="-44.930477199563001"/>
    <n v="-22.253351549734099"/>
    <n v="-44.8698281303638"/>
    <n v="-22.2830198198087"/>
    <s v="354"/>
    <s v="MG"/>
    <s v="Eixo Principal"/>
    <s v="-"/>
    <s v="354BMG0570"/>
    <s v="ENTR MG-158 (P/ITANHANDÚ)"/>
    <s v="ENTR MG-881/AV CAMPOS ELÍSEOS (ITAMONTE)"/>
    <n v="746.9"/>
    <n v="754.7"/>
    <n v="7.8"/>
    <x v="2"/>
    <m/>
    <m/>
    <s v="Federal"/>
    <m/>
    <m/>
    <m/>
    <s v="Federal"/>
    <s v="PAV"/>
    <s v="Caxambu"/>
  </r>
  <r>
    <x v="0"/>
    <s v="354BMG0590"/>
    <n v="0"/>
    <x v="297"/>
    <s v="0590"/>
    <n v="-44.8698281303638"/>
    <n v="-22.2830198198087"/>
    <n v="-44.761340999987098"/>
    <n v="-22.376369860080899"/>
    <s v="354"/>
    <s v="MG"/>
    <s v="Eixo Principal"/>
    <s v="-"/>
    <s v="354BMG0590"/>
    <s v="ENTR MG-881/AV CAMPOS ELÍSEOS (ITAMONTE)"/>
    <s v="ENTR BR-485 (GARGANTA DO REGISTRO)"/>
    <n v="754.7"/>
    <n v="775.3"/>
    <n v="20.6"/>
    <x v="2"/>
    <m/>
    <m/>
    <s v="Federal"/>
    <m/>
    <m/>
    <m/>
    <s v="Federal"/>
    <s v="PAV"/>
    <s v="Caxambu"/>
  </r>
  <r>
    <x v="0"/>
    <s v="354BMG0595"/>
    <n v="0"/>
    <x v="297"/>
    <s v="0595"/>
    <n v="-44.761340999987098"/>
    <n v="-22.376369860080899"/>
    <n v="-44.760876039697401"/>
    <n v="-22.3764914897903"/>
    <s v="354"/>
    <s v="MG"/>
    <s v="Eixo Principal"/>
    <s v="-"/>
    <s v="354BMG0595"/>
    <s v="ENTR BR-485 (GARGANTA DO REGISTRO)"/>
    <s v="DIV MG/RJ"/>
    <n v="775.3"/>
    <n v="775.4"/>
    <n v="0.1"/>
    <x v="2"/>
    <m/>
    <m/>
    <s v="Federal"/>
    <m/>
    <m/>
    <m/>
    <s v="Federal"/>
    <s v="PAV"/>
    <s v="Caxambu"/>
  </r>
  <r>
    <x v="0"/>
    <s v="354BRJ0610"/>
    <n v="0"/>
    <x v="298"/>
    <s v="0610"/>
    <n v="-44.760876039697401"/>
    <n v="-22.3764914897903"/>
    <n v="-44.668554879603903"/>
    <n v="-22.502044649940601"/>
    <s v="354"/>
    <s v="RJ"/>
    <s v="Eixo Principal"/>
    <s v="-"/>
    <s v="354BRJ0610"/>
    <s v="ENTR BR-485 (DIV MG/RJ)"/>
    <s v="ENTR BR-116 (ENGENHEIRO PASSOS)"/>
    <n v="0"/>
    <n v="26.1"/>
    <n v="26.1"/>
    <x v="2"/>
    <m/>
    <m/>
    <s v="Federal"/>
    <m/>
    <m/>
    <m/>
    <s v="Federal"/>
    <s v="PAV"/>
    <s v="Seropédica"/>
  </r>
  <r>
    <x v="0"/>
    <s v="356BMG0010"/>
    <n v="0"/>
    <x v="299"/>
    <s v="0010"/>
    <n v="-43.933008890247997"/>
    <n v="-19.939874840251601"/>
    <n v="-43.948899390094702"/>
    <n v="-19.9810585999743"/>
    <s v="356"/>
    <s v="MG"/>
    <s v="Eixo Principal"/>
    <s v="-"/>
    <s v="356BMG0010"/>
    <s v="ENTR AVENIDA CONTORNO"/>
    <s v="ENTR MG-030 (NOVA LIMA) *TRECHO URBANO*"/>
    <n v="0"/>
    <n v="4.7"/>
    <n v="4.7"/>
    <x v="1"/>
    <m/>
    <m/>
    <s v="Estadual"/>
    <m/>
    <s v="MGT-356"/>
    <s v="DUP"/>
    <s v="Estadual"/>
    <s v="PLA"/>
    <s v="Contagem"/>
  </r>
  <r>
    <x v="0"/>
    <s v="356BMG0022"/>
    <n v="0"/>
    <x v="299"/>
    <s v="0022"/>
    <n v="-43.948899390094702"/>
    <n v="-19.9810585999743"/>
    <n v="-43.962007960398999"/>
    <n v="-19.997749630441"/>
    <s v="356"/>
    <s v="MG"/>
    <s v="Eixo Principal"/>
    <s v="-"/>
    <s v="356BMG0022"/>
    <s v="ENTR MG-030 (NOVA LIMA)"/>
    <s v="ENTR BR-040(A) (ANEL RODOVIÁRIO DE BELO HORIZONTE) *TRECHO URBANO*"/>
    <n v="4.7"/>
    <n v="7.9"/>
    <n v="3.2"/>
    <x v="1"/>
    <m/>
    <m/>
    <s v="Estadual"/>
    <m/>
    <s v="MGT-356"/>
    <s v="DUP"/>
    <s v="Estadual"/>
    <s v="PLA"/>
    <s v="Contagem"/>
  </r>
  <r>
    <x v="0"/>
    <s v="356BMG0040"/>
    <n v="0"/>
    <x v="299"/>
    <s v="0040"/>
    <n v="-43.962007960398999"/>
    <n v="-19.997749630441"/>
    <n v="-43.963045150313398"/>
    <n v="-20.156726429880699"/>
    <s v="356"/>
    <s v="MG"/>
    <s v="Eixo Principal"/>
    <s v="Coinc"/>
    <s v="356BMG0040"/>
    <s v="ENTR BR-040(A) (ANEL RODOVIÁRIO DE BELO HORIZONTE)"/>
    <s v="ENTR BR-040(B)"/>
    <n v="7.9"/>
    <n v="28"/>
    <n v="20.100000000000001"/>
    <x v="0"/>
    <m/>
    <s v="040BMG0400"/>
    <s v="Concessão Federal"/>
    <m/>
    <m/>
    <m/>
    <s v="Federal"/>
    <s v="PAV"/>
    <s v="Contagem"/>
  </r>
  <r>
    <x v="0"/>
    <s v="356BMG0050"/>
    <n v="0"/>
    <x v="299"/>
    <s v="0050"/>
    <n v="-43.963045150313398"/>
    <n v="-20.156726429880699"/>
    <n v="-43.801584610441303"/>
    <n v="-20.219851449584599"/>
    <s v="356"/>
    <s v="MG"/>
    <s v="Eixo Principal"/>
    <s v="-"/>
    <s v="356BMG0050"/>
    <s v="ENTR BR-040(B)"/>
    <s v="ENTR MG-030 (ITABIRITO)"/>
    <n v="28"/>
    <n v="50.6"/>
    <n v="22.6"/>
    <x v="2"/>
    <m/>
    <m/>
    <s v="Federal"/>
    <m/>
    <m/>
    <m/>
    <s v="Federal"/>
    <s v="PAV"/>
    <s v="Contagem"/>
  </r>
  <r>
    <x v="0"/>
    <s v="356BMG0070"/>
    <n v="0"/>
    <x v="299"/>
    <s v="0070"/>
    <n v="-43.801584610441303"/>
    <n v="-20.219851449584599"/>
    <n v="-43.674400720416799"/>
    <n v="-20.349537160011799"/>
    <s v="356"/>
    <s v="MG"/>
    <s v="Eixo Principal"/>
    <s v="-"/>
    <s v="356BMG0070"/>
    <s v="ENTR MG-030 (ITABIRITO)"/>
    <s v="ENTR MG-440 (CACHOEIRA DO CAMPO)"/>
    <n v="50.6"/>
    <n v="73.599999999999994"/>
    <n v="23"/>
    <x v="2"/>
    <m/>
    <m/>
    <s v="Federal"/>
    <m/>
    <m/>
    <m/>
    <s v="Federal"/>
    <s v="PAV"/>
    <s v="Contagem"/>
  </r>
  <r>
    <x v="0"/>
    <s v="356BMG0090"/>
    <n v="0"/>
    <x v="299"/>
    <s v="0090"/>
    <n v="-43.674400720416799"/>
    <n v="-20.349537160011799"/>
    <n v="-43.540225240002698"/>
    <n v="-20.375313749729699"/>
    <s v="356"/>
    <s v="MG"/>
    <s v="Eixo Principal"/>
    <s v="-"/>
    <s v="356BMG0090"/>
    <s v="ENTR MG-440 (CACHOEIRA DO CAMPO)"/>
    <s v="TREVO DA JACUBA (P/ OURO PRETO)"/>
    <n v="73.599999999999994"/>
    <n v="90.1"/>
    <n v="16.5"/>
    <x v="2"/>
    <m/>
    <m/>
    <s v="Federal"/>
    <m/>
    <m/>
    <m/>
    <s v="Federal"/>
    <s v="PAV"/>
    <s v="Contagem"/>
  </r>
  <r>
    <x v="0"/>
    <s v="356BMG0100"/>
    <n v="0"/>
    <x v="299"/>
    <s v="0100"/>
    <n v="-43.540225240002698"/>
    <n v="-20.375313749729699"/>
    <n v="-43.521281180282102"/>
    <n v="-20.403382040448701"/>
    <s v="356"/>
    <s v="MG"/>
    <s v="Eixo Principal"/>
    <s v="-"/>
    <s v="356BMG0100"/>
    <s v="TREVO DA JACUBA (P/ OURO PRETO)"/>
    <s v="ENTR MG-129(A) (OURO PRETO)"/>
    <n v="90.1"/>
    <n v="94.8"/>
    <n v="4.7"/>
    <x v="2"/>
    <m/>
    <m/>
    <s v="Federal"/>
    <m/>
    <m/>
    <m/>
    <s v="Federal"/>
    <s v="PAV"/>
    <s v="Contagem"/>
  </r>
  <r>
    <x v="0"/>
    <s v="356BMG0110"/>
    <n v="0"/>
    <x v="299"/>
    <s v="0110"/>
    <n v="-43.521281180282102"/>
    <n v="-20.403382040448701"/>
    <n v="-43.436462029798797"/>
    <n v="-20.394317330180499"/>
    <s v="356"/>
    <s v="MG"/>
    <s v="Eixo Principal"/>
    <s v="-"/>
    <s v="356BMG0110"/>
    <s v="ENTR MG-129(A) (OURO PRETO)"/>
    <s v="ENTR MG-129(B)/262 (P/ MARIANA)"/>
    <n v="94.8"/>
    <n v="108"/>
    <n v="13.2"/>
    <x v="2"/>
    <m/>
    <m/>
    <s v="Federal"/>
    <m/>
    <m/>
    <m/>
    <s v="Federal"/>
    <s v="PAV"/>
    <s v="Contagem"/>
  </r>
  <r>
    <x v="0"/>
    <s v="356BMG0130"/>
    <n v="0"/>
    <x v="299"/>
    <s v="0130"/>
    <n v="-43.436462029798797"/>
    <n v="-20.394317330180499"/>
    <n v="-43.088821599737003"/>
    <n v="-20.669454499625399"/>
    <s v="356"/>
    <s v="MG"/>
    <s v="Eixo Principal"/>
    <s v="-"/>
    <s v="356BMG0130"/>
    <s v="ENTR MG-129(B)/262 (P/ MARIANA)"/>
    <s v="ENTR BR-482(A) (PORTO FIRME)"/>
    <n v="108"/>
    <n v="148"/>
    <n v="40"/>
    <x v="1"/>
    <m/>
    <m/>
    <s v="Federal"/>
    <m/>
    <m/>
    <m/>
    <s v="Federal"/>
    <s v="PLA"/>
    <s v="Contagem"/>
  </r>
  <r>
    <x v="0"/>
    <s v="356BMG0150"/>
    <n v="0"/>
    <x v="299"/>
    <s v="0150"/>
    <n v="-43.088821599737003"/>
    <n v="-20.669454499625399"/>
    <n v="-42.865028660344301"/>
    <n v="-20.7441631497095"/>
    <s v="356"/>
    <s v="MG"/>
    <s v="Eixo Principal"/>
    <s v="-"/>
    <s v="356BMG0150"/>
    <s v="ENTR BR-482(A) (PORTO FIRME)"/>
    <s v="ENTR BR-120(A)/482(B) (VIÇOSA)"/>
    <n v="148"/>
    <n v="177.9"/>
    <n v="29.9"/>
    <x v="1"/>
    <m/>
    <s v="482BMG0230"/>
    <s v="Estadual"/>
    <m/>
    <s v="MG-482"/>
    <s v="PAV"/>
    <s v="Estadual"/>
    <s v="PLA"/>
    <s v="Leopoldina"/>
  </r>
  <r>
    <x v="0"/>
    <s v="356BMG0170"/>
    <n v="0"/>
    <x v="299"/>
    <s v="0170"/>
    <n v="-42.865028660344301"/>
    <n v="-20.7441631497095"/>
    <n v="-42.829491509925198"/>
    <n v="-20.8073114303781"/>
    <s v="356"/>
    <s v="MG"/>
    <s v="Eixo Principal"/>
    <s v="Coinc"/>
    <s v="356BMG0170"/>
    <s v="ENTR BR-120(A)/482(B) (VIÇOSA)"/>
    <s v="ACESSO CAJURÍ"/>
    <n v="177.9"/>
    <n v="187.9"/>
    <n v="10"/>
    <x v="1"/>
    <m/>
    <s v="120BMG0310"/>
    <s v="Estadual"/>
    <m/>
    <s v="MG-120"/>
    <s v="PAV"/>
    <s v="Estadual"/>
    <s v="PLA"/>
    <s v="Leopoldina"/>
  </r>
  <r>
    <x v="0"/>
    <s v="356BMG0180"/>
    <n v="0"/>
    <x v="299"/>
    <s v="0180"/>
    <n v="-42.829491509925198"/>
    <n v="-20.8073114303781"/>
    <n v="-42.804571019936503"/>
    <n v="-20.842289830211399"/>
    <s v="356"/>
    <s v="MG"/>
    <s v="Eixo Principal"/>
    <s v="Coinc"/>
    <s v="356BMG0180"/>
    <s v="ACESSO CAJURÍ"/>
    <s v="ENTR BR-120(B) (COIMBRA)"/>
    <n v="187.9"/>
    <n v="193.9"/>
    <n v="6"/>
    <x v="1"/>
    <m/>
    <s v="120BMG0320"/>
    <s v="Estadual"/>
    <m/>
    <s v="MG-120"/>
    <s v="PAV"/>
    <s v="Estadual"/>
    <s v="PLA"/>
    <s v="Leopoldina"/>
  </r>
  <r>
    <x v="0"/>
    <s v="356BMG0190"/>
    <n v="0"/>
    <x v="299"/>
    <s v="0190"/>
    <n v="-42.804571019936503"/>
    <n v="-20.842289830211399"/>
    <n v="-42.676156709864202"/>
    <n v="-20.842969769838898"/>
    <s v="356"/>
    <s v="MG"/>
    <s v="Eixo Principal"/>
    <s v="-"/>
    <s v="356BMG0190"/>
    <s v="ENTR BR-120(B) (COIMBRA)"/>
    <s v="ERVÁLIA"/>
    <n v="193.9"/>
    <n v="209.9"/>
    <n v="16"/>
    <x v="1"/>
    <m/>
    <m/>
    <s v="Estadual"/>
    <m/>
    <s v="MGT-356"/>
    <s v="PAV"/>
    <s v="Estadual"/>
    <s v="PLA"/>
    <s v="Leopoldina"/>
  </r>
  <r>
    <x v="0"/>
    <s v="356BMG0200"/>
    <n v="0"/>
    <x v="299"/>
    <s v="0200"/>
    <n v="-42.676156709864202"/>
    <n v="-20.842969769838898"/>
    <n v="-42.394115480145203"/>
    <n v="-21.1302949698369"/>
    <s v="356"/>
    <s v="MG"/>
    <s v="Eixo Principal"/>
    <s v="-"/>
    <s v="356BMG0200"/>
    <s v="ERVÁLIA"/>
    <s v="ENTR BR-265(A)"/>
    <n v="209.9"/>
    <n v="261.8"/>
    <n v="51.9"/>
    <x v="2"/>
    <m/>
    <m/>
    <s v="Federal"/>
    <m/>
    <m/>
    <m/>
    <s v="Federal"/>
    <s v="PAV"/>
    <s v="Leopoldina"/>
  </r>
  <r>
    <x v="0"/>
    <s v="356BMG0205"/>
    <n v="0"/>
    <x v="299"/>
    <s v="0205"/>
    <n v="-42.394115480145203"/>
    <n v="-21.1302949698369"/>
    <n v="-42.386499479667201"/>
    <n v="-21.130835750169599"/>
    <s v="356"/>
    <s v="MG"/>
    <s v="Eixo Principal"/>
    <s v="Coinc"/>
    <s v="356BMG0205"/>
    <s v="ENTR BR-265(A)"/>
    <s v="ENTR BR-116(A)/265(B) (MURIAÉ)"/>
    <n v="261.8"/>
    <n v="262.60000000000002"/>
    <n v="0.8"/>
    <x v="2"/>
    <m/>
    <s v="265BMG0010"/>
    <s v="Federal"/>
    <m/>
    <m/>
    <m/>
    <s v="Federal"/>
    <s v="PAV"/>
    <s v="Leopoldina"/>
  </r>
  <r>
    <x v="0"/>
    <s v="356BMG0210"/>
    <n v="0"/>
    <x v="299"/>
    <s v="0210"/>
    <n v="-42.386499479667201"/>
    <n v="-21.130835750169599"/>
    <n v="-42.381744290066798"/>
    <n v="-21.125127569681499"/>
    <s v="356"/>
    <s v="MG"/>
    <s v="Eixo Principal"/>
    <s v="Coinc"/>
    <s v="356BMG0210"/>
    <s v="ENTR BR-116(A)/265(B) (MURIAÉ)"/>
    <s v="ENTR BR-116(B)"/>
    <n v="262.60000000000002"/>
    <n v="263.5"/>
    <n v="0.9"/>
    <x v="2"/>
    <m/>
    <s v="116BMG1360"/>
    <s v="Federal"/>
    <m/>
    <m/>
    <m/>
    <s v="Federal"/>
    <s v="PAV"/>
    <s v="Leopoldina"/>
  </r>
  <r>
    <x v="0"/>
    <s v="356BMG0215"/>
    <n v="0"/>
    <x v="299"/>
    <s v="0215"/>
    <n v="-42.381744290066798"/>
    <n v="-21.125127569681499"/>
    <n v="-42.179172539680899"/>
    <n v="-21.137271299630701"/>
    <s v="356"/>
    <s v="MG"/>
    <s v="Eixo Principal"/>
    <s v="-"/>
    <s v="356BMG0215"/>
    <s v="ENTR BR-116(B)"/>
    <s v="DIV MG/RJ"/>
    <n v="263.5"/>
    <n v="288.3"/>
    <n v="24.8"/>
    <x v="2"/>
    <m/>
    <m/>
    <s v="Federal"/>
    <m/>
    <m/>
    <m/>
    <s v="Federal"/>
    <s v="PAV"/>
    <s v="Leopoldina"/>
  </r>
  <r>
    <x v="0"/>
    <s v="356BRJ0230"/>
    <n v="0"/>
    <x v="300"/>
    <s v="0230"/>
    <n v="-42.179172539680899"/>
    <n v="-21.137271299630701"/>
    <n v="-42.167916339867098"/>
    <n v="-21.145983310181499"/>
    <s v="356"/>
    <s v="RJ"/>
    <s v="Eixo Principal"/>
    <s v="-"/>
    <s v="356BRJ0230"/>
    <s v="DIV MG/RJ"/>
    <s v="ENTR RJ-214 (P/RAPOSO)"/>
    <n v="0"/>
    <n v="1.6"/>
    <n v="1.6"/>
    <x v="2"/>
    <m/>
    <m/>
    <s v="Federal"/>
    <m/>
    <m/>
    <m/>
    <s v="Federal"/>
    <s v="PAV"/>
    <s v="Campos"/>
  </r>
  <r>
    <x v="0"/>
    <s v="356BRJ0250"/>
    <n v="0"/>
    <x v="300"/>
    <s v="0250"/>
    <n v="-42.167916339867098"/>
    <n v="-21.145983310181499"/>
    <n v="-42.099050509573303"/>
    <n v="-21.174739389810899"/>
    <s v="356"/>
    <s v="RJ"/>
    <s v="Eixo Principal"/>
    <s v="-"/>
    <s v="356BRJ0250"/>
    <s v="ENTR RJ-214 (P/RAPOSO)"/>
    <s v="ENTR RJ-116 (COMENDADOR VENÂNCIO)"/>
    <n v="1.6"/>
    <n v="9.8000000000000007"/>
    <n v="8.1999999999999993"/>
    <x v="2"/>
    <m/>
    <m/>
    <s v="Federal"/>
    <m/>
    <m/>
    <m/>
    <s v="Federal"/>
    <s v="PAV"/>
    <s v="Campos"/>
  </r>
  <r>
    <x v="0"/>
    <s v="356BRJ0270"/>
    <n v="0"/>
    <x v="300"/>
    <s v="0270"/>
    <n v="-42.099050509573303"/>
    <n v="-21.174739389810899"/>
    <n v="-41.953546879984401"/>
    <n v="-21.1792293999168"/>
    <s v="356"/>
    <s v="RJ"/>
    <s v="Eixo Principal"/>
    <s v="-"/>
    <s v="356BRJ0270"/>
    <s v="ENTR RJ-116 (COMENDADOR VENÂNCIO)"/>
    <s v="ENTR RJ-220"/>
    <n v="9.8000000000000007"/>
    <n v="26.1"/>
    <n v="16.3"/>
    <x v="2"/>
    <m/>
    <m/>
    <s v="Federal"/>
    <m/>
    <m/>
    <m/>
    <s v="Federal"/>
    <s v="PAV"/>
    <s v="Campos"/>
  </r>
  <r>
    <x v="0"/>
    <s v="356BRJ0290"/>
    <n v="0"/>
    <x v="300"/>
    <s v="0290"/>
    <n v="-41.953546879984401"/>
    <n v="-21.1792293999168"/>
    <n v="-41.906043309950697"/>
    <n v="-21.1937243003361"/>
    <s v="356"/>
    <s v="RJ"/>
    <s v="Eixo Principal"/>
    <s v="-"/>
    <s v="356BRJ0290"/>
    <s v="ENTR RJ-220"/>
    <s v="INÍCIO DA PISTA DUPLA"/>
    <n v="26.1"/>
    <n v="31.5"/>
    <n v="5.4"/>
    <x v="2"/>
    <m/>
    <m/>
    <s v="Federal"/>
    <m/>
    <m/>
    <m/>
    <s v="Federal"/>
    <s v="PAV"/>
    <s v="Campos"/>
  </r>
  <r>
    <x v="0"/>
    <s v="356BRJ0300"/>
    <n v="0"/>
    <x v="300"/>
    <s v="0300"/>
    <n v="-41.906043309950697"/>
    <n v="-21.1937243003361"/>
    <n v="-41.886379521897297"/>
    <n v="-21.209252020864"/>
    <s v="356"/>
    <s v="RJ"/>
    <s v="Eixo Principal"/>
    <s v="-"/>
    <s v="356BRJ0300"/>
    <s v="INÍCIO DA PISTA DUPLA"/>
    <s v="ENTR BR-484(A) (PREFEITURA DE ITAPERUNA)"/>
    <n v="31.5"/>
    <n v="34.700000000000003"/>
    <n v="3.2"/>
    <x v="0"/>
    <m/>
    <m/>
    <s v="Federal"/>
    <m/>
    <m/>
    <m/>
    <s v="Federal"/>
    <s v="PAV"/>
    <s v="Campos"/>
  </r>
  <r>
    <x v="0"/>
    <s v="356BRJ0305"/>
    <n v="0"/>
    <x v="300"/>
    <s v="0305"/>
    <n v="-41.886379521897297"/>
    <n v="-21.209252020864"/>
    <n v="-41.884558640268999"/>
    <n v="-21.213570710120099"/>
    <s v="356"/>
    <s v="RJ"/>
    <s v="Eixo Principal"/>
    <s v="-"/>
    <s v="356BRJ0305"/>
    <s v="ENTR BR-484(A) (PREFEITURA DE ITAPERUNA)"/>
    <s v="FIM DA PISTA DUPLA (ITAPERUNA)"/>
    <n v="34.700000000000003"/>
    <n v="35.299999999999997"/>
    <n v="0.6"/>
    <x v="0"/>
    <m/>
    <m/>
    <s v="Federal"/>
    <m/>
    <m/>
    <m/>
    <s v="Federal"/>
    <s v="PAV"/>
    <s v="Campos"/>
  </r>
  <r>
    <x v="0"/>
    <s v="356BRJ0310"/>
    <n v="0"/>
    <x v="300"/>
    <s v="0310"/>
    <n v="-41.884558640268999"/>
    <n v="-21.213570710120099"/>
    <n v="-41.769656769843998"/>
    <n v="-21.258934249815699"/>
    <s v="356"/>
    <s v="RJ"/>
    <s v="Eixo Principal"/>
    <s v="-"/>
    <s v="356BRJ0310"/>
    <s v="FIM DA PISTA DUPLA (ITAPERUNA)"/>
    <s v="ENTR BR-393/484(B)/RJ-186"/>
    <n v="35.299999999999997"/>
    <n v="50.7"/>
    <n v="15.4"/>
    <x v="2"/>
    <m/>
    <s v="484BRJ0190"/>
    <s v="Federal"/>
    <m/>
    <m/>
    <m/>
    <s v="Federal"/>
    <s v="PAV"/>
    <s v="Campos"/>
  </r>
  <r>
    <x v="0"/>
    <s v="356BRJ0330"/>
    <n v="0"/>
    <x v="300"/>
    <s v="0330"/>
    <n v="-41.769656769843998"/>
    <n v="-21.258934249815699"/>
    <n v="-41.709117980010703"/>
    <n v="-21.355488980132201"/>
    <s v="356"/>
    <s v="RJ"/>
    <s v="Eixo Principal"/>
    <s v="-"/>
    <s v="356BRJ0330"/>
    <s v="ENTR BR-393/484(B)/RJ-186"/>
    <s v="ENTR RJ-202"/>
    <n v="50.7"/>
    <n v="65.900000000000006"/>
    <n v="15.2"/>
    <x v="2"/>
    <m/>
    <m/>
    <s v="Federal"/>
    <m/>
    <m/>
    <m/>
    <s v="Federal"/>
    <s v="PAV"/>
    <s v="Campos"/>
  </r>
  <r>
    <x v="0"/>
    <s v="356BRJ0350"/>
    <n v="0"/>
    <x v="300"/>
    <s v="0350"/>
    <n v="-41.709117980010703"/>
    <n v="-21.355488980132201"/>
    <n v="-41.668927589836301"/>
    <n v="-21.474972810047099"/>
    <s v="356"/>
    <s v="RJ"/>
    <s v="Eixo Principal"/>
    <s v="-"/>
    <s v="356BRJ0350"/>
    <s v="ENTR RJ-202"/>
    <s v="ENTR RJ-234 (P/PENEDO)"/>
    <n v="65.900000000000006"/>
    <n v="82.6"/>
    <n v="16.7"/>
    <x v="2"/>
    <m/>
    <m/>
    <s v="Federal"/>
    <m/>
    <m/>
    <m/>
    <s v="Federal"/>
    <s v="PAV"/>
    <s v="Campos"/>
  </r>
  <r>
    <x v="0"/>
    <s v="356BRJ0370"/>
    <n v="0"/>
    <x v="300"/>
    <s v="0370"/>
    <n v="-41.668927589836301"/>
    <n v="-21.474972810047099"/>
    <n v="-41.546443810433402"/>
    <n v="-21.522932679899199"/>
    <s v="356"/>
    <s v="RJ"/>
    <s v="Eixo Principal"/>
    <s v="-"/>
    <s v="356BRJ0370"/>
    <s v="ENTR RJ-234 (P/PENEDO)"/>
    <s v="ENTR BR-492(A) (FAZENDA DO LUNA)"/>
    <n v="82.6"/>
    <n v="98.6"/>
    <n v="16"/>
    <x v="2"/>
    <m/>
    <m/>
    <s v="Federal"/>
    <m/>
    <m/>
    <m/>
    <s v="Federal"/>
    <s v="PAV"/>
    <s v="Campos"/>
  </r>
  <r>
    <x v="0"/>
    <s v="356BRJ0385"/>
    <n v="0"/>
    <x v="300"/>
    <s v="0385"/>
    <n v="-41.546443810433402"/>
    <n v="-21.522932679899199"/>
    <n v="-41.5413179499634"/>
    <n v="-21.528171829766102"/>
    <s v="356"/>
    <s v="RJ"/>
    <s v="Eixo Principal"/>
    <s v="-"/>
    <s v="356BRJ0385"/>
    <s v="ENTR BR-492(A) (FAZENDA DO LUNA)"/>
    <s v="ENTR BR-492(B)"/>
    <n v="98.6"/>
    <n v="99.4"/>
    <n v="0.8"/>
    <x v="2"/>
    <m/>
    <s v="492BRJ0045"/>
    <s v="Federal"/>
    <m/>
    <m/>
    <m/>
    <s v="Federal"/>
    <s v="PAV"/>
    <s v="Campos"/>
  </r>
  <r>
    <x v="0"/>
    <s v="356BRJ0390"/>
    <n v="0"/>
    <x v="300"/>
    <s v="0390"/>
    <n v="-41.5413179499634"/>
    <n v="-21.528171829766102"/>
    <n v="-41.330212440052001"/>
    <n v="-21.742021580431501"/>
    <s v="356"/>
    <s v="RJ"/>
    <s v="Eixo Principal"/>
    <s v="-"/>
    <s v="356BRJ0390"/>
    <s v="ENTR BR-492(B)"/>
    <s v="ENTR BR-101(A)/RJ-194"/>
    <n v="99.4"/>
    <n v="136.69999999999999"/>
    <n v="37.299999999999997"/>
    <x v="2"/>
    <m/>
    <m/>
    <s v="Federal"/>
    <m/>
    <m/>
    <m/>
    <s v="Federal"/>
    <s v="PAV"/>
    <s v="Campos"/>
  </r>
  <r>
    <x v="0"/>
    <s v="356BRJ0391"/>
    <n v="0"/>
    <x v="300"/>
    <s v="0391"/>
    <n v="-41.330212440052001"/>
    <n v="-21.742021580431501"/>
    <n v="-41.332694239747198"/>
    <n v="-21.743609630280101"/>
    <s v="356"/>
    <s v="RJ"/>
    <s v="Eixo Principal"/>
    <s v="Coinc"/>
    <s v="356BRJ0391"/>
    <s v="ENTR BR-101(A)/RJ-194"/>
    <s v="ENTR RJ-158 (CAMPOS)"/>
    <n v="136.69999999999999"/>
    <n v="137"/>
    <n v="0.3"/>
    <x v="2"/>
    <m/>
    <s v="101BRJ2732"/>
    <s v="Concessão Federal"/>
    <m/>
    <m/>
    <m/>
    <s v="Federal"/>
    <s v="PAV"/>
    <s v="Campos"/>
  </r>
  <r>
    <x v="0"/>
    <s v="356BRJ0393"/>
    <n v="0"/>
    <x v="300"/>
    <s v="0393"/>
    <n v="-41.332694239747198"/>
    <n v="-21.743609630280101"/>
    <n v="-41.345427120065402"/>
    <n v="-21.765814950099799"/>
    <s v="356"/>
    <s v="RJ"/>
    <s v="Eixo Principal"/>
    <s v="Coinc"/>
    <s v="356BRJ0393"/>
    <s v="ENTR RJ-158 (CAMPOS)"/>
    <s v="ENTR BR-101(B) (TREVO SUL DE CAMPOS)"/>
    <n v="137"/>
    <n v="140.30000000000001"/>
    <n v="3.3"/>
    <x v="2"/>
    <m/>
    <s v="101BRJ2750"/>
    <s v="Concessão Federal"/>
    <m/>
    <m/>
    <m/>
    <s v="Federal"/>
    <s v="PAV"/>
    <s v="Campos"/>
  </r>
  <r>
    <x v="0"/>
    <s v="356BRJ0410"/>
    <n v="0"/>
    <x v="300"/>
    <s v="0410"/>
    <n v="-41.345427120065402"/>
    <n v="-21.765814950099799"/>
    <n v="-41.307274170066798"/>
    <n v="-21.777320250429099"/>
    <s v="356"/>
    <s v="RJ"/>
    <s v="Eixo Principal"/>
    <s v="-"/>
    <s v="356BRJ0410"/>
    <s v="ENTR BR-101(B) (TREVO SUL DE CAMPOS)"/>
    <s v="ENTR RJ-216 *TRECHO MUNICIPAL*"/>
    <n v="140.30000000000001"/>
    <n v="146"/>
    <n v="5.7"/>
    <x v="1"/>
    <m/>
    <m/>
    <s v="Estadual"/>
    <m/>
    <s v="RJT-356"/>
    <s v="DUP"/>
    <s v="Estadual"/>
    <s v="PLA"/>
    <s v="Campos"/>
  </r>
  <r>
    <x v="0"/>
    <s v="356BRJ0430"/>
    <n v="0"/>
    <x v="300"/>
    <s v="0430"/>
    <n v="-41.307274170066798"/>
    <n v="-21.777320250429099"/>
    <n v="-41.153220569773403"/>
    <n v="-21.712364579761498"/>
    <s v="356"/>
    <s v="RJ"/>
    <s v="Eixo Principal"/>
    <s v="-"/>
    <s v="356BRJ0430"/>
    <s v="ENTR RJ-216"/>
    <s v="ENTR RJ-196 (SÃO DOMINGOS)"/>
    <n v="146"/>
    <n v="166.1"/>
    <n v="20.100000000000001"/>
    <x v="2"/>
    <m/>
    <m/>
    <s v="Federal"/>
    <m/>
    <m/>
    <m/>
    <s v="Federal"/>
    <s v="PAV"/>
    <s v="Campos"/>
  </r>
  <r>
    <x v="0"/>
    <s v="356BRJ0450"/>
    <n v="0"/>
    <x v="300"/>
    <s v="0450"/>
    <n v="-41.153220569773403"/>
    <n v="-21.712364579761498"/>
    <n v="-41.019199799730899"/>
    <n v="-21.6265702898868"/>
    <s v="356"/>
    <s v="RJ"/>
    <s v="Eixo Principal"/>
    <s v="-"/>
    <s v="356BRJ0450"/>
    <s v="ENTR RJ-196 (SÃO DOMINGOS)"/>
    <s v="SÃO JOÃO DA BARRA"/>
    <n v="166.1"/>
    <n v="187.7"/>
    <n v="21.6"/>
    <x v="2"/>
    <m/>
    <m/>
    <s v="Federal"/>
    <m/>
    <m/>
    <m/>
    <s v="Federal"/>
    <s v="PAV"/>
    <s v="Campos"/>
  </r>
  <r>
    <x v="0"/>
    <s v="356CRJ1005"/>
    <n v="0"/>
    <x v="301"/>
    <s v="1005"/>
    <n v="-41.9370790603503"/>
    <n v="-21.184378200293601"/>
    <n v="-41.842093700064098"/>
    <n v="-21.208142229580101"/>
    <s v="356"/>
    <s v="RJ"/>
    <s v="Contorno"/>
    <s v="-"/>
    <s v="356CRJ1005"/>
    <s v="ENTR BR-356 (KM 31)"/>
    <s v="ENTR BR-356 (KM 39) (CONTORNO DE ITAPERUNA)"/>
    <n v="0"/>
    <n v="12.5"/>
    <n v="12.5"/>
    <x v="1"/>
    <m/>
    <m/>
    <s v="Federal"/>
    <m/>
    <m/>
    <m/>
    <s v="Federal"/>
    <s v="PLA"/>
    <s v="Campos"/>
  </r>
  <r>
    <x v="0"/>
    <s v="359BGO0010"/>
    <n v="0"/>
    <x v="302"/>
    <s v="0010"/>
    <n v="-52.519309510225597"/>
    <n v="-17.576573280132699"/>
    <n v="-52.617783609625803"/>
    <n v="-17.598815679899602"/>
    <s v="359"/>
    <s v="GO"/>
    <s v="Eixo Principal"/>
    <s v="-"/>
    <s v="359BGO0010"/>
    <s v="ENTR BR-364/GO-341(A) (MINEIROS)"/>
    <s v="ENTR GO-306"/>
    <n v="0"/>
    <n v="12.2"/>
    <n v="12.2"/>
    <x v="1"/>
    <m/>
    <m/>
    <s v="Estadual"/>
    <m/>
    <s v="GO-341"/>
    <s v="PAV"/>
    <s v="Estadual"/>
    <s v="PLA"/>
    <s v="Jataí"/>
  </r>
  <r>
    <x v="0"/>
    <s v="359BGO0015"/>
    <n v="0"/>
    <x v="302"/>
    <s v="0015"/>
    <n v="-52.617783609625803"/>
    <n v="-17.598815679899602"/>
    <n v="-52.9104394996831"/>
    <n v="-17.634164300042301"/>
    <s v="359"/>
    <s v="GO"/>
    <s v="Eixo Principal"/>
    <s v="-"/>
    <s v="359BGO0015"/>
    <s v="ENTR GO-306"/>
    <s v="RIO BABILÔNIA"/>
    <n v="12.2"/>
    <n v="43.9"/>
    <n v="31.7"/>
    <x v="1"/>
    <m/>
    <m/>
    <s v="Estadual"/>
    <m/>
    <s v="GO-341"/>
    <s v="PAV"/>
    <s v="Estadual"/>
    <s v="PLA"/>
    <s v="Jataí"/>
  </r>
  <r>
    <x v="0"/>
    <s v="359BGO0020"/>
    <n v="0"/>
    <x v="302"/>
    <s v="0020"/>
    <n v="-52.9104394996831"/>
    <n v="-17.634164300042301"/>
    <n v="-53.139693619864602"/>
    <n v="-18.071825199573201"/>
    <s v="359"/>
    <s v="GO"/>
    <s v="Eixo Principal"/>
    <s v="-"/>
    <s v="359BGO0020"/>
    <s v="RIO BABILÔNIA"/>
    <s v="ENTR GO-341(B) (DIV GO/MS)"/>
    <n v="43.9"/>
    <n v="113.9"/>
    <n v="70"/>
    <x v="1"/>
    <m/>
    <m/>
    <s v="Estadual"/>
    <m/>
    <s v="GO-341"/>
    <s v="PAV"/>
    <s v="Estadual"/>
    <s v="PLA"/>
    <s v="Jataí"/>
  </r>
  <r>
    <x v="0"/>
    <s v="359BMS0030"/>
    <n v="0"/>
    <x v="303"/>
    <s v="0030"/>
    <n v="-53.139693619864602"/>
    <n v="-18.071825199573201"/>
    <n v="-53.151155650212999"/>
    <n v="-18.062232679894201"/>
    <s v="359"/>
    <s v="MS"/>
    <s v="Eixo Principal"/>
    <s v="-"/>
    <s v="359BMS0030"/>
    <s v="DIV GO/MS"/>
    <s v="INÍCIO DO TRECHO PAVIMENTADO"/>
    <n v="0"/>
    <n v="1.4"/>
    <n v="1.4"/>
    <x v="2"/>
    <m/>
    <m/>
    <s v="Federal"/>
    <m/>
    <m/>
    <m/>
    <s v="Federal"/>
    <s v="PAV"/>
    <s v="Coxim"/>
  </r>
  <r>
    <x v="0"/>
    <s v="359BMS0035"/>
    <n v="0"/>
    <x v="303"/>
    <s v="0035"/>
    <n v="-53.151155650212999"/>
    <n v="-18.062232679894201"/>
    <n v="-53.124162970244797"/>
    <n v="-18.200648069852399"/>
    <s v="359"/>
    <s v="MS"/>
    <s v="Eixo Principal"/>
    <s v="-"/>
    <s v="359BMS0035"/>
    <s v="INÍCIO DO TRECHO PAVIMENTADO"/>
    <s v="ENTR MS-306 (FAZENDA BAÚS)"/>
    <n v="1.4"/>
    <n v="17.100000000000001"/>
    <n v="15.7"/>
    <x v="2"/>
    <m/>
    <m/>
    <s v="Federal"/>
    <m/>
    <m/>
    <m/>
    <s v="Federal"/>
    <s v="PAV"/>
    <s v="Coxim"/>
  </r>
  <r>
    <x v="0"/>
    <s v="359BMS0040"/>
    <n v="0"/>
    <x v="303"/>
    <s v="0040"/>
    <n v="-53.124162970244797"/>
    <n v="-18.200648069852399"/>
    <n v="-53.264365250156096"/>
    <n v="-18.344244089892801"/>
    <s v="359"/>
    <s v="MS"/>
    <s v="Eixo Principal"/>
    <s v="-"/>
    <s v="359BMS0040"/>
    <s v="ENTR MS-306 (FAZENDA BAÚS)"/>
    <s v="ENTR MS-135 (P/COSTA RICA)"/>
    <n v="17.100000000000001"/>
    <n v="41.6"/>
    <n v="24.5"/>
    <x v="2"/>
    <m/>
    <m/>
    <s v="Federal"/>
    <m/>
    <m/>
    <m/>
    <s v="Federal"/>
    <s v="PAV"/>
    <s v="Coxim"/>
  </r>
  <r>
    <x v="0"/>
    <s v="359BMS0045"/>
    <n v="0"/>
    <x v="303"/>
    <s v="0045"/>
    <n v="-53.264365250156096"/>
    <n v="-18.344244089892801"/>
    <n v="-53.715573080133403"/>
    <n v="-18.331055819870102"/>
    <s v="359"/>
    <s v="MS"/>
    <s v="Eixo Principal"/>
    <s v="-"/>
    <s v="359BMS0045"/>
    <s v="ENTR MS-135 (P/COSTA RICA)"/>
    <s v="ENTR MS-436 (ALCINÓPOLIS)"/>
    <n v="41.6"/>
    <n v="104.9"/>
    <n v="63.3"/>
    <x v="2"/>
    <m/>
    <m/>
    <s v="Federal"/>
    <m/>
    <m/>
    <m/>
    <s v="Federal"/>
    <s v="PAV"/>
    <s v="Coxim"/>
  </r>
  <r>
    <x v="0"/>
    <s v="359BMS0050"/>
    <n v="0"/>
    <x v="303"/>
    <s v="0050"/>
    <n v="-53.715573080133403"/>
    <n v="-18.331055819870102"/>
    <n v="-54.014869399603"/>
    <n v="-18.253392740382498"/>
    <s v="359"/>
    <s v="MS"/>
    <s v="Eixo Principal"/>
    <s v="-"/>
    <s v="359BMS0050"/>
    <s v="ENTR MS-436 (ALCINÓPOLIS)"/>
    <s v="ENTR MS-217"/>
    <n v="104.9"/>
    <n v="141.19999999999999"/>
    <n v="36.299999999999997"/>
    <x v="2"/>
    <m/>
    <m/>
    <s v="Federal"/>
    <m/>
    <m/>
    <m/>
    <s v="Federal"/>
    <s v="PAV"/>
    <s v="Coxim"/>
  </r>
  <r>
    <x v="0"/>
    <s v="359BMS0054"/>
    <n v="0"/>
    <x v="303"/>
    <s v="0054"/>
    <n v="-54.014869399603"/>
    <n v="-18.253392740382498"/>
    <n v="-54.238936990149902"/>
    <n v="-18.307744110002599"/>
    <s v="359"/>
    <s v="MS"/>
    <s v="Eixo Principal"/>
    <s v="-"/>
    <s v="359BMS0054"/>
    <s v="ENTR MS-217"/>
    <s v="ENTR MS-142"/>
    <n v="141.19999999999999"/>
    <n v="166.5"/>
    <n v="25.3"/>
    <x v="2"/>
    <m/>
    <m/>
    <s v="Federal"/>
    <m/>
    <m/>
    <m/>
    <s v="Federal"/>
    <s v="PAV"/>
    <s v="Coxim"/>
  </r>
  <r>
    <x v="0"/>
    <s v="359BMS0058"/>
    <n v="0"/>
    <x v="303"/>
    <s v="0058"/>
    <n v="-54.238936990149902"/>
    <n v="-18.307744110002599"/>
    <n v="-54.678197129793602"/>
    <n v="-18.501068309854499"/>
    <s v="359"/>
    <s v="MS"/>
    <s v="Eixo Principal"/>
    <s v="-"/>
    <s v="359BMS0058"/>
    <s v="ENTR MS-142"/>
    <s v="ENTR MS-223(A) (SILVIOLÂNDIA)"/>
    <n v="166.5"/>
    <n v="223.7"/>
    <n v="57.2"/>
    <x v="2"/>
    <m/>
    <m/>
    <s v="Federal"/>
    <m/>
    <m/>
    <m/>
    <s v="Federal"/>
    <s v="PAV"/>
    <s v="Coxim"/>
  </r>
  <r>
    <x v="0"/>
    <s v="359BMS0060"/>
    <n v="0"/>
    <x v="303"/>
    <s v="0060"/>
    <n v="-54.678197129793602"/>
    <n v="-18.501068309854499"/>
    <n v="-54.733491860360999"/>
    <n v="-18.503014090228"/>
    <s v="359"/>
    <s v="MS"/>
    <s v="Eixo Principal"/>
    <s v="-"/>
    <s v="359BMS0060"/>
    <s v="ENTR MS-223(A) (SILVIOLÂNDIA)"/>
    <s v="ENTR BR-163/MS-217/223(B) (COXIM)"/>
    <n v="223.7"/>
    <n v="230.3"/>
    <n v="6.6"/>
    <x v="1"/>
    <m/>
    <m/>
    <s v="Estadual"/>
    <m/>
    <s v="MS-217"/>
    <s v="PAV"/>
    <s v="Estadual"/>
    <s v="PLA"/>
    <s v="Coxim"/>
  </r>
  <r>
    <x v="0"/>
    <s v="359BMS0070"/>
    <n v="0"/>
    <x v="303"/>
    <s v="0070"/>
    <n v="-54.733491860360999"/>
    <n v="-18.503014090228"/>
    <n v="-55.598160497309003"/>
    <n v="-18.673516555144801"/>
    <s v="359"/>
    <s v="MS"/>
    <s v="Eixo Principal"/>
    <s v="-"/>
    <s v="359BMS0070"/>
    <s v="ENTR BR-163/MS-217/223(B) (COXIM)"/>
    <s v="PROMISSÂO"/>
    <n v="230.3"/>
    <n v="320.3"/>
    <n v="90"/>
    <x v="1"/>
    <m/>
    <m/>
    <s v="Federal"/>
    <m/>
    <m/>
    <m/>
    <s v="Federal"/>
    <s v="PLA"/>
    <s v="Anastácio"/>
  </r>
  <r>
    <x v="0"/>
    <s v="359BMS0080"/>
    <n v="0"/>
    <x v="303"/>
    <s v="0080"/>
    <n v="-55.598160497309003"/>
    <n v="-18.673516555144801"/>
    <n v="-56.271506884634903"/>
    <n v="-18.809727591654902"/>
    <s v="359"/>
    <s v="MS"/>
    <s v="Eixo Principal"/>
    <s v="-"/>
    <s v="359BMS0080"/>
    <s v="PROMISSÂO"/>
    <s v="SÂO VICENTE"/>
    <n v="320.3"/>
    <n v="390.3"/>
    <n v="70"/>
    <x v="1"/>
    <m/>
    <m/>
    <s v="Federal"/>
    <m/>
    <m/>
    <m/>
    <s v="Federal"/>
    <s v="PLA"/>
    <s v="Anastácio"/>
  </r>
  <r>
    <x v="0"/>
    <s v="359BMS0090"/>
    <n v="0"/>
    <x v="303"/>
    <s v="0090"/>
    <n v="-56.271506884634903"/>
    <n v="-18.809727591654902"/>
    <n v="-57.186428130253901"/>
    <n v="-18.989045380339899"/>
    <s v="359"/>
    <s v="MS"/>
    <s v="Eixo Principal"/>
    <s v="-"/>
    <s v="359BMS0090"/>
    <s v="SÂO VICENTE"/>
    <s v="RIO TAQUARÍ"/>
    <n v="390.3"/>
    <n v="485.3"/>
    <n v="95"/>
    <x v="1"/>
    <m/>
    <m/>
    <s v="Federal"/>
    <m/>
    <m/>
    <m/>
    <s v="Federal"/>
    <s v="PLA"/>
    <s v="Anastácio"/>
  </r>
  <r>
    <x v="0"/>
    <s v="359BMS0092"/>
    <n v="0"/>
    <x v="303"/>
    <s v="0092"/>
    <n v="-57.186428130253901"/>
    <n v="-18.989045380339899"/>
    <n v="-57.503680519640199"/>
    <n v="-19.022453230232301"/>
    <s v="359"/>
    <s v="MS"/>
    <s v="Eixo Principal"/>
    <s v="-"/>
    <s v="359BMS0092"/>
    <s v="RIO TAQUARÍ"/>
    <s v="ENTR MS-307/428(A) (DIQUE ESTRADA)"/>
    <n v="485.3"/>
    <n v="512.29999999999995"/>
    <n v="27"/>
    <x v="1"/>
    <m/>
    <m/>
    <s v="Federal"/>
    <m/>
    <m/>
    <m/>
    <s v="Federal"/>
    <s v="PLA"/>
    <s v="Anastácio"/>
  </r>
  <r>
    <x v="0"/>
    <s v="359BMS0100"/>
    <n v="0"/>
    <x v="303"/>
    <s v="0100"/>
    <n v="-57.503680519640199"/>
    <n v="-19.022453230232301"/>
    <n v="-57.614131950129298"/>
    <n v="-19.021625680380701"/>
    <s v="359"/>
    <s v="MS"/>
    <s v="Eixo Principal"/>
    <s v="-"/>
    <s v="359BMS0100"/>
    <s v="ENTR MS-307/428(A) (DIQUE ESTRADA)"/>
    <s v="INÍCIO DO TRECHO PAVIMENTADO"/>
    <n v="512.29999999999995"/>
    <n v="523.9"/>
    <n v="11.6"/>
    <x v="1"/>
    <m/>
    <m/>
    <s v="Estadual"/>
    <m/>
    <s v="MS-428"/>
    <s v="IMP"/>
    <s v="Estadual"/>
    <s v="PLA"/>
    <s v="Anastácio"/>
  </r>
  <r>
    <x v="0"/>
    <s v="359BMS0105"/>
    <n v="0"/>
    <x v="303"/>
    <s v="0105"/>
    <n v="-57.614131950129298"/>
    <n v="-19.021625680380701"/>
    <n v="-57.618685949696697"/>
    <n v="-19.025733799674999"/>
    <s v="359"/>
    <s v="MS"/>
    <s v="Eixo Principal"/>
    <s v="-"/>
    <s v="359BMS0105"/>
    <s v="INÍCIO DO TRECHO PAVIMENTADO"/>
    <s v="ENTR ACESSO A LADÁRIO"/>
    <n v="523.9"/>
    <n v="524.6"/>
    <n v="0.7"/>
    <x v="2"/>
    <m/>
    <m/>
    <s v="Federal"/>
    <m/>
    <m/>
    <m/>
    <s v="Federal"/>
    <s v="PAV"/>
    <s v="Anastácio"/>
  </r>
  <r>
    <x v="0"/>
    <s v="359BMS0110"/>
    <n v="0"/>
    <x v="303"/>
    <s v="0110"/>
    <n v="-57.618685949696697"/>
    <n v="-19.025733799674999"/>
    <n v="-57.621252149866699"/>
    <n v="-19.0739034903537"/>
    <s v="359"/>
    <s v="MS"/>
    <s v="Eixo Principal"/>
    <s v="-"/>
    <s v="359BMS0110"/>
    <s v="ENTR ACESSO A LADÁRIO"/>
    <s v="ENTR BR-262(A)"/>
    <n v="524.6"/>
    <n v="529.79999999999995"/>
    <n v="5.2"/>
    <x v="2"/>
    <m/>
    <m/>
    <s v="Federal"/>
    <m/>
    <m/>
    <m/>
    <s v="Federal"/>
    <s v="PAV"/>
    <s v="Anastácio"/>
  </r>
  <r>
    <x v="0"/>
    <s v="359BMS0115"/>
    <n v="0"/>
    <x v="303"/>
    <s v="0115"/>
    <n v="-57.621252149866699"/>
    <n v="-19.0739034903537"/>
    <n v="-57.694248470090699"/>
    <n v="-19.018372880204101"/>
    <s v="359"/>
    <s v="MS"/>
    <s v="Eixo Principal"/>
    <s v="Coinc"/>
    <s v="359BMS0115"/>
    <s v="ENTR BR-262(A)"/>
    <s v="ENTR MS-428 (CONTORNO DE CORUMBÁ)"/>
    <n v="529.79999999999995"/>
    <n v="541.70000000000005"/>
    <n v="11.9"/>
    <x v="2"/>
    <m/>
    <s v="262BMS1465"/>
    <s v="Federal"/>
    <m/>
    <m/>
    <m/>
    <s v="Federal"/>
    <s v="PAV"/>
    <s v="Anastácio"/>
  </r>
  <r>
    <x v="0"/>
    <s v="359BMS0120"/>
    <n v="0"/>
    <x v="303"/>
    <s v="0120"/>
    <n v="-57.694248470090699"/>
    <n v="-19.018372880204101"/>
    <n v="-57.708119679879303"/>
    <n v="-19.028360669908899"/>
    <s v="359"/>
    <s v="MS"/>
    <s v="Eixo Principal"/>
    <s v="Coinc"/>
    <s v="359BMS0120"/>
    <s v="ENTR MS-428 (CONTORNO DE CORUMBÁ)"/>
    <s v="FRONT BRASIL/BOLIVIA (CORUMBÁ)"/>
    <n v="541.70000000000005"/>
    <n v="543.5"/>
    <n v="1.8"/>
    <x v="2"/>
    <m/>
    <s v="262BMS1470"/>
    <s v="Federal"/>
    <m/>
    <m/>
    <m/>
    <s v="Federal"/>
    <s v="PAV"/>
    <s v="Anastácio"/>
  </r>
  <r>
    <x v="0"/>
    <s v="361BPB0010"/>
    <n v="0"/>
    <x v="304"/>
    <s v="0010"/>
    <n v="-37.259195850408098"/>
    <n v="-7.0181584302672997"/>
    <n v="-37.277083230106903"/>
    <n v="-7.0263741598395697"/>
    <s v="361"/>
    <s v="PB"/>
    <s v="Eixo Principal"/>
    <s v="-"/>
    <s v="361BPB0010"/>
    <s v="ENTR BR-230 (PATOS)"/>
    <s v="INÍCIO DUPLICAÇÃO TRAVESSIA URBANA (PATOS)"/>
    <n v="0"/>
    <n v="2.1"/>
    <n v="2.1"/>
    <x v="2"/>
    <m/>
    <m/>
    <s v="Federal"/>
    <m/>
    <m/>
    <m/>
    <s v="Federal"/>
    <s v="PAV"/>
    <s v="Patos"/>
  </r>
  <r>
    <x v="0"/>
    <s v="361BPB0012"/>
    <n v="0"/>
    <x v="304"/>
    <s v="0012"/>
    <n v="-37.277083230106903"/>
    <n v="-7.0263741598395697"/>
    <n v="-37.289620499786103"/>
    <n v="-7.0309234100872597"/>
    <s v="361"/>
    <s v="PB"/>
    <s v="Eixo Principal"/>
    <s v="-"/>
    <s v="361BPB0012"/>
    <s v="INÍCIO DUPLICAÇÃO TRAVESSIA URBANA (PATOS)"/>
    <s v="FIM DUPLICAÇÃO TRAVESSIA URBANA (PATOS)"/>
    <n v="2.1"/>
    <n v="3.5"/>
    <n v="1.4"/>
    <x v="0"/>
    <m/>
    <m/>
    <s v="Federal"/>
    <m/>
    <m/>
    <m/>
    <s v="Federal"/>
    <s v="PAV"/>
    <s v="Patos"/>
  </r>
  <r>
    <x v="0"/>
    <s v="361BPB0014"/>
    <n v="0"/>
    <x v="304"/>
    <s v="0014"/>
    <n v="-37.289620499786103"/>
    <n v="-7.0309234100872597"/>
    <n v="-37.689626709704797"/>
    <n v="-7.1658018500752902"/>
    <s v="361"/>
    <s v="PB"/>
    <s v="Eixo Principal"/>
    <s v="-"/>
    <s v="361BPB0014"/>
    <s v="FIM DUPLICAÇÃO TRAVESSIA URBANA (PATOS)"/>
    <s v="ENTR PB-312 (P/EMAS)"/>
    <n v="3.5"/>
    <n v="54.4"/>
    <n v="50.9"/>
    <x v="2"/>
    <m/>
    <m/>
    <s v="Federal"/>
    <m/>
    <m/>
    <m/>
    <s v="Federal"/>
    <s v="PAV"/>
    <s v="Patos"/>
  </r>
  <r>
    <x v="0"/>
    <s v="361BPB0015"/>
    <n v="0"/>
    <x v="304"/>
    <s v="0015"/>
    <n v="-37.689626709704797"/>
    <n v="-7.1658018500752902"/>
    <n v="-37.755609399853803"/>
    <n v="-7.2116341002334803"/>
    <s v="361"/>
    <s v="PB"/>
    <s v="Eixo Principal"/>
    <s v="-"/>
    <s v="361BPB0015"/>
    <s v="ENTR PB-312 (P/EMAS)"/>
    <s v="ACESSO OLHO D'ÁGUA"/>
    <n v="54.4"/>
    <n v="63.8"/>
    <n v="9.4"/>
    <x v="2"/>
    <m/>
    <m/>
    <s v="Federal"/>
    <m/>
    <m/>
    <m/>
    <s v="Federal"/>
    <s v="PAV"/>
    <s v="Patos"/>
  </r>
  <r>
    <x v="0"/>
    <s v="361BPB0020"/>
    <n v="0"/>
    <x v="304"/>
    <s v="0020"/>
    <n v="-37.755609399853803"/>
    <n v="-7.2116341002334803"/>
    <n v="-37.926565370395501"/>
    <n v="-7.2022919796910401"/>
    <s v="361"/>
    <s v="PB"/>
    <s v="Eixo Principal"/>
    <s v="-"/>
    <s v="361BPB0020"/>
    <s v="ACESSO OLHO D'ÁGUA"/>
    <s v="ENTR BR-426(A) (PIANCÓ)"/>
    <n v="63.8"/>
    <n v="84.7"/>
    <n v="20.9"/>
    <x v="2"/>
    <m/>
    <m/>
    <s v="Federal"/>
    <m/>
    <m/>
    <m/>
    <s v="Federal"/>
    <s v="PAV"/>
    <s v="Patos"/>
  </r>
  <r>
    <x v="0"/>
    <s v="361BPB0030"/>
    <n v="0"/>
    <x v="304"/>
    <s v="0030"/>
    <n v="-37.926565370395501"/>
    <n v="-7.2022919796910401"/>
    <n v="-37.965528089749498"/>
    <n v="-7.2152108398083703"/>
    <s v="361"/>
    <s v="PB"/>
    <s v="Eixo Principal"/>
    <s v="-"/>
    <s v="361BPB0030"/>
    <s v="ENTR BR-426(A) (PIANCÓ)"/>
    <s v="ENTR BR-426(B) (P/COREMAS)"/>
    <n v="84.7"/>
    <n v="89.7"/>
    <n v="5"/>
    <x v="2"/>
    <m/>
    <s v="426BPB0040"/>
    <s v="Federal"/>
    <m/>
    <m/>
    <m/>
    <s v="Federal"/>
    <s v="PAV"/>
    <s v="Patos"/>
  </r>
  <r>
    <x v="0"/>
    <s v="361BPB0035"/>
    <n v="0"/>
    <x v="304"/>
    <s v="0035"/>
    <n v="-37.965528089749498"/>
    <n v="-7.2152108398083703"/>
    <n v="-38.007910240165401"/>
    <n v="-7.22359283963777"/>
    <s v="361"/>
    <s v="PB"/>
    <s v="Eixo Principal"/>
    <s v="-"/>
    <s v="361BPB0035"/>
    <s v="ENTR BR-426(B) (P/COREMAS)"/>
    <s v="ENTR PB-364 (P/AGUIAR)"/>
    <n v="89.7"/>
    <n v="94.6"/>
    <n v="4.9000000000000004"/>
    <x v="2"/>
    <m/>
    <m/>
    <s v="Federal"/>
    <m/>
    <m/>
    <m/>
    <s v="Federal"/>
    <s v="PAV"/>
    <s v="Patos"/>
  </r>
  <r>
    <x v="0"/>
    <s v="361BPB0040"/>
    <n v="0"/>
    <x v="304"/>
    <s v="0040"/>
    <n v="-38.007910240165401"/>
    <n v="-7.22359283963777"/>
    <n v="-38.145178070011802"/>
    <n v="-7.2975201200574702"/>
    <s v="361"/>
    <s v="PB"/>
    <s v="Eixo Principal"/>
    <s v="-"/>
    <s v="361BPB0040"/>
    <s v="ENTR PB-364 (P/AGUIAR)"/>
    <s v="ITAPORANGA"/>
    <n v="94.6"/>
    <n v="113"/>
    <n v="18.399999999999999"/>
    <x v="2"/>
    <m/>
    <m/>
    <s v="Federal"/>
    <m/>
    <m/>
    <m/>
    <s v="Federal"/>
    <s v="PAV"/>
    <s v="Patos"/>
  </r>
  <r>
    <x v="0"/>
    <s v="361BPB0050"/>
    <n v="0"/>
    <x v="304"/>
    <s v="0050"/>
    <n v="-38.145178070011802"/>
    <n v="-7.2975201200574702"/>
    <n v="-38.217561000439702"/>
    <n v="-7.4216159998784397"/>
    <s v="361"/>
    <s v="PB"/>
    <s v="Eixo Principal"/>
    <s v="-"/>
    <s v="361BPB0050"/>
    <s v="ITAPORANGA"/>
    <s v="BOA VENTURA"/>
    <n v="113"/>
    <n v="131.1"/>
    <n v="18.100000000000001"/>
    <x v="1"/>
    <m/>
    <m/>
    <s v="Estadual"/>
    <m/>
    <s v="PB-386"/>
    <s v="PAV"/>
    <s v="Estadual"/>
    <s v="PLA"/>
    <s v="Patos"/>
  </r>
  <r>
    <x v="0"/>
    <s v="361BPB0055"/>
    <n v="0"/>
    <x v="304"/>
    <s v="0055"/>
    <n v="-38.217561000439702"/>
    <n v="-7.4216159998784397"/>
    <n v="-38.245916999569801"/>
    <n v="-7.4309519996350497"/>
    <s v="361"/>
    <s v="PB"/>
    <s v="Eixo Principal"/>
    <s v="-"/>
    <s v="361BPB0055"/>
    <s v="BOA VENTURA"/>
    <s v="ENTR PB-370 (P/CURRAL VELHO)"/>
    <n v="131.1"/>
    <n v="135.30000000000001"/>
    <n v="4.2"/>
    <x v="1"/>
    <m/>
    <m/>
    <s v="Estadual"/>
    <m/>
    <s v="PB-386"/>
    <s v="PAV"/>
    <s v="Estadual"/>
    <s v="PLA"/>
    <s v="Patos"/>
  </r>
  <r>
    <x v="0"/>
    <s v="361BPB0060"/>
    <n v="0"/>
    <x v="304"/>
    <s v="0060"/>
    <n v="-38.245916999569801"/>
    <n v="-7.4309519996350497"/>
    <n v="-38.262480999898102"/>
    <n v="-7.4251760003720602"/>
    <s v="361"/>
    <s v="PB"/>
    <s v="Eixo Principal"/>
    <s v="-"/>
    <s v="361BPB0060"/>
    <s v="ENTR PB-370 (P/CURRAL VELHO)"/>
    <s v="DIAMANTE"/>
    <n v="135.30000000000001"/>
    <n v="137.4"/>
    <n v="2.1"/>
    <x v="1"/>
    <m/>
    <m/>
    <s v="Estadual"/>
    <m/>
    <s v="PB-386"/>
    <s v="PAV"/>
    <s v="Estadual"/>
    <s v="PLA"/>
    <s v="Patos"/>
  </r>
  <r>
    <x v="0"/>
    <s v="361BPB0070"/>
    <n v="0"/>
    <x v="304"/>
    <s v="0070"/>
    <n v="-38.262480999898102"/>
    <n v="-7.4251760003720602"/>
    <n v="-38.348828999658501"/>
    <n v="-7.4748379999736496"/>
    <s v="361"/>
    <s v="PB"/>
    <s v="Eixo Principal"/>
    <s v="-"/>
    <s v="361BPB0070"/>
    <s v="DIAMANTE"/>
    <s v="ENTR PB-306 (P/SANTANA DE MANGUEIRA)"/>
    <n v="137.4"/>
    <n v="149.4"/>
    <n v="12"/>
    <x v="1"/>
    <m/>
    <m/>
    <s v="Estadual"/>
    <m/>
    <s v="PB-386"/>
    <s v="PAV"/>
    <s v="Estadual"/>
    <s v="PLA"/>
    <s v="Patos"/>
  </r>
  <r>
    <x v="0"/>
    <s v="361BPB0080"/>
    <n v="0"/>
    <x v="304"/>
    <s v="0080"/>
    <n v="-38.348828999658501"/>
    <n v="-7.4748379999736496"/>
    <n v="-38.4036499997476"/>
    <n v="-7.49719000011833"/>
    <s v="361"/>
    <s v="PB"/>
    <s v="Eixo Principal"/>
    <s v="-"/>
    <s v="361BPB0080"/>
    <s v="ENTR PB-306 (P/SANTANA DE MANGUEIRA)"/>
    <s v="ENTR PB-372 (IBIARA)"/>
    <n v="149.4"/>
    <n v="156.9"/>
    <n v="7.5"/>
    <x v="1"/>
    <m/>
    <m/>
    <s v="Estadual"/>
    <m/>
    <s v="PB-386"/>
    <s v="PAV"/>
    <s v="Estadual"/>
    <s v="PLA"/>
    <s v="Patos"/>
  </r>
  <r>
    <x v="0"/>
    <s v="361BPB0090"/>
    <n v="0"/>
    <x v="304"/>
    <s v="0090"/>
    <n v="-38.4036499997476"/>
    <n v="-7.49719000011833"/>
    <n v="-38.503791739896798"/>
    <n v="-7.5533695997272003"/>
    <s v="361"/>
    <s v="PB"/>
    <s v="Eixo Principal"/>
    <s v="-"/>
    <s v="361BPB0090"/>
    <s v="ENTR PB-372 (IBIARA)"/>
    <s v="ENTR PB-400(A) (CONCEIÇÃO)"/>
    <n v="156.9"/>
    <n v="170.5"/>
    <n v="13.6"/>
    <x v="1"/>
    <m/>
    <m/>
    <s v="Estadual"/>
    <m/>
    <s v="PB-386"/>
    <s v="PAV"/>
    <s v="Estadual"/>
    <s v="PLA"/>
    <s v="Patos"/>
  </r>
  <r>
    <x v="0"/>
    <s v="361BPB0110"/>
    <n v="0"/>
    <x v="304"/>
    <s v="0110"/>
    <n v="-38.503791739896798"/>
    <n v="-7.5533695997272003"/>
    <n v="-38.630069150171003"/>
    <n v="-7.6832653198385898"/>
    <s v="361"/>
    <s v="PB"/>
    <s v="Eixo Principal"/>
    <s v="-"/>
    <s v="361BPB0110"/>
    <s v="ENTR PB-400(A) (CONCEIÇÃO)"/>
    <s v="ENTR PB-400(B) (DIV PB/PE)"/>
    <n v="170.5"/>
    <n v="192.3"/>
    <n v="21.8"/>
    <x v="1"/>
    <m/>
    <m/>
    <s v="Estadual"/>
    <m/>
    <s v="PB-400"/>
    <s v="LEN"/>
    <s v="Estadual"/>
    <s v="PLA"/>
    <s v="Patos"/>
  </r>
  <r>
    <x v="0"/>
    <s v="361BPE0130"/>
    <n v="0"/>
    <x v="305"/>
    <s v="0130"/>
    <n v="-38.630069150171003"/>
    <n v="-7.6832653198385898"/>
    <n v="-38.691609982614501"/>
    <n v="-7.7274711146002302"/>
    <s v="361"/>
    <s v="PE"/>
    <s v="Eixo Principal"/>
    <s v="-"/>
    <s v="361BPE0130"/>
    <s v="DIV PB/PE"/>
    <s v="ENTR PE-414 (P/SERRA TALHADA)"/>
    <n v="0"/>
    <n v="8"/>
    <n v="8"/>
    <x v="1"/>
    <m/>
    <m/>
    <s v="Federal"/>
    <m/>
    <m/>
    <m/>
    <s v="Federal"/>
    <s v="PLA"/>
    <s v="Salgueiro"/>
  </r>
  <r>
    <x v="0"/>
    <s v="361BPE0150"/>
    <n v="0"/>
    <x v="305"/>
    <s v="0150"/>
    <n v="-38.691609982614501"/>
    <n v="-7.7274711146002302"/>
    <n v="-38.941060614155901"/>
    <n v="-7.91545889211414"/>
    <s v="361"/>
    <s v="PE"/>
    <s v="Eixo Principal"/>
    <s v="-"/>
    <s v="361BPE0150"/>
    <s v="ENTR PE-414 (P/SERRA TALHADA)"/>
    <s v="ENTR PE-430 (P/SÃO JOSÉ DO BELMONTE)"/>
    <n v="8"/>
    <n v="41"/>
    <n v="33"/>
    <x v="1"/>
    <m/>
    <m/>
    <s v="Federal"/>
    <m/>
    <m/>
    <m/>
    <s v="Federal"/>
    <s v="PLA"/>
    <s v="Salgueiro"/>
  </r>
  <r>
    <x v="0"/>
    <s v="361BPE0170"/>
    <n v="0"/>
    <x v="305"/>
    <s v="0170"/>
    <n v="-38.941060614155901"/>
    <n v="-7.91545889211414"/>
    <n v="-39.046036345201102"/>
    <n v="-7.9962176764045596"/>
    <s v="361"/>
    <s v="PE"/>
    <s v="Eixo Principal"/>
    <s v="-"/>
    <s v="361BPE0170"/>
    <s v="ENTR PE-430 (P/SÃO JOSÉ DO BELMONTE)"/>
    <s v="ENTR PE-450 (VERDEJANTE)"/>
    <n v="41"/>
    <n v="55"/>
    <n v="14"/>
    <x v="1"/>
    <m/>
    <m/>
    <s v="Federal"/>
    <m/>
    <m/>
    <m/>
    <s v="Federal"/>
    <s v="PLA"/>
    <s v="Salgueiro"/>
  </r>
  <r>
    <x v="0"/>
    <s v="361BPE0175"/>
    <n v="0"/>
    <x v="305"/>
    <s v="0175"/>
    <n v="-39.046036345201102"/>
    <n v="-7.9962176764045596"/>
    <n v="-39.134522119799897"/>
    <n v="-8.0673528901237397"/>
    <s v="361"/>
    <s v="PE"/>
    <s v="Eixo Principal"/>
    <s v="-"/>
    <s v="361BPE0175"/>
    <s v="ENTR PE-450 (VERDEJANTE)"/>
    <s v="ENTR BR-116/232 (SALGUEIRO)"/>
    <n v="55"/>
    <n v="67"/>
    <n v="12"/>
    <x v="1"/>
    <m/>
    <m/>
    <s v="Federal"/>
    <m/>
    <m/>
    <m/>
    <s v="Federal"/>
    <s v="PLA"/>
    <s v="Salgueiro"/>
  </r>
  <r>
    <x v="0"/>
    <s v="363BPE0010"/>
    <n v="0"/>
    <x v="306"/>
    <s v="0010"/>
    <n v="-32.400220310418902"/>
    <n v="-3.8350862496306402"/>
    <n v="-32.426431320349103"/>
    <n v="-3.8662868799355001"/>
    <s v="363"/>
    <s v="PE"/>
    <s v="Eixo Principal"/>
    <s v="-"/>
    <s v="363BPE0010"/>
    <s v="BAIA DE SANTO ANTÔNIO"/>
    <s v="BAÍA DE SUESTE"/>
    <n v="0"/>
    <n v="6.8"/>
    <n v="6.8"/>
    <x v="2"/>
    <m/>
    <m/>
    <s v="Federal"/>
    <m/>
    <m/>
    <m/>
    <s v="Federal"/>
    <s v="PAV"/>
    <s v="Recife"/>
  </r>
  <r>
    <x v="0"/>
    <s v="363BPE0030"/>
    <n v="0"/>
    <x v="306"/>
    <s v="0030"/>
    <n v="-32.426431320349103"/>
    <n v="-3.8662868799355001"/>
    <n v="-32.470306609762098"/>
    <n v="-3.8757887101807502"/>
    <s v="363"/>
    <s v="PE"/>
    <s v="Eixo Principal"/>
    <s v="-"/>
    <s v="363BPE0030"/>
    <s v="BAÍA DE SUESTE"/>
    <s v="ALTO BANDEIRA"/>
    <n v="6.8"/>
    <n v="13.6"/>
    <n v="6.8"/>
    <x v="1"/>
    <m/>
    <m/>
    <s v="Federal"/>
    <m/>
    <m/>
    <m/>
    <s v="Federal"/>
    <s v="PLA"/>
    <s v="Recife"/>
  </r>
  <r>
    <x v="0"/>
    <s v="364AAC1005"/>
    <n v="0"/>
    <x v="307"/>
    <s v="1005"/>
    <n v="-69.320262150078094"/>
    <n v="-8.8390597196303098"/>
    <n v="-69.269275619973797"/>
    <n v="-8.83165209027168"/>
    <s v="364"/>
    <s v="AC"/>
    <s v="Acesso"/>
    <s v="-"/>
    <s v="364AAC1005"/>
    <s v="ENTR BR-364 (KM 339,7)"/>
    <s v="MANOEL URBANO"/>
    <n v="0"/>
    <n v="6.4"/>
    <n v="6.4"/>
    <x v="2"/>
    <m/>
    <m/>
    <s v="Federal"/>
    <m/>
    <m/>
    <m/>
    <s v="Federal"/>
    <s v="PAV"/>
    <s v="Rio Branco"/>
  </r>
  <r>
    <x v="0"/>
    <s v="364ARO1005"/>
    <n v="0"/>
    <x v="308"/>
    <s v="1005"/>
    <n v="-60.123470859592402"/>
    <n v="-12.7430568601859"/>
    <n v="-60.118513050037102"/>
    <n v="-12.728941030304201"/>
    <s v="364"/>
    <s v="RO"/>
    <s v="Acesso"/>
    <s v="-"/>
    <s v="364ARO1005"/>
    <s v="ENTR AV. CELSO MAZZUTI (VILHENA)"/>
    <s v="FIM DUPLICAÇÃO"/>
    <n v="0"/>
    <n v="1.6"/>
    <n v="1.6"/>
    <x v="0"/>
    <m/>
    <m/>
    <s v="Federal"/>
    <m/>
    <m/>
    <m/>
    <s v="Federal"/>
    <s v="PAV"/>
    <s v="Pimenta Bueno"/>
  </r>
  <r>
    <x v="0"/>
    <s v="364ARO1010"/>
    <n v="0"/>
    <x v="308"/>
    <s v="1010"/>
    <n v="-60.118513050037102"/>
    <n v="-12.728941030304201"/>
    <n v="-60.103863100201799"/>
    <n v="-12.701155630328"/>
    <s v="364"/>
    <s v="RO"/>
    <s v="Acesso"/>
    <s v="-"/>
    <s v="364ARO1010"/>
    <s v="FIM DUPLICAÇÃO"/>
    <s v="AEROPORTO (ACESSO)"/>
    <n v="1.6"/>
    <n v="7"/>
    <n v="5.4"/>
    <x v="2"/>
    <m/>
    <m/>
    <s v="Federal"/>
    <m/>
    <m/>
    <m/>
    <s v="Federal"/>
    <s v="PAV"/>
    <s v="Pimenta Bueno"/>
  </r>
  <r>
    <x v="0"/>
    <s v="364BAC1550"/>
    <n v="0"/>
    <x v="309"/>
    <s v="1550"/>
    <n v="-66.802166190217406"/>
    <n v="-9.7705743302411108"/>
    <n v="-67.015255809607794"/>
    <n v="-9.9381847301411295"/>
    <s v="364"/>
    <s v="AC"/>
    <s v="Eixo Principal"/>
    <s v="-"/>
    <s v="364BAC1550"/>
    <s v="DIV RO/AC"/>
    <s v="ENTR AC-475 (P/ ACRELÂNDIA)"/>
    <n v="0"/>
    <n v="31.1"/>
    <n v="31.1"/>
    <x v="2"/>
    <m/>
    <m/>
    <s v="Federal"/>
    <m/>
    <m/>
    <m/>
    <s v="Federal"/>
    <s v="PAV"/>
    <s v="Rio Branco"/>
  </r>
  <r>
    <x v="0"/>
    <s v="364BAC1560"/>
    <n v="0"/>
    <x v="309"/>
    <s v="1560"/>
    <n v="-67.015255809607794"/>
    <n v="-9.9381847301411295"/>
    <n v="-67.581870849859698"/>
    <n v="-10.069546550232999"/>
    <s v="364"/>
    <s v="AC"/>
    <s v="Eixo Principal"/>
    <s v="-"/>
    <s v="364BAC1560"/>
    <s v="ENTR AC-475 (P/ ACRELÂNDIA)"/>
    <s v="ENTR BR-317 (QUATRO BOCAS)"/>
    <n v="31.1"/>
    <n v="98.6"/>
    <n v="67.5"/>
    <x v="2"/>
    <m/>
    <m/>
    <s v="Federal"/>
    <m/>
    <m/>
    <m/>
    <s v="Federal"/>
    <s v="PAV"/>
    <s v="Rio Branco"/>
  </r>
  <r>
    <x v="0"/>
    <s v="364BAC1570"/>
    <n v="0"/>
    <x v="309"/>
    <s v="1570"/>
    <n v="-67.581870849859698"/>
    <n v="-10.069546550232999"/>
    <n v="-67.713760720380805"/>
    <n v="-10.0130568499935"/>
    <s v="364"/>
    <s v="AC"/>
    <s v="Eixo Principal"/>
    <s v="-"/>
    <s v="364BAC1570"/>
    <s v="ENTR BR-317 (QUATRO BOCAS)"/>
    <s v="POSTO DA POLÍCIA RODOVIÁRIA FEDERAL"/>
    <n v="98.6"/>
    <n v="115.3"/>
    <n v="16.7"/>
    <x v="2"/>
    <m/>
    <m/>
    <s v="Federal"/>
    <m/>
    <m/>
    <m/>
    <s v="Federal"/>
    <s v="PAV"/>
    <s v="Rio Branco"/>
  </r>
  <r>
    <x v="0"/>
    <s v="364BAC1580"/>
    <n v="0"/>
    <x v="309"/>
    <s v="1580"/>
    <n v="-67.713760720380805"/>
    <n v="-10.0130568499935"/>
    <n v="-67.770499450089503"/>
    <n v="-10.0117942899744"/>
    <s v="364"/>
    <s v="AC"/>
    <s v="Eixo Principal"/>
    <s v="-"/>
    <s v="364BAC1580"/>
    <s v="POSTO DA POLÍCIA RODOVIÁRIA FEDERAL"/>
    <s v="INÍCIO DUPLICAÇÃO"/>
    <n v="115.3"/>
    <n v="121"/>
    <n v="5.7"/>
    <x v="2"/>
    <m/>
    <m/>
    <s v="Federal"/>
    <m/>
    <m/>
    <m/>
    <s v="Federal"/>
    <s v="PAV"/>
    <s v="Rio Branco"/>
  </r>
  <r>
    <x v="0"/>
    <s v="364BAC1585"/>
    <n v="0"/>
    <x v="309"/>
    <s v="1585"/>
    <n v="-67.770499450089503"/>
    <n v="-10.0117942899744"/>
    <n v="-67.808746829802303"/>
    <n v="-10.012822500158199"/>
    <s v="364"/>
    <s v="AC"/>
    <s v="Eixo Principal"/>
    <s v="-"/>
    <s v="364BAC1585"/>
    <s v="INÍCIO DUPLICAÇÃO"/>
    <s v="ENTR AC-040 (INÍCIO DO CONTORNO RIO BRANCO)"/>
    <n v="121"/>
    <n v="125.5"/>
    <n v="4.5"/>
    <x v="0"/>
    <m/>
    <m/>
    <s v="Federal"/>
    <m/>
    <m/>
    <m/>
    <s v="Federal"/>
    <s v="PAV"/>
    <s v="Rio Branco"/>
  </r>
  <r>
    <x v="0"/>
    <s v="364BAC1590"/>
    <n v="0"/>
    <x v="309"/>
    <s v="1590"/>
    <n v="-67.808746829802303"/>
    <n v="-10.012822500158199"/>
    <n v="-67.842613170261501"/>
    <n v="-10.012097789581199"/>
    <s v="364"/>
    <s v="AC"/>
    <s v="Eixo Principal"/>
    <s v="-"/>
    <s v="364BAC1590"/>
    <s v="ENTR AC-040 (INÍCIO CONTORNO RIO BRANCO)"/>
    <s v="INÍCIO DA PONTE SOBRE O RIO ACRE"/>
    <n v="125.5"/>
    <n v="131"/>
    <n v="5.5"/>
    <x v="2"/>
    <m/>
    <m/>
    <s v="Federal"/>
    <m/>
    <m/>
    <m/>
    <s v="Federal"/>
    <s v="PAV"/>
    <s v="Rio Branco"/>
  </r>
  <r>
    <x v="0"/>
    <s v="364BAC1600"/>
    <n v="0"/>
    <x v="309"/>
    <s v="1600"/>
    <n v="-67.842613170261501"/>
    <n v="-10.012097789581199"/>
    <n v="-67.844271930205295"/>
    <n v="-10.011197300215199"/>
    <s v="364"/>
    <s v="AC"/>
    <s v="Eixo Principal"/>
    <s v="-"/>
    <s v="364BAC1600"/>
    <s v="INÍCIO DA PONTE SOBRE O RIO ACRE"/>
    <s v="FIM DA PONTE SOBRE O RIO ACRE"/>
    <n v="131"/>
    <n v="131.30000000000001"/>
    <n v="0.3"/>
    <x v="2"/>
    <m/>
    <m/>
    <s v="Federal"/>
    <m/>
    <m/>
    <m/>
    <s v="Federal"/>
    <s v="PAV"/>
    <s v="Rio Branco"/>
  </r>
  <r>
    <x v="0"/>
    <s v="364BAC1610"/>
    <n v="0"/>
    <x v="309"/>
    <s v="1610"/>
    <n v="-67.844271930205295"/>
    <n v="-10.011197300215199"/>
    <n v="-67.848242300341795"/>
    <n v="-10.0068511096908"/>
    <s v="364"/>
    <s v="AC"/>
    <s v="Eixo Principal"/>
    <s v="-"/>
    <s v="364BAC1610"/>
    <s v="FIM DA PONTE SOBRE O RIO ACRE"/>
    <s v="ENTR AC-090 (FIM DO CONTORNO DE RIO BRANCO)"/>
    <n v="131.30000000000001"/>
    <n v="131.9"/>
    <n v="0.6"/>
    <x v="2"/>
    <m/>
    <m/>
    <s v="Federal"/>
    <m/>
    <m/>
    <m/>
    <s v="Federal"/>
    <s v="PAV"/>
    <s v="Rio Branco"/>
  </r>
  <r>
    <x v="0"/>
    <s v="364BAC1620"/>
    <n v="0"/>
    <x v="309"/>
    <s v="1620"/>
    <n v="-67.848242300341795"/>
    <n v="-10.0068511096908"/>
    <n v="-67.856626759817004"/>
    <n v="-9.9604665004285895"/>
    <s v="364"/>
    <s v="AC"/>
    <s v="Eixo Principal"/>
    <s v="-"/>
    <s v="364BAC1620"/>
    <s v="ENTR AC-090 (FIM DO CONTORNO DE RIO BRANCO)"/>
    <s v="ENTR AV. CEARÁ (RIO BRANCO)"/>
    <n v="131.9"/>
    <n v="137.5"/>
    <n v="5.6"/>
    <x v="0"/>
    <m/>
    <m/>
    <s v="Federal"/>
    <m/>
    <m/>
    <m/>
    <s v="Federal"/>
    <s v="PAV"/>
    <s v="Rio Branco"/>
  </r>
  <r>
    <x v="0"/>
    <s v="364BAC1625"/>
    <n v="0"/>
    <x v="309"/>
    <s v="1625"/>
    <n v="-67.856626759817004"/>
    <n v="-9.9604665004285895"/>
    <n v="-67.910416820279906"/>
    <n v="-9.8711377103369902"/>
    <s v="364"/>
    <s v="AC"/>
    <s v="Eixo Principal"/>
    <s v="-"/>
    <s v="364BAC1625"/>
    <s v="ENTR AV. CEARÁ (RIO BRANCO)"/>
    <s v="ENTR ACESSO AO AEROPORTO"/>
    <n v="137.5"/>
    <n v="149.5"/>
    <n v="12"/>
    <x v="0"/>
    <m/>
    <m/>
    <s v="Federal"/>
    <m/>
    <m/>
    <m/>
    <s v="Federal"/>
    <s v="PAV"/>
    <s v="Rio Branco"/>
  </r>
  <r>
    <x v="0"/>
    <s v="364BAC1630"/>
    <n v="0"/>
    <x v="309"/>
    <s v="1630"/>
    <n v="-67.910416820279906"/>
    <n v="-9.8711377103369902"/>
    <n v="-68.128805149837703"/>
    <n v="-9.7226469699816107"/>
    <s v="364"/>
    <s v="AC"/>
    <s v="Eixo Principal"/>
    <s v="-"/>
    <s v="364BAC1630"/>
    <s v="ENTR ACESSO AO AEROPORTO"/>
    <s v="RIOZINHO DO ANDIRÁ"/>
    <n v="149.5"/>
    <n v="178.8"/>
    <n v="29.3"/>
    <x v="2"/>
    <m/>
    <m/>
    <s v="Federal"/>
    <m/>
    <m/>
    <m/>
    <s v="Federal"/>
    <s v="PAV"/>
    <s v="Rio Branco"/>
  </r>
  <r>
    <x v="0"/>
    <s v="364BAC1635"/>
    <n v="0"/>
    <x v="309"/>
    <s v="1635"/>
    <n v="-68.128805149837703"/>
    <n v="-9.7226469699816107"/>
    <n v="-68.3559513400822"/>
    <n v="-9.4892875696655707"/>
    <s v="364"/>
    <s v="AC"/>
    <s v="Eixo Principal"/>
    <s v="-"/>
    <s v="364BAC1635"/>
    <s v="RIOZINHO DO ANDIRÁ"/>
    <s v="RIO ANTIMARI"/>
    <n v="178.8"/>
    <n v="214.8"/>
    <n v="36"/>
    <x v="2"/>
    <m/>
    <m/>
    <s v="Federal"/>
    <m/>
    <m/>
    <m/>
    <s v="Federal"/>
    <s v="PAV"/>
    <s v="Rio Branco"/>
  </r>
  <r>
    <x v="0"/>
    <s v="364BAC1640"/>
    <n v="0"/>
    <x v="309"/>
    <s v="1640"/>
    <n v="-68.3559513400822"/>
    <n v="-9.4892875696655707"/>
    <n v="-68.664253039745901"/>
    <n v="-9.0803659396363496"/>
    <s v="364"/>
    <s v="AC"/>
    <s v="Eixo Principal"/>
    <s v="-"/>
    <s v="364BAC1640"/>
    <s v="RIO ANTIMARI"/>
    <s v="ENTR AC-339 (SENA MADUREIRA)"/>
    <n v="214.8"/>
    <n v="272.89999999999998"/>
    <n v="58.1"/>
    <x v="2"/>
    <m/>
    <m/>
    <s v="Federal"/>
    <m/>
    <m/>
    <m/>
    <s v="Federal"/>
    <s v="PAV"/>
    <s v="Rio Branco"/>
  </r>
  <r>
    <x v="0"/>
    <s v="364BAC1670"/>
    <n v="0"/>
    <x v="309"/>
    <s v="1670"/>
    <n v="-68.664253039745901"/>
    <n v="-9.0803659396363496"/>
    <n v="-69.320262150078094"/>
    <n v="-8.8390597196303098"/>
    <s v="364"/>
    <s v="AC"/>
    <s v="Eixo Principal"/>
    <s v="-"/>
    <s v="364BAC1670"/>
    <s v="ENTR AC-339 (SENA MADUREIRA)"/>
    <s v="ACESSO A MANUEL URBANO"/>
    <n v="272.89999999999998"/>
    <n v="351.4"/>
    <n v="78.5"/>
    <x v="2"/>
    <m/>
    <m/>
    <s v="Federal"/>
    <m/>
    <m/>
    <m/>
    <s v="Federal"/>
    <s v="PAV"/>
    <s v="Rio Branco"/>
  </r>
  <r>
    <x v="0"/>
    <s v="364BAC1690"/>
    <n v="0"/>
    <x v="309"/>
    <s v="1690"/>
    <n v="-69.320262150078094"/>
    <n v="-8.8390597196303098"/>
    <n v="-69.474580849826296"/>
    <n v="-8.7548787604463794"/>
    <s v="364"/>
    <s v="AC"/>
    <s v="Eixo Principal"/>
    <s v="-"/>
    <s v="364BAC1690"/>
    <s v="ACESSO A MANUEL URBANO"/>
    <s v="RIO MACAPÁ"/>
    <n v="351.4"/>
    <n v="370.7"/>
    <n v="19.3"/>
    <x v="2"/>
    <m/>
    <m/>
    <s v="Federal"/>
    <m/>
    <m/>
    <m/>
    <s v="Federal"/>
    <s v="PAV"/>
    <s v="Rio Branco"/>
  </r>
  <r>
    <x v="0"/>
    <s v="364BAC1710"/>
    <n v="0"/>
    <x v="309"/>
    <s v="1710"/>
    <n v="-69.474580849826296"/>
    <n v="-8.7548787604463794"/>
    <n v="-69.930837409918396"/>
    <n v="-8.5523643796123494"/>
    <s v="364"/>
    <s v="AC"/>
    <s v="Eixo Principal"/>
    <s v="-"/>
    <s v="364BAC1710"/>
    <s v="RIO MACAPÁ"/>
    <s v="RIO JURUPARI"/>
    <n v="370.7"/>
    <n v="425.6"/>
    <n v="54.9"/>
    <x v="2"/>
    <m/>
    <m/>
    <s v="Federal"/>
    <m/>
    <m/>
    <m/>
    <s v="Federal"/>
    <s v="PAV"/>
    <s v="Rio Branco"/>
  </r>
  <r>
    <x v="0"/>
    <s v="364BAC1730"/>
    <n v="0"/>
    <x v="309"/>
    <s v="1730"/>
    <n v="-69.930837409918396"/>
    <n v="-8.5523643796123494"/>
    <n v="-70.357165539557897"/>
    <n v="-8.1841619995765793"/>
    <s v="364"/>
    <s v="AC"/>
    <s v="Eixo Principal"/>
    <s v="-"/>
    <s v="364BAC1730"/>
    <s v="RIO JURUPARI"/>
    <s v="ENTR BR-409/AC-170 (FEIJÓ)"/>
    <n v="425.6"/>
    <n v="490.6"/>
    <n v="65"/>
    <x v="2"/>
    <m/>
    <m/>
    <s v="Federal"/>
    <m/>
    <m/>
    <m/>
    <s v="Federal"/>
    <s v="PAV"/>
    <s v="Rio Branco"/>
  </r>
  <r>
    <x v="0"/>
    <s v="364BAC1745"/>
    <n v="0"/>
    <x v="309"/>
    <s v="1745"/>
    <n v="-70.357165539557897"/>
    <n v="-8.1841619995765793"/>
    <n v="-70.632178810303699"/>
    <n v="-8.1818012000652995"/>
    <s v="364"/>
    <s v="AC"/>
    <s v="Eixo Principal"/>
    <s v="-"/>
    <s v="364BAC1745"/>
    <s v="ENTR BR-409/AC-170 (FEIJÓ)"/>
    <s v="IGARAPÉ SÃO SALVADOR"/>
    <n v="490.6"/>
    <n v="522.29999999999995"/>
    <n v="31.7"/>
    <x v="2"/>
    <m/>
    <m/>
    <s v="Federal"/>
    <m/>
    <m/>
    <m/>
    <s v="Federal"/>
    <s v="PAV"/>
    <s v="Rio Branco"/>
  </r>
  <r>
    <x v="0"/>
    <s v="364BAC1750"/>
    <n v="0"/>
    <x v="309"/>
    <s v="1750"/>
    <n v="-70.632178810303699"/>
    <n v="-8.1818012000652995"/>
    <n v="-70.745671509632402"/>
    <n v="-8.1520163796521299"/>
    <s v="364"/>
    <s v="AC"/>
    <s v="Eixo Principal"/>
    <s v="-"/>
    <s v="364BAC1750"/>
    <s v="IGARAPÉ SÃO SALVADOR"/>
    <s v="INÍCIO DA PONTE S/ RIO TARAUACÁ "/>
    <n v="522.29999999999995"/>
    <n v="535.5"/>
    <n v="13.2"/>
    <x v="2"/>
    <m/>
    <m/>
    <s v="Federal"/>
    <m/>
    <m/>
    <m/>
    <s v="Federal"/>
    <s v="PAV"/>
    <s v="Rio Branco"/>
  </r>
  <r>
    <x v="0"/>
    <s v="364BAC1755"/>
    <n v="0"/>
    <x v="309"/>
    <s v="1755"/>
    <n v="-70.745671509632402"/>
    <n v="-8.1520163796521299"/>
    <n v="-70.748646670207606"/>
    <n v="-8.1521053702665505"/>
    <s v="364"/>
    <s v="AC"/>
    <s v="Eixo Principal"/>
    <s v="-"/>
    <s v="364BAC1755"/>
    <s v="INÍCIO DA PONTE S/ RIO TARAUACÁ"/>
    <s v="FIM DA PONTE S/ RIO TARAUACÁ"/>
    <n v="535.5"/>
    <n v="535.79999999999995"/>
    <n v="0.3"/>
    <x v="2"/>
    <m/>
    <m/>
    <s v="Federal"/>
    <m/>
    <m/>
    <m/>
    <s v="Federal"/>
    <s v="PAV"/>
    <s v="Rio Branco"/>
  </r>
  <r>
    <x v="0"/>
    <s v="364BAC1757"/>
    <n v="0"/>
    <x v="309"/>
    <s v="1757"/>
    <n v="-70.748646670207606"/>
    <n v="-8.1521053702665505"/>
    <n v="-70.757385199966905"/>
    <n v="-8.1492453597854801"/>
    <s v="364"/>
    <s v="AC"/>
    <s v="Eixo Principal"/>
    <s v="-"/>
    <s v="364BAC1757"/>
    <s v="FIM DA PONTE S/ RIO TARAUACÁ"/>
    <s v="ENTR R. CAP. HIPÓLITO (ACESSO A TARAUACÁ)"/>
    <n v="535.79999999999995"/>
    <n v="536.79999999999995"/>
    <n v="1"/>
    <x v="2"/>
    <m/>
    <m/>
    <s v="Federal"/>
    <m/>
    <m/>
    <m/>
    <s v="Federal"/>
    <s v="PAV"/>
    <s v="Rio Branco"/>
  </r>
  <r>
    <x v="0"/>
    <s v="364BAC1760"/>
    <n v="0"/>
    <x v="309"/>
    <s v="1760"/>
    <n v="-70.757385199966905"/>
    <n v="-8.1492453597854801"/>
    <n v="-70.785682069571806"/>
    <n v="-8.1418659097838599"/>
    <s v="364"/>
    <s v="AC"/>
    <s v="Eixo Principal"/>
    <s v="-"/>
    <s v="364BAC1760"/>
    <s v="ENTR R. CAP. HIPÓLITO (ACESSO A TARAUACÁ)"/>
    <s v="ENTR AC-321 (P/ TARAUACÁ)"/>
    <n v="536.79999999999995"/>
    <n v="540.29999999999995"/>
    <n v="3.5"/>
    <x v="2"/>
    <m/>
    <m/>
    <s v="Federal"/>
    <m/>
    <m/>
    <m/>
    <s v="Federal"/>
    <s v="PAV"/>
    <s v="Rio Branco"/>
  </r>
  <r>
    <x v="0"/>
    <s v="364BAC1770"/>
    <n v="0"/>
    <x v="309"/>
    <s v="1770"/>
    <n v="-70.785682069571806"/>
    <n v="-8.1418659097838599"/>
    <n v="-71.480816199907594"/>
    <n v="-7.9541409195677399"/>
    <s v="364"/>
    <s v="AC"/>
    <s v="Eixo Principal"/>
    <s v="-"/>
    <s v="364BAC1770"/>
    <s v="ENTR AC-321 (P/ TARAUACÁ)"/>
    <s v="RIO GREGÓRIO"/>
    <n v="540.29999999999995"/>
    <n v="620.9"/>
    <n v="80.599999999999994"/>
    <x v="2"/>
    <m/>
    <m/>
    <s v="Federal"/>
    <m/>
    <m/>
    <m/>
    <s v="Federal"/>
    <s v="PAV"/>
    <s v="Rio Branco"/>
  </r>
  <r>
    <x v="0"/>
    <s v="364BAC1790"/>
    <n v="0"/>
    <x v="309"/>
    <s v="1790"/>
    <n v="-71.480816199907594"/>
    <n v="-7.9541409195677399"/>
    <n v="-72.020663940188598"/>
    <n v="-7.8000086097095496"/>
    <s v="364"/>
    <s v="AC"/>
    <s v="Eixo Principal"/>
    <s v="-"/>
    <s v="364BAC1790"/>
    <s v="RIO GREGÓRIO"/>
    <s v="RIO LIBERDADE"/>
    <n v="620.9"/>
    <n v="682.9"/>
    <n v="62"/>
    <x v="2"/>
    <m/>
    <m/>
    <s v="Federal"/>
    <m/>
    <m/>
    <m/>
    <s v="Federal"/>
    <s v="PAV"/>
    <s v="Rio Branco"/>
  </r>
  <r>
    <x v="0"/>
    <s v="364BAC1800"/>
    <n v="0"/>
    <x v="309"/>
    <s v="1800"/>
    <n v="-72.020663940188598"/>
    <n v="-7.8000086097095496"/>
    <n v="-72.443239580242306"/>
    <n v="-7.7464272998799402"/>
    <s v="364"/>
    <s v="AC"/>
    <s v="Eixo Principal"/>
    <s v="-"/>
    <s v="364BAC1800"/>
    <s v="RIO LIBERDADE"/>
    <s v="ENTR BR-307(A)"/>
    <n v="682.9"/>
    <n v="730.1"/>
    <n v="47.2"/>
    <x v="2"/>
    <m/>
    <m/>
    <s v="Federal"/>
    <m/>
    <m/>
    <m/>
    <s v="Federal"/>
    <s v="PAV"/>
    <s v="Rio Branco"/>
  </r>
  <r>
    <x v="0"/>
    <s v="364BAC1810"/>
    <n v="0"/>
    <x v="309"/>
    <s v="1810"/>
    <n v="-72.443239580242306"/>
    <n v="-7.7464272998799402"/>
    <n v="-72.643365840161294"/>
    <n v="-7.7220707495653702"/>
    <s v="364"/>
    <s v="AC"/>
    <s v="Eixo Principal"/>
    <s v="Coinc"/>
    <s v="364BAC1810"/>
    <s v="ENTR BR-307(A)"/>
    <s v="ENTR BR-307(B) (INÍCIO TRAV RIO JURUÁ)"/>
    <n v="730.1"/>
    <n v="752.5"/>
    <n v="22.4"/>
    <x v="2"/>
    <m/>
    <s v="307BAC0022"/>
    <s v="Federal"/>
    <m/>
    <m/>
    <m/>
    <s v="Federal"/>
    <s v="PAV"/>
    <s v="Rio Branco"/>
  </r>
  <r>
    <x v="0"/>
    <s v="364BAC1815"/>
    <n v="0"/>
    <x v="309"/>
    <s v="1815"/>
    <n v="-72.643365840161294"/>
    <n v="-7.7220707495653702"/>
    <n v="-72.646258040076404"/>
    <n v="-7.72196559003992"/>
    <s v="364"/>
    <s v="AC"/>
    <s v="Eixo Principal"/>
    <s v="-"/>
    <s v="364BAC1815"/>
    <s v="ENTR BR-307(B) (INÍCIO TRAV RIO JURUÁ)"/>
    <s v="ENTR AC-307/CONTORNO DE RODRIGUES ALVES (FIM TRAV RIO JURUÁ)"/>
    <n v="752.5"/>
    <n v="752.7"/>
    <n v="0.2"/>
    <x v="4"/>
    <m/>
    <m/>
    <s v="Federal"/>
    <m/>
    <m/>
    <m/>
    <s v="Federal"/>
    <s v="N_PAV"/>
    <s v="Rio Branco"/>
  </r>
  <r>
    <x v="0"/>
    <s v="364BAC1820"/>
    <n v="0"/>
    <x v="309"/>
    <s v="1820"/>
    <n v="-72.646258040076404"/>
    <n v="-7.72196559003992"/>
    <n v="-72.670361309826504"/>
    <n v="-7.7362606898788604"/>
    <s v="364"/>
    <s v="AC"/>
    <s v="Eixo Principal"/>
    <s v="-"/>
    <s v="364BAC1820"/>
    <s v="ENTR AC-307/CONTORNO DE RODRIGUES ALVES (FIM TRAV RIO JURUÁ)"/>
    <s v="ENTR CONTORNO (TRAV URB RODRIGUES ALVES)"/>
    <n v="752.7"/>
    <n v="756.6"/>
    <n v="3.9"/>
    <x v="1"/>
    <m/>
    <m/>
    <s v="Estadual"/>
    <m/>
    <s v="AC-307"/>
    <s v="PAV"/>
    <s v="Estadual"/>
    <s v="PLA"/>
    <s v="Rio Branco"/>
  </r>
  <r>
    <x v="0"/>
    <s v="364BAC1830"/>
    <n v="0"/>
    <x v="309"/>
    <s v="1830"/>
    <n v="-72.670361309826504"/>
    <n v="-7.7362606898788604"/>
    <n v="-72.820505149792695"/>
    <n v="-7.6561762604260304"/>
    <s v="364"/>
    <s v="AC"/>
    <s v="Eixo Principal"/>
    <s v="-"/>
    <s v="364BAC1830"/>
    <s v="ENTR CONTORNO (TRAV URB RODRIGUES ALVES)"/>
    <s v="ENTR AC-405(A)"/>
    <n v="756.6"/>
    <n v="777.7"/>
    <n v="21.1"/>
    <x v="1"/>
    <m/>
    <m/>
    <s v="Estadual"/>
    <m/>
    <s v="AC-405"/>
    <s v="PAV"/>
    <s v="Estadual"/>
    <s v="PLA"/>
    <s v="Rio Branco"/>
  </r>
  <r>
    <x v="0"/>
    <s v="364BAC1835"/>
    <n v="0"/>
    <x v="309"/>
    <s v="1835"/>
    <n v="-72.820505149792695"/>
    <n v="-7.6561762604260304"/>
    <n v="-72.904323210048005"/>
    <n v="-7.6128152896937902"/>
    <s v="364"/>
    <s v="AC"/>
    <s v="Eixo Principal"/>
    <s v="-"/>
    <s v="364BAC1835"/>
    <s v="ENTR AC-405(A)"/>
    <s v="ENTR AC-405(B) (MÂNCIO LIMA)"/>
    <n v="777.7"/>
    <n v="788.3"/>
    <n v="10.6"/>
    <x v="1"/>
    <m/>
    <m/>
    <s v="Estadual"/>
    <m/>
    <s v="AC-405"/>
    <s v="PAV"/>
    <s v="Estadual"/>
    <s v="PLA"/>
    <s v="Rio Branco"/>
  </r>
  <r>
    <x v="0"/>
    <s v="364BAC1840"/>
    <n v="0"/>
    <x v="309"/>
    <s v="1840"/>
    <n v="-72.904323210048005"/>
    <n v="-7.6128152896937902"/>
    <n v="-72.932894360286397"/>
    <n v="-7.5990800502041198"/>
    <s v="364"/>
    <s v="AC"/>
    <s v="Eixo Principal"/>
    <s v="-"/>
    <s v="364BAC1840"/>
    <s v="ENTR AC-405(B) (MÂNCIO LIMA)"/>
    <s v="FIM DA PAVIMENTAÇÃO"/>
    <n v="788.3"/>
    <n v="793"/>
    <n v="4.7"/>
    <x v="1"/>
    <m/>
    <m/>
    <s v="Estadual"/>
    <m/>
    <s v="AC-405"/>
    <s v="PAV"/>
    <s v="Estadual"/>
    <s v="PLA"/>
    <s v="Rio Branco"/>
  </r>
  <r>
    <x v="0"/>
    <s v="364BAC1845"/>
    <n v="0"/>
    <x v="309"/>
    <s v="1845"/>
    <n v="-72.932894360286397"/>
    <n v="-7.5990800502041198"/>
    <n v="-73.095336469702204"/>
    <n v="-7.6744193795506703"/>
    <s v="364"/>
    <s v="AC"/>
    <s v="Eixo Principal"/>
    <s v="-"/>
    <s v="364BAC1845"/>
    <s v="FIM DA PAVIMENTAÇÃO"/>
    <s v="FIM DE TRECHO NAVEGÁVEL"/>
    <n v="793"/>
    <n v="814.3"/>
    <n v="21.3"/>
    <x v="1"/>
    <m/>
    <m/>
    <s v="Estadual"/>
    <m/>
    <s v="AC-307"/>
    <s v="LEN"/>
    <s v="Estadual"/>
    <s v="PLA"/>
    <s v="Rio Branco"/>
  </r>
  <r>
    <x v="0"/>
    <s v="364BAC1850"/>
    <n v="0"/>
    <x v="309"/>
    <s v="1850"/>
    <n v="-73.095336469702204"/>
    <n v="-7.6744193795506703"/>
    <n v="-73.705073600066498"/>
    <n v="-7.9532155099877198"/>
    <s v="364"/>
    <s v="AC"/>
    <s v="Eixo Principal"/>
    <s v="-"/>
    <s v="364BAC1850"/>
    <s v="FIM TRECHO NAVEGÁVEL"/>
    <s v="FRONTEIRA BRASIL/PERU (BOQUEIRÃO DA ESPERANÇA)"/>
    <n v="814.3"/>
    <n v="888.3"/>
    <n v="74"/>
    <x v="1"/>
    <m/>
    <m/>
    <s v="Federal"/>
    <m/>
    <m/>
    <m/>
    <s v="Federal"/>
    <s v="PLA"/>
    <s v="Rio Branco"/>
  </r>
  <r>
    <x v="0"/>
    <s v="364BGO0390"/>
    <n v="0"/>
    <x v="310"/>
    <s v="0390"/>
    <n v="-50.500564700200599"/>
    <n v="-19.044229630093199"/>
    <n v="-50.555192110427498"/>
    <n v="-19.004150579585499"/>
    <s v="364"/>
    <s v="GO"/>
    <s v="Eixo Principal"/>
    <s v="-"/>
    <s v="364BGO0390"/>
    <s v="DIV MG/GO"/>
    <s v="SÃO SIMÃO"/>
    <n v="0"/>
    <n v="8"/>
    <n v="8"/>
    <x v="2"/>
    <m/>
    <m/>
    <s v="Federal"/>
    <m/>
    <m/>
    <m/>
    <s v="Federal"/>
    <s v="PAV"/>
    <s v="Jataí"/>
  </r>
  <r>
    <x v="0"/>
    <s v="364BGO0392"/>
    <n v="0"/>
    <x v="310"/>
    <s v="0392"/>
    <n v="-50.555192110427498"/>
    <n v="-19.004150579585499"/>
    <n v="-50.622718860087197"/>
    <n v="-18.955792179665298"/>
    <s v="364"/>
    <s v="GO"/>
    <s v="Eixo Principal"/>
    <s v="-"/>
    <s v="364BGO0392"/>
    <s v="SÃO SIMÃO"/>
    <s v="ENTR BR-483(A)/GO-164(A)"/>
    <n v="8"/>
    <n v="16"/>
    <n v="8"/>
    <x v="2"/>
    <m/>
    <m/>
    <s v="Federal"/>
    <m/>
    <m/>
    <m/>
    <s v="Federal"/>
    <s v="PAV"/>
    <s v="Jataí"/>
  </r>
  <r>
    <x v="0"/>
    <s v="364BGO0395"/>
    <n v="0"/>
    <x v="310"/>
    <s v="0395"/>
    <n v="-50.622718860087197"/>
    <n v="-18.955792179665298"/>
    <n v="-50.6604892798563"/>
    <n v="-18.919421700351101"/>
    <s v="364"/>
    <s v="GO"/>
    <s v="Eixo Principal"/>
    <s v="-"/>
    <s v="364BGO0395"/>
    <s v="ENTR BR-483(A)/GO-164(A)"/>
    <s v="ENTR BR-483(B)/GO-164(B) (PARANAIGUARA)"/>
    <n v="16"/>
    <n v="22"/>
    <n v="6"/>
    <x v="2"/>
    <m/>
    <s v="483BGO0075"/>
    <s v="Federal"/>
    <m/>
    <m/>
    <m/>
    <s v="Federal"/>
    <s v="PAV"/>
    <s v="Jataí"/>
  </r>
  <r>
    <x v="0"/>
    <s v="364BGO0410"/>
    <n v="0"/>
    <x v="310"/>
    <s v="0410"/>
    <n v="-50.6604892798563"/>
    <n v="-18.919421700351101"/>
    <n v="-50.934529160392401"/>
    <n v="-18.753861480422898"/>
    <s v="364"/>
    <s v="GO"/>
    <s v="Eixo Principal"/>
    <s v="-"/>
    <s v="364BGO0410"/>
    <s v="ENTR BR-483(B)/GO-164(B) (PARANAIGUARA)"/>
    <s v="ENTR GO-174(A) (CACHOEIRA ALTA)"/>
    <n v="22"/>
    <n v="57.6"/>
    <n v="35.6"/>
    <x v="2"/>
    <m/>
    <m/>
    <s v="Federal"/>
    <m/>
    <m/>
    <m/>
    <s v="Federal"/>
    <s v="PAV"/>
    <s v="Jataí"/>
  </r>
  <r>
    <x v="0"/>
    <s v="364BGO0430"/>
    <n v="0"/>
    <x v="310"/>
    <s v="0430"/>
    <n v="-50.934529160392401"/>
    <n v="-18.753861480422898"/>
    <n v="-50.961612890422401"/>
    <n v="-18.711022790069599"/>
    <s v="364"/>
    <s v="GO"/>
    <s v="Eixo Principal"/>
    <s v="-"/>
    <s v="364BGO0430"/>
    <s v="ENTR GO-174(A) (CACHOEIRA ALTA)"/>
    <s v="ENTR GO-174(B)"/>
    <n v="57.6"/>
    <n v="62.6"/>
    <n v="5"/>
    <x v="2"/>
    <m/>
    <m/>
    <s v="Federal"/>
    <m/>
    <m/>
    <m/>
    <s v="Federal"/>
    <s v="PAV"/>
    <s v="Jataí"/>
  </r>
  <r>
    <x v="0"/>
    <s v="364BGO0440"/>
    <n v="0"/>
    <x v="310"/>
    <s v="0440"/>
    <n v="-50.961612890422401"/>
    <n v="-18.711022790069599"/>
    <n v="-51.070157619678298"/>
    <n v="-18.504409980136401"/>
    <s v="364"/>
    <s v="GO"/>
    <s v="Eixo Principal"/>
    <s v="-"/>
    <s v="364BGO0440"/>
    <s v="ENTR GO-174(B)"/>
    <s v="ENTR GO-206 (P/CAÇU)"/>
    <n v="62.6"/>
    <n v="89.6"/>
    <n v="27"/>
    <x v="2"/>
    <m/>
    <m/>
    <s v="Federal"/>
    <m/>
    <m/>
    <m/>
    <s v="Federal"/>
    <s v="PAV"/>
    <s v="Jataí"/>
  </r>
  <r>
    <x v="0"/>
    <s v="364BGO0450"/>
    <n v="0"/>
    <x v="310"/>
    <s v="0450"/>
    <n v="-51.070157619678298"/>
    <n v="-18.504409980136401"/>
    <n v="-51.144737000312197"/>
    <n v="-18.305973950137599"/>
    <s v="364"/>
    <s v="GO"/>
    <s v="Eixo Principal"/>
    <s v="-"/>
    <s v="364BGO0450"/>
    <s v="ENTR GO-206 (P/CAÇU)"/>
    <s v="ENTR GO-174 (APARECIDA DO RIO DOCE)"/>
    <n v="89.6"/>
    <n v="113.2"/>
    <n v="23.6"/>
    <x v="2"/>
    <m/>
    <m/>
    <s v="Federal"/>
    <m/>
    <m/>
    <m/>
    <s v="Federal"/>
    <s v="PAV"/>
    <s v="Jataí"/>
  </r>
  <r>
    <x v="0"/>
    <s v="364BGO0470"/>
    <n v="0"/>
    <x v="310"/>
    <s v="0470"/>
    <n v="-51.144737000312197"/>
    <n v="-18.305973950137599"/>
    <n v="-51.444411449628603"/>
    <n v="-18.148145860143298"/>
    <s v="364"/>
    <s v="GO"/>
    <s v="Eixo Principal"/>
    <s v="-"/>
    <s v="364BGO0470"/>
    <s v="ENTR GO-174 (APARECIDA DO RIO DOCE)"/>
    <s v="ENTR GO-178"/>
    <n v="113.2"/>
    <n v="152.5"/>
    <n v="39.299999999999997"/>
    <x v="2"/>
    <m/>
    <m/>
    <s v="Federal"/>
    <m/>
    <m/>
    <m/>
    <s v="Federal"/>
    <s v="PAV"/>
    <s v="Jataí"/>
  </r>
  <r>
    <x v="0"/>
    <s v="364BGO0475"/>
    <n v="0"/>
    <x v="310"/>
    <s v="0475"/>
    <n v="-51.444411449628603"/>
    <n v="-18.148145860143298"/>
    <n v="-51.575361040279702"/>
    <n v="-17.997284530256799"/>
    <s v="364"/>
    <s v="GO"/>
    <s v="Eixo Principal"/>
    <s v="-"/>
    <s v="364BGO0475"/>
    <s v="ENTR GO-178"/>
    <s v="ENTR GO-180"/>
    <n v="152.5"/>
    <n v="174.8"/>
    <n v="22.3"/>
    <x v="2"/>
    <m/>
    <m/>
    <s v="Federal"/>
    <m/>
    <m/>
    <m/>
    <s v="Federal"/>
    <s v="PAV"/>
    <s v="Jataí"/>
  </r>
  <r>
    <x v="0"/>
    <s v="364BGO0480"/>
    <n v="0"/>
    <x v="310"/>
    <s v="0480"/>
    <n v="-51.575361040279702"/>
    <n v="-17.997284530256799"/>
    <n v="-51.694084589631998"/>
    <n v="-17.916241070069301"/>
    <s v="364"/>
    <s v="GO"/>
    <s v="Eixo Principal"/>
    <s v="-"/>
    <s v="364BGO0480"/>
    <s v="ENTR GO-180"/>
    <s v="ENTR BR-060(A)"/>
    <n v="174.8"/>
    <n v="192.7"/>
    <n v="17.899999999999999"/>
    <x v="2"/>
    <m/>
    <m/>
    <s v="Federal"/>
    <m/>
    <m/>
    <m/>
    <s v="Federal"/>
    <s v="PAV"/>
    <s v="Jataí"/>
  </r>
  <r>
    <x v="0"/>
    <s v="364BGO0485"/>
    <n v="0"/>
    <x v="310"/>
    <s v="0485"/>
    <n v="-51.694084589631998"/>
    <n v="-17.916241070069301"/>
    <n v="-51.718763220446199"/>
    <n v="-17.917219920063101"/>
    <s v="364"/>
    <s v="GO"/>
    <s v="Eixo Principal"/>
    <s v="Coinc"/>
    <s v="364BGO0485"/>
    <s v="ENTR BR-060(A)"/>
    <s v="ENTR BR-158(A)/GO-050(A)/184(A) (P/JATAÍ)"/>
    <n v="192.7"/>
    <n v="195.8"/>
    <n v="3.1"/>
    <x v="0"/>
    <m/>
    <s v="060BGO0290"/>
    <s v="Federal"/>
    <m/>
    <m/>
    <m/>
    <s v="Federal"/>
    <s v="PAV"/>
    <s v="Rio Verde"/>
  </r>
  <r>
    <x v="0"/>
    <s v="364BGO0490"/>
    <n v="0"/>
    <x v="310"/>
    <s v="0490"/>
    <n v="-51.718763220446199"/>
    <n v="-17.917219920063101"/>
    <n v="-51.7656037500129"/>
    <n v="-17.914806989550801"/>
    <s v="364"/>
    <s v="GO"/>
    <s v="Eixo Principal"/>
    <s v="Coinc"/>
    <s v="364BGO0490"/>
    <s v="ENTR BR-158(A)/GO-050(A)/184(A) (P/JATAÍ)"/>
    <s v="ENTR BR-158(B)/GO-184(B) (P/SERRANÓPOLIS)"/>
    <n v="195.8"/>
    <n v="201"/>
    <n v="5.2"/>
    <x v="0"/>
    <m/>
    <s v="158BGO0390;060BGO0292"/>
    <s v="Federal"/>
    <m/>
    <m/>
    <m/>
    <s v="Federal"/>
    <s v="PAV"/>
    <s v="Jataí"/>
  </r>
  <r>
    <x v="0"/>
    <s v="364BGO0510"/>
    <n v="0"/>
    <x v="310"/>
    <s v="0510"/>
    <n v="-51.7656037500129"/>
    <n v="-17.914806989550801"/>
    <n v="-52.0474239002926"/>
    <n v="-17.800593329818199"/>
    <s v="364"/>
    <s v="GO"/>
    <s v="Eixo Principal"/>
    <s v="Coinc"/>
    <s v="364BGO0510"/>
    <s v="ENTR BR-158(B)/GO-184(B) (P/SERRANÓPOLIS)"/>
    <s v="ENTR BR-060(B)/GO-050(B)"/>
    <n v="201"/>
    <n v="235.5"/>
    <n v="34.5"/>
    <x v="2"/>
    <m/>
    <s v="060BGO0295"/>
    <s v="Federal"/>
    <m/>
    <m/>
    <m/>
    <s v="Federal"/>
    <s v="PAV"/>
    <s v="Jataí"/>
  </r>
  <r>
    <x v="0"/>
    <s v="364BGO0530"/>
    <n v="0"/>
    <x v="310"/>
    <s v="0530"/>
    <n v="-52.0474239002926"/>
    <n v="-17.800593329818199"/>
    <n v="-52.219515059872002"/>
    <n v="-17.671400080049601"/>
    <s v="364"/>
    <s v="GO"/>
    <s v="Eixo Principal"/>
    <s v="-"/>
    <s v="364BGO0530"/>
    <s v="ENTR BR-060(B)/GO-050(B)"/>
    <s v="ENTR GO-516 (P/PEROLÂNDIA)"/>
    <n v="235.5"/>
    <n v="259.39999999999998"/>
    <n v="23.9"/>
    <x v="2"/>
    <m/>
    <m/>
    <s v="Federal"/>
    <m/>
    <m/>
    <m/>
    <s v="Federal"/>
    <s v="PAV"/>
    <s v="Jataí"/>
  </r>
  <r>
    <x v="0"/>
    <s v="364BGO0535"/>
    <n v="0"/>
    <x v="310"/>
    <s v="0535"/>
    <n v="-52.219515059872002"/>
    <n v="-17.671400080049601"/>
    <n v="-52.519309510225597"/>
    <n v="-17.576573280132699"/>
    <s v="364"/>
    <s v="GO"/>
    <s v="Eixo Principal"/>
    <s v="-"/>
    <s v="364BGO0535"/>
    <s v="ENTR GO-516 (P/PEROLÂNDIA)"/>
    <s v="ENTR BR-359/GO-341(A)"/>
    <n v="259.39999999999998"/>
    <n v="296.2"/>
    <n v="36.799999999999997"/>
    <x v="2"/>
    <m/>
    <m/>
    <s v="Federal"/>
    <m/>
    <m/>
    <m/>
    <s v="Federal"/>
    <s v="PAV"/>
    <s v="Jataí"/>
  </r>
  <r>
    <x v="0"/>
    <s v="364BGO0540"/>
    <n v="0"/>
    <x v="310"/>
    <s v="0540"/>
    <n v="-52.519309510225597"/>
    <n v="-17.576573280132699"/>
    <n v="-52.527547679681597"/>
    <n v="-17.557594770082499"/>
    <s v="364"/>
    <s v="GO"/>
    <s v="Eixo Principal"/>
    <s v="-"/>
    <s v="364BGO0540"/>
    <s v="ENTR BR-359/GO-341(A)"/>
    <s v="ENTR GO-551 (P/MINEIROS)"/>
    <n v="296.2"/>
    <n v="299.2"/>
    <n v="3"/>
    <x v="2"/>
    <m/>
    <m/>
    <s v="Federal"/>
    <m/>
    <m/>
    <m/>
    <s v="Federal"/>
    <s v="PAV"/>
    <s v="Jataí"/>
  </r>
  <r>
    <x v="0"/>
    <s v="364BGO0545"/>
    <n v="0"/>
    <x v="310"/>
    <s v="0545"/>
    <n v="-52.527547679681597"/>
    <n v="-17.557594770082499"/>
    <n v="-52.554523259940403"/>
    <n v="-17.4871858704315"/>
    <s v="364"/>
    <s v="GO"/>
    <s v="Eixo Principal"/>
    <s v="-"/>
    <s v="364BGO0545"/>
    <s v="ENTR GO-551 (P/MINEIROS)"/>
    <s v="ENTR GO-341(B)"/>
    <n v="299.2"/>
    <n v="310.2"/>
    <n v="11"/>
    <x v="2"/>
    <m/>
    <m/>
    <s v="Federal"/>
    <m/>
    <m/>
    <m/>
    <s v="Federal"/>
    <s v="PAV"/>
    <s v="Jataí"/>
  </r>
  <r>
    <x v="0"/>
    <s v="364BGO0550"/>
    <n v="0"/>
    <x v="310"/>
    <s v="0550"/>
    <n v="-52.554523259940403"/>
    <n v="-17.4871858704315"/>
    <n v="-52.673856389560598"/>
    <n v="-17.4000170603389"/>
    <s v="364"/>
    <s v="GO"/>
    <s v="Eixo Principal"/>
    <s v="-"/>
    <s v="364BGO0550"/>
    <s v="ENTR GO-341(B)"/>
    <s v="ENTR GO-194 (P/PORTELÂNDIA)"/>
    <n v="310.2"/>
    <n v="325"/>
    <n v="14.8"/>
    <x v="2"/>
    <m/>
    <m/>
    <s v="Federal"/>
    <m/>
    <m/>
    <m/>
    <s v="Federal"/>
    <s v="PAV"/>
    <s v="Jataí"/>
  </r>
  <r>
    <x v="0"/>
    <s v="364BGO0570"/>
    <n v="0"/>
    <x v="310"/>
    <s v="0570"/>
    <n v="-52.673856389560598"/>
    <n v="-17.4000170603389"/>
    <n v="-53.194716729992997"/>
    <n v="-17.332996850224301"/>
    <s v="364"/>
    <s v="GO"/>
    <s v="Eixo Principal"/>
    <s v="-"/>
    <s v="364BGO0570"/>
    <s v="ENTR GO-194 (P/PORTELÂNDIA)"/>
    <s v="INÍCIO PISTA DUPLA"/>
    <n v="325"/>
    <n v="384.9"/>
    <n v="59.9"/>
    <x v="2"/>
    <m/>
    <m/>
    <s v="Federal"/>
    <m/>
    <m/>
    <m/>
    <s v="Federal"/>
    <s v="PAV"/>
    <s v="Jataí"/>
  </r>
  <r>
    <x v="0"/>
    <s v="364BGO0580"/>
    <n v="0"/>
    <x v="310"/>
    <s v="0580"/>
    <n v="-53.194716729992997"/>
    <n v="-17.332996850224301"/>
    <n v="-53.211901199580602"/>
    <n v="-17.318715080136698"/>
    <s v="364"/>
    <s v="GO"/>
    <s v="Eixo Principal"/>
    <s v="-"/>
    <s v="364BGO0580"/>
    <s v="INÍCIO PISTA DUPLA"/>
    <s v="DIV GO/MT (SANTA RITA DO ARAGUAIA) *TRECHO URBANO*"/>
    <n v="384.9"/>
    <n v="387.5"/>
    <n v="2.6"/>
    <x v="0"/>
    <m/>
    <m/>
    <s v="Federal"/>
    <m/>
    <m/>
    <m/>
    <s v="Federal"/>
    <s v="PAV"/>
    <s v="Jataí"/>
  </r>
  <r>
    <x v="0"/>
    <s v="364BMG0250"/>
    <n v="0"/>
    <x v="311"/>
    <s v="0250"/>
    <n v="-48.6900781797641"/>
    <n v="-20.165506520009799"/>
    <n v="-48.935463599565402"/>
    <n v="-20.006971490042101"/>
    <s v="364"/>
    <s v="MG"/>
    <s v="Eixo Principal"/>
    <s v="-"/>
    <s v="364BMG0250"/>
    <s v="ENTR BR-455 (DIV SP/MG) (PLANURA)"/>
    <s v="ENTR AV JOSÉ DE ALENCAR (FRUTAL)"/>
    <n v="0"/>
    <n v="32.799999999999997"/>
    <n v="32.799999999999997"/>
    <x v="2"/>
    <m/>
    <m/>
    <s v="Federal"/>
    <m/>
    <m/>
    <m/>
    <s v="Federal"/>
    <s v="PAV"/>
    <s v="Prata"/>
  </r>
  <r>
    <x v="0"/>
    <s v="364BMG0270"/>
    <n v="0"/>
    <x v="311"/>
    <s v="0270"/>
    <n v="-48.935463599565402"/>
    <n v="-20.006971490042101"/>
    <n v="-48.9601756500861"/>
    <n v="-19.942016019923301"/>
    <s v="364"/>
    <s v="MG"/>
    <s v="Eixo Principal"/>
    <s v="-"/>
    <s v="364BMG0270"/>
    <s v="ENTR AV JOSÉ DE ALENCAR (FRUTAL)"/>
    <s v="ENTR BR-153(A)/262(A)"/>
    <n v="32.799999999999997"/>
    <n v="41.4"/>
    <n v="8.6"/>
    <x v="2"/>
    <m/>
    <m/>
    <s v="Federal"/>
    <m/>
    <m/>
    <m/>
    <s v="Federal"/>
    <s v="PAV"/>
    <s v="Prata"/>
  </r>
  <r>
    <x v="0"/>
    <s v="364BMG0290"/>
    <n v="0"/>
    <x v="311"/>
    <s v="0290"/>
    <n v="-48.9601756500861"/>
    <n v="-19.942016019923301"/>
    <n v="-48.973782149826299"/>
    <n v="-19.728921379617901"/>
    <s v="364"/>
    <s v="MG"/>
    <s v="Eixo Principal"/>
    <s v="Coinc"/>
    <s v="364BMG0290"/>
    <s v="ENTR BR-153(A)/262(A)"/>
    <s v="ENTR BR-153(B)/262(B)"/>
    <n v="41.4"/>
    <n v="66"/>
    <n v="24.6"/>
    <x v="2"/>
    <m/>
    <s v="262BMG1050;153BMG0870"/>
    <s v="Concessão Federal"/>
    <m/>
    <m/>
    <m/>
    <s v="Federal"/>
    <s v="PAV"/>
    <s v="Prata"/>
  </r>
  <r>
    <x v="0"/>
    <s v="364BMG0310"/>
    <n v="0"/>
    <x v="311"/>
    <s v="0310"/>
    <n v="-48.973782149826299"/>
    <n v="-19.728921379617901"/>
    <n v="-49.435416099972898"/>
    <n v="-19.570169020383901"/>
    <s v="364"/>
    <s v="MG"/>
    <s v="Eixo Principal"/>
    <s v="-"/>
    <s v="364BMG0310"/>
    <s v="ENTR BR-153(B)/262(B)"/>
    <s v="ENTR BR-154(A)"/>
    <n v="66"/>
    <n v="130.5"/>
    <n v="64.5"/>
    <x v="2"/>
    <m/>
    <m/>
    <s v="Federal"/>
    <m/>
    <m/>
    <m/>
    <s v="Federal"/>
    <s v="PAV"/>
    <s v="Prata"/>
  </r>
  <r>
    <x v="0"/>
    <s v="364BMG0320"/>
    <n v="0"/>
    <x v="311"/>
    <s v="0320"/>
    <n v="-49.435416099972898"/>
    <n v="-19.570169020383901"/>
    <n v="-49.480662119860803"/>
    <n v="-19.545845199995899"/>
    <s v="364"/>
    <s v="MG"/>
    <s v="Eixo Principal"/>
    <s v="Coinc"/>
    <s v="364BMG0320"/>
    <s v="ENTR BR-154(A)"/>
    <s v="ENTR BR-497(A) (CAMPINA VERDE)"/>
    <n v="130.5"/>
    <n v="136.19999999999999"/>
    <n v="5.7"/>
    <x v="2"/>
    <m/>
    <s v="154BMG0130"/>
    <s v="Federal"/>
    <m/>
    <m/>
    <m/>
    <s v="Federal"/>
    <s v="PAV"/>
    <s v="Prata"/>
  </r>
  <r>
    <x v="0"/>
    <s v="364BMG0330"/>
    <n v="0"/>
    <x v="311"/>
    <s v="0330"/>
    <n v="-49.480662119860803"/>
    <n v="-19.545845199995899"/>
    <n v="-49.559140170382499"/>
    <n v="-19.51840057023"/>
    <s v="364"/>
    <s v="MG"/>
    <s v="Eixo Principal"/>
    <s v="Coinc"/>
    <s v="364BMG0330"/>
    <s v="ENTR BR-497(A) (CAMPINA VERDE)"/>
    <s v="ENTR BR-497(B)"/>
    <n v="136.19999999999999"/>
    <n v="145.6"/>
    <n v="9.4"/>
    <x v="2"/>
    <m/>
    <s v="497BMG0050;154BMG0120"/>
    <s v="Federal"/>
    <m/>
    <m/>
    <m/>
    <s v="Federal"/>
    <s v="PAV"/>
    <s v="Prata"/>
  </r>
  <r>
    <x v="0"/>
    <s v="364BMG0332"/>
    <n v="0"/>
    <x v="311"/>
    <s v="0332"/>
    <n v="-49.559140170382499"/>
    <n v="-19.51840057023"/>
    <n v="-49.644292439644303"/>
    <n v="-19.329388890284999"/>
    <s v="364"/>
    <s v="MG"/>
    <s v="Eixo Principal"/>
    <s v="Coinc"/>
    <s v="364BMG0332"/>
    <s v="ENTR BR-497(B)"/>
    <s v="ENTR BR-154(B) (P/ ITUIUTABA)"/>
    <n v="145.6"/>
    <n v="172.7"/>
    <n v="27.1"/>
    <x v="2"/>
    <m/>
    <s v="154BMG0115"/>
    <s v="Federal"/>
    <m/>
    <m/>
    <m/>
    <s v="Federal"/>
    <s v="PAV"/>
    <s v="Prata"/>
  </r>
  <r>
    <x v="0"/>
    <s v="364BMG0335"/>
    <n v="0"/>
    <x v="311"/>
    <s v="0335"/>
    <n v="-49.644292439644303"/>
    <n v="-19.329388890284999"/>
    <n v="-49.748117560077198"/>
    <n v="-19.2853384300244"/>
    <s v="364"/>
    <s v="MG"/>
    <s v="Eixo Principal"/>
    <s v="-"/>
    <s v="364BMG0335"/>
    <s v="ENTR BR-154(B) (P/ ITUIUTABA)"/>
    <s v="ENTR MG-461 (P/ GURINHATÃ)"/>
    <n v="172.7"/>
    <n v="187.5"/>
    <n v="14.8"/>
    <x v="2"/>
    <m/>
    <m/>
    <s v="Federal"/>
    <m/>
    <m/>
    <m/>
    <s v="Federal"/>
    <s v="PAV"/>
    <s v="Prata"/>
  </r>
  <r>
    <x v="0"/>
    <s v="364BMG0350"/>
    <n v="0"/>
    <x v="311"/>
    <s v="0350"/>
    <n v="-49.748117560077198"/>
    <n v="-19.2853384300244"/>
    <n v="-50.364113089647297"/>
    <n v="-19.076655110045198"/>
    <s v="364"/>
    <s v="MG"/>
    <s v="Eixo Principal"/>
    <s v="-"/>
    <s v="364BMG0350"/>
    <s v="ENTR MG-461 (P/ GURINHATÃ)"/>
    <s v="ENTR BR-461(A)"/>
    <n v="187.5"/>
    <n v="271.8"/>
    <n v="84.3"/>
    <x v="2"/>
    <m/>
    <m/>
    <s v="Federal"/>
    <m/>
    <m/>
    <m/>
    <s v="Federal"/>
    <s v="PAV"/>
    <s v="Prata"/>
  </r>
  <r>
    <x v="0"/>
    <s v="364BMG0355"/>
    <n v="0"/>
    <x v="311"/>
    <s v="0355"/>
    <n v="-50.364113089647297"/>
    <n v="-19.076655110045198"/>
    <n v="-50.411395100003801"/>
    <n v="-19.040683450380801"/>
    <s v="364"/>
    <s v="MG"/>
    <s v="Eixo Principal"/>
    <s v="-"/>
    <s v="364BMG0355"/>
    <s v="ENTR BR-461(A)"/>
    <s v="ENTR BR-365(A)/461(B)"/>
    <n v="271.8"/>
    <n v="278.2"/>
    <n v="6.4"/>
    <x v="2"/>
    <m/>
    <s v="461BMG0050"/>
    <s v="Federal"/>
    <m/>
    <m/>
    <m/>
    <s v="Federal"/>
    <s v="PAV"/>
    <s v="Prata"/>
  </r>
  <r>
    <x v="0"/>
    <s v="364BMG0370"/>
    <n v="0"/>
    <x v="311"/>
    <s v="0370"/>
    <n v="-50.411395100003801"/>
    <n v="-19.040683450380801"/>
    <n v="-50.500564700200599"/>
    <n v="-19.044229630093199"/>
    <s v="364"/>
    <s v="MG"/>
    <s v="Eixo Principal"/>
    <s v="-"/>
    <s v="364BMG0370"/>
    <s v="ENTR BR-365(A)/461(B)"/>
    <s v="ENTR BR-365(B) (INÍCIO PONTE S/RIO PARNAÍBA) (DIV MG/GO)"/>
    <n v="278.2"/>
    <n v="287.7"/>
    <n v="9.5"/>
    <x v="2"/>
    <m/>
    <s v="365BMG0430"/>
    <s v="Federal"/>
    <m/>
    <m/>
    <m/>
    <s v="Federal"/>
    <s v="PAV"/>
    <s v="Prata"/>
  </r>
  <r>
    <x v="0"/>
    <s v="364BMT0590"/>
    <n v="0"/>
    <x v="312"/>
    <s v="0590"/>
    <n v="-53.211901199580602"/>
    <n v="-17.318715080136698"/>
    <n v="-53.221888699703598"/>
    <n v="-17.3103128095884"/>
    <s v="364"/>
    <s v="MT"/>
    <s v="Eixo Principal"/>
    <s v="-"/>
    <s v="364BMT0590"/>
    <s v="ENTR MT-100(A) (DIV GO/MT) (ALTO ARAGUAIA)"/>
    <s v="FIM PISTA DUPLA *TRECHO URBANO*"/>
    <n v="0"/>
    <n v="1.5"/>
    <n v="1.5"/>
    <x v="0"/>
    <m/>
    <m/>
    <s v="Federal"/>
    <m/>
    <m/>
    <m/>
    <s v="Federal"/>
    <s v="PAV"/>
    <s v="Rondonópolis"/>
  </r>
  <r>
    <x v="0"/>
    <s v="364BMT0600"/>
    <n v="0"/>
    <x v="312"/>
    <s v="0600"/>
    <n v="-53.221888699703598"/>
    <n v="-17.3103128095884"/>
    <n v="-53.322376890181303"/>
    <n v="-17.2341791297629"/>
    <s v="364"/>
    <s v="MT"/>
    <s v="Eixo Principal"/>
    <s v="-"/>
    <s v="364BMT0600"/>
    <s v="FIM PISTA DUPLA"/>
    <s v="ENTR MT-100(B)/299 (P/ARAGUAINHA)"/>
    <n v="1.5"/>
    <n v="15.7"/>
    <n v="14.2"/>
    <x v="2"/>
    <m/>
    <m/>
    <s v="Federal"/>
    <m/>
    <m/>
    <m/>
    <s v="Federal"/>
    <s v="PAV"/>
    <s v="Rondonópolis"/>
  </r>
  <r>
    <x v="0"/>
    <s v="364BMT0605"/>
    <n v="0"/>
    <x v="312"/>
    <s v="0605"/>
    <n v="-53.322376890181303"/>
    <n v="-17.2341791297629"/>
    <n v="-53.468494430273701"/>
    <n v="-17.068603279617601"/>
    <s v="364"/>
    <s v="MT"/>
    <s v="Eixo Principal"/>
    <s v="-"/>
    <s v="364BMT0605"/>
    <s v="ENTR MT-100(B)/299 (P/ARAGUAINHA)"/>
    <s v="ENTR MT-462"/>
    <n v="15.7"/>
    <n v="41.7"/>
    <n v="26"/>
    <x v="2"/>
    <m/>
    <m/>
    <s v="Federal"/>
    <m/>
    <m/>
    <m/>
    <s v="Federal"/>
    <s v="PAV"/>
    <s v="Rondonópolis"/>
  </r>
  <r>
    <x v="0"/>
    <s v="364BMT0610"/>
    <n v="0"/>
    <x v="312"/>
    <s v="0610"/>
    <n v="-53.468494430273701"/>
    <n v="-17.068603279617601"/>
    <n v="-53.535871799843598"/>
    <n v="-16.933923249858001"/>
    <s v="364"/>
    <s v="MT"/>
    <s v="Eixo Principal"/>
    <s v="-"/>
    <s v="364BMT0610"/>
    <s v="ENTR MT-462"/>
    <s v="ENTR MT-107 (ALTO GARÇAS)"/>
    <n v="41.7"/>
    <n v="58.3"/>
    <n v="16.600000000000001"/>
    <x v="2"/>
    <m/>
    <m/>
    <s v="Federal"/>
    <m/>
    <m/>
    <m/>
    <s v="Federal"/>
    <s v="PAV"/>
    <s v="Rondonópolis"/>
  </r>
  <r>
    <x v="0"/>
    <s v="364BMT0615"/>
    <n v="0"/>
    <x v="312"/>
    <s v="0615"/>
    <n v="-53.535871799843598"/>
    <n v="-16.933923249858001"/>
    <n v="-53.614883330001597"/>
    <n v="-16.918362310172402"/>
    <s v="364"/>
    <s v="MT"/>
    <s v="Eixo Principal"/>
    <s v="-"/>
    <s v="364BMT0615"/>
    <s v="ENTR MT-107 (ALTO GARÇAS)"/>
    <s v="ENTR MT-110"/>
    <n v="58.3"/>
    <n v="67.599999999999994"/>
    <n v="9.3000000000000007"/>
    <x v="2"/>
    <m/>
    <m/>
    <s v="Federal"/>
    <m/>
    <m/>
    <m/>
    <s v="Federal"/>
    <s v="PAV"/>
    <s v="Rondonópolis"/>
  </r>
  <r>
    <x v="0"/>
    <s v="364BMT0620"/>
    <n v="0"/>
    <x v="312"/>
    <s v="0620"/>
    <n v="-53.614883330001597"/>
    <n v="-16.918362310172402"/>
    <n v="-53.847672359591598"/>
    <n v="-16.8462518698278"/>
    <s v="364"/>
    <s v="MT"/>
    <s v="Eixo Principal"/>
    <s v="-"/>
    <s v="364BMT0620"/>
    <s v="ENTR MT-110"/>
    <s v="ENTR MT-461(A)"/>
    <n v="67.599999999999994"/>
    <n v="112.9"/>
    <n v="45.3"/>
    <x v="2"/>
    <m/>
    <m/>
    <s v="Federal"/>
    <m/>
    <m/>
    <m/>
    <s v="Federal"/>
    <s v="PAV"/>
    <s v="Rondonópolis"/>
  </r>
  <r>
    <x v="0"/>
    <s v="364BMT0625"/>
    <n v="0"/>
    <x v="312"/>
    <s v="0625"/>
    <n v="-53.847672359591598"/>
    <n v="-16.8462518698278"/>
    <n v="-53.8901387000409"/>
    <n v="-16.867722949854201"/>
    <s v="364"/>
    <s v="MT"/>
    <s v="Eixo Principal"/>
    <s v="-"/>
    <s v="364BMT0625"/>
    <s v="ENTR MT-461(A)"/>
    <s v="ENTR MT-461(B)"/>
    <n v="112.9"/>
    <n v="117.9"/>
    <n v="5"/>
    <x v="2"/>
    <m/>
    <m/>
    <s v="Federal"/>
    <m/>
    <m/>
    <m/>
    <s v="Federal"/>
    <s v="PAV"/>
    <s v="Rondonópolis"/>
  </r>
  <r>
    <x v="0"/>
    <s v="364BMT0630"/>
    <n v="0"/>
    <x v="312"/>
    <s v="0630"/>
    <n v="-53.8901387000409"/>
    <n v="-16.867722949854201"/>
    <n v="-54.306166260264597"/>
    <n v="-16.671022659967701"/>
    <s v="364"/>
    <s v="MT"/>
    <s v="Eixo Principal"/>
    <s v="-"/>
    <s v="364BMT0630"/>
    <s v="ENTR MT-461(B)"/>
    <s v="ENTR MT-470"/>
    <n v="117.9"/>
    <n v="166"/>
    <n v="48.1"/>
    <x v="2"/>
    <m/>
    <m/>
    <s v="Federal"/>
    <m/>
    <m/>
    <m/>
    <s v="Federal"/>
    <s v="PAV"/>
    <s v="Rondonópolis"/>
  </r>
  <r>
    <x v="0"/>
    <s v="364BMT0635"/>
    <n v="0"/>
    <x v="312"/>
    <s v="0635"/>
    <n v="-54.306166260264597"/>
    <n v="-16.671022659967701"/>
    <n v="-54.393234490179502"/>
    <n v="-16.649266940017199"/>
    <s v="364"/>
    <s v="MT"/>
    <s v="Eixo Principal"/>
    <s v="-"/>
    <s v="364BMT0635"/>
    <s v="ENTR MT-470"/>
    <s v="ENTR MT-458 (P/NOVA GALILÉIA)"/>
    <n v="166"/>
    <n v="167.7"/>
    <n v="1.7"/>
    <x v="2"/>
    <m/>
    <m/>
    <s v="Federal"/>
    <m/>
    <m/>
    <m/>
    <s v="Federal"/>
    <s v="PAV"/>
    <s v="Rondonópolis"/>
  </r>
  <r>
    <x v="0"/>
    <s v="364BMT0640"/>
    <n v="0"/>
    <x v="312"/>
    <s v="0640"/>
    <n v="-54.393234490179502"/>
    <n v="-16.649266940017199"/>
    <n v="-54.465306589727199"/>
    <n v="-16.611951749873199"/>
    <s v="364"/>
    <s v="MT"/>
    <s v="Eixo Principal"/>
    <s v="-"/>
    <s v="364BMT0640"/>
    <s v="ENTR MT-458 (P/NOVA GALILÉIA)"/>
    <s v="ENTR MT-459 (PEDRA PRETA)"/>
    <n v="167.7"/>
    <n v="176.8"/>
    <n v="9.1"/>
    <x v="2"/>
    <m/>
    <m/>
    <s v="Federal"/>
    <m/>
    <m/>
    <m/>
    <s v="Federal"/>
    <s v="PAV"/>
    <s v="Rondonópolis"/>
  </r>
  <r>
    <x v="0"/>
    <s v="364BMT0645"/>
    <n v="0"/>
    <x v="312"/>
    <s v="0645"/>
    <n v="-54.465306589727199"/>
    <n v="-16.611951749873199"/>
    <n v="-54.646378050106797"/>
    <n v="-16.491405239660001"/>
    <s v="364"/>
    <s v="MT"/>
    <s v="Eixo Principal"/>
    <s v="-"/>
    <s v="364BMT0645"/>
    <s v="ENTR MT-459 (PEDRA PRETA)"/>
    <s v="ENTR BR-163(A)"/>
    <n v="176.8"/>
    <n v="201"/>
    <n v="24.2"/>
    <x v="2"/>
    <m/>
    <m/>
    <s v="Federal"/>
    <m/>
    <m/>
    <m/>
    <s v="Federal"/>
    <s v="PAV"/>
    <s v="Rondonópolis"/>
  </r>
  <r>
    <x v="0"/>
    <s v="364BMT0650"/>
    <n v="0"/>
    <x v="312"/>
    <s v="0650"/>
    <n v="-54.646378050106797"/>
    <n v="-16.491405239660001"/>
    <n v="-54.654982290400298"/>
    <n v="-16.472335479898401"/>
    <s v="364"/>
    <s v="MT"/>
    <s v="Eixo Principal"/>
    <s v="Coinc"/>
    <s v="364BMT0650"/>
    <s v="ENTR BR-163(A)"/>
    <s v="ENTR MT-270(A) (ACESSO RONDONÓPOLIS (I))"/>
    <n v="201"/>
    <n v="203.4"/>
    <n v="2.4"/>
    <x v="0"/>
    <m/>
    <s v="163BMT0582"/>
    <s v="Concessão Federal"/>
    <m/>
    <m/>
    <m/>
    <s v="Federal"/>
    <s v="PAV"/>
    <s v="Rondonópolis"/>
  </r>
  <r>
    <x v="0"/>
    <s v="364BMT0655"/>
    <n v="0"/>
    <x v="312"/>
    <s v="0655"/>
    <n v="-54.654982290400298"/>
    <n v="-16.472335479898401"/>
    <n v="-54.6656278703298"/>
    <n v="-16.448788330217202"/>
    <s v="364"/>
    <s v="MT"/>
    <s v="Eixo Principal"/>
    <s v="Coinc"/>
    <s v="364BMT0655"/>
    <s v="ENTR MT-270(A) (ACESSO RONDONÓPOLIS (I))"/>
    <s v="ACESSO RONDONÓPOLIS (II)"/>
    <n v="203.4"/>
    <n v="206.3"/>
    <n v="2.9"/>
    <x v="0"/>
    <m/>
    <s v="163BMT0585"/>
    <s v="Concessão Federal"/>
    <m/>
    <m/>
    <m/>
    <s v="Federal"/>
    <s v="PAV"/>
    <s v="Rondonópolis"/>
  </r>
  <r>
    <x v="0"/>
    <s v="364BMT0660"/>
    <n v="0"/>
    <x v="312"/>
    <s v="0660"/>
    <n v="-54.6656278703298"/>
    <n v="-16.448788330217202"/>
    <n v="-54.695466060110498"/>
    <n v="-16.427475020056001"/>
    <s v="364"/>
    <s v="MT"/>
    <s v="Eixo Principal"/>
    <s v="Coinc"/>
    <s v="364BMT0660"/>
    <s v="ACESSO RONDONÓPOLIS (II)"/>
    <s v="ENTR MT-483 (ANEL RODOVIÁRIO RONDONÓPOLIS)"/>
    <n v="206.3"/>
    <n v="209.2"/>
    <n v="2.9"/>
    <x v="2"/>
    <m/>
    <s v="163BMT0590"/>
    <s v="Concessão Federal"/>
    <m/>
    <m/>
    <m/>
    <s v="Federal"/>
    <s v="PAV"/>
    <s v="Rondonópolis"/>
  </r>
  <r>
    <x v="0"/>
    <s v="364BMT0665"/>
    <n v="0"/>
    <x v="312"/>
    <s v="0665"/>
    <n v="-54.695466060110498"/>
    <n v="-16.427475020056001"/>
    <n v="-54.713356369800501"/>
    <n v="-16.381113929863901"/>
    <s v="364"/>
    <s v="MT"/>
    <s v="Eixo Principal"/>
    <s v="Coinc"/>
    <s v="364BMT0665"/>
    <s v="ENTR MT-483 (ANEL RODOVIÁRIO RONDONÓPOLIS)"/>
    <s v="ENTR MT-270(B)"/>
    <n v="209.2"/>
    <n v="215.3"/>
    <n v="6.1"/>
    <x v="2"/>
    <m/>
    <s v="163BMT0591"/>
    <s v="Concessão Federal"/>
    <m/>
    <m/>
    <m/>
    <s v="Federal"/>
    <s v="PAV"/>
    <s v="Rondonópolis"/>
  </r>
  <r>
    <x v="0"/>
    <s v="364BMT0670"/>
    <n v="0"/>
    <x v="312"/>
    <s v="0670"/>
    <n v="-54.713356369800501"/>
    <n v="-16.381113929863901"/>
    <n v="-54.783370059680401"/>
    <n v="-16.195471149873601"/>
    <s v="364"/>
    <s v="MT"/>
    <s v="Eixo Principal"/>
    <s v="Coinc"/>
    <s v="364BMT0670"/>
    <s v="ENTR MT-270(B)"/>
    <s v="ENTR MT-469(A)"/>
    <n v="215.3"/>
    <n v="238.1"/>
    <n v="22.8"/>
    <x v="2"/>
    <s v="EOD"/>
    <s v="163BMT0592"/>
    <s v="Concessão Federal"/>
    <m/>
    <m/>
    <m/>
    <s v="Federal"/>
    <s v="PAV"/>
    <s v="Rondonópolis"/>
  </r>
  <r>
    <x v="0"/>
    <s v="364BMT0675"/>
    <n v="0"/>
    <x v="312"/>
    <s v="0675"/>
    <n v="-54.783370059680401"/>
    <n v="-16.195471149873601"/>
    <n v="-54.7893735703339"/>
    <n v="-16.178289239756499"/>
    <s v="364"/>
    <s v="MT"/>
    <s v="Eixo Principal"/>
    <s v="Coinc"/>
    <s v="364BMT0675"/>
    <s v="ENTR MT-469(A)"/>
    <s v="ENTR MT-469(B)"/>
    <n v="238.1"/>
    <n v="240.1"/>
    <n v="2"/>
    <x v="2"/>
    <s v="EOD"/>
    <s v="163BMT0595"/>
    <s v="Concessão Federal"/>
    <m/>
    <m/>
    <m/>
    <s v="Federal"/>
    <s v="PAV"/>
    <s v="Rondonópolis"/>
  </r>
  <r>
    <x v="0"/>
    <s v="364BMT0680"/>
    <n v="0"/>
    <x v="312"/>
    <s v="0680"/>
    <n v="-54.7893735703339"/>
    <n v="-16.178289239756499"/>
    <n v="-54.795785380390903"/>
    <n v="-16.1617778299828"/>
    <s v="364"/>
    <s v="MT"/>
    <s v="Eixo Principal"/>
    <s v="Coinc"/>
    <s v="364BMT0680"/>
    <s v="ENTR MT-469(B)"/>
    <s v="ENTR MT-454 (SANTA ELVIRA)"/>
    <n v="240.1"/>
    <n v="242.1"/>
    <n v="2"/>
    <x v="2"/>
    <s v="EOD"/>
    <s v="163BMT0600"/>
    <s v="Concessão Federal"/>
    <m/>
    <m/>
    <m/>
    <s v="Federal"/>
    <s v="PAV"/>
    <s v="Rondonópolis"/>
  </r>
  <r>
    <x v="0"/>
    <s v="364BMT0685"/>
    <n v="0"/>
    <x v="312"/>
    <s v="0685"/>
    <n v="-54.795785380390903"/>
    <n v="-16.1617778299828"/>
    <n v="-54.883511379846198"/>
    <n v="-16.056504759686799"/>
    <s v="364"/>
    <s v="MT"/>
    <s v="Eixo Principal"/>
    <s v="Coinc"/>
    <s v="364BMT0685"/>
    <s v="ENTR MT-454 (SANTA ELVIRA)"/>
    <s v="JUSCIMEIRA"/>
    <n v="242.1"/>
    <n v="258"/>
    <n v="15.9"/>
    <x v="2"/>
    <s v="EOD"/>
    <s v="163BMT0605"/>
    <s v="Concessão Federal"/>
    <m/>
    <m/>
    <m/>
    <s v="Federal"/>
    <s v="PAV"/>
    <s v="Rondonópolis"/>
  </r>
  <r>
    <x v="0"/>
    <s v="364BMT0690"/>
    <n v="0"/>
    <x v="312"/>
    <s v="0690"/>
    <n v="-54.883511379846198"/>
    <n v="-16.056504759686799"/>
    <n v="-54.892194229879699"/>
    <n v="-16.036821039958902"/>
    <s v="364"/>
    <s v="MT"/>
    <s v="Eixo Principal"/>
    <s v="Coinc"/>
    <s v="364BMT0690"/>
    <s v="JUSCIMEIRA"/>
    <s v="ENTR MT-373"/>
    <n v="258"/>
    <n v="260.39999999999998"/>
    <n v="2.4"/>
    <x v="2"/>
    <s v="EOD"/>
    <s v="163BMT0610"/>
    <s v="Concessão Federal"/>
    <m/>
    <m/>
    <m/>
    <s v="Federal"/>
    <s v="PAV"/>
    <s v="Rondonópolis"/>
  </r>
  <r>
    <x v="0"/>
    <s v="364BMT0700"/>
    <n v="0"/>
    <x v="312"/>
    <s v="0700"/>
    <n v="-54.892194229879699"/>
    <n v="-16.036821039958902"/>
    <n v="-54.9055434003076"/>
    <n v="-16.017954210418399"/>
    <s v="364"/>
    <s v="MT"/>
    <s v="Eixo Principal"/>
    <s v="Coinc"/>
    <s v="364BMT0700"/>
    <s v="ENTR MT-373"/>
    <s v="ENTR MT-472 (SÃO PEDRO DA CIPA)"/>
    <n v="260.39999999999998"/>
    <n v="262.8"/>
    <n v="2.4"/>
    <x v="2"/>
    <s v="EOD"/>
    <s v="163BMT0615"/>
    <s v="Concessão Federal"/>
    <m/>
    <m/>
    <m/>
    <s v="Federal"/>
    <s v="PAV"/>
    <s v="Rondonópolis"/>
  </r>
  <r>
    <x v="0"/>
    <s v="364BMT0705"/>
    <n v="0"/>
    <x v="312"/>
    <s v="0705"/>
    <n v="-54.9055434003076"/>
    <n v="-16.017954210418399"/>
    <n v="-54.943729869837497"/>
    <n v="-15.968974059704999"/>
    <s v="364"/>
    <s v="MT"/>
    <s v="Eixo Principal"/>
    <s v="Coinc"/>
    <s v="364BMT0705"/>
    <s v="ENTR MT-472 (SÃO PEDRO DA CIPA)"/>
    <s v="ENTR MT-344"/>
    <n v="262.8"/>
    <n v="269.89999999999998"/>
    <n v="7.1"/>
    <x v="2"/>
    <s v="EOD"/>
    <s v="163BMT0620"/>
    <s v="Concessão Federal"/>
    <m/>
    <m/>
    <m/>
    <s v="Federal"/>
    <s v="PAV"/>
    <s v="Rondonópolis"/>
  </r>
  <r>
    <x v="0"/>
    <s v="364BMT0710"/>
    <n v="0"/>
    <x v="312"/>
    <s v="0710"/>
    <n v="-54.943729869837497"/>
    <n v="-15.968974059704999"/>
    <n v="-54.958117570169598"/>
    <n v="-15.969912270235"/>
    <s v="364"/>
    <s v="MT"/>
    <s v="Eixo Principal"/>
    <s v="Coinc"/>
    <s v="364BMT0710"/>
    <s v="ENTR MT-344"/>
    <s v="ENTR MT-457(A) (P/JACIÁRA)"/>
    <n v="269.89999999999998"/>
    <n v="271.5"/>
    <n v="1.6"/>
    <x v="0"/>
    <m/>
    <s v="163BMT0625"/>
    <s v="Concessão Federal"/>
    <m/>
    <m/>
    <m/>
    <s v="Federal"/>
    <s v="PAV"/>
    <s v="Rondonópolis"/>
  </r>
  <r>
    <x v="0"/>
    <s v="364BMT0715"/>
    <n v="0"/>
    <x v="312"/>
    <s v="0715"/>
    <n v="-54.958117570169598"/>
    <n v="-15.969912270235"/>
    <n v="-54.978465020144498"/>
    <n v="-15.9526672897635"/>
    <s v="364"/>
    <s v="MT"/>
    <s v="Eixo Principal"/>
    <s v="Coinc"/>
    <s v="364BMT0715"/>
    <s v="ENTR MT-457(A) (P/JACIÁRA)"/>
    <s v="ENTR MT-457(B)"/>
    <n v="271.5"/>
    <n v="274.5"/>
    <n v="3"/>
    <x v="0"/>
    <m/>
    <s v="163BMT0630"/>
    <s v="Concessão Federal"/>
    <m/>
    <m/>
    <m/>
    <s v="Federal"/>
    <s v="PAV"/>
    <s v="Rondonópolis"/>
  </r>
  <r>
    <x v="0"/>
    <s v="364BMT0720"/>
    <n v="0"/>
    <x v="312"/>
    <s v="0720"/>
    <n v="-54.978465020144498"/>
    <n v="-15.9526672897635"/>
    <n v="-55.137696989624303"/>
    <n v="-15.852244970129201"/>
    <s v="364"/>
    <s v="MT"/>
    <s v="Eixo Principal"/>
    <s v="Coinc"/>
    <s v="364BMT0720"/>
    <s v="ENTR MT-457(B)"/>
    <s v="ENTR MT-260"/>
    <n v="274.5"/>
    <n v="297.89999999999998"/>
    <n v="23.4"/>
    <x v="2"/>
    <s v="EOD"/>
    <s v="163BMT0635"/>
    <s v="Concessão Federal"/>
    <m/>
    <m/>
    <m/>
    <s v="Federal"/>
    <s v="PAV"/>
    <s v="Rondonópolis"/>
  </r>
  <r>
    <x v="0"/>
    <s v="364BMT0725"/>
    <n v="0"/>
    <x v="312"/>
    <s v="0725"/>
    <n v="-55.137696989624303"/>
    <n v="-15.852244970129201"/>
    <n v="-55.210487119584798"/>
    <n v="-15.8213351598896"/>
    <s v="364"/>
    <s v="MT"/>
    <s v="Eixo Principal"/>
    <s v="Coinc"/>
    <s v="364BMT0725"/>
    <s v="ENTR MT-260"/>
    <s v="ENTR MT-453"/>
    <n v="297.89999999999998"/>
    <n v="306.8"/>
    <n v="8.9"/>
    <x v="2"/>
    <s v="EOD"/>
    <s v="163BMT0640"/>
    <s v="Concessão Federal"/>
    <m/>
    <m/>
    <m/>
    <s v="Federal"/>
    <s v="PAV"/>
    <s v="Rondonópolis"/>
  </r>
  <r>
    <x v="0"/>
    <s v="364BMT0730"/>
    <n v="0"/>
    <x v="312"/>
    <s v="0730"/>
    <n v="-55.210487119584798"/>
    <n v="-15.8213351598896"/>
    <n v="-55.265530080448698"/>
    <n v="-15.811110639844101"/>
    <s v="364"/>
    <s v="MT"/>
    <s v="Eixo Principal"/>
    <s v="Coinc"/>
    <s v="364BMT0730"/>
    <s v="ENTR MT-453"/>
    <s v="ENTR MT-140(A)"/>
    <n v="306.8"/>
    <n v="313"/>
    <n v="6.2"/>
    <x v="2"/>
    <s v="EOD"/>
    <s v="163BMT0645"/>
    <s v="Concessão Federal"/>
    <m/>
    <m/>
    <m/>
    <s v="Federal"/>
    <s v="PAV"/>
    <s v="Rondonópolis"/>
  </r>
  <r>
    <x v="0"/>
    <s v="364BMT0735"/>
    <n v="0"/>
    <x v="312"/>
    <s v="0735"/>
    <n v="-55.265530080448698"/>
    <n v="-15.811110639844101"/>
    <n v="-55.410493859603797"/>
    <n v="-15.819893050224"/>
    <s v="364"/>
    <s v="MT"/>
    <s v="Eixo Principal"/>
    <s v="Coinc"/>
    <s v="364BMT0735"/>
    <s v="ENTR MT-140(A)"/>
    <s v="ENTR BR-070(A) (SÃO VICENTE DA SERRA)"/>
    <n v="313"/>
    <n v="329.9"/>
    <n v="16.899999999999999"/>
    <x v="2"/>
    <s v="EOD"/>
    <s v="163BMT0650"/>
    <s v="Concessão Federal"/>
    <m/>
    <m/>
    <m/>
    <s v="Federal"/>
    <s v="PAV"/>
    <s v="Rondonópolis"/>
  </r>
  <r>
    <x v="0"/>
    <s v="364BMT0740"/>
    <n v="0"/>
    <x v="312"/>
    <s v="0740"/>
    <n v="-55.410493859603797"/>
    <n v="-15.819893050224"/>
    <n v="-55.513269869608699"/>
    <n v="-15.8235573396994"/>
    <s v="364"/>
    <s v="MT"/>
    <s v="Eixo Principal"/>
    <s v="Coinc"/>
    <s v="364BMT0740"/>
    <s v="ENTR BR-070(A) (SÃO VICENTE DA SERRA)"/>
    <s v="ENTR MT-455"/>
    <n v="329.9"/>
    <n v="342.6"/>
    <n v="12.7"/>
    <x v="2"/>
    <s v="EOD"/>
    <s v="163BMT0655;070BMT0410"/>
    <s v="Concessão Federal"/>
    <m/>
    <m/>
    <m/>
    <s v="Federal"/>
    <s v="PAV"/>
    <s v="Cuiabá"/>
  </r>
  <r>
    <x v="0"/>
    <s v="364BMT0745"/>
    <n v="0"/>
    <x v="312"/>
    <s v="0745"/>
    <n v="-55.513269869608699"/>
    <n v="-15.8235573396994"/>
    <n v="-55.541225530134"/>
    <n v="-15.809694380291299"/>
    <s v="364"/>
    <s v="MT"/>
    <s v="Eixo Principal"/>
    <s v="Coinc"/>
    <s v="364BMT0745"/>
    <s v="ENTR MT-455"/>
    <s v="INÍCIO VARIANTE I SERRA DE SÃO VICENTE"/>
    <n v="342.6"/>
    <n v="346.3"/>
    <n v="3.7"/>
    <x v="2"/>
    <s v="EOD"/>
    <s v="163BMT0660;070BMT0415"/>
    <s v="Concessão Federal"/>
    <m/>
    <m/>
    <m/>
    <s v="Federal"/>
    <s v="PAV"/>
    <s v="Cuiabá"/>
  </r>
  <r>
    <x v="0"/>
    <s v="364BMT0750"/>
    <n v="0"/>
    <x v="312"/>
    <s v="0750"/>
    <n v="-55.541225530134"/>
    <n v="-15.809694380291299"/>
    <n v="-55.594080950375499"/>
    <n v="-15.7968226599377"/>
    <s v="364"/>
    <s v="MT"/>
    <s v="Eixo Principal"/>
    <s v="Coinc"/>
    <s v="364BMT0750"/>
    <s v="INÍCIO VARIANTE I SERRA DE SÃO VICENTE"/>
    <s v="FIM VARIANTE I SERRA DE SÃO VICENTE"/>
    <n v="346.3"/>
    <n v="354.3"/>
    <n v="8"/>
    <x v="0"/>
    <m/>
    <s v="070BMT0420;163BMT0665"/>
    <s v="Concessão Federal"/>
    <m/>
    <m/>
    <m/>
    <s v="Federal"/>
    <s v="PAV"/>
    <s v="Cuiabá"/>
  </r>
  <r>
    <x v="0"/>
    <s v="364BMT0755"/>
    <n v="0"/>
    <x v="312"/>
    <s v="0755"/>
    <n v="-55.594080950375499"/>
    <n v="-15.7968226599377"/>
    <n v="-55.603444599788403"/>
    <n v="-15.7969890596972"/>
    <s v="364"/>
    <s v="MT"/>
    <s v="Eixo Principal"/>
    <s v="Coinc"/>
    <s v="364BMT0755"/>
    <s v="FIM VARIANTE I SERRA DE SÃO VICENTE"/>
    <s v="INÍCIO VARIANTE II SERRA DE SÃO VICENTE"/>
    <n v="354.3"/>
    <n v="355.3"/>
    <n v="1"/>
    <x v="0"/>
    <m/>
    <s v="163BMT0670;070BMT0425"/>
    <s v="Concessão Federal"/>
    <m/>
    <m/>
    <m/>
    <s v="Federal"/>
    <s v="PAV"/>
    <s v="Cuiabá"/>
  </r>
  <r>
    <x v="0"/>
    <s v="364BMT0760"/>
    <n v="0"/>
    <x v="312"/>
    <s v="0760"/>
    <n v="-55.603444599788403"/>
    <n v="-15.7969890596972"/>
    <n v="-55.6539620597012"/>
    <n v="-15.7710792498074"/>
    <s v="364"/>
    <s v="MT"/>
    <s v="Eixo Principal"/>
    <s v="Coinc"/>
    <s v="364BMT0760"/>
    <s v="INÍCIO VARIANTE II SERRA DE SÃO VICENTE"/>
    <s v="FIM VARIANTE II SERRA DE SÃO VICENTE"/>
    <n v="355.3"/>
    <n v="363.5"/>
    <n v="8.1999999999999993"/>
    <x v="0"/>
    <m/>
    <s v="163BMT0675;070BMT0430"/>
    <s v="Concessão Federal"/>
    <m/>
    <m/>
    <m/>
    <s v="Federal"/>
    <s v="PAV"/>
    <s v="Cuiabá"/>
  </r>
  <r>
    <x v="0"/>
    <s v="364BMT0765"/>
    <n v="0"/>
    <x v="312"/>
    <s v="0765"/>
    <n v="-55.6539620597012"/>
    <n v="-15.7710792498074"/>
    <n v="-55.961380560364503"/>
    <n v="-15.6657154702926"/>
    <s v="364"/>
    <s v="MT"/>
    <s v="Eixo Principal"/>
    <s v="Coinc"/>
    <s v="364BMT0765"/>
    <s v="FIM VARIANTE II SERRA DE SÃO VICENTE"/>
    <s v="ACESSO DISTRITO INDUSTRIAL"/>
    <n v="363.5"/>
    <n v="402.8"/>
    <n v="39.299999999999997"/>
    <x v="2"/>
    <s v="EOD"/>
    <s v="070BMT0435;163BMT0680"/>
    <s v="Concessão Federal"/>
    <m/>
    <m/>
    <m/>
    <s v="Federal"/>
    <s v="PAV"/>
    <s v="Cuiabá"/>
  </r>
  <r>
    <x v="0"/>
    <s v="364BMT0770"/>
    <n v="0"/>
    <x v="312"/>
    <s v="0770"/>
    <n v="-55.961380560364503"/>
    <n v="-15.6657154702926"/>
    <n v="-56.000741219831397"/>
    <n v="-15.6494602395983"/>
    <s v="364"/>
    <s v="MT"/>
    <s v="Eixo Principal"/>
    <s v="Coinc"/>
    <s v="364BMT0770"/>
    <s v="ACESSO DISTRITO INDUSTRIAL"/>
    <s v="ENTR BR-070(B)/MT-407"/>
    <n v="402.8"/>
    <n v="407.5"/>
    <n v="4.7"/>
    <x v="0"/>
    <m/>
    <s v="070BMT0440;163BMT0685"/>
    <s v="Concessão Federal"/>
    <m/>
    <m/>
    <m/>
    <s v="Federal"/>
    <s v="PAV"/>
    <s v="Cuiabá"/>
  </r>
  <r>
    <x v="0"/>
    <s v="364BMT0780"/>
    <n v="0"/>
    <x v="312"/>
    <s v="0780"/>
    <n v="-56.000741219831397"/>
    <n v="-15.6494602395983"/>
    <n v="-56.025908830028399"/>
    <n v="-15.6385284504276"/>
    <s v="364"/>
    <s v="MT"/>
    <s v="Eixo Principal"/>
    <s v="Coinc"/>
    <s v="364BMT0780"/>
    <s v="ENTR BR-070(B)/MT-407"/>
    <s v="ACESSO TIJUCAL (CONTORNO CUIABÁ)"/>
    <n v="407.5"/>
    <n v="410.6"/>
    <n v="3.1"/>
    <x v="0"/>
    <m/>
    <s v="163BMT0695"/>
    <s v="Federal"/>
    <m/>
    <m/>
    <m/>
    <s v="Federal"/>
    <s v="PAV"/>
    <s v="Cuiabá"/>
  </r>
  <r>
    <x v="0"/>
    <s v="364BMT0785"/>
    <n v="0"/>
    <x v="312"/>
    <s v="0785"/>
    <n v="-56.025908830028399"/>
    <n v="-15.6385284504276"/>
    <n v="-56.046719689861703"/>
    <n v="-15.634477449774399"/>
    <s v="364"/>
    <s v="MT"/>
    <s v="Eixo Principal"/>
    <s v="Coinc"/>
    <s v="364BMT0785"/>
    <s v="ACESSO TIJUCAL (CONTORNO CUIABÁ)"/>
    <s v="ENTR MT-040 (P/SANTO ANTÔNIO DO LEVERGER) *TRECHO URBANO*"/>
    <n v="410.6"/>
    <n v="413.2"/>
    <n v="2.6"/>
    <x v="0"/>
    <m/>
    <s v="163BMT0700"/>
    <s v="Federal"/>
    <m/>
    <m/>
    <m/>
    <s v="Federal"/>
    <s v="PAV"/>
    <s v="Cuiabá"/>
  </r>
  <r>
    <x v="0"/>
    <s v="364BMT0790"/>
    <n v="0"/>
    <x v="312"/>
    <s v="0790"/>
    <n v="-56.046719689861703"/>
    <n v="-15.634477449774399"/>
    <n v="-56.080665319948501"/>
    <n v="-15.6078104898621"/>
    <s v="364"/>
    <s v="MT"/>
    <s v="Eixo Principal"/>
    <s v="Coinc"/>
    <s v="364BMT0790"/>
    <s v="ENTR MT-040 (P/SANTO ANTÔNIO DO LEVERGER)"/>
    <s v="ENTR AVENIDA MIGUEL SUTIL (AREÃO) *TRECHO URBANO*"/>
    <n v="413.2"/>
    <n v="418"/>
    <n v="4.8"/>
    <x v="0"/>
    <m/>
    <s v="163BMT0705"/>
    <s v="Federal"/>
    <m/>
    <m/>
    <m/>
    <s v="Federal"/>
    <s v="PAV"/>
    <s v="Cuiabá"/>
  </r>
  <r>
    <x v="0"/>
    <s v="364BMT0795"/>
    <n v="0"/>
    <x v="312"/>
    <s v="0795"/>
    <n v="-56.080665319948501"/>
    <n v="-15.6078104898621"/>
    <n v="-56.0908383699947"/>
    <n v="-15.582323569976699"/>
    <s v="364"/>
    <s v="MT"/>
    <s v="Eixo Principal"/>
    <s v="Coinc"/>
    <s v="364BMT0795"/>
    <s v="ENTR AVENIDA MIGUEL SUTIL (AREÃO)"/>
    <s v="ENTR BR-251/MT-020/351(A) *TRECHO URBANO*"/>
    <n v="418"/>
    <n v="421.7"/>
    <n v="3.7"/>
    <x v="0"/>
    <m/>
    <s v="163BMT0710"/>
    <s v="Federal"/>
    <m/>
    <m/>
    <m/>
    <s v="Federal"/>
    <s v="PAV"/>
    <s v="Cuiabá"/>
  </r>
  <r>
    <x v="0"/>
    <s v="364BMT0800"/>
    <n v="0"/>
    <x v="312"/>
    <s v="0800"/>
    <n v="-56.0908383699947"/>
    <n v="-15.582323569976699"/>
    <n v="-56.117324950186202"/>
    <n v="-15.6233815199411"/>
    <s v="364"/>
    <s v="MT"/>
    <s v="Eixo Principal"/>
    <s v="Coinc"/>
    <s v="364BMT0800"/>
    <s v="ENTR BR-251/MT-020/351(A)"/>
    <s v="ENTR MT-050(A)/060(A) (PONTE NOVA) *TRECHO URBANO*"/>
    <n v="421.7"/>
    <n v="430.6"/>
    <n v="8.9"/>
    <x v="0"/>
    <m/>
    <s v="163BMT0715"/>
    <s v="Federal"/>
    <m/>
    <m/>
    <m/>
    <s v="Federal"/>
    <s v="PAV"/>
    <s v="Cuiabá"/>
  </r>
  <r>
    <x v="0"/>
    <s v="364BMT0805"/>
    <n v="0"/>
    <x v="312"/>
    <s v="0805"/>
    <n v="-56.117324950186202"/>
    <n v="-15.6233815199411"/>
    <n v="-56.113754069694401"/>
    <n v="-15.6276209996094"/>
    <s v="364"/>
    <s v="MT"/>
    <s v="Eixo Principal"/>
    <s v="Coinc"/>
    <s v="364BMT0805"/>
    <s v="ENTR MT-050(A)/060(A) (PONTE NOVA)"/>
    <s v="ENTR AVENIDA DA FEB *TRECHO URBANO*"/>
    <n v="430.6"/>
    <n v="431.2"/>
    <n v="0.6"/>
    <x v="0"/>
    <m/>
    <s v="163BMT0720"/>
    <s v="Federal"/>
    <m/>
    <m/>
    <m/>
    <s v="Federal"/>
    <s v="PAV"/>
    <s v="Cuiabá"/>
  </r>
  <r>
    <x v="0"/>
    <s v="364BMT0810"/>
    <n v="0"/>
    <x v="312"/>
    <s v="0810"/>
    <n v="-56.113754069694401"/>
    <n v="-15.6276209996094"/>
    <n v="-56.120820509758602"/>
    <n v="-15.6381466999102"/>
    <s v="364"/>
    <s v="MT"/>
    <s v="Eixo Principal"/>
    <s v="Coinc"/>
    <s v="364BMT0810"/>
    <s v="ENTR AVENIDA DA FEB"/>
    <s v="ENTR AV. ULISSES POMPEU DE CAMPOS/MT-050"/>
    <n v="431.2"/>
    <n v="432.6"/>
    <n v="1.4"/>
    <x v="0"/>
    <m/>
    <s v="163BMT0725"/>
    <s v="Federal"/>
    <m/>
    <m/>
    <m/>
    <s v="Federal"/>
    <s v="PAV"/>
    <s v="Cuiabá"/>
  </r>
  <r>
    <x v="0"/>
    <s v="364BMT0815"/>
    <n v="0"/>
    <x v="312"/>
    <s v="0815"/>
    <n v="-56.147064610243497"/>
    <n v="-15.648803229985001"/>
    <n v="-56.120820509758602"/>
    <n v="-15.6381466999102"/>
    <s v="364"/>
    <s v="MT"/>
    <s v="Eixo Principal"/>
    <s v="Coinc"/>
    <s v="364BMT0815"/>
    <s v="ENTR AV. ULISSES POMPEU DE CAMPOS/MT-050"/>
    <s v="POSTO TREVINHO *TRECHO URBANO*"/>
    <n v="432.6"/>
    <n v="436"/>
    <n v="3.4"/>
    <x v="0"/>
    <m/>
    <s v="163BMT0730"/>
    <s v="Federal"/>
    <m/>
    <m/>
    <m/>
    <s v="Federal"/>
    <s v="PAV"/>
    <s v="Cuiabá"/>
  </r>
  <r>
    <x v="0"/>
    <s v="364BMT0820"/>
    <n v="0"/>
    <x v="312"/>
    <s v="0820"/>
    <n v="-56.147064610243497"/>
    <n v="-15.648803229985001"/>
    <n v="-56.194845659799299"/>
    <n v="-15.649205750345001"/>
    <s v="364"/>
    <s v="MT"/>
    <s v="Eixo Principal"/>
    <s v="Coinc"/>
    <s v="364BMT0820"/>
    <s v="POSTO TREVINHO"/>
    <s v="ENTR BR-070/MT-060(B) (TREVO LAGARTO) *TRECHO URBANO*"/>
    <n v="436"/>
    <n v="441.7"/>
    <n v="5.7"/>
    <x v="0"/>
    <m/>
    <s v="163BMT0735"/>
    <s v="Federal"/>
    <m/>
    <m/>
    <m/>
    <s v="Federal"/>
    <s v="PAV"/>
    <s v="Cuiabá"/>
  </r>
  <r>
    <x v="0"/>
    <s v="364BMT0825"/>
    <n v="0"/>
    <x v="312"/>
    <s v="0825"/>
    <n v="-56.194845659799299"/>
    <n v="-15.649205750345001"/>
    <n v="-56.431628987787498"/>
    <n v="-15.3182271308773"/>
    <s v="364"/>
    <s v="MT"/>
    <s v="Eixo Principal"/>
    <s v="Coinc"/>
    <s v="364BMT0825"/>
    <s v="ENTR BR-070/MT-060(B) (TREVO LAGARTO)"/>
    <s v="MATA GRANDE"/>
    <n v="441.7"/>
    <n v="491"/>
    <n v="49.3"/>
    <x v="2"/>
    <m/>
    <s v="163BMT0740"/>
    <s v="Concessão Federal"/>
    <m/>
    <m/>
    <m/>
    <s v="Federal"/>
    <s v="PAV"/>
    <s v="Cuiabá"/>
  </r>
  <r>
    <x v="0"/>
    <s v="364BMT0830"/>
    <n v="0"/>
    <x v="312"/>
    <s v="0830"/>
    <n v="-56.431628987787498"/>
    <n v="-15.3182271308773"/>
    <n v="-56.464422759902298"/>
    <n v="-15.254853310132001"/>
    <s v="364"/>
    <s v="MT"/>
    <s v="Eixo Principal"/>
    <s v="Coinc"/>
    <s v="364BMT0830"/>
    <s v="MATA GRANDE"/>
    <s v="ENTR MT-246(A) (P/ACORIZAL)"/>
    <n v="491"/>
    <n v="499.4"/>
    <n v="8.4"/>
    <x v="2"/>
    <m/>
    <s v="163BMT0745"/>
    <s v="Concessão Federal"/>
    <m/>
    <m/>
    <m/>
    <s v="Federal"/>
    <s v="PAV"/>
    <s v="Cuiabá"/>
  </r>
  <r>
    <x v="0"/>
    <s v="364BMT0835"/>
    <n v="0"/>
    <x v="312"/>
    <s v="0835"/>
    <n v="-56.464422759902298"/>
    <n v="-15.254853310132001"/>
    <n v="-56.483436199620797"/>
    <n v="-15.2415845202094"/>
    <s v="364"/>
    <s v="MT"/>
    <s v="Eixo Principal"/>
    <s v="Coinc"/>
    <s v="364BMT0835"/>
    <s v="ENTR MT-246(A) (P/ACORIZAL)"/>
    <s v="FIM DA PONTE S/RIO JANGADA"/>
    <n v="499.4"/>
    <n v="502"/>
    <n v="2.6"/>
    <x v="2"/>
    <m/>
    <s v="163BMT0750"/>
    <s v="Concessão Federal"/>
    <m/>
    <m/>
    <m/>
    <s v="Federal"/>
    <s v="PAV"/>
    <s v="Cuiabá"/>
  </r>
  <r>
    <x v="0"/>
    <s v="364BMT0840"/>
    <n v="0"/>
    <x v="312"/>
    <s v="0840"/>
    <n v="-56.483436199620797"/>
    <n v="-15.2415845202094"/>
    <n v="-56.524269019599501"/>
    <n v="-15.176174139724701"/>
    <s v="364"/>
    <s v="MT"/>
    <s v="Eixo Principal"/>
    <s v="Coinc"/>
    <s v="364BMT0840"/>
    <s v="FIM DA PONTE S/RIO JANGADA"/>
    <s v="ENTR MT-246(B)"/>
    <n v="502"/>
    <n v="510.8"/>
    <n v="8.8000000000000007"/>
    <x v="2"/>
    <m/>
    <s v="163BMT0755"/>
    <s v="Concessão Federal"/>
    <m/>
    <m/>
    <m/>
    <s v="Federal"/>
    <s v="PAV"/>
    <s v="Cuiabá"/>
  </r>
  <r>
    <x v="0"/>
    <s v="364BMT0845"/>
    <n v="0"/>
    <x v="312"/>
    <s v="0845"/>
    <n v="-56.524269019599501"/>
    <n v="-15.176174139724701"/>
    <n v="-56.434270179724898"/>
    <n v="-14.8349269496189"/>
    <s v="364"/>
    <s v="MT"/>
    <s v="Eixo Principal"/>
    <s v="Coinc"/>
    <s v="364BMT0845"/>
    <s v="ENTR MT-246(B)"/>
    <s v="INÍCIO DA TRAVESSIA URB DE ROSÁRIO OESTE"/>
    <n v="510.8"/>
    <n v="551.9"/>
    <n v="41.1"/>
    <x v="2"/>
    <s v="EOD"/>
    <s v="163BMT0760"/>
    <s v="Concessão Federal"/>
    <m/>
    <m/>
    <m/>
    <s v="Federal"/>
    <s v="PAV"/>
    <s v="Cuiabá"/>
  </r>
  <r>
    <x v="0"/>
    <s v="364BMT0850"/>
    <n v="0"/>
    <x v="312"/>
    <s v="0850"/>
    <n v="-56.434270179724898"/>
    <n v="-14.8349269496189"/>
    <n v="-56.425349129858397"/>
    <n v="-14.8171368702703"/>
    <s v="364"/>
    <s v="MT"/>
    <s v="Eixo Principal"/>
    <s v="Coinc"/>
    <s v="364BMT0850"/>
    <s v="INÍCIO DA TRAVESSIA URB DE ROSÁRIO OESTE"/>
    <s v="FIM DA TRAVESSIA URBANA DE ROSÁRIO OESTE *TRECHO URBANO*"/>
    <n v="551.9"/>
    <n v="554.29999999999995"/>
    <n v="2.4"/>
    <x v="0"/>
    <m/>
    <s v="163BMT0765"/>
    <s v="Concessão Federal"/>
    <m/>
    <m/>
    <m/>
    <s v="Federal"/>
    <s v="PAV"/>
    <s v="Cuiabá"/>
  </r>
  <r>
    <x v="0"/>
    <s v="364BMT0855"/>
    <n v="0"/>
    <x v="312"/>
    <s v="0855"/>
    <n v="-56.425349129858397"/>
    <n v="-14.8171368702703"/>
    <n v="-56.320279559953597"/>
    <n v="-14.719397179735999"/>
    <s v="364"/>
    <s v="MT"/>
    <s v="Eixo Principal"/>
    <s v="Coinc"/>
    <s v="364BMT0855"/>
    <s v="FIM DA TRAVESSIA URBANA DE ROSÁRIO OESTE"/>
    <s v="ENTR MT-241 (NOBRES)"/>
    <n v="554.29999999999995"/>
    <n v="571.5"/>
    <n v="17.2"/>
    <x v="0"/>
    <m/>
    <s v="163BMT0770"/>
    <s v="Concessão Federal"/>
    <m/>
    <m/>
    <m/>
    <s v="Federal"/>
    <s v="PAV"/>
    <s v="Cuiabá"/>
  </r>
  <r>
    <x v="0"/>
    <s v="364BMT0870"/>
    <n v="0"/>
    <x v="312"/>
    <s v="0870"/>
    <n v="-56.320279559953597"/>
    <n v="-14.719397179735999"/>
    <n v="-56.221767310412901"/>
    <n v="-14.558651769963101"/>
    <s v="364"/>
    <s v="MT"/>
    <s v="Eixo Principal"/>
    <s v="Coinc"/>
    <s v="364BMT0870"/>
    <s v="ENTR MT-241 (NOBRES)"/>
    <s v="ENTR MT-240(A)"/>
    <n v="571.5"/>
    <n v="594.20000000000005"/>
    <n v="22.7"/>
    <x v="0"/>
    <m/>
    <s v="163BMT0775"/>
    <s v="Concessão Federal"/>
    <m/>
    <m/>
    <m/>
    <s v="Federal"/>
    <s v="PAV"/>
    <s v="Cuiabá"/>
  </r>
  <r>
    <x v="0"/>
    <s v="364BMT0890"/>
    <n v="0"/>
    <x v="312"/>
    <s v="0890"/>
    <n v="-56.221767310412901"/>
    <n v="-14.558651769963101"/>
    <n v="-56.229454719759403"/>
    <n v="-14.5306381598231"/>
    <s v="364"/>
    <s v="MT"/>
    <s v="Eixo Principal"/>
    <s v="Coinc"/>
    <s v="364BMT0890"/>
    <s v="ENTR MT-240(A)"/>
    <s v="ENTR BR-163(B) (POSTO GIL)"/>
    <n v="594.20000000000005"/>
    <n v="597.70000000000005"/>
    <n v="3.5"/>
    <x v="0"/>
    <m/>
    <s v="163BMT0780"/>
    <s v="Concessão Federal"/>
    <m/>
    <m/>
    <m/>
    <s v="Federal"/>
    <s v="PAV"/>
    <s v="Cuiabá"/>
  </r>
  <r>
    <x v="0"/>
    <s v="364BMT0892"/>
    <n v="0"/>
    <x v="312"/>
    <s v="0892"/>
    <n v="-56.229454719759403"/>
    <n v="-14.5306381598231"/>
    <n v="-56.375320560295499"/>
    <n v="-14.376589979743599"/>
    <s v="364"/>
    <s v="MT"/>
    <s v="Eixo Principal"/>
    <s v="-"/>
    <s v="364BMT0892"/>
    <s v="ENTR BR-163(B) (POSTO GIL)"/>
    <s v="ENTR MT-240(B) (DIAMANTINO)"/>
    <n v="597.70000000000005"/>
    <n v="623.4"/>
    <n v="25.7"/>
    <x v="2"/>
    <m/>
    <m/>
    <s v="Federal"/>
    <m/>
    <m/>
    <m/>
    <s v="Federal"/>
    <s v="PAV"/>
    <s v="Campo Novo dos Parecis"/>
  </r>
  <r>
    <x v="0"/>
    <s v="364BMT0912"/>
    <n v="0"/>
    <x v="312"/>
    <s v="0912"/>
    <n v="-56.375320560295499"/>
    <n v="-14.376589979743599"/>
    <n v="-56.520103420136699"/>
    <n v="-14.2552001698518"/>
    <s v="364"/>
    <s v="MT"/>
    <s v="Eixo Principal"/>
    <s v="-"/>
    <s v="364BMT0912"/>
    <s v="ENTR MT-240(B) (DIAMANTINO)"/>
    <s v="ENTR MT-010"/>
    <n v="623.4"/>
    <n v="645.1"/>
    <n v="21.7"/>
    <x v="2"/>
    <m/>
    <m/>
    <s v="Federal"/>
    <m/>
    <m/>
    <m/>
    <s v="Federal"/>
    <s v="PAV"/>
    <s v="Campo Novo dos Parecis"/>
  </r>
  <r>
    <x v="0"/>
    <s v="364BMT0930"/>
    <n v="0"/>
    <x v="312"/>
    <s v="0930"/>
    <n v="-56.520103420136699"/>
    <n v="-14.2552001698518"/>
    <n v="-56.930828270008497"/>
    <n v="-14.1451293999018"/>
    <s v="364"/>
    <s v="MT"/>
    <s v="Eixo Principal"/>
    <s v="-"/>
    <s v="364BMT0930"/>
    <s v="ENTR MT-010"/>
    <s v="ENTR MT-160 (PARECÍS)"/>
    <n v="645.1"/>
    <n v="694.6"/>
    <n v="49.5"/>
    <x v="2"/>
    <m/>
    <m/>
    <s v="Federal"/>
    <m/>
    <m/>
    <m/>
    <s v="Federal"/>
    <s v="PAV"/>
    <s v="Campo Novo dos Parecis"/>
  </r>
  <r>
    <x v="0"/>
    <s v="364BMT0940"/>
    <n v="0"/>
    <x v="312"/>
    <s v="0940"/>
    <n v="-56.930828270008497"/>
    <n v="-14.1451293999018"/>
    <n v="-57.110561290071402"/>
    <n v="-14.1642802002709"/>
    <s v="364"/>
    <s v="MT"/>
    <s v="Eixo Principal"/>
    <s v="-"/>
    <s v="364BMT0940"/>
    <s v="ENTR MT-160 (PARECÍS)"/>
    <s v="ENTR MT-339"/>
    <n v="694.6"/>
    <n v="714.9"/>
    <n v="20.3"/>
    <x v="2"/>
    <m/>
    <m/>
    <s v="Federal"/>
    <m/>
    <m/>
    <m/>
    <s v="Federal"/>
    <s v="PAV"/>
    <s v="Campo Novo dos Parecis"/>
  </r>
  <r>
    <x v="0"/>
    <s v="364BMT0950"/>
    <n v="0"/>
    <x v="312"/>
    <s v="0950"/>
    <n v="-57.110561290071402"/>
    <n v="-14.1642802002709"/>
    <n v="-57.551750040232101"/>
    <n v="-14.191115269554"/>
    <s v="364"/>
    <s v="MT"/>
    <s v="Eixo Principal"/>
    <s v="-"/>
    <s v="364BMT0950"/>
    <s v="ENTR MT-339"/>
    <s v="ENTR MT-480 (DECIOLÂNDIA)"/>
    <n v="714.9"/>
    <n v="757.1"/>
    <n v="42.2"/>
    <x v="2"/>
    <m/>
    <m/>
    <s v="Federal"/>
    <m/>
    <m/>
    <m/>
    <s v="Federal"/>
    <s v="PAV"/>
    <s v="Campo Novo dos Parecis"/>
  </r>
  <r>
    <x v="0"/>
    <s v="364BMT0952"/>
    <n v="0"/>
    <x v="312"/>
    <s v="0952"/>
    <n v="-57.551750040232101"/>
    <n v="-14.191115269554"/>
    <n v="-57.960355969552303"/>
    <n v="-14.326188769795801"/>
    <s v="364"/>
    <s v="MT"/>
    <s v="Eixo Principal"/>
    <s v="-"/>
    <s v="364BMT0952"/>
    <s v="ENTR MT-480 (DECIOLÂNDIA"/>
    <s v="ENTR MT-170(A)/358"/>
    <n v="757.1"/>
    <n v="811.3"/>
    <n v="54.2"/>
    <x v="2"/>
    <m/>
    <m/>
    <s v="Federal"/>
    <m/>
    <m/>
    <m/>
    <s v="Federal"/>
    <s v="PAV"/>
    <s v="Campo Novo dos Parecis"/>
  </r>
  <r>
    <x v="0"/>
    <s v="364BMT0960"/>
    <n v="0"/>
    <x v="312"/>
    <s v="0960"/>
    <n v="-57.960355969552303"/>
    <n v="-14.326188769795801"/>
    <n v="-57.987376169674398"/>
    <n v="-14.0280991903253"/>
    <s v="364"/>
    <s v="MT"/>
    <s v="Eixo Principal"/>
    <s v="-"/>
    <s v="364BMT0960"/>
    <s v="ENTR MT-170(A)/358"/>
    <s v="ENTR MT-498"/>
    <n v="811.3"/>
    <n v="844.7"/>
    <n v="33.4"/>
    <x v="2"/>
    <m/>
    <m/>
    <s v="Federal"/>
    <m/>
    <m/>
    <m/>
    <s v="Federal"/>
    <s v="PAV"/>
    <s v="Campo Novo dos Parecis"/>
  </r>
  <r>
    <x v="0"/>
    <s v="364BMT0965"/>
    <n v="0"/>
    <x v="312"/>
    <s v="0965"/>
    <n v="-57.987376169674398"/>
    <n v="-14.0280991903253"/>
    <n v="-57.891877370244401"/>
    <n v="-13.6687923499869"/>
    <s v="364"/>
    <s v="MT"/>
    <s v="Eixo Principal"/>
    <s v="-"/>
    <s v="364BMT0965"/>
    <s v="ENTR MT-498"/>
    <s v="ENTR MT-235(A) (INÍCIO PISTA DUPLA) (CAMPO NOVO DOS PARECÍS)"/>
    <n v="844.7"/>
    <n v="887.4"/>
    <n v="42.7"/>
    <x v="2"/>
    <m/>
    <m/>
    <s v="Federal"/>
    <m/>
    <m/>
    <m/>
    <s v="Federal"/>
    <s v="PAV"/>
    <s v="Campo Novo dos Parecis"/>
  </r>
  <r>
    <x v="0"/>
    <s v="364BMT0970"/>
    <n v="0"/>
    <x v="312"/>
    <s v="0970"/>
    <n v="-57.891877370244401"/>
    <n v="-13.6687923499869"/>
    <n v="-57.8962290403379"/>
    <n v="-13.6465635398754"/>
    <s v="364"/>
    <s v="MT"/>
    <s v="Eixo Principal"/>
    <s v="-"/>
    <s v="364BMT0970"/>
    <s v="ENTR MT-235(A) (INÍCIO PISTA DUPLA) (CAMPO NOVO DOS PARECÍS)"/>
    <s v="ENTR MT-235(B) (FIM PISTA DUPLA) (CAMPO NOVO DOS PARECÍS)"/>
    <n v="887.4"/>
    <n v="890"/>
    <n v="2.6"/>
    <x v="2"/>
    <m/>
    <m/>
    <s v="Federal"/>
    <m/>
    <m/>
    <m/>
    <s v="Federal"/>
    <s v="PAV"/>
    <s v="Campo Novo dos Parecis"/>
  </r>
  <r>
    <x v="0"/>
    <s v="364BMT0972"/>
    <n v="0"/>
    <x v="312"/>
    <s v="0972"/>
    <n v="-57.8962290403379"/>
    <n v="-13.6465635398754"/>
    <n v="-57.904036010053801"/>
    <n v="-13.6179043603978"/>
    <s v="364"/>
    <s v="MT"/>
    <s v="Eixo Principal"/>
    <s v="-"/>
    <s v="364BMT0972"/>
    <s v="ENTR MT-235(B) (FIM PISTA DUPLA) (CAMPO NOVO DOS PARECÍS)"/>
    <s v="ENTR MT-488"/>
    <n v="890"/>
    <n v="893.4"/>
    <n v="3.4"/>
    <x v="2"/>
    <m/>
    <m/>
    <s v="Federal"/>
    <m/>
    <m/>
    <m/>
    <s v="Federal"/>
    <s v="PAV"/>
    <s v="Campo Novo dos Parecis"/>
  </r>
  <r>
    <x v="0"/>
    <s v="364BMT0975"/>
    <n v="0"/>
    <x v="312"/>
    <s v="0975"/>
    <n v="-57.904036010053801"/>
    <n v="-13.6179043603978"/>
    <n v="-58.095557249967001"/>
    <n v="-12.8061611199397"/>
    <s v="364"/>
    <s v="MT"/>
    <s v="Eixo Principal"/>
    <s v="-"/>
    <s v="364BMT0975"/>
    <s v="ENTR MT-488"/>
    <s v="ENTR MT-170(B) (P/MUNDO NOVO)"/>
    <n v="893.4"/>
    <n v="990.9"/>
    <n v="97.5"/>
    <x v="2"/>
    <m/>
    <m/>
    <s v="Federal"/>
    <m/>
    <m/>
    <m/>
    <s v="Federal"/>
    <s v="PAV"/>
    <s v="Campo Novo dos Parecis"/>
  </r>
  <r>
    <x v="0"/>
    <s v="364BMT0982"/>
    <n v="0"/>
    <x v="312"/>
    <s v="0982"/>
    <n v="-58.095557249967001"/>
    <n v="-12.8061611199397"/>
    <n v="-58.161039429625902"/>
    <n v="-12.8025042696562"/>
    <s v="364"/>
    <s v="MT"/>
    <s v="Eixo Principal"/>
    <s v="-"/>
    <s v="364BMT0982"/>
    <s v="ENTR MT-170(B) (P/MUNDO NOVO)"/>
    <s v="PONTE SOBRE CÓRREGO SANTA CRUZ"/>
    <n v="990.9"/>
    <n v="997.8"/>
    <n v="6.9"/>
    <x v="2"/>
    <m/>
    <m/>
    <s v="Federal"/>
    <m/>
    <m/>
    <m/>
    <s v="Federal"/>
    <s v="PAV"/>
    <s v="Campo Novo dos Parecis"/>
  </r>
  <r>
    <x v="0"/>
    <s v="364BMT0985"/>
    <n v="0"/>
    <x v="312"/>
    <s v="0985"/>
    <n v="-58.161039429625902"/>
    <n v="-12.8025042696562"/>
    <n v="-58.3986143597648"/>
    <n v="-12.799896990253799"/>
    <s v="364"/>
    <s v="MT"/>
    <s v="Eixo Principal"/>
    <s v="-"/>
    <s v="364BMT0985"/>
    <s v="PONTE SOBRE CÓRREGO SANTA CRUZ"/>
    <s v="PONTE SOBRE RIO PAPAGAIO"/>
    <n v="997.8"/>
    <n v="1027.2"/>
    <n v="29.4"/>
    <x v="2"/>
    <m/>
    <m/>
    <s v="Federal"/>
    <m/>
    <m/>
    <m/>
    <s v="Federal"/>
    <s v="PAV"/>
    <s v="Campo Novo dos Parecis"/>
  </r>
  <r>
    <x v="0"/>
    <s v="364BMT0990"/>
    <n v="0"/>
    <x v="312"/>
    <s v="0990"/>
    <n v="-58.3986143597648"/>
    <n v="-12.799896990253799"/>
    <n v="-58.798153469906602"/>
    <n v="-13.5397362000655"/>
    <s v="364"/>
    <s v="MT"/>
    <s v="Eixo Principal"/>
    <s v="-"/>
    <s v="364BMT0990"/>
    <s v="PONTE SOBRE RIO PAPAGAIO"/>
    <s v="ENTR MT-235 (AV ANDRÉ A. MAGI)(INÍCIO DO TRECHO URBANO DE SAPEZAL)"/>
    <n v="1027.2"/>
    <n v="1127.5"/>
    <n v="100.3"/>
    <x v="2"/>
    <m/>
    <m/>
    <s v="Federal"/>
    <m/>
    <m/>
    <m/>
    <s v="Federal"/>
    <s v="PAV"/>
    <s v="Campo Novo dos Parecis"/>
  </r>
  <r>
    <x v="0"/>
    <s v="364BMT0992"/>
    <n v="0"/>
    <x v="312"/>
    <s v="0992"/>
    <n v="-58.798153469906602"/>
    <n v="-13.5397362000655"/>
    <n v="-58.841146410178602"/>
    <n v="-13.539550779644699"/>
    <s v="364"/>
    <s v="MT"/>
    <s v="Eixo Principal"/>
    <s v="-"/>
    <s v="364BMT0992"/>
    <s v="ENTR MT-235 (AV ANDRÉ A. MAGI)(INÍCIO DO TRECHO URBANO DE SAPEZAL)"/>
    <s v="FIM DO TRECHO URBANO DE SAPEZAL  (RUA DEZESSEIS) *TRECHO URBANO*"/>
    <n v="1127.5"/>
    <n v="1132.5"/>
    <n v="5"/>
    <x v="2"/>
    <m/>
    <m/>
    <s v="Federal"/>
    <m/>
    <m/>
    <m/>
    <s v="Federal"/>
    <s v="PAV"/>
    <s v="Campo Novo dos Parecis"/>
  </r>
  <r>
    <x v="0"/>
    <s v="364BMT0995"/>
    <n v="0"/>
    <x v="312"/>
    <s v="0995"/>
    <n v="-58.841146410178602"/>
    <n v="-13.539550779644699"/>
    <n v="-59.035750099787201"/>
    <n v="-13.551919869806101"/>
    <s v="364"/>
    <s v="MT"/>
    <s v="Eixo Principal"/>
    <s v="-"/>
    <s v="364BMT0995"/>
    <s v="FIM DO TRECHO URBANO DE SAPEZAL (RUA DEZESSEIS)"/>
    <s v="RIO JURUENA"/>
    <n v="1132.5"/>
    <n v="1154.0999999999999"/>
    <n v="21.6"/>
    <x v="2"/>
    <m/>
    <m/>
    <s v="Federal"/>
    <m/>
    <m/>
    <m/>
    <s v="Federal"/>
    <s v="PAV"/>
    <s v="Campo Novo dos Parecis"/>
  </r>
  <r>
    <x v="0"/>
    <s v="364BMT0998"/>
    <n v="0"/>
    <x v="312"/>
    <s v="0998"/>
    <n v="-59.035750099787201"/>
    <n v="-13.551919869806101"/>
    <n v="-59.264076689787302"/>
    <n v="-13.7035997500283"/>
    <s v="364"/>
    <s v="MT"/>
    <s v="Eixo Principal"/>
    <s v="-"/>
    <s v="364BMT0998"/>
    <s v="RIO JURUENA"/>
    <s v="ENTR MT-478 (CAMPOS DE JÚLIO)"/>
    <n v="1154.0999999999999"/>
    <n v="1189.9000000000001"/>
    <n v="35.799999999999997"/>
    <x v="2"/>
    <m/>
    <m/>
    <s v="Federal"/>
    <m/>
    <m/>
    <m/>
    <s v="Federal"/>
    <s v="PAV"/>
    <s v="Campo Novo dos Parecis"/>
  </r>
  <r>
    <x v="0"/>
    <s v="364BMT1000"/>
    <n v="0"/>
    <x v="312"/>
    <s v="1000"/>
    <n v="-59.264076689787302"/>
    <n v="-13.7035997500283"/>
    <n v="-59.271526959601402"/>
    <n v="-13.7481089301829"/>
    <s v="364"/>
    <s v="MT"/>
    <s v="Eixo Principal"/>
    <s v="-"/>
    <s v="364BMT1000"/>
    <s v="ENTR MT-478 (CAMPOS DE JÚLIO)"/>
    <s v="ENTR MT-388 (CAMPOS DE JÚLIO)"/>
    <n v="1189.9000000000001"/>
    <n v="1195.3"/>
    <n v="5.4"/>
    <x v="2"/>
    <m/>
    <m/>
    <s v="Federal"/>
    <m/>
    <m/>
    <m/>
    <s v="Federal"/>
    <s v="PAV"/>
    <s v="Campo Novo dos Parecis"/>
  </r>
  <r>
    <x v="0"/>
    <s v="364BMT1002"/>
    <n v="0"/>
    <x v="312"/>
    <s v="1002"/>
    <n v="-59.271526959601402"/>
    <n v="-13.7481089301829"/>
    <n v="-59.798192629786001"/>
    <n v="-13.640614070382901"/>
    <s v="364"/>
    <s v="MT"/>
    <s v="Eixo Principal"/>
    <s v="-"/>
    <s v="364BMT1002"/>
    <s v="ENTR MT-388 (CAMPOS DE JÚLIO)"/>
    <s v="ENTR BR-174(A)"/>
    <n v="1195.3"/>
    <n v="1260.4000000000001"/>
    <n v="65.099999999999994"/>
    <x v="2"/>
    <m/>
    <m/>
    <s v="Federal"/>
    <m/>
    <m/>
    <m/>
    <s v="Federal"/>
    <s v="PAV"/>
    <s v="Campo Novo dos Parecis"/>
  </r>
  <r>
    <x v="0"/>
    <s v="364BMT1005"/>
    <n v="0"/>
    <x v="312"/>
    <s v="1005"/>
    <n v="-59.798192629786001"/>
    <n v="-13.640614070382901"/>
    <n v="-59.875604890153497"/>
    <n v="-13.175210950025299"/>
    <s v="364"/>
    <s v="MT"/>
    <s v="Eixo Principal"/>
    <s v="Coinc"/>
    <s v="364BMT1005"/>
    <s v="ENTR BR-174(A)"/>
    <s v="PADRONAL"/>
    <n v="1260.4000000000001"/>
    <n v="1314.1"/>
    <n v="53.7"/>
    <x v="2"/>
    <m/>
    <s v="174BMT0130"/>
    <s v="Federal"/>
    <m/>
    <m/>
    <m/>
    <s v="Federal"/>
    <s v="PAV"/>
    <s v="Cáceres"/>
  </r>
  <r>
    <x v="0"/>
    <s v="364BMT1007"/>
    <n v="0"/>
    <x v="312"/>
    <s v="1007"/>
    <n v="-59.875604890153497"/>
    <n v="-13.175210950025299"/>
    <n v="-59.934821959865502"/>
    <n v="-13.012953619813601"/>
    <s v="364"/>
    <s v="MT"/>
    <s v="Eixo Principal"/>
    <s v="Coinc"/>
    <s v="364BMT1007"/>
    <s v="PADRONAL"/>
    <s v="RIO 12 DE OUTUBRO"/>
    <n v="1314.1"/>
    <n v="1343.2"/>
    <n v="29.1"/>
    <x v="2"/>
    <m/>
    <s v="174BMT0132"/>
    <s v="Federal"/>
    <m/>
    <m/>
    <m/>
    <s v="Federal"/>
    <s v="PAV"/>
    <s v="Cáceres"/>
  </r>
  <r>
    <x v="0"/>
    <s v="364BMT1010"/>
    <n v="0"/>
    <x v="312"/>
    <s v="1010"/>
    <n v="-59.934821959865502"/>
    <n v="-13.012953619813601"/>
    <n v="-60.073443930392997"/>
    <n v="-12.836291869973699"/>
    <s v="364"/>
    <s v="MT"/>
    <s v="Eixo Principal"/>
    <s v="Coinc"/>
    <s v="364BMT1010"/>
    <s v="RIO 12 DE OUTUBRO"/>
    <s v="ENTR BR-174(B) (DIV MT/RO)"/>
    <n v="1343.2"/>
    <n v="1360.8"/>
    <n v="17.600000000000001"/>
    <x v="2"/>
    <m/>
    <s v="174BMT0134"/>
    <s v="Federal"/>
    <m/>
    <m/>
    <m/>
    <s v="Federal"/>
    <s v="PAV"/>
    <s v="Cáceres"/>
  </r>
  <r>
    <x v="0"/>
    <s v="364BRO1030"/>
    <n v="0"/>
    <x v="313"/>
    <s v="1030"/>
    <n v="-60.073443930392997"/>
    <n v="-12.836291869973699"/>
    <n v="-60.093201009618802"/>
    <n v="-12.776145250203101"/>
    <s v="364"/>
    <s v="RO"/>
    <s v="Eixo Principal"/>
    <s v="Coinc"/>
    <s v="364BRO1030"/>
    <s v="ENTR BR-174(A) (DIV MT/RO)"/>
    <s v="INICIO PISTA DUPLA"/>
    <n v="0"/>
    <n v="6.9"/>
    <n v="6.9"/>
    <x v="2"/>
    <m/>
    <s v="174BRO0150"/>
    <s v="Federal"/>
    <m/>
    <m/>
    <m/>
    <s v="Federal"/>
    <s v="PAV"/>
    <s v="Pimenta Bueno"/>
  </r>
  <r>
    <x v="0"/>
    <s v="364BRO1040"/>
    <n v="0"/>
    <x v="313"/>
    <s v="1040"/>
    <n v="-60.093201009618802"/>
    <n v="-12.776145250203101"/>
    <n v="-60.131973749888601"/>
    <n v="-12.740795950172901"/>
    <s v="364"/>
    <s v="RO"/>
    <s v="Eixo Principal"/>
    <s v="Coinc"/>
    <s v="364BRO1040"/>
    <s v="INICIO PISTA DUPLA"/>
    <s v="ENTR BR-174(B)/435(A) (VILHENA)"/>
    <n v="6.9"/>
    <n v="13.2"/>
    <n v="6.3"/>
    <x v="0"/>
    <m/>
    <s v="174BRO0155"/>
    <s v="Federal"/>
    <m/>
    <m/>
    <m/>
    <s v="Federal"/>
    <s v="PAV"/>
    <s v="Pimenta Bueno"/>
  </r>
  <r>
    <x v="0"/>
    <s v="364BRO1050"/>
    <n v="0"/>
    <x v="313"/>
    <s v="1050"/>
    <n v="-60.131973749888601"/>
    <n v="-12.740795950172901"/>
    <n v="-60.158765360333"/>
    <n v="-12.733940869675299"/>
    <s v="364"/>
    <s v="RO"/>
    <s v="Eixo Principal"/>
    <s v="-"/>
    <s v="364BRO1050"/>
    <s v="ENTR BR-174(B)/435(A) (VILHENA)"/>
    <s v="FIM PISTA DUPLA"/>
    <n v="13.2"/>
    <n v="16.2"/>
    <n v="3"/>
    <x v="0"/>
    <m/>
    <s v="435BRO0010"/>
    <s v="Federal"/>
    <m/>
    <m/>
    <m/>
    <s v="Federal"/>
    <s v="PAV"/>
    <s v="Pimenta Bueno"/>
  </r>
  <r>
    <x v="0"/>
    <s v="364BRO1060"/>
    <n v="0"/>
    <x v="313"/>
    <s v="1060"/>
    <n v="-60.158765360333"/>
    <n v="-12.733940869675299"/>
    <n v="-60.262601160215297"/>
    <n v="-12.7225278298953"/>
    <s v="364"/>
    <s v="RO"/>
    <s v="Eixo Principal"/>
    <s v="-"/>
    <s v="364BRO1060"/>
    <s v="FIM PISTA DUPLA"/>
    <s v="ENTR BR-435(B)/RO-399 (P/COLORADO DO OESTE)"/>
    <n v="16.2"/>
    <n v="27.6"/>
    <n v="11.4"/>
    <x v="2"/>
    <m/>
    <s v="435BRO0020"/>
    <s v="Federal"/>
    <m/>
    <m/>
    <m/>
    <s v="Federal"/>
    <s v="PAV"/>
    <s v="Pimenta Bueno"/>
  </r>
  <r>
    <x v="0"/>
    <s v="364BRO1070"/>
    <n v="0"/>
    <x v="313"/>
    <s v="1070"/>
    <n v="-60.262601160215297"/>
    <n v="-12.7225278298953"/>
    <n v="-60.686455049860598"/>
    <n v="-12.228477990167001"/>
    <s v="364"/>
    <s v="RO"/>
    <s v="Eixo Principal"/>
    <s v="-"/>
    <s v="364BRO1070"/>
    <s v="ENTR BR-435(B)/RO-399 (P/COLORADO DO OESTE)"/>
    <s v="ENTR RO-391 (POSTO GUAPORÉ)"/>
    <n v="27.6"/>
    <n v="107.4"/>
    <n v="79.8"/>
    <x v="2"/>
    <m/>
    <m/>
    <s v="Federal"/>
    <m/>
    <m/>
    <m/>
    <s v="Federal"/>
    <s v="PAV"/>
    <s v="Pimenta Bueno"/>
  </r>
  <r>
    <x v="0"/>
    <s v="364BRO1090"/>
    <n v="0"/>
    <x v="313"/>
    <s v="1090"/>
    <n v="-60.686455049860598"/>
    <n v="-12.228477990167001"/>
    <n v="-60.859849971898598"/>
    <n v="-12.014567757396"/>
    <s v="364"/>
    <s v="RO"/>
    <s v="Eixo Principal"/>
    <s v="-"/>
    <s v="364BRO1090"/>
    <s v="ENTR RO-391 (POSTO GUAPORÉ)"/>
    <s v="MARCO RONDON"/>
    <n v="107.4"/>
    <n v="141.5"/>
    <n v="34.1"/>
    <x v="2"/>
    <m/>
    <m/>
    <s v="Federal"/>
    <m/>
    <m/>
    <m/>
    <s v="Federal"/>
    <s v="PAV"/>
    <s v="Pimenta Bueno"/>
  </r>
  <r>
    <x v="0"/>
    <s v="364BRO1110"/>
    <n v="0"/>
    <x v="313"/>
    <s v="1110"/>
    <n v="-60.859849971898598"/>
    <n v="-12.014567757396"/>
    <n v="-61.187525199828002"/>
    <n v="-11.679631569641099"/>
    <s v="364"/>
    <s v="RO"/>
    <s v="Eixo Principal"/>
    <s v="-"/>
    <s v="364BRO1110"/>
    <s v="MARCO RONDON"/>
    <s v="ENTR RO-010 (PIMENTA BUENO)"/>
    <n v="141.5"/>
    <n v="196.9"/>
    <n v="55.4"/>
    <x v="2"/>
    <m/>
    <m/>
    <s v="Federal"/>
    <m/>
    <m/>
    <m/>
    <s v="Federal"/>
    <s v="PAV"/>
    <s v="Pimenta Bueno"/>
  </r>
  <r>
    <x v="0"/>
    <s v="364BRO1120"/>
    <n v="0"/>
    <x v="313"/>
    <s v="1120"/>
    <n v="-61.187525199828002"/>
    <n v="-11.679631569641099"/>
    <n v="-61.203499129780901"/>
    <n v="-11.632367019622199"/>
    <s v="364"/>
    <s v="RO"/>
    <s v="Eixo Principal"/>
    <s v="-"/>
    <s v="364BRO1120"/>
    <s v="ENTR RO-010 (PIMENTA BUENO)"/>
    <s v="ENTR RO-387 (P/ESPIGÃO DO OESTE)"/>
    <n v="196.9"/>
    <n v="202.6"/>
    <n v="5.7"/>
    <x v="2"/>
    <m/>
    <m/>
    <s v="Federal"/>
    <m/>
    <m/>
    <m/>
    <s v="Federal"/>
    <s v="PAV"/>
    <s v="Pimenta Bueno"/>
  </r>
  <r>
    <x v="0"/>
    <s v="364BRO1130"/>
    <n v="0"/>
    <x v="313"/>
    <s v="1130"/>
    <n v="-61.203499129780901"/>
    <n v="-11.632367019622199"/>
    <n v="-61.372191430290201"/>
    <n v="-11.498694950011799"/>
    <s v="364"/>
    <s v="RO"/>
    <s v="Eixo Principal"/>
    <s v="-"/>
    <s v="364BRO1130"/>
    <s v="ENTR RO-387 (P/ESPIGÃO DO OESTE)"/>
    <s v="ENTR RO-383(A) (RIOZINHO)"/>
    <n v="202.6"/>
    <n v="226.7"/>
    <n v="24.1"/>
    <x v="2"/>
    <m/>
    <m/>
    <s v="Federal"/>
    <m/>
    <m/>
    <m/>
    <s v="Federal"/>
    <s v="PAV"/>
    <s v="Pimenta Bueno"/>
  </r>
  <r>
    <x v="0"/>
    <s v="364BRO1140"/>
    <n v="0"/>
    <x v="313"/>
    <s v="1140"/>
    <n v="-61.372191430290201"/>
    <n v="-11.498694950011799"/>
    <n v="-61.463496430215997"/>
    <n v="-11.4338393199286"/>
    <s v="364"/>
    <s v="RO"/>
    <s v="Eixo Principal"/>
    <s v="-"/>
    <s v="364BRO1140"/>
    <s v="ENTR RO-383(A) (RIOZINHO)"/>
    <s v="ENTR RO-383(B) (CACOAL)"/>
    <n v="226.7"/>
    <n v="239.1"/>
    <n v="12.4"/>
    <x v="2"/>
    <m/>
    <m/>
    <s v="Federal"/>
    <m/>
    <m/>
    <m/>
    <s v="Federal"/>
    <s v="PAV"/>
    <s v="Pimenta Bueno"/>
  </r>
  <r>
    <x v="0"/>
    <s v="364BRO1145"/>
    <n v="0"/>
    <x v="313"/>
    <s v="1145"/>
    <n v="-61.463496430215997"/>
    <n v="-11.4338393199286"/>
    <n v="-61.518494610238001"/>
    <n v="-11.4396011197957"/>
    <s v="364"/>
    <s v="RO"/>
    <s v="Eixo Principal"/>
    <s v="-"/>
    <s v="364BRO1145"/>
    <s v="ENTR RO-383(B) (CACOAL)"/>
    <s v="ENTR RO-471 (P/MINISTRO ANDREAZZA)"/>
    <n v="239.1"/>
    <n v="245.4"/>
    <n v="6.3"/>
    <x v="2"/>
    <m/>
    <m/>
    <s v="Federal"/>
    <m/>
    <m/>
    <m/>
    <s v="Federal"/>
    <s v="PAV"/>
    <s v="Pimenta Bueno"/>
  </r>
  <r>
    <x v="0"/>
    <s v="364BRO1148"/>
    <n v="0"/>
    <x v="313"/>
    <s v="1148"/>
    <n v="-61.518494610238001"/>
    <n v="-11.4396011197957"/>
    <n v="-61.748338620031198"/>
    <n v="-11.3863077099327"/>
    <s v="364"/>
    <s v="RO"/>
    <s v="Eixo Principal"/>
    <s v="-"/>
    <s v="364BRO1148"/>
    <s v="ENTR RO-471 (P/MINISTRO ANDREAZZA)"/>
    <s v="ENTR RO-479(A) (P/ROLIM DE MOURA)"/>
    <n v="245.4"/>
    <n v="273.8"/>
    <n v="28.4"/>
    <x v="2"/>
    <m/>
    <m/>
    <s v="Federal"/>
    <m/>
    <m/>
    <m/>
    <s v="Federal"/>
    <s v="PAV"/>
    <s v="Pimenta Bueno"/>
  </r>
  <r>
    <x v="0"/>
    <s v="364BRO1149"/>
    <n v="0"/>
    <x v="313"/>
    <s v="1149"/>
    <n v="-61.748338620031198"/>
    <n v="-11.3863077099327"/>
    <n v="-61.783651719651097"/>
    <n v="-11.384541740009199"/>
    <s v="364"/>
    <s v="RO"/>
    <s v="Eixo Principal"/>
    <s v="-"/>
    <s v="364BRO1149"/>
    <s v="ENTR RO-479(A) (P/ROLIM DE MOURA)"/>
    <s v="ENTR RO-479(B) (P/ESTRELA DE RONDÔNIA)"/>
    <n v="273.8"/>
    <n v="277.7"/>
    <n v="3.9"/>
    <x v="2"/>
    <m/>
    <m/>
    <s v="Federal"/>
    <m/>
    <m/>
    <m/>
    <s v="Federal"/>
    <s v="PAV"/>
    <s v="Pimenta Bueno"/>
  </r>
  <r>
    <x v="0"/>
    <s v="364BRO1154"/>
    <n v="0"/>
    <x v="313"/>
    <s v="1154"/>
    <n v="-61.783651719651097"/>
    <n v="-11.384541740009199"/>
    <n v="-61.901499379692503"/>
    <n v="-11.1994913497459"/>
    <s v="364"/>
    <s v="RO"/>
    <s v="Eixo Principal"/>
    <s v="-"/>
    <s v="364BRO1154"/>
    <s v="ENTR RO-479(B) (P/ESTRELA DE RONDÔNIA)"/>
    <s v="ENTR BR-429(A) (PRESIDENTE MÉDICI)"/>
    <n v="277.7"/>
    <n v="305"/>
    <n v="27.3"/>
    <x v="2"/>
    <m/>
    <m/>
    <s v="Federal"/>
    <m/>
    <m/>
    <m/>
    <s v="Federal"/>
    <s v="PAV"/>
    <s v="Pimenta Bueno"/>
  </r>
  <r>
    <x v="0"/>
    <s v="364BRO1160"/>
    <n v="0"/>
    <x v="313"/>
    <s v="1160"/>
    <n v="-61.901499379692503"/>
    <n v="-11.1994913497459"/>
    <n v="-61.9297310295633"/>
    <n v="-10.920678330040801"/>
    <s v="364"/>
    <s v="RO"/>
    <s v="Eixo Principal"/>
    <s v="-"/>
    <s v="364BRO1160"/>
    <s v="ENTR BR-429(A) (PRESIDENTE MÉDICI)"/>
    <s v="ENTR INÍCIO ANEL DE JI-PARANÁ"/>
    <n v="305"/>
    <n v="337.3"/>
    <n v="32.299999999999997"/>
    <x v="2"/>
    <m/>
    <s v="429BRO0015"/>
    <s v="Federal"/>
    <m/>
    <m/>
    <m/>
    <s v="Federal"/>
    <s v="PAV"/>
    <s v="Pimenta Bueno"/>
  </r>
  <r>
    <x v="0"/>
    <s v="364BRO1170"/>
    <n v="0"/>
    <x v="313"/>
    <s v="1170"/>
    <n v="-61.9297310295633"/>
    <n v="-10.920678330040801"/>
    <n v="-61.930063370428101"/>
    <n v="-10.91110586974"/>
    <s v="364"/>
    <s v="RO"/>
    <s v="Eixo Principal"/>
    <s v="-"/>
    <s v="364BRO1170"/>
    <s v="ENTR INÍCIO ANEL DE JI-PARANÁ"/>
    <s v="INÍCIO DUPLICAÇÃO (JI-PARANÁ)"/>
    <n v="337.3"/>
    <n v="338.4"/>
    <n v="1.1000000000000001"/>
    <x v="2"/>
    <m/>
    <s v="429BRO0012"/>
    <s v="Federal"/>
    <m/>
    <m/>
    <m/>
    <s v="Federal"/>
    <s v="PAV"/>
    <s v="Pimenta Bueno"/>
  </r>
  <r>
    <x v="0"/>
    <s v="364BRO1185"/>
    <n v="0"/>
    <x v="313"/>
    <s v="1185"/>
    <n v="-61.930063370428101"/>
    <n v="-10.91110586974"/>
    <n v="-61.969988449806998"/>
    <n v="-10.8649520696822"/>
    <s v="364"/>
    <s v="RO"/>
    <s v="Eixo Principal"/>
    <s v="-"/>
    <s v="364BRO1185"/>
    <s v="INÍCIO DUPLICAÇÃO (JI-PARANÁ)"/>
    <s v="ENTR BR-429(B) (JI-PARANÁ)"/>
    <n v="338.4"/>
    <n v="346"/>
    <n v="7.6"/>
    <x v="0"/>
    <m/>
    <s v="429BRO0010"/>
    <s v="Federal"/>
    <m/>
    <m/>
    <m/>
    <s v="Federal"/>
    <s v="PAV"/>
    <s v="Ji-Paraná"/>
  </r>
  <r>
    <x v="0"/>
    <s v="364BRO1210"/>
    <n v="0"/>
    <x v="313"/>
    <s v="1210"/>
    <n v="-61.969988449806998"/>
    <n v="-10.8649520696822"/>
    <n v="-62.001055119797897"/>
    <n v="-10.8439171203787"/>
    <s v="364"/>
    <s v="RO"/>
    <s v="Eixo Principal"/>
    <s v="-"/>
    <s v="364BRO1210"/>
    <s v="ENTR BR-429(B) (JI-PARANÁ)"/>
    <s v="ENTR FIM ANEL DE JI-PARANÁ"/>
    <n v="346"/>
    <n v="350.2"/>
    <n v="4.2"/>
    <x v="2"/>
    <m/>
    <m/>
    <s v="Federal"/>
    <m/>
    <m/>
    <m/>
    <s v="Federal"/>
    <s v="PAV"/>
    <s v="Ji-Paraná"/>
  </r>
  <r>
    <x v="0"/>
    <s v="364BRO1212"/>
    <n v="0"/>
    <x v="313"/>
    <s v="1212"/>
    <n v="-62.001055119797897"/>
    <n v="-10.8439171203787"/>
    <n v="-62.179775860267597"/>
    <n v="-10.743882209796"/>
    <s v="364"/>
    <s v="RO"/>
    <s v="Eixo Principal"/>
    <s v="-"/>
    <s v="364BRO1212"/>
    <s v="ENTR FIM ANEL DE JI-PARANÁ"/>
    <s v="ENTR RO-473 (P/URUPÁ)"/>
    <n v="350.2"/>
    <n v="374.2"/>
    <n v="24"/>
    <x v="2"/>
    <m/>
    <m/>
    <s v="Federal"/>
    <m/>
    <m/>
    <m/>
    <s v="Federal"/>
    <s v="PAV"/>
    <s v="Ji-Paraná"/>
  </r>
  <r>
    <x v="0"/>
    <s v="364BRO1215"/>
    <n v="0"/>
    <x v="313"/>
    <s v="1215"/>
    <n v="-62.179775860267597"/>
    <n v="-10.743882209796"/>
    <n v="-62.251803189765297"/>
    <n v="-10.7138514203067"/>
    <s v="364"/>
    <s v="RO"/>
    <s v="Eixo Principal"/>
    <s v="-"/>
    <s v="364BRO1215"/>
    <s v="ENTR RO-473 (P/URUPÁ)"/>
    <s v="ENTR RO-470(A) (P/VALE DO PARAISO)"/>
    <n v="374.2"/>
    <n v="384.2"/>
    <n v="10"/>
    <x v="2"/>
    <m/>
    <m/>
    <s v="Federal"/>
    <m/>
    <m/>
    <m/>
    <s v="Federal"/>
    <s v="PAV"/>
    <s v="Ji-Paraná"/>
  </r>
  <r>
    <x v="0"/>
    <s v="364BRO1220"/>
    <n v="0"/>
    <x v="313"/>
    <s v="1220"/>
    <n v="-62.251803189765297"/>
    <n v="-10.7138514203067"/>
    <n v="-62.274072800319402"/>
    <n v="-10.687018090312501"/>
    <s v="364"/>
    <s v="RO"/>
    <s v="Eixo Principal"/>
    <s v="-"/>
    <s v="364BRO1220"/>
    <s v="ENTR RO-470(A) (P/VALE DO PARAISO)"/>
    <s v="ENTR RO-470(B) (P/MIRANTE DA SERRA)"/>
    <n v="384.2"/>
    <n v="388"/>
    <n v="3.8"/>
    <x v="2"/>
    <m/>
    <m/>
    <s v="Federal"/>
    <m/>
    <m/>
    <m/>
    <s v="Federal"/>
    <s v="PAV"/>
    <s v="Ji-Paraná"/>
  </r>
  <r>
    <x v="0"/>
    <s v="364BRO1230"/>
    <n v="0"/>
    <x v="313"/>
    <s v="1230"/>
    <n v="-62.274072800319402"/>
    <n v="-10.687018090312501"/>
    <n v="-62.464147909698198"/>
    <n v="-10.446919540204499"/>
    <s v="364"/>
    <s v="RO"/>
    <s v="Eixo Principal"/>
    <s v="-"/>
    <s v="364BRO1230"/>
    <s v="ENTR RO-470(B) (P/MIRANTE DA SERRA)"/>
    <s v="PONTE SOBRE RIO JARU"/>
    <n v="388"/>
    <n v="423.7"/>
    <n v="35.700000000000003"/>
    <x v="2"/>
    <m/>
    <m/>
    <s v="Federal"/>
    <m/>
    <m/>
    <m/>
    <s v="Federal"/>
    <s v="PAV"/>
    <s v="Ji-Paraná"/>
  </r>
  <r>
    <x v="0"/>
    <s v="364BRO1240"/>
    <n v="0"/>
    <x v="313"/>
    <s v="1240"/>
    <n v="-62.464147909698198"/>
    <n v="-10.446919540204499"/>
    <n v="-62.516157610185502"/>
    <n v="-10.406601430111801"/>
    <s v="364"/>
    <s v="RO"/>
    <s v="Eixo Principal"/>
    <s v="-"/>
    <s v="364BRO1240"/>
    <s v="PONTE SOBRE RIO JARU"/>
    <s v="ENTR RO-464/463 (P/GOVERNADOR JORGE TEIXEIRA)"/>
    <n v="423.7"/>
    <n v="430.8"/>
    <n v="7.1"/>
    <x v="2"/>
    <m/>
    <m/>
    <s v="Federal"/>
    <m/>
    <m/>
    <m/>
    <s v="Federal"/>
    <s v="PAV"/>
    <s v="Ji-Paraná"/>
  </r>
  <r>
    <x v="0"/>
    <s v="364BRO1245"/>
    <n v="0"/>
    <x v="313"/>
    <s v="1245"/>
    <n v="-62.516157610185502"/>
    <n v="-10.406601430111801"/>
    <n v="-62.8843024003354"/>
    <n v="-10.128004829559099"/>
    <s v="364"/>
    <s v="RO"/>
    <s v="Eixo Principal"/>
    <s v="-"/>
    <s v="364BRO1245"/>
    <s v="ENTR RO-464/463 (P/GOVERNADOR JORGE TEIXEIRA)"/>
    <s v="ENTR RO-140 (CACAULÂNDIA)"/>
    <n v="430.8"/>
    <n v="482.6"/>
    <n v="51.8"/>
    <x v="2"/>
    <m/>
    <m/>
    <s v="Federal"/>
    <m/>
    <m/>
    <m/>
    <s v="Federal"/>
    <s v="PAV"/>
    <s v="Ji-Paraná"/>
  </r>
  <r>
    <x v="0"/>
    <s v="364BRO1290"/>
    <n v="0"/>
    <x v="313"/>
    <s v="1290"/>
    <n v="-62.8843024003354"/>
    <n v="-10.128004829559099"/>
    <n v="-63.055319969940598"/>
    <n v="-9.9159614598534596"/>
    <s v="364"/>
    <s v="RO"/>
    <s v="Eixo Principal"/>
    <s v="-"/>
    <s v="364BRO1290"/>
    <s v="ENTR RO-140 (CACAULÂNDIA)"/>
    <s v="ENTR BR-421 (ARIQUEMES)"/>
    <n v="482.6"/>
    <n v="516"/>
    <n v="33.4"/>
    <x v="2"/>
    <m/>
    <m/>
    <s v="Federal"/>
    <m/>
    <m/>
    <m/>
    <s v="Federal"/>
    <s v="PAV"/>
    <s v="Ji-Paraná"/>
  </r>
  <r>
    <x v="0"/>
    <s v="364BRO1300"/>
    <n v="0"/>
    <x v="313"/>
    <s v="1300"/>
    <n v="-63.055319969940598"/>
    <n v="-9.9159614598534596"/>
    <n v="-63.118150340265899"/>
    <n v="-9.7167419099111498"/>
    <s v="364"/>
    <s v="RO"/>
    <s v="Eixo Principal"/>
    <s v="-"/>
    <s v="364BRO1300"/>
    <s v="ENTR BR-421 (ARIQUEMES)"/>
    <s v="ENTR RO-459(A) (ALTO PARAISO)"/>
    <n v="516"/>
    <n v="541"/>
    <n v="25"/>
    <x v="2"/>
    <m/>
    <m/>
    <s v="Federal"/>
    <m/>
    <m/>
    <m/>
    <s v="Federal"/>
    <s v="PAV"/>
    <s v="Ji-Paraná"/>
  </r>
  <r>
    <x v="0"/>
    <s v="364BRO1310"/>
    <n v="0"/>
    <x v="313"/>
    <s v="1310"/>
    <n v="-63.118150340265899"/>
    <n v="-9.7167419099111498"/>
    <n v="-63.111768140387298"/>
    <n v="-9.7071213295856094"/>
    <s v="364"/>
    <s v="RO"/>
    <s v="Eixo Principal"/>
    <s v="-"/>
    <s v="364BRO1310"/>
    <s v="ENTR RO-459(A) (ALTO PARAISO)"/>
    <s v="ENTR RO-459(B) (RIO  CRESPO)(ROD MARCELO V ANDRADE)"/>
    <n v="541"/>
    <n v="542.29999999999995"/>
    <n v="1.3"/>
    <x v="2"/>
    <m/>
    <m/>
    <s v="Federal"/>
    <m/>
    <m/>
    <m/>
    <s v="Federal"/>
    <s v="PAV"/>
    <s v="Ji-Paraná"/>
  </r>
  <r>
    <x v="0"/>
    <s v="364BRO1320"/>
    <n v="0"/>
    <x v="313"/>
    <s v="1320"/>
    <n v="-63.111768140387298"/>
    <n v="-9.7071213295856094"/>
    <n v="-63.101045459780003"/>
    <n v="-9.4803749896140008"/>
    <s v="364"/>
    <s v="RO"/>
    <s v="Eixo Principal"/>
    <s v="-"/>
    <s v="364BRO1320"/>
    <s v="ENTR RO-459(B) (RIO  CRESPO)(ROD MARCELO V ANDRADE)"/>
    <s v="PONTE S/ RIO PRETO DO CRESPO"/>
    <n v="542.29999999999995"/>
    <n v="569.9"/>
    <n v="27.6"/>
    <x v="2"/>
    <m/>
    <m/>
    <s v="Federal"/>
    <m/>
    <m/>
    <m/>
    <s v="Federal"/>
    <s v="PAV"/>
    <s v="Ji-Paraná"/>
  </r>
  <r>
    <x v="0"/>
    <s v="364BRO1330"/>
    <n v="0"/>
    <x v="313"/>
    <s v="1330"/>
    <n v="-63.101045459780003"/>
    <n v="-9.4803749896140008"/>
    <n v="-63.1740232197957"/>
    <n v="-9.2120735796319195"/>
    <s v="364"/>
    <s v="RO"/>
    <s v="Eixo Principal"/>
    <s v="-"/>
    <s v="364BRO1330"/>
    <s v="PONTE S/ RIO PRETO DO CRESPO"/>
    <s v="ESTANHO"/>
    <n v="569.9"/>
    <n v="601.20000000000005"/>
    <n v="31.3"/>
    <x v="2"/>
    <m/>
    <m/>
    <s v="Federal"/>
    <m/>
    <m/>
    <m/>
    <s v="Federal"/>
    <s v="PAV"/>
    <s v="Porto Velho"/>
  </r>
  <r>
    <x v="0"/>
    <s v="364BRO1335"/>
    <n v="0"/>
    <x v="313"/>
    <s v="1335"/>
    <n v="-63.1740232197957"/>
    <n v="-9.2120735796319195"/>
    <n v="-63.180589029759801"/>
    <n v="-9.2004478600806507"/>
    <s v="364"/>
    <s v="RO"/>
    <s v="Eixo Principal"/>
    <s v="-"/>
    <s v="364BRO1335"/>
    <s v="ESTANHO"/>
    <s v="FINAL DA PISTA DUPLA (ESTANHO)"/>
    <n v="601.20000000000005"/>
    <n v="602.70000000000005"/>
    <n v="1.5"/>
    <x v="0"/>
    <m/>
    <m/>
    <s v="Federal"/>
    <m/>
    <m/>
    <m/>
    <s v="Federal"/>
    <s v="PAV"/>
    <s v="Porto Velho"/>
  </r>
  <r>
    <x v="0"/>
    <s v="364BRO1340"/>
    <n v="0"/>
    <x v="313"/>
    <s v="1340"/>
    <n v="-63.180589029759801"/>
    <n v="-9.2004478600806507"/>
    <n v="-63.185242489848903"/>
    <n v="-9.1957507702817907"/>
    <s v="364"/>
    <s v="RO"/>
    <s v="Eixo Principal"/>
    <s v="-"/>
    <s v="364BRO1340"/>
    <s v="FINAL DA PISTA DUPLA (ESTANHO)"/>
    <s v="INICIO PISTA DUPLA (ITAPUÃ DO OESTE)"/>
    <n v="602.70000000000005"/>
    <n v="603.4"/>
    <n v="0.7"/>
    <x v="2"/>
    <m/>
    <m/>
    <s v="Federal"/>
    <m/>
    <m/>
    <m/>
    <s v="Federal"/>
    <s v="PAV"/>
    <s v="Porto Velho"/>
  </r>
  <r>
    <x v="0"/>
    <s v="364BRO1350"/>
    <n v="0"/>
    <x v="313"/>
    <s v="1350"/>
    <n v="-63.185242489848903"/>
    <n v="-9.1957507702817907"/>
    <n v="-63.194232499729999"/>
    <n v="-9.1866818197101399"/>
    <s v="364"/>
    <s v="RO"/>
    <s v="Eixo Principal"/>
    <s v="-"/>
    <s v="364BRO1350"/>
    <s v="INICIO PISTA DUPLA (ITAPUÃ DO OESTE)"/>
    <s v="FINAL PISTA DUPLA (ITAPUÃ DO OESTE)"/>
    <n v="603.4"/>
    <n v="604.9"/>
    <n v="1.5"/>
    <x v="0"/>
    <m/>
    <m/>
    <s v="Federal"/>
    <m/>
    <m/>
    <m/>
    <s v="Federal"/>
    <s v="PAV"/>
    <s v="Porto Velho"/>
  </r>
  <r>
    <x v="0"/>
    <s v="364BRO1355"/>
    <n v="0"/>
    <x v="313"/>
    <s v="1355"/>
    <n v="-63.194232499729999"/>
    <n v="-9.1866818197101399"/>
    <n v="-63.376902889956298"/>
    <n v="-9.0826205795760302"/>
    <s v="364"/>
    <s v="RO"/>
    <s v="Eixo Principal"/>
    <s v="-"/>
    <s v="364BRO1355"/>
    <s v="FINAL PISTA DUPLA (ITAPUÃ DO OESTE)"/>
    <s v="INICIO PISTA DUPLA (TRIUNFO)"/>
    <n v="604.9"/>
    <n v="630.6"/>
    <n v="25.7"/>
    <x v="2"/>
    <m/>
    <m/>
    <s v="Federal"/>
    <m/>
    <m/>
    <m/>
    <s v="Federal"/>
    <s v="PAV"/>
    <s v="Porto Velho"/>
  </r>
  <r>
    <x v="0"/>
    <s v="364BRO1360"/>
    <n v="0"/>
    <x v="313"/>
    <s v="1360"/>
    <n v="-63.376902889956298"/>
    <n v="-9.0826205795760302"/>
    <n v="-63.389889540070101"/>
    <n v="-9.0724538202875298"/>
    <s v="364"/>
    <s v="RO"/>
    <s v="Eixo Principal"/>
    <s v="-"/>
    <s v="364BRO1360"/>
    <s v="INICIO PISTA DUPLA (TRIUNFO)"/>
    <s v="FINAL PISTA DUPLA (TRIUNFO)"/>
    <n v="630.6"/>
    <n v="632"/>
    <n v="1.4"/>
    <x v="0"/>
    <m/>
    <m/>
    <s v="Federal"/>
    <m/>
    <m/>
    <m/>
    <s v="Federal"/>
    <s v="PAV"/>
    <s v="Porto Velho"/>
  </r>
  <r>
    <x v="0"/>
    <s v="364BRO1365"/>
    <n v="0"/>
    <x v="313"/>
    <s v="1365"/>
    <n v="-63.389889540070101"/>
    <n v="-9.0724538202875298"/>
    <n v="-63.479378930193398"/>
    <n v="-8.7756913397834602"/>
    <s v="364"/>
    <s v="RO"/>
    <s v="Eixo Principal"/>
    <s v="-"/>
    <s v="364BRO1365"/>
    <s v="FINAL PISTA DUPLA (TRIUNFO)"/>
    <s v="INICIO PISTA DUPLA (ACESSO UHE SAMUEL)"/>
    <n v="632"/>
    <n v="667"/>
    <n v="35"/>
    <x v="2"/>
    <m/>
    <m/>
    <s v="Federal"/>
    <m/>
    <m/>
    <m/>
    <s v="Federal"/>
    <s v="PAV"/>
    <s v="Porto Velho"/>
  </r>
  <r>
    <x v="0"/>
    <s v="364BRO1370"/>
    <n v="0"/>
    <x v="313"/>
    <s v="1370"/>
    <n v="-63.479378930193398"/>
    <n v="-8.7756913397834602"/>
    <n v="-63.4870915996975"/>
    <n v="-8.7746155401749704"/>
    <s v="364"/>
    <s v="RO"/>
    <s v="Eixo Principal"/>
    <s v="-"/>
    <s v="364BRO1370"/>
    <s v="INICIO PISTA DUPLA (ACESSO UHE SAMUEL)"/>
    <s v="FINAL PISTA DUPLA (ACESSO UHE SAMUEL)"/>
    <n v="667"/>
    <n v="668.7"/>
    <n v="1.7"/>
    <x v="0"/>
    <m/>
    <m/>
    <s v="Federal"/>
    <m/>
    <m/>
    <m/>
    <s v="Federal"/>
    <s v="PAV"/>
    <s v="Porto Velho"/>
  </r>
  <r>
    <x v="0"/>
    <s v="364BRO1375"/>
    <n v="0"/>
    <x v="313"/>
    <s v="1375"/>
    <n v="-63.4870915996975"/>
    <n v="-8.7746155401749704"/>
    <n v="-63.684159500060801"/>
    <n v="-8.7958955601319495"/>
    <s v="364"/>
    <s v="RO"/>
    <s v="Eixo Principal"/>
    <s v="-"/>
    <s v="364BRO1375"/>
    <s v="FINAL PISTA DUPLA (ACESSO UHE SAMUEL)"/>
    <s v="INICIO PISTA DUPLA (CANDEIAS DO JAMARI)"/>
    <n v="668.7"/>
    <n v="690.7"/>
    <n v="22"/>
    <x v="2"/>
    <m/>
    <m/>
    <s v="Federal"/>
    <m/>
    <m/>
    <m/>
    <s v="Federal"/>
    <s v="PAV"/>
    <s v="Porto Velho"/>
  </r>
  <r>
    <x v="0"/>
    <s v="364BRO1380"/>
    <n v="0"/>
    <x v="313"/>
    <s v="1380"/>
    <n v="-63.684159500060801"/>
    <n v="-8.7958955601319495"/>
    <n v="-63.708916059828198"/>
    <n v="-8.7981114500832902"/>
    <s v="364"/>
    <s v="RO"/>
    <s v="Eixo Principal"/>
    <s v="-"/>
    <s v="364BRO1380"/>
    <s v="INICIO PISTA DUPLA (CANDEIAS DO JAMARI)"/>
    <s v="CANDEIAS DO JAMARI (SAÍDA DO RETORNO)(RODOVIÁRIA)"/>
    <n v="690.7"/>
    <n v="693"/>
    <n v="2.2999999999999998"/>
    <x v="0"/>
    <m/>
    <m/>
    <s v="Federal"/>
    <m/>
    <m/>
    <m/>
    <s v="Federal"/>
    <s v="PAV"/>
    <s v="Porto Velho"/>
  </r>
  <r>
    <x v="0"/>
    <s v="364BRO1385"/>
    <n v="0"/>
    <x v="313"/>
    <s v="1385"/>
    <n v="-63.708916059828198"/>
    <n v="-8.7981114500832902"/>
    <n v="-63.802654709747003"/>
    <n v="-8.8003304795679398"/>
    <s v="364"/>
    <s v="RO"/>
    <s v="Eixo Principal"/>
    <s v="-"/>
    <s v="364BRO1385"/>
    <s v="CANDEIAS DO JAMARI (SAÍDA DO RETORNO)(RODOVIÁRIA)"/>
    <s v="PORTO VELHO (ACESSO ULÍSSES GUIMARÃES)"/>
    <n v="693"/>
    <n v="703.8"/>
    <n v="10.8"/>
    <x v="0"/>
    <m/>
    <m/>
    <s v="Federal"/>
    <m/>
    <m/>
    <m/>
    <s v="Federal"/>
    <s v="PAV"/>
    <s v="Porto Velho"/>
  </r>
  <r>
    <x v="0"/>
    <s v="364BRO1388"/>
    <n v="0"/>
    <x v="313"/>
    <s v="1388"/>
    <n v="-63.802654709747003"/>
    <n v="-8.8003304795679398"/>
    <n v="-63.871861279674199"/>
    <n v="-8.7777824002375198"/>
    <s v="364"/>
    <s v="RO"/>
    <s v="Eixo Principal"/>
    <s v="-"/>
    <s v="364BRO1388"/>
    <s v="PORTO VELHO (ACESSO ULÍSSES GUIMARÃES)"/>
    <s v="PORTO VELHO (VIADUTO DA JATUARANA)"/>
    <n v="703.8"/>
    <n v="711.8"/>
    <n v="8"/>
    <x v="0"/>
    <m/>
    <m/>
    <s v="Federal"/>
    <m/>
    <m/>
    <m/>
    <s v="Federal"/>
    <s v="PAV"/>
    <s v="Porto Velho"/>
  </r>
  <r>
    <x v="0"/>
    <s v="364BRO1390"/>
    <n v="0"/>
    <x v="313"/>
    <s v="1390"/>
    <n v="-63.871861279674199"/>
    <n v="-8.7777824002375198"/>
    <n v="-63.8829202896396"/>
    <n v="-8.7706054496817298"/>
    <s v="364"/>
    <s v="RO"/>
    <s v="Eixo Principal"/>
    <s v="-"/>
    <s v="364BRO1390"/>
    <s v="PORTO VELHO (VIADUTO DA JATUARANA)"/>
    <s v="ENTR BR-319 (PORTO VELHO - AV JORGE TEIXEIRA)"/>
    <n v="711.8"/>
    <n v="713.6"/>
    <n v="1.8"/>
    <x v="0"/>
    <m/>
    <m/>
    <s v="Federal"/>
    <m/>
    <m/>
    <m/>
    <s v="Federal"/>
    <s v="PAV"/>
    <s v="Porto Velho"/>
  </r>
  <r>
    <x v="0"/>
    <s v="364BRO1410"/>
    <n v="0"/>
    <x v="313"/>
    <s v="1410"/>
    <n v="-63.8829202896396"/>
    <n v="-8.7706054496817298"/>
    <n v="-63.897153300284501"/>
    <n v="-8.7842759298902102"/>
    <s v="364"/>
    <s v="RO"/>
    <s v="Eixo Principal"/>
    <s v="-"/>
    <s v="364BRO1410"/>
    <s v="ENTR BR-319 (PORTO VELHO - AV JORGE TEIXEIRA)"/>
    <s v="PORTO VELHO (VIADUTO CAMPOS SALES)"/>
    <n v="713.6"/>
    <n v="715.8"/>
    <n v="2.2000000000000002"/>
    <x v="0"/>
    <m/>
    <m/>
    <s v="Federal"/>
    <m/>
    <m/>
    <m/>
    <s v="Federal"/>
    <s v="PAV"/>
    <s v="Porto Velho"/>
  </r>
  <r>
    <x v="0"/>
    <s v="364BRO1420"/>
    <n v="0"/>
    <x v="313"/>
    <s v="1420"/>
    <n v="-63.897153300284501"/>
    <n v="-8.7842759298902102"/>
    <n v="-63.916949130397903"/>
    <n v="-8.8089268597867001"/>
    <s v="364"/>
    <s v="RO"/>
    <s v="Eixo Principal"/>
    <s v="-"/>
    <s v="364BRO1420"/>
    <s v="PORTO VELHO (VIADUTO CAMPOS SALES)"/>
    <s v="PONTE DO BATE ESTACA"/>
    <n v="715.8"/>
    <n v="719.3"/>
    <n v="3.5"/>
    <x v="0"/>
    <m/>
    <m/>
    <s v="Federal"/>
    <m/>
    <m/>
    <m/>
    <s v="Federal"/>
    <s v="PAV"/>
    <s v="Porto Velho"/>
  </r>
  <r>
    <x v="0"/>
    <s v="364BRO1425"/>
    <n v="0"/>
    <x v="313"/>
    <s v="1425"/>
    <n v="-63.916949130397903"/>
    <n v="-8.8089268597867001"/>
    <n v="-63.937184239760803"/>
    <n v="-8.8432616103349897"/>
    <s v="364"/>
    <s v="RO"/>
    <s v="Eixo Principal"/>
    <s v="-"/>
    <s v="364BRO1425"/>
    <s v="PONTE DO BATE ESTACA"/>
    <s v="FIM PISTA DUPLA(UNIR)"/>
    <n v="719.3"/>
    <n v="724.1"/>
    <n v="4.8"/>
    <x v="0"/>
    <m/>
    <m/>
    <s v="Federal"/>
    <m/>
    <m/>
    <m/>
    <s v="Federal"/>
    <s v="PAV"/>
    <s v="Porto Velho"/>
  </r>
  <r>
    <x v="0"/>
    <s v="364BRO1428"/>
    <n v="0"/>
    <x v="313"/>
    <s v="1428"/>
    <n v="-63.937184239760803"/>
    <n v="-8.8432616103349897"/>
    <n v="-63.964024359636397"/>
    <n v="-8.9090012497078401"/>
    <s v="364"/>
    <s v="RO"/>
    <s v="Eixo Principal"/>
    <s v="-"/>
    <s v="364BRO1428"/>
    <s v="FIM PISTA DUPLA(UNIR)"/>
    <s v="ACESSO EST. TEOTÔNIO (SUBESTAÇÃO ELETRONORTE)"/>
    <n v="724.1"/>
    <n v="731.6"/>
    <n v="7.5"/>
    <x v="2"/>
    <m/>
    <m/>
    <s v="Federal"/>
    <m/>
    <m/>
    <m/>
    <s v="Federal"/>
    <s v="PAV"/>
    <s v="Porto Velho"/>
  </r>
  <r>
    <x v="0"/>
    <s v="364BRO1430"/>
    <n v="0"/>
    <x v="313"/>
    <s v="1430"/>
    <n v="-63.964024359636397"/>
    <n v="-8.9090012497078401"/>
    <n v="-64.386778159884102"/>
    <n v="-9.2572128697780691"/>
    <s v="364"/>
    <s v="RO"/>
    <s v="Eixo Principal"/>
    <s v="-"/>
    <s v="364BRO1430"/>
    <s v="ACESSO EST. TEOTÔNIO (SUBESTAÇÃO ELETRONORTE)"/>
    <s v="PONTE S/ RIO JACI-PARANÁ"/>
    <n v="731.6"/>
    <n v="799"/>
    <n v="67.400000000000006"/>
    <x v="2"/>
    <m/>
    <m/>
    <s v="Federal"/>
    <m/>
    <m/>
    <m/>
    <s v="Federal"/>
    <s v="PAV"/>
    <s v="Porto Velho"/>
  </r>
  <r>
    <x v="0"/>
    <s v="364BRO1450"/>
    <n v="0"/>
    <x v="313"/>
    <s v="1450"/>
    <n v="-64.386778159884102"/>
    <n v="-9.2572128697780691"/>
    <n v="-64.545103559681394"/>
    <n v="-9.2844652397789602"/>
    <s v="364"/>
    <s v="RO"/>
    <s v="Eixo Principal"/>
    <s v="-"/>
    <s v="364BRO1450"/>
    <s v="PONTE S/ RIO JACI-PARANÁ"/>
    <s v="INÍCIO PISTA DUPLA (NOVA MUTUM)"/>
    <n v="799"/>
    <n v="816.9"/>
    <n v="17.899999999999999"/>
    <x v="2"/>
    <m/>
    <m/>
    <s v="Federal"/>
    <m/>
    <m/>
    <m/>
    <s v="Federal"/>
    <s v="PAV"/>
    <s v="Porto Velho"/>
  </r>
  <r>
    <x v="0"/>
    <s v="364BRO1455"/>
    <n v="0"/>
    <x v="313"/>
    <s v="1455"/>
    <n v="-64.545103559681394"/>
    <n v="-9.2844652397789602"/>
    <n v="-64.550693959558501"/>
    <n v="-9.2867329702503394"/>
    <s v="364"/>
    <s v="RO"/>
    <s v="Eixo Principal"/>
    <s v="-"/>
    <s v="364BRO1455"/>
    <s v="INÍCIO PISTA DUPLA (NOVA MUTUM)"/>
    <s v="FINAL PISTA DUPLA (NOVA MUTUM)"/>
    <n v="816.9"/>
    <n v="817.5"/>
    <n v="0.6"/>
    <x v="0"/>
    <m/>
    <m/>
    <s v="Federal"/>
    <m/>
    <m/>
    <m/>
    <s v="Federal"/>
    <s v="PAV"/>
    <s v="Porto Velho"/>
  </r>
  <r>
    <x v="0"/>
    <s v="364BRO1460"/>
    <n v="0"/>
    <x v="313"/>
    <s v="1460"/>
    <n v="-64.550693959558501"/>
    <n v="-9.2867329702503394"/>
    <n v="-64.932390370119407"/>
    <n v="-9.6173771201579203"/>
    <s v="364"/>
    <s v="RO"/>
    <s v="Eixo Principal"/>
    <s v="-"/>
    <s v="364BRO1460"/>
    <s v="FINAL PISTA DUPLA (NOVA MUTUM)"/>
    <s v="INICIO TRAV. PONTE SOBRE O RIO MUTUM-PARANÁ "/>
    <n v="817.5"/>
    <n v="876.5"/>
    <n v="59"/>
    <x v="2"/>
    <m/>
    <m/>
    <s v="Federal"/>
    <m/>
    <m/>
    <m/>
    <s v="Federal"/>
    <s v="PAV"/>
    <s v="Porto Velho"/>
  </r>
  <r>
    <x v="0"/>
    <s v="364BRO1470"/>
    <n v="0"/>
    <x v="313"/>
    <s v="1470"/>
    <n v="-64.932390370119407"/>
    <n v="-9.6173771201579203"/>
    <n v="-65.2216308598762"/>
    <n v="-9.7241025703772799"/>
    <s v="364"/>
    <s v="RO"/>
    <s v="Eixo Principal"/>
    <s v="-"/>
    <s v="364BRO1470"/>
    <s v="INÍCIO TRAV. PONTE SOBRE O RIO MUTUM-PARANÁ"/>
    <s v="ENTR BR-425(A) (P/GUAJARÁ-MIRIM)"/>
    <n v="876.5"/>
    <n v="910.9"/>
    <n v="34.4"/>
    <x v="2"/>
    <m/>
    <m/>
    <s v="Federal"/>
    <m/>
    <m/>
    <m/>
    <s v="Federal"/>
    <s v="PAV"/>
    <s v="Porto Velho"/>
  </r>
  <r>
    <x v="0"/>
    <s v="364BRO1475"/>
    <n v="0"/>
    <x v="313"/>
    <s v="1475"/>
    <n v="-65.2216308598762"/>
    <n v="-9.7241025703772799"/>
    <n v="-65.373462999817505"/>
    <n v="-9.6956265603174607"/>
    <s v="364"/>
    <s v="RO"/>
    <s v="Eixo Principal"/>
    <s v="-"/>
    <s v="364BRO1475"/>
    <s v="ENTR BR-425(A) (P/GUAJARÁ-MIRIM)"/>
    <s v="ENTR BR-425(B) (ABUNÃ)(GALPÃO EFNM)"/>
    <n v="910.9"/>
    <n v="929"/>
    <n v="18.100000000000001"/>
    <x v="2"/>
    <m/>
    <s v="425BRO0010"/>
    <s v="Federal"/>
    <m/>
    <m/>
    <m/>
    <s v="Federal"/>
    <s v="PAV"/>
    <s v="Porto Velho"/>
  </r>
  <r>
    <x v="0"/>
    <s v="364BRO1480"/>
    <n v="0"/>
    <x v="313"/>
    <s v="1480"/>
    <n v="-65.373462999817505"/>
    <n v="-9.6956265603174607"/>
    <n v="-65.436096790034796"/>
    <n v="-9.6668239299803496"/>
    <s v="364"/>
    <s v="RO"/>
    <s v="Eixo Principal"/>
    <s v="-"/>
    <s v="364BRO1480"/>
    <s v="ENTR BR-425(B) (ABUNÃ)(GALPÃO EFNM)"/>
    <s v="INÍCIO TRAVESSIA RIO MADEIRA"/>
    <n v="929"/>
    <n v="937.6"/>
    <n v="8.6"/>
    <x v="2"/>
    <m/>
    <m/>
    <s v="Federal"/>
    <m/>
    <m/>
    <m/>
    <s v="Federal"/>
    <s v="PAV"/>
    <s v="Porto Velho"/>
  </r>
  <r>
    <x v="0"/>
    <s v="364BRO1485"/>
    <n v="0"/>
    <x v="313"/>
    <s v="1485"/>
    <n v="-65.436096790034796"/>
    <n v="-9.6668239299803496"/>
    <n v="-65.447357179790004"/>
    <n v="-9.6741789004358303"/>
    <s v="364"/>
    <s v="RO"/>
    <s v="Eixo Principal"/>
    <s v="-"/>
    <s v="364BRO1485"/>
    <s v="INÍCIO TRAVESSIA RIO MADEIRA"/>
    <s v="FIM TRAVESSIA RIO MADEIRA"/>
    <n v="937.6"/>
    <n v="938.8"/>
    <n v="1.2"/>
    <x v="4"/>
    <m/>
    <m/>
    <s v="Federal"/>
    <m/>
    <m/>
    <m/>
    <s v="Federal"/>
    <s v="N_PAV"/>
    <s v="Porto Velho"/>
  </r>
  <r>
    <x v="0"/>
    <s v="364BRO1490"/>
    <n v="0"/>
    <x v="313"/>
    <s v="1490"/>
    <n v="-65.447357179790004"/>
    <n v="-9.6741789004358303"/>
    <n v="-65.731835229612102"/>
    <n v="-9.6581039397449899"/>
    <s v="364"/>
    <s v="RO"/>
    <s v="Eixo Principal"/>
    <s v="-"/>
    <s v="364BRO1490"/>
    <s v="FIM TRAVESSIA RIO MADEIRA"/>
    <s v="VISTA ALEGRE DO ABUNÃ(AV JK)(2º GP 6º BPM)"/>
    <n v="938.8"/>
    <n v="970.9"/>
    <n v="32.1"/>
    <x v="2"/>
    <m/>
    <m/>
    <s v="Federal"/>
    <m/>
    <m/>
    <m/>
    <s v="Federal"/>
    <s v="PAV"/>
    <s v="Porto Velho"/>
  </r>
  <r>
    <x v="0"/>
    <s v="364BRO1510"/>
    <n v="0"/>
    <x v="313"/>
    <s v="1510"/>
    <n v="-65.731835229612102"/>
    <n v="-9.6581039397449899"/>
    <n v="-66.356087999661398"/>
    <n v="-9.7710524296258505"/>
    <s v="364"/>
    <s v="RO"/>
    <s v="Eixo Principal"/>
    <s v="-"/>
    <s v="364BRO1510"/>
    <s v="VISTA ALEGRE DO ABUNÃ(AV JK)(2º GP 6º BPM)"/>
    <s v="DISTRITO DE VILA EXTREMA(14º RR DER)(2º PELOTÃO BPM)"/>
    <n v="970.9"/>
    <n v="1040"/>
    <n v="69.099999999999994"/>
    <x v="2"/>
    <m/>
    <m/>
    <s v="Federal"/>
    <m/>
    <m/>
    <m/>
    <s v="Federal"/>
    <s v="PAV"/>
    <s v="Porto Velho"/>
  </r>
  <r>
    <x v="0"/>
    <s v="364BRO1530"/>
    <n v="0"/>
    <x v="313"/>
    <s v="1530"/>
    <n v="-66.356087999661398"/>
    <n v="-9.7710524296258505"/>
    <n v="-66.802166190217406"/>
    <n v="-9.7705743302411108"/>
    <s v="364"/>
    <s v="RO"/>
    <s v="Eixo Principal"/>
    <s v="-"/>
    <s v="364BRO1530"/>
    <s v="DISTRITO DE VILA EXTREMA(14º RR DER)(2º PELOTÃO BPM)"/>
    <s v="DIV RO/AC"/>
    <n v="1040"/>
    <n v="1092.0999999999999"/>
    <n v="52.1"/>
    <x v="2"/>
    <m/>
    <m/>
    <s v="Federal"/>
    <m/>
    <m/>
    <m/>
    <s v="Federal"/>
    <s v="PAV"/>
    <s v="Porto Velho"/>
  </r>
  <r>
    <x v="0"/>
    <s v="364BSP0010"/>
    <n v="0"/>
    <x v="314"/>
    <s v="0010"/>
    <n v="-47.3994040395647"/>
    <n v="-22.502899710053502"/>
    <n v="-47.570070469776297"/>
    <n v="-22.4354830302176"/>
    <s v="364"/>
    <s v="SP"/>
    <s v="Eixo Principal"/>
    <s v="-"/>
    <s v="364BSP0010"/>
    <s v="ENTR BR-050 (LIMEIRA)"/>
    <s v="ENTR SP-127"/>
    <n v="0"/>
    <n v="18"/>
    <n v="18"/>
    <x v="1"/>
    <m/>
    <m/>
    <s v="Estadual"/>
    <m/>
    <s v="SP-310"/>
    <s v="DUP"/>
    <s v="Estadual"/>
    <s v="PLA"/>
    <s v="Taubaté"/>
  </r>
  <r>
    <x v="0"/>
    <s v="364BSP0023"/>
    <n v="0"/>
    <x v="314"/>
    <s v="0023"/>
    <n v="-47.570070469776297"/>
    <n v="-22.4354830302176"/>
    <n v="-47.6116969000918"/>
    <n v="-22.3823520001446"/>
    <s v="364"/>
    <s v="SP"/>
    <s v="Eixo Principal"/>
    <s v="-"/>
    <s v="364BSP0023"/>
    <s v="ENTR SP-127"/>
    <s v="ENTR SP-191 (RIO CLARO)"/>
    <n v="18"/>
    <n v="26.3"/>
    <n v="8.3000000000000007"/>
    <x v="1"/>
    <m/>
    <m/>
    <s v="Estadual"/>
    <m/>
    <s v="SP-310"/>
    <s v="DUP"/>
    <s v="Estadual"/>
    <s v="PLA"/>
    <s v="Taubaté"/>
  </r>
  <r>
    <x v="0"/>
    <s v="364BSP0030"/>
    <n v="0"/>
    <x v="314"/>
    <s v="0030"/>
    <n v="-47.6116969000918"/>
    <n v="-22.3823520001446"/>
    <n v="-47.679252509895299"/>
    <n v="-22.286069419967699"/>
    <s v="364"/>
    <s v="SP"/>
    <s v="Eixo Principal"/>
    <s v="-"/>
    <s v="364BSP0030"/>
    <s v="ENTR SP-191 (RIO CLARO)"/>
    <s v="ACESSO CORUMBATAÍ"/>
    <n v="26.3"/>
    <n v="39.299999999999997"/>
    <n v="13"/>
    <x v="1"/>
    <m/>
    <m/>
    <s v="Estadual"/>
    <m/>
    <s v="SP-310"/>
    <s v="DUP"/>
    <s v="Estadual"/>
    <s v="PLA"/>
    <s v="Taubaté"/>
  </r>
  <r>
    <x v="0"/>
    <s v="364BSP0040"/>
    <n v="0"/>
    <x v="314"/>
    <s v="0040"/>
    <n v="-47.679252509895299"/>
    <n v="-22.286069419967699"/>
    <n v="-47.7666531400303"/>
    <n v="-22.215701530301299"/>
    <s v="364"/>
    <s v="SP"/>
    <s v="Eixo Principal"/>
    <s v="-"/>
    <s v="364BSP0040"/>
    <s v="ACESSO CORUMBATAÍ"/>
    <s v="ENTR BR-369 (P/ITIRAPINA)"/>
    <n v="39.299999999999997"/>
    <n v="53.3"/>
    <n v="14"/>
    <x v="1"/>
    <m/>
    <m/>
    <s v="Estadual"/>
    <m/>
    <s v="SP-310"/>
    <s v="DUP"/>
    <s v="Estadual"/>
    <s v="PLA"/>
    <s v="Taubaté"/>
  </r>
  <r>
    <x v="0"/>
    <s v="364BSP0050"/>
    <n v="0"/>
    <x v="314"/>
    <s v="0050"/>
    <n v="-47.7666531400303"/>
    <n v="-22.215701530301299"/>
    <n v="-47.861471849646001"/>
    <n v="-22.045117840415902"/>
    <s v="364"/>
    <s v="SP"/>
    <s v="Eixo Principal"/>
    <s v="-"/>
    <s v="364BSP0050"/>
    <s v="ENTR BR-369 (P/ITIRAPINA)"/>
    <s v="ENTR BR-267(A) (SÃO CARLOS)"/>
    <n v="53.3"/>
    <n v="75.099999999999994"/>
    <n v="21.8"/>
    <x v="1"/>
    <m/>
    <m/>
    <s v="Estadual"/>
    <m/>
    <s v="SP-310"/>
    <s v="DUP"/>
    <s v="Estadual"/>
    <s v="PLA"/>
    <s v="São José do Rio Preto"/>
  </r>
  <r>
    <x v="0"/>
    <s v="364BSP0070"/>
    <n v="0"/>
    <x v="314"/>
    <s v="0070"/>
    <n v="-47.861471849646001"/>
    <n v="-22.045117840415902"/>
    <n v="-47.888568549698697"/>
    <n v="-21.9899672199112"/>
    <s v="364"/>
    <s v="SP"/>
    <s v="Eixo Principal"/>
    <s v="Coinc"/>
    <s v="364BSP0070"/>
    <s v="ENTR BR-267(A) (SÃO CARLOS)"/>
    <s v="ENTR SP-318"/>
    <n v="75.099999999999994"/>
    <n v="82.8"/>
    <n v="7.7"/>
    <x v="1"/>
    <m/>
    <s v="267BSP0570"/>
    <s v="Estadual"/>
    <m/>
    <s v="SP-310"/>
    <s v="DUP"/>
    <s v="Estadual"/>
    <s v="PLA"/>
    <s v="São José do Rio Preto"/>
  </r>
  <r>
    <x v="0"/>
    <s v="364BSP0090"/>
    <n v="0"/>
    <x v="314"/>
    <s v="0090"/>
    <n v="-47.888568549698697"/>
    <n v="-21.9899672199112"/>
    <n v="-48.177501320229602"/>
    <n v="-21.818996489696101"/>
    <s v="364"/>
    <s v="SP"/>
    <s v="Eixo Principal"/>
    <s v="Coinc"/>
    <s v="364BSP0090"/>
    <s v="ENTR SP-318"/>
    <s v="ENTR SP-255 (ARARAQUARA)"/>
    <n v="82.8"/>
    <n v="119.1"/>
    <n v="36.299999999999997"/>
    <x v="1"/>
    <m/>
    <s v="267BSP0590"/>
    <s v="Estadual"/>
    <m/>
    <s v="SP-310"/>
    <s v="DUP"/>
    <s v="Estadual"/>
    <s v="PLA"/>
    <s v="São José do Rio Preto"/>
  </r>
  <r>
    <x v="0"/>
    <s v="364BSP0110"/>
    <n v="0"/>
    <x v="314"/>
    <s v="0110"/>
    <n v="-48.177501320229602"/>
    <n v="-21.818996489696101"/>
    <n v="-48.2958663701368"/>
    <n v="-21.725031549666198"/>
    <s v="364"/>
    <s v="SP"/>
    <s v="Eixo Principal"/>
    <s v="Coinc"/>
    <s v="364BSP0110"/>
    <s v="ENTR SP-255 (ARARAQUARA)"/>
    <s v="ENTR BR-267(B)"/>
    <n v="119.1"/>
    <n v="134.6"/>
    <n v="15.5"/>
    <x v="1"/>
    <m/>
    <s v="267BSP0610"/>
    <s v="Estadual"/>
    <m/>
    <s v="SP-310"/>
    <s v="DUP"/>
    <s v="Estadual"/>
    <s v="PLA"/>
    <s v="São José do Rio Preto"/>
  </r>
  <r>
    <x v="0"/>
    <s v="364BSP0130"/>
    <n v="0"/>
    <x v="314"/>
    <s v="0130"/>
    <n v="-48.2958663701368"/>
    <n v="-21.725031549666198"/>
    <n v="-48.336367569607603"/>
    <n v="-21.6917143703219"/>
    <s v="364"/>
    <s v="SP"/>
    <s v="Eixo Principal"/>
    <s v="-"/>
    <s v="364BSP0130"/>
    <s v="ENTR BR-267(B)"/>
    <s v="ENTR BR-456/SP-310"/>
    <n v="134.6"/>
    <n v="140.6"/>
    <n v="6"/>
    <x v="1"/>
    <m/>
    <m/>
    <s v="Estadual"/>
    <m/>
    <s v="SP-310"/>
    <s v="DUP"/>
    <s v="Estadual"/>
    <s v="PLA"/>
    <s v="São José do Rio Preto"/>
  </r>
  <r>
    <x v="0"/>
    <s v="364BSP0150"/>
    <n v="0"/>
    <x v="314"/>
    <s v="0150"/>
    <n v="-48.336367569607603"/>
    <n v="-21.6917143703219"/>
    <n v="-48.335259120112198"/>
    <n v="-21.6091601803979"/>
    <s v="364"/>
    <s v="SP"/>
    <s v="Eixo Principal"/>
    <s v="-"/>
    <s v="364BSP0150"/>
    <s v="ENTR BR-456/SP-310"/>
    <s v="ACESSO MATÃO"/>
    <n v="140.6"/>
    <n v="149.6"/>
    <n v="9"/>
    <x v="1"/>
    <m/>
    <m/>
    <s v="Estadual"/>
    <m/>
    <s v="SP-326"/>
    <s v="DUP"/>
    <s v="Estadual"/>
    <s v="PLA"/>
    <s v="São José do Rio Preto"/>
  </r>
  <r>
    <x v="0"/>
    <s v="364BSP0155"/>
    <n v="0"/>
    <x v="314"/>
    <s v="0155"/>
    <n v="-48.335259120112198"/>
    <n v="-21.6091601803979"/>
    <n v="-48.330806930095697"/>
    <n v="-21.515375729805999"/>
    <s v="364"/>
    <s v="SP"/>
    <s v="Eixo Principal"/>
    <s v="-"/>
    <s v="364BSP0155"/>
    <s v="ACESSO MATÃO"/>
    <s v="ACESSO DOBRADA"/>
    <n v="149.6"/>
    <n v="159.6"/>
    <n v="10"/>
    <x v="1"/>
    <m/>
    <m/>
    <s v="Estadual"/>
    <m/>
    <s v="SP-326"/>
    <s v="DUP"/>
    <s v="Estadual"/>
    <s v="PLA"/>
    <s v="São José do Rio Preto"/>
  </r>
  <r>
    <x v="0"/>
    <s v="364BSP0160"/>
    <n v="0"/>
    <x v="314"/>
    <s v="0160"/>
    <n v="-48.330806930095697"/>
    <n v="-21.515375729805999"/>
    <n v="-48.328184300165198"/>
    <n v="-21.4600186996032"/>
    <s v="364"/>
    <s v="SP"/>
    <s v="Eixo Principal"/>
    <s v="-"/>
    <s v="364BSP0160"/>
    <s v="ACESSO DOBRADA"/>
    <s v="ACESSO SANTA ERNESTINA"/>
    <n v="159.6"/>
    <n v="165.8"/>
    <n v="6.2"/>
    <x v="1"/>
    <m/>
    <m/>
    <s v="Estadual"/>
    <m/>
    <s v="SP-326"/>
    <s v="PAV"/>
    <s v="Estadual"/>
    <s v="PLA"/>
    <s v="São José do Rio Preto"/>
  </r>
  <r>
    <x v="0"/>
    <s v="364BSP0163"/>
    <n v="0"/>
    <x v="314"/>
    <s v="0163"/>
    <n v="-48.328184300165198"/>
    <n v="-21.4600186996032"/>
    <n v="-48.3242274900065"/>
    <n v="-21.375787599617901"/>
    <s v="364"/>
    <s v="SP"/>
    <s v="Eixo Principal"/>
    <s v="-"/>
    <s v="364BSP0163"/>
    <s v="ACESSO SANTA ERNESTINA"/>
    <s v="ACESSO GUARIBA"/>
    <n v="165.8"/>
    <n v="175.8"/>
    <n v="10"/>
    <x v="1"/>
    <m/>
    <m/>
    <s v="Estadual"/>
    <m/>
    <s v="SP-326"/>
    <s v="PAV"/>
    <s v="Estadual"/>
    <s v="PLA"/>
    <s v="São José do Rio Preto"/>
  </r>
  <r>
    <x v="0"/>
    <s v="364BSP0167"/>
    <n v="0"/>
    <x v="314"/>
    <s v="0167"/>
    <n v="-48.3242274900065"/>
    <n v="-21.375787599617901"/>
    <n v="-48.3343223601887"/>
    <n v="-21.2860165301386"/>
    <s v="364"/>
    <s v="SP"/>
    <s v="Eixo Principal"/>
    <s v="-"/>
    <s v="364BSP0167"/>
    <s v="ACESSO GUARIBA"/>
    <s v="ENTR SP-333 (JABOTICABAL)"/>
    <n v="175.8"/>
    <n v="185.8"/>
    <n v="10"/>
    <x v="1"/>
    <m/>
    <m/>
    <s v="Estadual"/>
    <m/>
    <s v="SP-326"/>
    <s v="PAV"/>
    <s v="Estadual"/>
    <s v="PLA"/>
    <s v="São José do Rio Preto"/>
  </r>
  <r>
    <x v="0"/>
    <s v="364BSP0170"/>
    <n v="0"/>
    <x v="314"/>
    <s v="0170"/>
    <n v="-48.3343223601887"/>
    <n v="-21.2860165301386"/>
    <n v="-48.345452959786201"/>
    <n v="-21.259126360293202"/>
    <s v="364"/>
    <s v="SP"/>
    <s v="Eixo Principal"/>
    <s v="-"/>
    <s v="364BSP0170"/>
    <s v="ENTR SP-333 (JABOTICABAL)"/>
    <s v="ENTR SP-305"/>
    <n v="185.8"/>
    <n v="189"/>
    <n v="3.2"/>
    <x v="1"/>
    <m/>
    <m/>
    <s v="Estadual"/>
    <m/>
    <s v="SP-326"/>
    <s v="DUP"/>
    <s v="Estadual"/>
    <s v="PLA"/>
    <s v="São José do Rio Preto"/>
  </r>
  <r>
    <x v="0"/>
    <s v="364BSP0175"/>
    <n v="0"/>
    <x v="314"/>
    <s v="0175"/>
    <n v="-48.345452959786201"/>
    <n v="-21.259126360293202"/>
    <n v="-48.371072728423599"/>
    <n v="-21.1847696778783"/>
    <s v="364"/>
    <s v="SP"/>
    <s v="Eixo Principal"/>
    <s v="-"/>
    <s v="364BSP0175"/>
    <s v="ENTR SP-305"/>
    <s v="FIM PISTA DUPLA"/>
    <n v="189"/>
    <n v="197.2"/>
    <n v="8.1999999999999993"/>
    <x v="1"/>
    <m/>
    <m/>
    <s v="Estadual"/>
    <m/>
    <s v="SP-326"/>
    <s v="DUP"/>
    <s v="Estadual"/>
    <s v="PLA"/>
    <s v="São José do Rio Preto"/>
  </r>
  <r>
    <x v="0"/>
    <s v="364BSP0180"/>
    <n v="0"/>
    <x v="314"/>
    <s v="0180"/>
    <n v="-48.371072728423599"/>
    <n v="-21.1847696778783"/>
    <n v="-48.443394979794398"/>
    <n v="-20.9610325396199"/>
    <s v="364"/>
    <s v="SP"/>
    <s v="Eixo Principal"/>
    <s v="-"/>
    <s v="364BSP0180"/>
    <s v="FIM PISTA DUPLA"/>
    <s v="ENTR AV. LOURENÇO SANTIN (BEBEDOURO)"/>
    <n v="197.2"/>
    <n v="221.7"/>
    <n v="24.5"/>
    <x v="1"/>
    <m/>
    <m/>
    <s v="Estadual"/>
    <m/>
    <s v="SP-326"/>
    <s v="PAV"/>
    <s v="Estadual"/>
    <s v="PLA"/>
    <s v="São José do Rio Preto"/>
  </r>
  <r>
    <x v="0"/>
    <s v="364BSP0185"/>
    <n v="0"/>
    <x v="314"/>
    <s v="0185"/>
    <n v="-48.443394979794398"/>
    <n v="-20.9610325396199"/>
    <n v="-48.452689629622597"/>
    <n v="-20.932175729626099"/>
    <s v="364"/>
    <s v="SP"/>
    <s v="Eixo Principal"/>
    <s v="-"/>
    <s v="364BSP0185"/>
    <s v="ENTR AV. LOURENÇO SANTIN (BEBEDOURO)"/>
    <s v="ENTR BR-265"/>
    <n v="221.7"/>
    <n v="227"/>
    <n v="5.3"/>
    <x v="1"/>
    <m/>
    <m/>
    <s v="Estadual"/>
    <m/>
    <s v="SP-326"/>
    <s v="DUP"/>
    <s v="Estadual"/>
    <s v="PLA"/>
    <s v="São José do Rio Preto"/>
  </r>
  <r>
    <x v="0"/>
    <s v="364BSP0190"/>
    <n v="0"/>
    <x v="314"/>
    <s v="0190"/>
    <n v="-48.452689629622597"/>
    <n v="-20.932175729626099"/>
    <n v="-48.4814273801694"/>
    <n v="-20.843781960169199"/>
    <s v="364"/>
    <s v="SP"/>
    <s v="Eixo Principal"/>
    <s v="-"/>
    <s v="364BSP0190"/>
    <s v="ENTR BR-265"/>
    <s v="ENTR SP-353 (P/ TERRA ROXA)"/>
    <n v="227"/>
    <n v="237"/>
    <n v="10"/>
    <x v="1"/>
    <m/>
    <m/>
    <s v="Estadual"/>
    <m/>
    <s v="SP-326"/>
    <s v="DUP"/>
    <s v="Estadual"/>
    <s v="PLA"/>
    <s v="São José do Rio Preto"/>
  </r>
  <r>
    <x v="0"/>
    <s v="364BSP0200"/>
    <n v="0"/>
    <x v="314"/>
    <s v="0200"/>
    <n v="-48.4814273801694"/>
    <n v="-20.843781960169199"/>
    <n v="-48.529312080188298"/>
    <n v="-20.7086134996132"/>
    <s v="364"/>
    <s v="SP"/>
    <s v="Eixo Principal"/>
    <s v="-"/>
    <s v="364BSP0200"/>
    <s v="ENTR SP-353 (P/ TERRA ROXA)"/>
    <s v="ENTR SP-373 (P/ JABORANDI) (COLINA)"/>
    <n v="237"/>
    <n v="253.3"/>
    <n v="16.3"/>
    <x v="1"/>
    <m/>
    <m/>
    <s v="Estadual"/>
    <m/>
    <s v="SP-326"/>
    <s v="DUP"/>
    <s v="Estadual"/>
    <s v="PLA"/>
    <s v="São José do Rio Preto"/>
  </r>
  <r>
    <x v="0"/>
    <s v="364BSP0210"/>
    <n v="0"/>
    <x v="314"/>
    <s v="0210"/>
    <n v="-48.529312080188298"/>
    <n v="-20.7086134996132"/>
    <n v="-48.597667189988698"/>
    <n v="-20.5313429096474"/>
    <s v="364"/>
    <s v="SP"/>
    <s v="Eixo Principal"/>
    <s v="-"/>
    <s v="364BSP0210"/>
    <s v="ENTR SP-373 (P/ JABORANDI) (COLINA)"/>
    <s v="ENTR SP-425 (BARRETOS)"/>
    <n v="253.3"/>
    <n v="274"/>
    <n v="20.7"/>
    <x v="1"/>
    <m/>
    <m/>
    <s v="Estadual"/>
    <m/>
    <s v="SP-326"/>
    <s v="DUP"/>
    <s v="Estadual"/>
    <s v="PLA"/>
    <s v="São José do Rio Preto"/>
  </r>
  <r>
    <x v="0"/>
    <s v="364BSP0230"/>
    <n v="0"/>
    <x v="314"/>
    <s v="0230"/>
    <n v="-48.597667189988698"/>
    <n v="-20.5313429096474"/>
    <n v="-48.6900781797641"/>
    <n v="-20.165506520009799"/>
    <s v="364"/>
    <s v="SP"/>
    <s v="Eixo Principal"/>
    <s v="-"/>
    <s v="364BSP0230"/>
    <s v="ENTR SP-425 (BARRETOS)"/>
    <s v="ENTR BR-455 (DIV SP/MG) (PLANURA)"/>
    <n v="274"/>
    <n v="316"/>
    <n v="42"/>
    <x v="1"/>
    <m/>
    <m/>
    <s v="Estadual"/>
    <m/>
    <s v="SP-326"/>
    <s v="PAV"/>
    <s v="Estadual"/>
    <s v="PLA"/>
    <s v="São José do Rio Preto"/>
  </r>
  <r>
    <x v="0"/>
    <s v="364CAC1005"/>
    <n v="0"/>
    <x v="315"/>
    <s v="1005"/>
    <n v="-72.646258040076404"/>
    <n v="-7.72196559003992"/>
    <n v="-72.670361309826504"/>
    <n v="-7.7362606898788604"/>
    <s v="364"/>
    <s v="AC"/>
    <s v="Contorno"/>
    <s v="-"/>
    <s v="364CAC1005"/>
    <s v="ENTR BR-364 (FIM DA TRAV RIO JURUÁ)"/>
    <s v="ENTR BR-364 (CONTORNO DE RODRIGUES ALVES)"/>
    <n v="0"/>
    <n v="6.5"/>
    <n v="6.5"/>
    <x v="1"/>
    <m/>
    <m/>
    <s v="Federal"/>
    <m/>
    <m/>
    <m/>
    <s v="Federal"/>
    <s v="PLA"/>
    <s v="Rio Branco"/>
  </r>
  <r>
    <x v="0"/>
    <s v="364CRO1005"/>
    <n v="0"/>
    <x v="316"/>
    <s v="1005"/>
    <n v="-63.802654709747003"/>
    <n v="-8.8003304795679398"/>
    <n v="-63.916949130397903"/>
    <n v="-8.8089268597867001"/>
    <s v="364"/>
    <s v="RO"/>
    <s v="Contorno"/>
    <s v="-"/>
    <s v="364CRO1005"/>
    <s v="ENTR BR-364 (PRÓX P RODOV FEDERAL)"/>
    <s v="ENTR BR-364 (PRÓX UNIR - CONTORNO SUL PORTO VELHO)"/>
    <n v="0"/>
    <n v="12"/>
    <n v="12"/>
    <x v="1"/>
    <m/>
    <m/>
    <s v="Federal"/>
    <m/>
    <m/>
    <m/>
    <s v="Federal"/>
    <s v="PLA"/>
    <s v="Porto Velho"/>
  </r>
  <r>
    <x v="0"/>
    <s v="364NRO1005"/>
    <n v="0"/>
    <x v="317"/>
    <s v="1005"/>
    <n v="-61.9297310295633"/>
    <n v="-10.920678330040801"/>
    <n v="-62.001055119797897"/>
    <n v="-10.8439171203787"/>
    <s v="364"/>
    <s v="RO"/>
    <s v="Anel"/>
    <s v="-"/>
    <s v="364NRO1005"/>
    <s v="ENTR BR-364 (KM 338,8)"/>
    <s v="ENTR BR-364 (KM 350,7 - CONTORNO SUL DE JI-PARANÁ)"/>
    <n v="0"/>
    <n v="13.6"/>
    <n v="13.6"/>
    <x v="2"/>
    <m/>
    <m/>
    <s v="Federal"/>
    <m/>
    <m/>
    <m/>
    <s v="Federal"/>
    <s v="PAV"/>
    <s v="Ji-Paraná"/>
  </r>
  <r>
    <x v="0"/>
    <s v="364NRO1010"/>
    <n v="0"/>
    <x v="317"/>
    <s v="1010"/>
    <n v="-62.001055119797897"/>
    <n v="-10.8439171203787"/>
    <n v="-61.9297310295633"/>
    <n v="-10.920678330040801"/>
    <s v="364"/>
    <s v="RO"/>
    <s v="Anel"/>
    <s v="-"/>
    <s v="364NRO1010"/>
    <s v="ENTR BR-364 (KM 350,7 - CONTORNO SUL DE JI-PARANÁ)"/>
    <s v="ENTR BR-364 (KM 338,8 - CONTORNO NORTE DE JI-PARANÁ)"/>
    <n v="13.6"/>
    <n v="37.6"/>
    <n v="24"/>
    <x v="1"/>
    <m/>
    <m/>
    <s v="Federal"/>
    <m/>
    <m/>
    <m/>
    <s v="Federal"/>
    <s v="PLA"/>
    <s v="Ji-Paraná"/>
  </r>
  <r>
    <x v="0"/>
    <s v="364VMT1005"/>
    <n v="0"/>
    <x v="318"/>
    <s v="1005"/>
    <n v="-55.541225530134"/>
    <n v="-15.809694380291299"/>
    <n v="-55.594080950375499"/>
    <n v="-15.7968226599377"/>
    <s v="364"/>
    <s v="MT"/>
    <s v="Variante"/>
    <s v="Coinc"/>
    <s v="364VMT1005"/>
    <s v="INÍCIO PISTA INVERSA I SERRA SÃO VICENTE"/>
    <s v="FIM PISTA INVERSA I SERRA SÃO VICENTE"/>
    <n v="0"/>
    <n v="7.6"/>
    <n v="7.6"/>
    <x v="2"/>
    <m/>
    <s v="070VMT1005;163VMT1005"/>
    <s v="Concessão Federal"/>
    <m/>
    <m/>
    <m/>
    <s v="Federal"/>
    <s v="PAV"/>
    <s v="Cuiabá"/>
  </r>
  <r>
    <x v="0"/>
    <s v="364VMT2005"/>
    <n v="0"/>
    <x v="318"/>
    <s v="2005"/>
    <n v="-55.603444599788403"/>
    <n v="-15.7969890596972"/>
    <n v="-55.6539620597012"/>
    <n v="-15.7710792498074"/>
    <s v="364"/>
    <s v="MT"/>
    <s v="Variante"/>
    <s v="Coinc"/>
    <s v="364VMT2005"/>
    <s v="INÍCIO PISTA INVERSA II S SÃO VICENTE"/>
    <s v="FIM PISTA INVERSA II S SÃO VICENTE"/>
    <n v="0"/>
    <n v="10.5"/>
    <n v="10.5"/>
    <x v="2"/>
    <m/>
    <s v="070VMT2005;163VMT2005"/>
    <s v="Concessão Federal"/>
    <m/>
    <m/>
    <m/>
    <s v="Federal"/>
    <s v="PAV"/>
    <s v="Cuiabá"/>
  </r>
  <r>
    <x v="0"/>
    <s v="365BMG0010"/>
    <n v="0"/>
    <x v="319"/>
    <s v="0010"/>
    <n v="-43.883846689772803"/>
    <n v="-16.764067779704199"/>
    <n v="-43.923591230250999"/>
    <n v="-16.8261165897088"/>
    <s v="365"/>
    <s v="MG"/>
    <s v="Eixo Principal"/>
    <s v="Coinc"/>
    <s v="365BMG0010"/>
    <s v="ENTR BR-251(A) (MONTES CLAROS)"/>
    <s v="ENTR BR-251(B)"/>
    <n v="0"/>
    <n v="8.3000000000000007"/>
    <n v="8.3000000000000007"/>
    <x v="2"/>
    <m/>
    <s v="251BMG0330"/>
    <s v="Federal"/>
    <m/>
    <m/>
    <m/>
    <s v="Federal"/>
    <s v="PAV"/>
    <s v="Montes Claros"/>
  </r>
  <r>
    <x v="0"/>
    <s v="365BMG0030"/>
    <n v="0"/>
    <x v="319"/>
    <s v="0030"/>
    <n v="-43.923591230250999"/>
    <n v="-16.8261165897088"/>
    <n v="-44.161659610302699"/>
    <n v="-16.8656957700437"/>
    <s v="365"/>
    <s v="MG"/>
    <s v="Eixo Principal"/>
    <s v="-"/>
    <s v="365BMG0030"/>
    <s v="ENTR BR-251(B)"/>
    <s v="ACESSO CORAÇÃO DE JESUS"/>
    <n v="8.3000000000000007"/>
    <n v="39.4"/>
    <n v="31.1"/>
    <x v="2"/>
    <m/>
    <m/>
    <s v="Federal"/>
    <m/>
    <m/>
    <m/>
    <s v="Federal"/>
    <s v="PAV"/>
    <s v="Montes Claros"/>
  </r>
  <r>
    <x v="0"/>
    <s v="365BMG0040"/>
    <n v="0"/>
    <x v="319"/>
    <s v="0040"/>
    <n v="-44.161659610302699"/>
    <n v="-16.8656957700437"/>
    <n v="-44.256321300087897"/>
    <n v="-16.964794439611602"/>
    <s v="365"/>
    <s v="MG"/>
    <s v="Eixo Principal"/>
    <s v="-"/>
    <s v="365BMG0040"/>
    <s v="ACESSO CORAÇÃO DE JESUS"/>
    <s v="ACESSO CLARO DOS POÇÕES"/>
    <n v="39.4"/>
    <n v="54.9"/>
    <n v="15.5"/>
    <x v="2"/>
    <m/>
    <m/>
    <s v="Federal"/>
    <m/>
    <m/>
    <m/>
    <s v="Federal"/>
    <s v="PAV"/>
    <s v="Montes Claros"/>
  </r>
  <r>
    <x v="0"/>
    <s v="365BMG0045"/>
    <n v="0"/>
    <x v="319"/>
    <s v="0045"/>
    <n v="-44.256321300087897"/>
    <n v="-16.964794439611602"/>
    <n v="-44.445201650235902"/>
    <n v="-17.212932929710899"/>
    <s v="365"/>
    <s v="MG"/>
    <s v="Eixo Principal"/>
    <s v="-"/>
    <s v="365BMG0045"/>
    <s v="ACESSO CLARO DOS POÇÕES"/>
    <s v="ENTR MG-208 (JEQUITAÍ)"/>
    <n v="54.9"/>
    <n v="92.8"/>
    <n v="37.9"/>
    <x v="2"/>
    <m/>
    <m/>
    <s v="Federal"/>
    <m/>
    <m/>
    <m/>
    <s v="Federal"/>
    <s v="PAV"/>
    <s v="Montes Claros"/>
  </r>
  <r>
    <x v="0"/>
    <s v="365BMG0050"/>
    <n v="0"/>
    <x v="319"/>
    <s v="0050"/>
    <n v="-44.445201650235902"/>
    <n v="-17.212932929710899"/>
    <n v="-44.814839490350103"/>
    <n v="-17.202489719724699"/>
    <s v="365"/>
    <s v="MG"/>
    <s v="Eixo Principal"/>
    <s v="-"/>
    <s v="365BMG0050"/>
    <s v="ENTR MG-208 (JEQUITAÍ)"/>
    <s v="GUAICUÍ"/>
    <n v="92.8"/>
    <n v="140"/>
    <n v="47.2"/>
    <x v="2"/>
    <m/>
    <m/>
    <s v="Federal"/>
    <m/>
    <m/>
    <m/>
    <s v="Federal"/>
    <s v="PAV"/>
    <s v="Montes Claros"/>
  </r>
  <r>
    <x v="0"/>
    <s v="365BMG0063"/>
    <n v="0"/>
    <x v="319"/>
    <s v="0063"/>
    <n v="-44.814839490350103"/>
    <n v="-17.202489719724699"/>
    <n v="-44.907223350277299"/>
    <n v="-17.348134569854398"/>
    <s v="365"/>
    <s v="MG"/>
    <s v="Eixo Principal"/>
    <s v="-"/>
    <s v="365BMG0063"/>
    <s v="GUAICUÍ"/>
    <s v="ENTR BR-496 (PIRAPORA)"/>
    <n v="140"/>
    <n v="160.19999999999999"/>
    <n v="20.2"/>
    <x v="2"/>
    <m/>
    <m/>
    <s v="Federal"/>
    <m/>
    <m/>
    <m/>
    <s v="Federal"/>
    <s v="PAV"/>
    <s v="Montes Claros"/>
  </r>
  <r>
    <x v="0"/>
    <s v="365BMG0070"/>
    <n v="0"/>
    <x v="319"/>
    <s v="0070"/>
    <n v="-44.907223350277299"/>
    <n v="-17.348134569854398"/>
    <n v="-45.098760580136599"/>
    <n v="-17.412994079613"/>
    <s v="365"/>
    <s v="MG"/>
    <s v="Eixo Principal"/>
    <s v="-"/>
    <s v="365BMG0070"/>
    <s v="ENTR BR-496 (PIRAPORA)"/>
    <s v="ENTR MG-161"/>
    <n v="160.19999999999999"/>
    <n v="183.3"/>
    <n v="23.1"/>
    <x v="2"/>
    <m/>
    <m/>
    <s v="Federal"/>
    <m/>
    <m/>
    <m/>
    <s v="Federal"/>
    <s v="PAV"/>
    <s v="Patos de Minas"/>
  </r>
  <r>
    <x v="0"/>
    <s v="365BMG0090"/>
    <n v="0"/>
    <x v="319"/>
    <s v="0090"/>
    <n v="-45.098760580136599"/>
    <n v="-17.412994079613"/>
    <n v="-45.2947141296533"/>
    <n v="-17.536388589861399"/>
    <s v="365"/>
    <s v="MG"/>
    <s v="Eixo Principal"/>
    <s v="-"/>
    <s v="365BMG0090"/>
    <s v="ENTR MG-161"/>
    <s v="ENTR MG-408"/>
    <n v="183.3"/>
    <n v="210.3"/>
    <n v="27"/>
    <x v="2"/>
    <m/>
    <m/>
    <s v="Federal"/>
    <m/>
    <m/>
    <m/>
    <s v="Federal"/>
    <s v="PAV"/>
    <s v="Patos de Minas"/>
  </r>
  <r>
    <x v="0"/>
    <s v="365BMG0110"/>
    <n v="0"/>
    <x v="319"/>
    <s v="0110"/>
    <n v="-45.2947141296533"/>
    <n v="-17.536388589861399"/>
    <n v="-45.561000800146701"/>
    <n v="-17.8945413697883"/>
    <s v="365"/>
    <s v="MG"/>
    <s v="Eixo Principal"/>
    <s v="-"/>
    <s v="365BMG0110"/>
    <s v="ENTR MG-408"/>
    <s v="ACESSO MALHADA BONITA"/>
    <n v="210.3"/>
    <n v="265.7"/>
    <n v="55.4"/>
    <x v="2"/>
    <m/>
    <m/>
    <s v="Federal"/>
    <m/>
    <m/>
    <m/>
    <s v="Federal"/>
    <s v="PAV"/>
    <s v="Patos de Minas"/>
  </r>
  <r>
    <x v="0"/>
    <s v="365BMG0125"/>
    <n v="0"/>
    <x v="319"/>
    <s v="0125"/>
    <n v="-45.561000800146701"/>
    <n v="-17.8945413697883"/>
    <n v="-45.612283510275702"/>
    <n v="-17.983900850144"/>
    <s v="365"/>
    <s v="MG"/>
    <s v="Eixo Principal"/>
    <s v="-"/>
    <s v="365BMG0125"/>
    <s v="ACESSO MALHADA BONITA"/>
    <s v="ENTR BR-040 (P/CANOEIROS)"/>
    <n v="265.7"/>
    <n v="278"/>
    <n v="12.3"/>
    <x v="2"/>
    <m/>
    <m/>
    <s v="Federal"/>
    <m/>
    <m/>
    <m/>
    <s v="Federal"/>
    <s v="PAV"/>
    <s v="Patos de Minas"/>
  </r>
  <r>
    <x v="0"/>
    <s v="365BMG0130"/>
    <n v="0"/>
    <x v="319"/>
    <s v="0130"/>
    <n v="-45.612283510275702"/>
    <n v="-17.983900850144"/>
    <n v="-45.897873810128203"/>
    <n v="-18.277542479901399"/>
    <s v="365"/>
    <s v="MG"/>
    <s v="Eixo Principal"/>
    <s v="-"/>
    <s v="365BMG0130"/>
    <s v="ENTR BR-040 (P/CANOEIROS)"/>
    <s v="ENTR MG-060 (P/SÃO GONÇALO DO ABAETÉ)"/>
    <n v="278"/>
    <n v="324.2"/>
    <n v="46.2"/>
    <x v="2"/>
    <m/>
    <m/>
    <s v="Federal"/>
    <m/>
    <m/>
    <m/>
    <s v="Federal"/>
    <s v="PAV"/>
    <s v="Patos de Minas"/>
  </r>
  <r>
    <x v="0"/>
    <s v="365BMG0150"/>
    <n v="0"/>
    <x v="319"/>
    <s v="0150"/>
    <n v="-45.897873810128203"/>
    <n v="-18.277542479901399"/>
    <n v="-46.005245190313197"/>
    <n v="-18.3215388702226"/>
    <s v="365"/>
    <s v="MG"/>
    <s v="Eixo Principal"/>
    <s v="-"/>
    <s v="365BMG0150"/>
    <s v="ENTR MG-060 (P/SÃO GONÇALO DO ABAETÉ)"/>
    <s v="ACESSO GALENA"/>
    <n v="324.2"/>
    <n v="336.7"/>
    <n v="12.5"/>
    <x v="2"/>
    <m/>
    <m/>
    <s v="Federal"/>
    <m/>
    <m/>
    <m/>
    <s v="Federal"/>
    <s v="PAV"/>
    <s v="Patos de Minas"/>
  </r>
  <r>
    <x v="0"/>
    <s v="365BMG0155"/>
    <n v="0"/>
    <x v="319"/>
    <s v="0155"/>
    <n v="-46.005245190313197"/>
    <n v="-18.3215388702226"/>
    <n v="-46.470292289757303"/>
    <n v="-18.633050160336602"/>
    <s v="365"/>
    <s v="MG"/>
    <s v="Eixo Principal"/>
    <s v="-"/>
    <s v="365BMG0155"/>
    <s v="ACESSO GALENA"/>
    <s v="ENTR BR-354(A) (P/PRESIDENTE OLEGÁRIO)"/>
    <n v="336.7"/>
    <n v="403.6"/>
    <n v="66.900000000000006"/>
    <x v="2"/>
    <m/>
    <m/>
    <s v="Federal"/>
    <m/>
    <m/>
    <m/>
    <s v="Federal"/>
    <s v="PAV"/>
    <s v="Patos de Minas"/>
  </r>
  <r>
    <x v="0"/>
    <s v="365BMG0160"/>
    <n v="0"/>
    <x v="319"/>
    <s v="0160"/>
    <n v="-46.470292289757303"/>
    <n v="-18.633050160336602"/>
    <n v="-46.487401309822502"/>
    <n v="-18.638191060169198"/>
    <s v="365"/>
    <s v="MG"/>
    <s v="Eixo Principal"/>
    <s v="Coinc"/>
    <s v="365BMG0160"/>
    <s v="ENTR BR-354(A) (P/PRESIDENTE OLEGÁRIO)"/>
    <s v="ENTR BR-146(A)/352(A)/354(B) (P/PATOS DE MINAS)"/>
    <n v="403.6"/>
    <n v="405.6"/>
    <n v="2"/>
    <x v="2"/>
    <m/>
    <s v="354BMG0110"/>
    <s v="Federal"/>
    <m/>
    <m/>
    <m/>
    <s v="Federal"/>
    <s v="PAV"/>
    <s v="Patos de Minas"/>
  </r>
  <r>
    <x v="0"/>
    <s v="365BMG0170"/>
    <n v="0"/>
    <x v="319"/>
    <s v="0170"/>
    <n v="-46.487401309822502"/>
    <n v="-18.638191060169198"/>
    <n v="-46.588334930012898"/>
    <n v="-18.6916481799195"/>
    <s v="365"/>
    <s v="MG"/>
    <s v="Eixo Principal"/>
    <s v="Coinc"/>
    <s v="365BMG0170"/>
    <s v="ENTR BR-146(A)/352(A)/354(B) (P/PATOS DE MINAS)"/>
    <s v="ENTR BR-352(B) (P/COROMANDEL)"/>
    <n v="405.6"/>
    <n v="418.3"/>
    <n v="12.7"/>
    <x v="2"/>
    <m/>
    <s v="352BMG0190;146BMG0030"/>
    <s v="Federal"/>
    <m/>
    <m/>
    <m/>
    <s v="Federal"/>
    <s v="PAV"/>
    <s v="Patos de Minas"/>
  </r>
  <r>
    <x v="0"/>
    <s v="365BMG0175"/>
    <n v="0"/>
    <x v="319"/>
    <s v="0175"/>
    <n v="-46.588334930012898"/>
    <n v="-18.6916481799195"/>
    <n v="-46.663875579794102"/>
    <n v="-18.7591164799415"/>
    <s v="365"/>
    <s v="MG"/>
    <s v="Eixo Principal"/>
    <s v="Coinc"/>
    <s v="365BMG0175"/>
    <s v="ENTR BR-352(B) (P/COROMANDEL)"/>
    <s v="ENTR BR-146(B) (P/CRUZEIRO DA FORTALEZA)"/>
    <n v="418.3"/>
    <n v="429.9"/>
    <n v="11.6"/>
    <x v="2"/>
    <m/>
    <s v="146BMG0035"/>
    <s v="Federal"/>
    <m/>
    <m/>
    <m/>
    <s v="Federal"/>
    <s v="PAV"/>
    <s v="Patos de Minas"/>
  </r>
  <r>
    <x v="0"/>
    <s v="365BMG0190"/>
    <n v="0"/>
    <x v="319"/>
    <s v="0190"/>
    <n v="-46.663875579794102"/>
    <n v="-18.7591164799415"/>
    <n v="-46.798392729740598"/>
    <n v="-18.827833190049599"/>
    <s v="365"/>
    <s v="MG"/>
    <s v="Eixo Principal"/>
    <s v="-"/>
    <s v="365BMG0190"/>
    <s v="ENTR BR-146(B) (P/CRUZEIRO DA FORTALEZA)"/>
    <s v="ACESSO GUIMARÂNIA"/>
    <n v="429.9"/>
    <n v="447.1"/>
    <n v="17.2"/>
    <x v="2"/>
    <m/>
    <m/>
    <s v="Federal"/>
    <m/>
    <m/>
    <m/>
    <s v="Federal"/>
    <s v="PAV"/>
    <s v="Uberlândia"/>
  </r>
  <r>
    <x v="0"/>
    <s v="365BMG0205"/>
    <n v="0"/>
    <x v="319"/>
    <s v="0205"/>
    <n v="-46.798392729740598"/>
    <n v="-18.827833190049599"/>
    <n v="-46.901807250304302"/>
    <n v="-18.8701026698023"/>
    <s v="365"/>
    <s v="MG"/>
    <s v="Eixo Principal"/>
    <s v="-"/>
    <s v="365BMG0205"/>
    <s v="ACESSO GUIMARÂNIA"/>
    <s v="ENTR MG-188"/>
    <n v="447.1"/>
    <n v="459.1"/>
    <n v="12"/>
    <x v="2"/>
    <m/>
    <m/>
    <s v="Federal"/>
    <m/>
    <m/>
    <m/>
    <s v="Federal"/>
    <s v="PAV"/>
    <s v="Uberlândia"/>
  </r>
  <r>
    <x v="0"/>
    <s v="365BMG0210"/>
    <n v="0"/>
    <x v="319"/>
    <s v="0210"/>
    <n v="-46.901807250304302"/>
    <n v="-18.8701026698023"/>
    <n v="-46.980760169845801"/>
    <n v="-18.9196256602959"/>
    <s v="365"/>
    <s v="MG"/>
    <s v="Eixo Principal"/>
    <s v="-"/>
    <s v="365BMG0210"/>
    <s v="ENTR MG-188"/>
    <s v="ENTR MG-230 (PATROCÍNIO)"/>
    <n v="459.1"/>
    <n v="469.1"/>
    <n v="10"/>
    <x v="2"/>
    <m/>
    <m/>
    <s v="Federal"/>
    <m/>
    <m/>
    <m/>
    <s v="Federal"/>
    <s v="PAV"/>
    <s v="Uberlândia"/>
  </r>
  <r>
    <x v="0"/>
    <s v="365BMG0215"/>
    <n v="0"/>
    <x v="319"/>
    <s v="0215"/>
    <n v="-46.980760169845801"/>
    <n v="-18.9196256602959"/>
    <n v="-47.027902600024902"/>
    <n v="-18.9204354197587"/>
    <s v="365"/>
    <s v="MG"/>
    <s v="Eixo Principal"/>
    <s v="-"/>
    <s v="365BMG0215"/>
    <s v="ENTR MG-230 (PATROCÍNIO)"/>
    <s v="ENTR BR-462 (PATROCÍNIO)"/>
    <n v="469.1"/>
    <n v="474.6"/>
    <n v="5.5"/>
    <x v="2"/>
    <m/>
    <m/>
    <s v="Federal"/>
    <m/>
    <m/>
    <m/>
    <s v="Federal"/>
    <s v="PAV"/>
    <s v="Uberlândia"/>
  </r>
  <r>
    <x v="0"/>
    <s v="365BMG0230"/>
    <n v="0"/>
    <x v="319"/>
    <s v="0230"/>
    <n v="-47.027902600024902"/>
    <n v="-18.9204354197587"/>
    <n v="-47.4189433803326"/>
    <n v="-18.913800590424799"/>
    <s v="365"/>
    <s v="MG"/>
    <s v="Eixo Principal"/>
    <s v="-"/>
    <s v="365BMG0230"/>
    <s v="ENTR BR-462 (PATROCÍNIO)"/>
    <s v="ENTR MG-223/ACESSO IRAÍ DE MINAS "/>
    <n v="474.6"/>
    <n v="521.6"/>
    <n v="47"/>
    <x v="2"/>
    <m/>
    <m/>
    <s v="Federal"/>
    <m/>
    <m/>
    <m/>
    <s v="Federal"/>
    <s v="PAV"/>
    <s v="Uberlândia"/>
  </r>
  <r>
    <x v="0"/>
    <s v="365BMG0243"/>
    <n v="0"/>
    <x v="319"/>
    <s v="0243"/>
    <n v="-47.4189433803326"/>
    <n v="-18.913800590424799"/>
    <n v="-47.583383789630098"/>
    <n v="-18.933196119704998"/>
    <s v="365"/>
    <s v="MG"/>
    <s v="Eixo Principal"/>
    <s v="-"/>
    <s v="365BMG0243"/>
    <s v="ENTR MG-223/ACESSO IRAÍ DE MINAS"/>
    <s v="ENTR MG-190 (RIO BAGAGEM)"/>
    <n v="521.6"/>
    <n v="539.4"/>
    <n v="17.8"/>
    <x v="2"/>
    <m/>
    <m/>
    <s v="Federal"/>
    <m/>
    <m/>
    <m/>
    <s v="Federal"/>
    <s v="PAV"/>
    <s v="Uberlândia"/>
  </r>
  <r>
    <x v="0"/>
    <s v="365BMG0250"/>
    <n v="0"/>
    <x v="319"/>
    <s v="0250"/>
    <n v="-47.583383789630098"/>
    <n v="-18.933196119704998"/>
    <n v="-47.908858530296797"/>
    <n v="-18.903890910436999"/>
    <s v="365"/>
    <s v="MG"/>
    <s v="Eixo Principal"/>
    <s v="-"/>
    <s v="365BMG0250"/>
    <s v="ENTR MG-190 (RIO BAGAGEM)"/>
    <s v="ACESSO INDIANÓPOLIS"/>
    <n v="539.4"/>
    <n v="574.20000000000005"/>
    <n v="34.799999999999997"/>
    <x v="2"/>
    <m/>
    <m/>
    <s v="Federal"/>
    <m/>
    <m/>
    <m/>
    <s v="Federal"/>
    <s v="PAV"/>
    <s v="Uberlândia"/>
  </r>
  <r>
    <x v="0"/>
    <s v="365BMG0255"/>
    <n v="0"/>
    <x v="319"/>
    <s v="0255"/>
    <n v="-47.908858530296797"/>
    <n v="-18.903890910436999"/>
    <n v="-48.172408499952198"/>
    <n v="-18.912431949974401"/>
    <s v="365"/>
    <s v="MG"/>
    <s v="Eixo Principal"/>
    <s v="-"/>
    <s v="365BMG0255"/>
    <s v="ACESSO INDIANÓPOLIS"/>
    <s v="ENTR CONTORNO NORTE DE UBERLÂNDIA (I)"/>
    <n v="574.20000000000005"/>
    <n v="605.5"/>
    <n v="31.3"/>
    <x v="2"/>
    <m/>
    <m/>
    <s v="Federal"/>
    <m/>
    <m/>
    <m/>
    <s v="Federal"/>
    <s v="PAV"/>
    <s v="Uberlândia"/>
  </r>
  <r>
    <x v="0"/>
    <s v="365BMG0260"/>
    <n v="0"/>
    <x v="319"/>
    <s v="0260"/>
    <n v="-48.172408499952198"/>
    <n v="-18.912431949974401"/>
    <n v="-48.192451759640903"/>
    <n v="-18.9287047696093"/>
    <s v="365"/>
    <s v="MG"/>
    <s v="Eixo Principal"/>
    <s v="Coinc"/>
    <s v="365BMG0260"/>
    <s v="ENTR CONTORNO NORTE DE UBERLÂNDIA (I)"/>
    <s v="ENTR BR-452(A)"/>
    <n v="605.5"/>
    <n v="608.29999999999995"/>
    <n v="2.8"/>
    <x v="0"/>
    <m/>
    <s v="050NMG1010"/>
    <s v="Concessão Federal"/>
    <m/>
    <m/>
    <m/>
    <s v="Federal"/>
    <s v="PAV"/>
    <s v="Uberlândia"/>
  </r>
  <r>
    <x v="0"/>
    <s v="365BMG0270"/>
    <n v="0"/>
    <x v="319"/>
    <s v="0270"/>
    <n v="-48.192451759640903"/>
    <n v="-18.9287047696093"/>
    <n v="-48.22402913034"/>
    <n v="-18.909865769589501"/>
    <s v="365"/>
    <s v="MG"/>
    <s v="Eixo Principal"/>
    <s v="-"/>
    <s v="365BMG0270"/>
    <s v="ENTR BR-452(A)"/>
    <s v="ENTR BR-050(A)/455/497 (UBERLÂNDIA)"/>
    <n v="608.29999999999995"/>
    <n v="612.20000000000005"/>
    <n v="3.9"/>
    <x v="2"/>
    <m/>
    <s v="452BMG0190"/>
    <s v="Federal"/>
    <m/>
    <m/>
    <m/>
    <s v="Federal"/>
    <s v="PAV"/>
    <s v="Uberlândia"/>
  </r>
  <r>
    <x v="0"/>
    <s v="365BMG0290"/>
    <n v="0"/>
    <x v="319"/>
    <s v="0290"/>
    <n v="-48.22402913034"/>
    <n v="-18.909865769589501"/>
    <n v="-48.265762470261699"/>
    <n v="-18.884343759956401"/>
    <s v="365"/>
    <s v="MG"/>
    <s v="Eixo Principal"/>
    <s v="Coinc"/>
    <s v="365BMG0290"/>
    <s v="ENTR BR-050(A)/455/497 (UBERLÂNDIA)"/>
    <s v="ENTR BR-050(B)(UBERLÂNDIA)"/>
    <n v="612.20000000000005"/>
    <n v="617.29999999999995"/>
    <n v="5.0999999999999996"/>
    <x v="0"/>
    <m/>
    <s v="452BMG0180;050BMG0240;497BMG0010"/>
    <s v="Federal"/>
    <m/>
    <m/>
    <m/>
    <s v="Federal"/>
    <s v="PAV"/>
    <s v="Uberlândia"/>
  </r>
  <r>
    <x v="0"/>
    <s v="365BMG0310"/>
    <n v="0"/>
    <x v="319"/>
    <s v="0310"/>
    <n v="-48.265762470261699"/>
    <n v="-18.884343759956401"/>
    <n v="-48.330909590405199"/>
    <n v="-18.906439629585101"/>
    <s v="365"/>
    <s v="MG"/>
    <s v="Eixo Principal"/>
    <s v="-"/>
    <s v="365BMG0310"/>
    <s v="ENTR BR-050(B) (UBERLÂNDIA)"/>
    <s v="ENTR CONTORNO NORTE DE UBERLÂNDIA (II)"/>
    <n v="617.29999999999995"/>
    <n v="625.79999999999995"/>
    <n v="8.5"/>
    <x v="0"/>
    <m/>
    <s v="497BMG0012;452BMG0155"/>
    <s v="Federal"/>
    <m/>
    <m/>
    <m/>
    <s v="Federal"/>
    <s v="PAV"/>
    <s v="Uberlândia"/>
  </r>
  <r>
    <x v="0"/>
    <s v="365BMG0315"/>
    <n v="0"/>
    <x v="319"/>
    <s v="0315"/>
    <n v="-48.330909590405199"/>
    <n v="-18.906439629585101"/>
    <n v="-48.587802479700599"/>
    <n v="-18.864561200239098"/>
    <s v="365"/>
    <s v="MG"/>
    <s v="Eixo Principal"/>
    <s v="-"/>
    <s v="365BMG0315"/>
    <s v="ENTR CONTORNO NORTE DE UBERLÂNDIA (II)"/>
    <s v="ENTR BR-452(B)"/>
    <n v="625.79999999999995"/>
    <n v="653.29999999999995"/>
    <n v="27.5"/>
    <x v="0"/>
    <m/>
    <s v="452BMG0150"/>
    <s v="Federal"/>
    <m/>
    <m/>
    <m/>
    <s v="Federal"/>
    <s v="PAV"/>
    <s v="Uberlândia"/>
  </r>
  <r>
    <x v="0"/>
    <s v="365BMG0330"/>
    <n v="0"/>
    <x v="319"/>
    <s v="0330"/>
    <n v="-48.587802479700599"/>
    <n v="-18.864561200239098"/>
    <n v="-48.864955859924898"/>
    <n v="-18.8632176697595"/>
    <s v="365"/>
    <s v="MG"/>
    <s v="Eixo Principal"/>
    <s v="-"/>
    <s v="365BMG0330"/>
    <s v="ENTR BR-452(B)"/>
    <s v="ACESSO MONTE ALEGRE DE MINAS"/>
    <n v="653.29999999999995"/>
    <n v="685.5"/>
    <n v="32.200000000000003"/>
    <x v="0"/>
    <m/>
    <m/>
    <s v="Federal"/>
    <m/>
    <m/>
    <m/>
    <s v="Federal"/>
    <s v="PAV"/>
    <s v="Uberlândia"/>
  </r>
  <r>
    <x v="0"/>
    <s v="365BMG0350"/>
    <n v="0"/>
    <x v="319"/>
    <s v="0350"/>
    <n v="-48.864955859924898"/>
    <n v="-18.8632176697595"/>
    <n v="-49.056638100068099"/>
    <n v="-18.878384620054099"/>
    <s v="365"/>
    <s v="MG"/>
    <s v="Eixo Principal"/>
    <s v="-"/>
    <s v="365BMG0350"/>
    <s v="ACESSO MONTE ALEGRE DE MINAS"/>
    <s v="ENTR BR-153 (TREVÃO)"/>
    <n v="685.5"/>
    <n v="706.4"/>
    <n v="20.9"/>
    <x v="2"/>
    <s v="EOD"/>
    <m/>
    <s v="Federal"/>
    <m/>
    <m/>
    <m/>
    <s v="Federal"/>
    <s v="PAV"/>
    <s v="Uberlândia"/>
  </r>
  <r>
    <x v="0"/>
    <s v="365BMG0370"/>
    <n v="0"/>
    <x v="319"/>
    <s v="0370"/>
    <n v="-49.056638100068099"/>
    <n v="-18.878384620054099"/>
    <n v="-49.446804039674603"/>
    <n v="-18.9405320703986"/>
    <s v="365"/>
    <s v="MG"/>
    <s v="Eixo Principal"/>
    <s v="-"/>
    <s v="365BMG0370"/>
    <s v="ENTR BR-153 (TREVÃO)"/>
    <s v="ENTR BR-154(A)"/>
    <n v="706.4"/>
    <n v="749.1"/>
    <n v="42.7"/>
    <x v="2"/>
    <m/>
    <m/>
    <s v="Federal"/>
    <m/>
    <m/>
    <m/>
    <s v="Federal"/>
    <s v="PAV"/>
    <s v="Prata"/>
  </r>
  <r>
    <x v="0"/>
    <s v="365BMG0390"/>
    <n v="0"/>
    <x v="319"/>
    <s v="0390"/>
    <n v="-49.446804039674603"/>
    <n v="-18.9405320703986"/>
    <n v="-49.459182339793102"/>
    <n v="-18.947426689589999"/>
    <s v="365"/>
    <s v="MG"/>
    <s v="Eixo Principal"/>
    <s v="Coinc"/>
    <s v="365BMG0390"/>
    <s v="ENTR BR-154(A)"/>
    <s v="ENTR BR-154(B)/464 (ITUIUTABA)"/>
    <n v="749.1"/>
    <n v="754.8"/>
    <n v="5.7"/>
    <x v="2"/>
    <m/>
    <s v="154BMG0090"/>
    <s v="Federal"/>
    <m/>
    <m/>
    <m/>
    <s v="Federal"/>
    <s v="PAV"/>
    <s v="Prata"/>
  </r>
  <r>
    <x v="0"/>
    <s v="365BMG0410"/>
    <n v="0"/>
    <x v="319"/>
    <s v="0410"/>
    <n v="-49.459182339793102"/>
    <n v="-18.947426689589999"/>
    <n v="-49.8234821801584"/>
    <n v="-18.9366411400765"/>
    <s v="365"/>
    <s v="MG"/>
    <s v="Eixo Principal"/>
    <s v="-"/>
    <s v="365BMG0410"/>
    <s v="ENTR BR-154(B)/464 (ITUIUTABA)"/>
    <s v="ENTR MG-461 (P/ GURINHATÃ)"/>
    <n v="754.8"/>
    <n v="790.7"/>
    <n v="35.9"/>
    <x v="2"/>
    <m/>
    <m/>
    <s v="Federal"/>
    <m/>
    <m/>
    <m/>
    <s v="Federal"/>
    <s v="PAV"/>
    <s v="Prata"/>
  </r>
  <r>
    <x v="0"/>
    <s v="365BMG0415"/>
    <n v="0"/>
    <x v="319"/>
    <s v="0415"/>
    <n v="-49.8234821801584"/>
    <n v="-18.9366411400765"/>
    <n v="-50.121892580178297"/>
    <n v="-18.8759364298223"/>
    <s v="365"/>
    <s v="MG"/>
    <s v="Eixo Principal"/>
    <s v="-"/>
    <s v="365BMG0415"/>
    <s v="ENTR MG-461 (P/ GURINHATÃ)"/>
    <s v="ACESSO P/SANTA VITÓRIA"/>
    <n v="790.7"/>
    <n v="823"/>
    <n v="32.299999999999997"/>
    <x v="2"/>
    <m/>
    <m/>
    <s v="Federal"/>
    <m/>
    <m/>
    <m/>
    <s v="Federal"/>
    <s v="PAV"/>
    <s v="Prata"/>
  </r>
  <r>
    <x v="0"/>
    <s v="365BMG0420"/>
    <n v="0"/>
    <x v="319"/>
    <s v="0420"/>
    <n v="-50.121892580178297"/>
    <n v="-18.8759364298223"/>
    <n v="-50.411395100003801"/>
    <n v="-19.040683450380801"/>
    <s v="365"/>
    <s v="MG"/>
    <s v="Eixo Principal"/>
    <s v="-"/>
    <s v="365BMG0420"/>
    <s v="ACESSO P/SANTA VITÓRIA"/>
    <s v="ENTR BR-364(A)/461"/>
    <n v="823"/>
    <n v="860.4"/>
    <n v="37.4"/>
    <x v="2"/>
    <m/>
    <m/>
    <s v="Federal"/>
    <m/>
    <m/>
    <m/>
    <s v="Federal"/>
    <s v="PAV"/>
    <s v="Prata"/>
  </r>
  <r>
    <x v="0"/>
    <s v="365BMG0430"/>
    <n v="0"/>
    <x v="319"/>
    <s v="0430"/>
    <n v="-50.411395100003801"/>
    <n v="-19.040683450380801"/>
    <n v="-50.500564700200599"/>
    <n v="-19.044229630093199"/>
    <s v="365"/>
    <s v="MG"/>
    <s v="Eixo Principal"/>
    <s v="Coinc"/>
    <s v="365BMG0430"/>
    <s v="ENTR BR-364(A)/461"/>
    <s v="ENTR BR-364(B) (INÍCIO PONTE S/RIO PARNAÍBA) (DIV MG/GO)"/>
    <n v="860.4"/>
    <n v="869.9"/>
    <n v="9.5"/>
    <x v="2"/>
    <m/>
    <s v="364BMG0370"/>
    <s v="Federal"/>
    <m/>
    <m/>
    <m/>
    <s v="Federal"/>
    <s v="PAV"/>
    <s v="Prata"/>
  </r>
  <r>
    <x v="0"/>
    <s v="367BBA0010"/>
    <n v="0"/>
    <x v="320"/>
    <s v="0010"/>
    <n v="-39.023687099679798"/>
    <n v="-16.283408599727"/>
    <n v="-39.061909149987201"/>
    <n v="-16.441927729680899"/>
    <s v="367"/>
    <s v="BA"/>
    <s v="Eixo Principal"/>
    <s v="-"/>
    <s v="367BBA0010"/>
    <s v="ENTR BA-001/PONTE S/RIO YAYA (SANTA CRUZ DE CABRÁLIA)"/>
    <s v="TREVO DO CABRAL (PORTO SEGURO)"/>
    <n v="0"/>
    <n v="21.6"/>
    <n v="21.6"/>
    <x v="2"/>
    <m/>
    <m/>
    <m/>
    <s v="MP082/2003"/>
    <m/>
    <m/>
    <m/>
    <s v="PAV"/>
    <s v="Eunápolis"/>
  </r>
  <r>
    <x v="0"/>
    <s v="367BBA0020"/>
    <n v="0"/>
    <x v="320"/>
    <s v="0020"/>
    <n v="-39.061909149987201"/>
    <n v="-16.441927729680899"/>
    <n v="-39.291815769681897"/>
    <n v="-16.375682219858501"/>
    <s v="367"/>
    <s v="BA"/>
    <s v="Eixo Principal"/>
    <s v="-"/>
    <s v="367BBA0020"/>
    <s v="TREVO DO CABRAL (PORTO SEGURO)"/>
    <s v="ENTR BA-001(B) (P/TRANCOSO)"/>
    <n v="21.6"/>
    <n v="49.2"/>
    <n v="27.6"/>
    <x v="2"/>
    <m/>
    <m/>
    <m/>
    <s v="MP082/2003"/>
    <m/>
    <m/>
    <m/>
    <s v="PAV"/>
    <s v="Eunápolis"/>
  </r>
  <r>
    <x v="0"/>
    <s v="367BBA0025"/>
    <n v="0"/>
    <x v="320"/>
    <s v="0025"/>
    <n v="-39.291815769681897"/>
    <n v="-16.375682219858501"/>
    <n v="-39.5810561299364"/>
    <n v="-16.374995400417301"/>
    <s v="367"/>
    <s v="BA"/>
    <s v="Eixo Principal"/>
    <s v="-"/>
    <s v="367BBA0025"/>
    <s v="ENTR BA-001(B) (P/TRANCOSO)"/>
    <s v="ENTR BR-101(A) (EUNÁPOLIS) (P/ PORTO SEGURO)"/>
    <n v="49.2"/>
    <n v="84.2"/>
    <n v="35"/>
    <x v="2"/>
    <m/>
    <m/>
    <m/>
    <s v="MP082/2003"/>
    <m/>
    <m/>
    <m/>
    <s v="PAV"/>
    <s v="Eunápolis"/>
  </r>
  <r>
    <x v="0"/>
    <s v="367BBA0030"/>
    <n v="0"/>
    <x v="320"/>
    <s v="0030"/>
    <n v="-39.5810561299364"/>
    <n v="-16.374995400417301"/>
    <n v="-39.585529820045103"/>
    <n v="-16.263401320114699"/>
    <s v="367"/>
    <s v="BA"/>
    <s v="Eixo Principal"/>
    <s v="Coinc"/>
    <s v="367BBA0030"/>
    <s v="ENTR BR-101(A) (EUNÁPOLIS) (P/ PORTO SEGURO)"/>
    <s v="ENTR BA-985 (MUNDO NOVO)"/>
    <n v="84.2"/>
    <n v="99.1"/>
    <n v="14.9"/>
    <x v="2"/>
    <m/>
    <s v="101BBA1914"/>
    <s v="Federal"/>
    <m/>
    <m/>
    <m/>
    <s v="Federal"/>
    <s v="PAV"/>
    <s v="Eunápolis"/>
  </r>
  <r>
    <x v="0"/>
    <s v="367BBA0040"/>
    <n v="0"/>
    <x v="320"/>
    <s v="0040"/>
    <n v="-39.585529820045103"/>
    <n v="-16.263401320114699"/>
    <n v="-39.620529469959003"/>
    <n v="-16.080109320288798"/>
    <s v="367"/>
    <s v="BA"/>
    <s v="Eixo Principal"/>
    <s v="Coinc"/>
    <s v="367BBA0040"/>
    <s v="ENTR BA-985 (MUNDO NOVO)"/>
    <s v="ENTR BR-101(B)/BA-275(A) (ITAGIMIRIM)"/>
    <n v="99.1"/>
    <n v="122"/>
    <n v="22.9"/>
    <x v="2"/>
    <m/>
    <s v="101BBA1912"/>
    <s v="Federal"/>
    <m/>
    <m/>
    <m/>
    <s v="Federal"/>
    <s v="PAV"/>
    <s v="Eunápolis"/>
  </r>
  <r>
    <x v="0"/>
    <s v="367BBA0050"/>
    <n v="0"/>
    <x v="320"/>
    <s v="0050"/>
    <n v="-39.620529469959003"/>
    <n v="-16.080109320288798"/>
    <n v="-39.943118559573797"/>
    <n v="-16.002193739949099"/>
    <s v="367"/>
    <s v="BA"/>
    <s v="Eixo Principal"/>
    <s v="-"/>
    <s v="367BBA0050"/>
    <s v="ENTR BR-101(B)/BA-275(A) (ITAGIMIRIM)"/>
    <s v="ENTR BA-275(B) (DIV BA/MG) (P/SALTO DA DIVISA)"/>
    <n v="122"/>
    <n v="164"/>
    <n v="42"/>
    <x v="2"/>
    <m/>
    <m/>
    <s v="Federal"/>
    <m/>
    <m/>
    <m/>
    <s v="Federal"/>
    <s v="PAV"/>
    <s v="Eunápolis"/>
  </r>
  <r>
    <x v="0"/>
    <s v="367BMG0070"/>
    <n v="0"/>
    <x v="321"/>
    <s v="0070"/>
    <n v="-39.943118559573797"/>
    <n v="-16.002193739949099"/>
    <n v="-40.294229229695098"/>
    <n v="-16.150520649908"/>
    <s v="367"/>
    <s v="MG"/>
    <s v="Eixo Principal"/>
    <s v="-"/>
    <s v="367BMG0070"/>
    <s v="DIV BA/MG (SALTO DA DIVISA)"/>
    <s v="ENTR MG-405 (JACINTO)"/>
    <n v="0"/>
    <n v="51.6"/>
    <n v="51.6"/>
    <x v="5"/>
    <m/>
    <m/>
    <s v="Federal"/>
    <m/>
    <m/>
    <m/>
    <s v="Federal"/>
    <s v="N_PAV"/>
    <s v="Teófilo Otoni"/>
  </r>
  <r>
    <x v="0"/>
    <s v="367BMG0080"/>
    <n v="0"/>
    <x v="321"/>
    <s v="0080"/>
    <n v="-40.294229229695098"/>
    <n v="-16.150520649908"/>
    <n v="-40.382640529636703"/>
    <n v="-16.124116300127099"/>
    <s v="367"/>
    <s v="MG"/>
    <s v="Eixo Principal"/>
    <s v="-"/>
    <s v="367BMG0080"/>
    <s v="ENTR MG-405 (JACINTO)"/>
    <s v="INÍCIO DA PAVIMENTAÇÃO"/>
    <n v="51.6"/>
    <n v="64.3"/>
    <n v="12.7"/>
    <x v="5"/>
    <m/>
    <m/>
    <s v="Federal"/>
    <m/>
    <m/>
    <m/>
    <s v="Federal"/>
    <s v="N_PAV"/>
    <s v="Teófilo Otoni"/>
  </r>
  <r>
    <x v="0"/>
    <s v="367BMG0090"/>
    <n v="0"/>
    <x v="321"/>
    <s v="0090"/>
    <n v="-40.382640529636703"/>
    <n v="-16.124116300127099"/>
    <n v="-40.694442080437597"/>
    <n v="-16.189866850074999"/>
    <s v="367"/>
    <s v="MG"/>
    <s v="Eixo Principal"/>
    <s v="-"/>
    <s v="367BMG0090"/>
    <s v="INÍCIO DA PAVIMENTAÇÃO"/>
    <s v="ENTR MG-406 (ALMENARA)"/>
    <n v="64.3"/>
    <n v="105.3"/>
    <n v="41"/>
    <x v="2"/>
    <m/>
    <m/>
    <s v="Federal"/>
    <m/>
    <m/>
    <m/>
    <s v="Federal"/>
    <s v="PAV"/>
    <s v="Teófilo Otoni"/>
  </r>
  <r>
    <x v="0"/>
    <s v="367BMG0100"/>
    <n v="0"/>
    <x v="321"/>
    <s v="0100"/>
    <n v="-40.694442080437597"/>
    <n v="-16.189866850074999"/>
    <n v="-41.0109971202209"/>
    <n v="-16.442717359618399"/>
    <s v="367"/>
    <s v="MG"/>
    <s v="Eixo Principal"/>
    <s v="-"/>
    <s v="367BMG0100"/>
    <s v="ENTR MG-406 (ALMENARA)"/>
    <s v="ENTR MG-105 (JEQUITINHONHA)"/>
    <n v="105.3"/>
    <n v="154.19999999999999"/>
    <n v="48.9"/>
    <x v="2"/>
    <m/>
    <m/>
    <s v="Federal"/>
    <m/>
    <m/>
    <m/>
    <s v="Federal"/>
    <s v="PAV"/>
    <s v="Teófilo Otoni"/>
  </r>
  <r>
    <x v="0"/>
    <s v="367BMG0110"/>
    <n v="0"/>
    <x v="321"/>
    <s v="0110"/>
    <n v="-41.0109971202209"/>
    <n v="-16.442717359618399"/>
    <n v="-41.5039614800382"/>
    <n v="-16.576017369805701"/>
    <s v="367"/>
    <s v="MG"/>
    <s v="Eixo Principal"/>
    <s v="-"/>
    <s v="367BMG0110"/>
    <s v="ENTR MG-105 (JEQUITINHONHA)"/>
    <s v="ENTR BR-116 (P/ ITAOBIM)"/>
    <n v="154.19999999999999"/>
    <n v="219"/>
    <n v="64.8"/>
    <x v="2"/>
    <m/>
    <m/>
    <s v="Federal"/>
    <m/>
    <m/>
    <m/>
    <s v="Federal"/>
    <s v="PAV"/>
    <s v="Teófilo Otoni"/>
  </r>
  <r>
    <x v="0"/>
    <s v="367BMG0130"/>
    <n v="0"/>
    <x v="321"/>
    <s v="0130"/>
    <n v="-41.5039614800382"/>
    <n v="-16.576017369805701"/>
    <n v="-41.999050630282298"/>
    <n v="-16.8265579598818"/>
    <s v="367"/>
    <s v="MG"/>
    <s v="Eixo Principal"/>
    <s v="-"/>
    <s v="367BMG0130"/>
    <s v="ENTR BR-116 (P/ ITAOBIM)"/>
    <s v="ENTR BR-342(A)"/>
    <n v="219"/>
    <n v="290.60000000000002"/>
    <n v="71.599999999999994"/>
    <x v="2"/>
    <m/>
    <m/>
    <s v="Federal"/>
    <m/>
    <m/>
    <m/>
    <s v="Federal"/>
    <s v="PAV"/>
    <s v="Teófilo Otoni"/>
  </r>
  <r>
    <x v="0"/>
    <s v="367BMG0150"/>
    <n v="0"/>
    <x v="321"/>
    <s v="0150"/>
    <n v="-41.999050630282298"/>
    <n v="-16.8265579598818"/>
    <n v="-42.066145379805299"/>
    <n v="-16.8481607402259"/>
    <s v="367"/>
    <s v="MG"/>
    <s v="Eixo Principal"/>
    <s v="Coinc"/>
    <s v="367BMG0150"/>
    <s v="ENTR BR-342(A)"/>
    <s v="ENTR BR-120 (ARAÇUAÍ)"/>
    <n v="290.60000000000002"/>
    <n v="298.39999999999998"/>
    <n v="7.8"/>
    <x v="2"/>
    <m/>
    <s v="342BMG0100"/>
    <s v="Federal"/>
    <m/>
    <m/>
    <m/>
    <s v="Federal"/>
    <s v="PAV"/>
    <s v="Teófilo Otoni"/>
  </r>
  <r>
    <x v="0"/>
    <s v="367BMG0160"/>
    <n v="0"/>
    <x v="321"/>
    <s v="0160"/>
    <n v="-42.066145379805299"/>
    <n v="-16.8481607402259"/>
    <n v="-42.094693619814599"/>
    <n v="-16.832599590098901"/>
    <s v="367"/>
    <s v="MG"/>
    <s v="Eixo Principal"/>
    <s v="Coinc"/>
    <s v="367BMG0160"/>
    <s v="ENTR BR-120 (ARAÇUAÍ)"/>
    <s v="ENTR BR-342(B)"/>
    <n v="298.39999999999998"/>
    <n v="304"/>
    <n v="5.6"/>
    <x v="2"/>
    <m/>
    <s v="342BMG0090"/>
    <s v="Federal"/>
    <m/>
    <m/>
    <m/>
    <s v="Federal"/>
    <s v="PAV"/>
    <s v="Montes Claros"/>
  </r>
  <r>
    <x v="0"/>
    <s v="367BMG0170"/>
    <n v="0"/>
    <x v="321"/>
    <s v="0170"/>
    <n v="-42.094693619814599"/>
    <n v="-16.832599590098901"/>
    <n v="-42.356617859826301"/>
    <n v="-16.812233990006501"/>
    <s v="367"/>
    <s v="MG"/>
    <s v="Eixo Principal"/>
    <s v="-"/>
    <s v="367BMG0170"/>
    <s v="ENTR BR-342(B)"/>
    <s v="ENTR MG-114(A) (VIRGEM DA LAPA)"/>
    <n v="304"/>
    <n v="336.7"/>
    <n v="32.700000000000003"/>
    <x v="1"/>
    <m/>
    <m/>
    <s v="Estadual"/>
    <m/>
    <s v="MGT-367"/>
    <s v="PAV"/>
    <s v="Estadual"/>
    <s v="PLA"/>
    <s v="Montes Claros"/>
  </r>
  <r>
    <x v="0"/>
    <s v="367BMG0183"/>
    <n v="0"/>
    <x v="321"/>
    <s v="0183"/>
    <n v="-42.356617859826301"/>
    <n v="-16.812233990006501"/>
    <n v="-42.462106569562401"/>
    <n v="-16.945910960022701"/>
    <s v="367"/>
    <s v="MG"/>
    <s v="Eixo Principal"/>
    <s v="-"/>
    <s v="367BMG0183"/>
    <s v="ENTR MG-114(A) (VIRGEM DA LAPA)"/>
    <s v="FIM PONTE S/ RIO ARAÇUAÍ (BERILO)"/>
    <n v="336.7"/>
    <n v="362.7"/>
    <n v="26"/>
    <x v="5"/>
    <m/>
    <m/>
    <s v="Federal"/>
    <m/>
    <m/>
    <m/>
    <s v="Federal"/>
    <s v="N_PAV"/>
    <s v="Montes Claros"/>
  </r>
  <r>
    <x v="0"/>
    <s v="367BMG0190"/>
    <n v="0"/>
    <x v="321"/>
    <s v="0190"/>
    <n v="-42.462106569562401"/>
    <n v="-16.945910960022701"/>
    <n v="-42.541327280229702"/>
    <n v="-17.092731209677499"/>
    <s v="367"/>
    <s v="MG"/>
    <s v="Eixo Principal"/>
    <s v="-"/>
    <s v="367BMG0190"/>
    <s v="FIM PONTE S/ RIO ARAÇUAÍ (BERILO)"/>
    <s v="CHAPADA DO NORTE"/>
    <n v="362.7"/>
    <n v="384.4"/>
    <n v="21.7"/>
    <x v="5"/>
    <m/>
    <m/>
    <s v="Federal"/>
    <m/>
    <m/>
    <m/>
    <s v="Federal"/>
    <s v="N_PAV"/>
    <s v="Montes Claros"/>
  </r>
  <r>
    <x v="0"/>
    <s v="367BMG0196"/>
    <n v="0"/>
    <x v="321"/>
    <s v="0196"/>
    <n v="-42.541327280229702"/>
    <n v="-17.092731209677499"/>
    <n v="-42.5968201197526"/>
    <n v="-17.220554710131601"/>
    <s v="367"/>
    <s v="MG"/>
    <s v="Eixo Principal"/>
    <s v="-"/>
    <s v="367BMG0196"/>
    <s v="CHAPADA DO NORTE"/>
    <s v="FIM PONTE S/ RIO FANADO (MINAS NOVAS)"/>
    <n v="384.4"/>
    <n v="405.7"/>
    <n v="21.3"/>
    <x v="5"/>
    <m/>
    <m/>
    <s v="Federal"/>
    <m/>
    <m/>
    <m/>
    <s v="Federal"/>
    <s v="N_PAV"/>
    <s v="Montes Claros"/>
  </r>
  <r>
    <x v="0"/>
    <s v="367BMG0200"/>
    <n v="0"/>
    <x v="321"/>
    <s v="0200"/>
    <n v="-42.5968201197526"/>
    <n v="-17.220554710131601"/>
    <n v="-42.689024840124198"/>
    <n v="-17.322191830388501"/>
    <s v="367"/>
    <s v="MG"/>
    <s v="Eixo Principal"/>
    <s v="-"/>
    <s v="367BMG0200"/>
    <s v="FIM PONTE S/ RIO FANADO (MINAS NOVAS)"/>
    <s v="ENTR MG-114(B)/308(A)"/>
    <n v="405.7"/>
    <n v="425.8"/>
    <n v="20.100000000000001"/>
    <x v="2"/>
    <m/>
    <m/>
    <s v="Federal"/>
    <m/>
    <m/>
    <m/>
    <s v="Federal"/>
    <s v="PAV"/>
    <s v="Montes Claros"/>
  </r>
  <r>
    <x v="0"/>
    <s v="367BMG0210"/>
    <n v="0"/>
    <x v="321"/>
    <s v="0210"/>
    <n v="-42.689024840124198"/>
    <n v="-17.322191830388501"/>
    <n v="-42.7226517999405"/>
    <n v="-17.288812089706099"/>
    <s v="367"/>
    <s v="MG"/>
    <s v="Eixo Principal"/>
    <s v="-"/>
    <s v="367BMG0210"/>
    <s v="ENTR MG-114(B)/308(A)"/>
    <s v="ENTR AV IPIRANGA (TURMALINA)"/>
    <n v="425.8"/>
    <n v="427.9"/>
    <n v="2.1"/>
    <x v="2"/>
    <m/>
    <m/>
    <s v="Federal"/>
    <m/>
    <m/>
    <m/>
    <s v="Federal"/>
    <s v="PAV"/>
    <s v="Montes Claros"/>
  </r>
  <r>
    <x v="0"/>
    <s v="367BMG0220"/>
    <n v="0"/>
    <x v="321"/>
    <s v="0220"/>
    <n v="-42.7226517999405"/>
    <n v="-17.288812089706099"/>
    <n v="-42.9105424902436"/>
    <n v="-17.270170710309898"/>
    <s v="367"/>
    <s v="MG"/>
    <s v="Eixo Principal"/>
    <s v="-"/>
    <s v="367BMG0220"/>
    <s v="ENTR AV IPIRANGA (TURMALINA)"/>
    <s v="ENTR MG-114 (P/CATUTIBA)"/>
    <n v="427.9"/>
    <n v="456.7"/>
    <n v="28.8"/>
    <x v="2"/>
    <m/>
    <m/>
    <s v="Federal"/>
    <m/>
    <m/>
    <m/>
    <s v="Federal"/>
    <s v="PAV"/>
    <s v="Montes Claros"/>
  </r>
  <r>
    <x v="0"/>
    <s v="367BMG0245"/>
    <n v="0"/>
    <x v="321"/>
    <s v="0245"/>
    <n v="-42.9105424902436"/>
    <n v="-17.270170710309898"/>
    <n v="-42.970438250424799"/>
    <n v="-17.295122580342699"/>
    <s v="367"/>
    <s v="MG"/>
    <s v="Eixo Principal"/>
    <s v="-"/>
    <s v="367BMG0245"/>
    <s v="ENTR MG-114 (P/CATUTIBA)"/>
    <s v="ENTR MG-308(B)"/>
    <n v="456.7"/>
    <n v="463.8"/>
    <n v="7.1"/>
    <x v="1"/>
    <m/>
    <m/>
    <s v="Estadual"/>
    <m/>
    <s v="MGT-367"/>
    <s v="PAV"/>
    <s v="Estadual"/>
    <s v="PLA"/>
    <s v="Montes Claros"/>
  </r>
  <r>
    <x v="0"/>
    <s v="367BMG0250"/>
    <n v="0"/>
    <x v="321"/>
    <s v="0250"/>
    <n v="-42.970438250424799"/>
    <n v="-17.295122580342699"/>
    <n v="-43.246276820019197"/>
    <n v="-17.6321274696069"/>
    <s v="367"/>
    <s v="MG"/>
    <s v="Eixo Principal"/>
    <s v="-"/>
    <s v="367BMG0250"/>
    <s v="ENTR MG-308(B)"/>
    <s v="ENTR BR-451(A)"/>
    <n v="463.8"/>
    <n v="525"/>
    <n v="61.2"/>
    <x v="1"/>
    <m/>
    <m/>
    <s v="Estadual"/>
    <m/>
    <s v="MGT-367"/>
    <s v="PAV"/>
    <s v="Estadual"/>
    <s v="PLA"/>
    <s v="Montes Claros"/>
  </r>
  <r>
    <x v="0"/>
    <s v="367BMG0260"/>
    <n v="0"/>
    <x v="321"/>
    <s v="0260"/>
    <n v="-43.246276820019197"/>
    <n v="-17.6321274696069"/>
    <n v="-43.381054650151903"/>
    <n v="-17.798682519582499"/>
    <s v="367"/>
    <s v="MG"/>
    <s v="Eixo Principal"/>
    <s v="-"/>
    <s v="367BMG0260"/>
    <s v="ENTR BR-451(A)"/>
    <s v="ENTR BR-451(B) (P/SENADOR MOURÃO)"/>
    <n v="525"/>
    <n v="550.20000000000005"/>
    <n v="25.2"/>
    <x v="1"/>
    <m/>
    <s v="451BMG0028"/>
    <s v="Estadual"/>
    <m/>
    <s v="MGT-367"/>
    <s v="PAV"/>
    <s v="Estadual"/>
    <s v="PLA"/>
    <s v="Montes Claros"/>
  </r>
  <r>
    <x v="0"/>
    <s v="367BMG0270"/>
    <n v="0"/>
    <x v="321"/>
    <s v="0270"/>
    <n v="-43.381054650151903"/>
    <n v="-17.798682519582499"/>
    <n v="-43.436028269688798"/>
    <n v="-18.046902470272698"/>
    <s v="367"/>
    <s v="MG"/>
    <s v="Eixo Principal"/>
    <s v="-"/>
    <s v="367BMG0270"/>
    <s v="ENTR BR-451(B) (P/SENADOR MOURÃO)"/>
    <s v="ENTR MG-214 (P/ITAMARANDIBA)"/>
    <n v="550.20000000000005"/>
    <n v="583.5"/>
    <n v="33.299999999999997"/>
    <x v="1"/>
    <m/>
    <m/>
    <s v="Estadual"/>
    <m/>
    <s v="MGT-367"/>
    <s v="PAV"/>
    <s v="Estadual"/>
    <s v="PLA"/>
    <s v="Montes Claros"/>
  </r>
  <r>
    <x v="0"/>
    <s v="367BMG0290"/>
    <n v="0"/>
    <x v="321"/>
    <s v="0290"/>
    <n v="-43.436028269688798"/>
    <n v="-18.046902470272698"/>
    <n v="-43.613173700106103"/>
    <n v="-18.239701959777499"/>
    <s v="367"/>
    <s v="MG"/>
    <s v="Eixo Principal"/>
    <s v="-"/>
    <s v="367BMG0290"/>
    <s v="ENTR MG-214 (P/ITAMARANDIBA)"/>
    <s v="FIM AV DO CONTORNO (DIAMANTINA)"/>
    <n v="583.5"/>
    <n v="627.20000000000005"/>
    <n v="43.7"/>
    <x v="1"/>
    <m/>
    <m/>
    <s v="Estadual"/>
    <m/>
    <s v="MGT-367"/>
    <s v="PAV"/>
    <s v="Estadual"/>
    <s v="PLA"/>
    <s v="Contagem"/>
  </r>
  <r>
    <x v="0"/>
    <s v="367BMG0310"/>
    <n v="0"/>
    <x v="321"/>
    <s v="0310"/>
    <n v="-43.613173700106103"/>
    <n v="-18.239701959777499"/>
    <n v="-43.684201729925803"/>
    <n v="-18.270132809981099"/>
    <s v="367"/>
    <s v="MG"/>
    <s v="Eixo Principal"/>
    <s v="-"/>
    <s v="367BMG0310"/>
    <s v="FIM AV DO CONTORNO (DIAMANTINA)"/>
    <s v="ENTR MG-220 (GUINDA)"/>
    <n v="627.20000000000005"/>
    <n v="636.4"/>
    <n v="9.1999999999999993"/>
    <x v="1"/>
    <m/>
    <m/>
    <s v="Estadual"/>
    <m/>
    <s v="MGT-367"/>
    <s v="PAV"/>
    <s v="Estadual"/>
    <s v="PLA"/>
    <s v="Contagem"/>
  </r>
  <r>
    <x v="0"/>
    <s v="367BMG0330"/>
    <n v="0"/>
    <x v="321"/>
    <s v="0330"/>
    <n v="-43.684201729925803"/>
    <n v="-18.270132809981099"/>
    <n v="-43.6893569002007"/>
    <n v="-18.416367309603601"/>
    <s v="367"/>
    <s v="MG"/>
    <s v="Eixo Principal"/>
    <s v="-"/>
    <s v="367BMG0330"/>
    <s v="ENTR MG-220 (GUINDA)"/>
    <s v="ENTR BR-259(A)"/>
    <n v="636.4"/>
    <n v="654.79999999999995"/>
    <n v="18.399999999999999"/>
    <x v="1"/>
    <m/>
    <m/>
    <s v="Estadual"/>
    <m/>
    <s v="MGT-367"/>
    <s v="PAV"/>
    <s v="Estadual"/>
    <s v="PLA"/>
    <s v="Contagem"/>
  </r>
  <r>
    <x v="0"/>
    <s v="367BMG0350"/>
    <n v="0"/>
    <x v="321"/>
    <s v="0350"/>
    <n v="-43.6893569002007"/>
    <n v="-18.416367309603601"/>
    <n v="-43.741095660136502"/>
    <n v="-18.450082429960101"/>
    <s v="367"/>
    <s v="MG"/>
    <s v="Eixo Principal"/>
    <s v="Coinc"/>
    <s v="367BMG0350"/>
    <s v="ENTR BR-259(A)"/>
    <s v="ENTR BR-259(B) (GOUVEIA)"/>
    <n v="654.79999999999995"/>
    <n v="662.3"/>
    <n v="7.5"/>
    <x v="1"/>
    <m/>
    <s v="259BMG0310"/>
    <s v="Estadual"/>
    <m/>
    <s v="MGT-259"/>
    <s v="PAV"/>
    <s v="Estadual"/>
    <s v="PLA"/>
    <s v="Contagem"/>
  </r>
  <r>
    <x v="0"/>
    <s v="369APR1005"/>
    <n v="0"/>
    <x v="322"/>
    <s v="1005"/>
    <n v="-52.412747410164698"/>
    <n v="-24.082080139786498"/>
    <n v="-52.380358479560101"/>
    <n v="-24.0557314499463"/>
    <s v="369"/>
    <s v="PR"/>
    <s v="Acesso"/>
    <s v="-"/>
    <s v="369APR1005"/>
    <s v="ACESSO OESTE CAMPO MOURÃO"/>
    <s v="ENTR BR-487 (CAMPO MOURÃO)"/>
    <n v="0"/>
    <n v="4.4000000000000004"/>
    <n v="4.4000000000000004"/>
    <x v="2"/>
    <m/>
    <m/>
    <s v="Convênio de Administração"/>
    <m/>
    <m/>
    <m/>
    <s v="Federal"/>
    <s v="PAV"/>
    <s v="Campo Mourão"/>
  </r>
  <r>
    <x v="0"/>
    <s v="369BMG0010"/>
    <n v="0"/>
    <x v="323"/>
    <s v="0010"/>
    <n v="-44.821153519818999"/>
    <n v="-20.676797570251601"/>
    <n v="-44.987112339962401"/>
    <n v="-20.713692500008801"/>
    <s v="369"/>
    <s v="MG"/>
    <s v="Eixo Principal"/>
    <s v="-"/>
    <s v="369BMG0010"/>
    <s v="ENTR BR-494 (OLIVEIRA)"/>
    <s v="SÃO FRANCISCO DE PAULA"/>
    <n v="0"/>
    <n v="20.9"/>
    <n v="20.9"/>
    <x v="1"/>
    <m/>
    <m/>
    <s v="Estadual"/>
    <m/>
    <s v="MGT-369"/>
    <s v="PAV"/>
    <s v="Estadual"/>
    <s v="PLA"/>
    <s v="Oliveira"/>
  </r>
  <r>
    <x v="0"/>
    <s v="369BMG0015"/>
    <n v="0"/>
    <x v="323"/>
    <s v="0015"/>
    <n v="-44.987112339962401"/>
    <n v="-20.713692500008801"/>
    <n v="-45.258015920298398"/>
    <n v="-20.893098739715001"/>
    <s v="369"/>
    <s v="MG"/>
    <s v="Eixo Principal"/>
    <s v="-"/>
    <s v="369BMG0015"/>
    <s v="SÃO FRANCISCO DE PAULA"/>
    <s v="ENTR BR-354(A) (CAMPO BELO)"/>
    <n v="20.9"/>
    <n v="60.3"/>
    <n v="39.4"/>
    <x v="1"/>
    <m/>
    <m/>
    <s v="Estadual"/>
    <m/>
    <s v="MGT-369"/>
    <s v="PAV"/>
    <s v="Estadual"/>
    <s v="PLA"/>
    <s v="Oliveira"/>
  </r>
  <r>
    <x v="0"/>
    <s v="369BMG0022"/>
    <n v="0"/>
    <x v="323"/>
    <s v="0022"/>
    <n v="-45.258015920298398"/>
    <n v="-20.893098739715001"/>
    <n v="-45.269300970363403"/>
    <n v="-20.8649377702618"/>
    <s v="369"/>
    <s v="MG"/>
    <s v="Eixo Principal"/>
    <s v="Coinc"/>
    <s v="369BMG0022"/>
    <s v="ENTR BR-354(A) (CAMPO BELO)"/>
    <s v="ENTR MG-354(B)"/>
    <n v="60.3"/>
    <n v="63.9"/>
    <n v="3.6"/>
    <x v="2"/>
    <m/>
    <s v="354BMG0380"/>
    <s v="Federal"/>
    <m/>
    <m/>
    <m/>
    <s v="Federal"/>
    <s v="PAV"/>
    <s v="Oliveira"/>
  </r>
  <r>
    <x v="0"/>
    <s v="369BMG0030"/>
    <n v="0"/>
    <x v="323"/>
    <s v="0030"/>
    <n v="-45.269300970363403"/>
    <n v="-20.8649377702618"/>
    <n v="-45.601482749629099"/>
    <n v="-21.057139639582601"/>
    <s v="369"/>
    <s v="MG"/>
    <s v="Eixo Principal"/>
    <s v="-"/>
    <s v="369BMG0030"/>
    <s v="ENTR MG-354(B)"/>
    <s v="ENTR BR-265(A)"/>
    <n v="63.9"/>
    <n v="112.4"/>
    <n v="48.5"/>
    <x v="1"/>
    <m/>
    <m/>
    <s v="Estadual"/>
    <m/>
    <s v="MGT-369"/>
    <s v="PAV"/>
    <s v="Estadual"/>
    <s v="PLA"/>
    <s v="Oliveira"/>
  </r>
  <r>
    <x v="0"/>
    <s v="369BMG0050"/>
    <n v="0"/>
    <x v="323"/>
    <s v="0050"/>
    <n v="-45.601482749629099"/>
    <n v="-21.057139639582601"/>
    <n v="-45.5787166395612"/>
    <n v="-21.089875310097401"/>
    <s v="369"/>
    <s v="MG"/>
    <s v="Eixo Principal"/>
    <s v="Coinc"/>
    <s v="369BMG0050"/>
    <s v="ENTR BR-265(A)"/>
    <s v="BOA ESPERANÇA"/>
    <n v="112.4"/>
    <n v="117.8"/>
    <n v="5.4"/>
    <x v="2"/>
    <m/>
    <s v="265BMG0330"/>
    <s v="Federal"/>
    <m/>
    <m/>
    <m/>
    <s v="Federal"/>
    <s v="PAV"/>
    <s v="Oliveira"/>
  </r>
  <r>
    <x v="0"/>
    <s v="369BMG0051"/>
    <n v="0"/>
    <x v="323"/>
    <s v="0051"/>
    <n v="-45.5787166395612"/>
    <n v="-21.089875310097401"/>
    <n v="-45.563981499646403"/>
    <n v="-21.157277250044999"/>
    <s v="369"/>
    <s v="MG"/>
    <s v="Eixo Principal"/>
    <s v="Coinc"/>
    <s v="369BMG0051"/>
    <s v="BOA ESPERANÇA"/>
    <s v="ENTR BR-265(B)"/>
    <n v="117.8"/>
    <n v="125.8"/>
    <n v="8"/>
    <x v="2"/>
    <m/>
    <s v="265BMG0311"/>
    <s v="Federal"/>
    <m/>
    <m/>
    <m/>
    <s v="Federal"/>
    <s v="PAV"/>
    <s v="Oliveira"/>
  </r>
  <r>
    <x v="0"/>
    <s v="369BMG0070"/>
    <n v="0"/>
    <x v="323"/>
    <s v="0070"/>
    <n v="-45.563981499646403"/>
    <n v="-21.157277250044999"/>
    <n v="-45.761630759551799"/>
    <n v="-21.237702080086802"/>
    <s v="369"/>
    <s v="MG"/>
    <s v="Eixo Principal"/>
    <s v="-"/>
    <s v="369BMG0070"/>
    <s v="ENTR BR-265(B)"/>
    <s v="CAMPOS GERAIS"/>
    <n v="125.8"/>
    <n v="149.9"/>
    <n v="24.1"/>
    <x v="1"/>
    <m/>
    <m/>
    <s v="Estadual"/>
    <m/>
    <s v="MG-369"/>
    <s v="PAV"/>
    <s v="Estadual"/>
    <s v="PLA"/>
    <s v="Oliveira"/>
  </r>
  <r>
    <x v="0"/>
    <s v="369BMG0090"/>
    <n v="0"/>
    <x v="323"/>
    <s v="0090"/>
    <n v="-45.761630759551799"/>
    <n v="-21.237702080086802"/>
    <n v="-45.948715230123703"/>
    <n v="-21.4452997798609"/>
    <s v="369"/>
    <s v="MG"/>
    <s v="Eixo Principal"/>
    <s v="-"/>
    <s v="369BMG0090"/>
    <s v="CAMPOS GERAIS"/>
    <s v="ENTR BR-491 (ALFENAS)"/>
    <n v="149.9"/>
    <n v="183.9"/>
    <n v="34"/>
    <x v="1"/>
    <m/>
    <m/>
    <s v="Estadual"/>
    <m/>
    <s v="MG-369"/>
    <s v="PAV"/>
    <s v="Estadual"/>
    <s v="PLA"/>
    <s v="Oliveira"/>
  </r>
  <r>
    <x v="0"/>
    <s v="369BMG0110"/>
    <n v="0"/>
    <x v="323"/>
    <s v="0110"/>
    <n v="-45.948715230123703"/>
    <n v="-21.4452997798609"/>
    <n v="-46.404547720300997"/>
    <n v="-21.637992289612399"/>
    <s v="369"/>
    <s v="MG"/>
    <s v="Eixo Principal"/>
    <s v="-"/>
    <s v="369BMG0110"/>
    <s v="ENTR BR-491 (ALFENAS)"/>
    <s v="ENTR BR-146 (BOTELHOS)"/>
    <n v="183.9"/>
    <n v="249.9"/>
    <n v="66"/>
    <x v="1"/>
    <m/>
    <m/>
    <s v="Federal"/>
    <m/>
    <m/>
    <m/>
    <s v="Federal"/>
    <s v="PLA"/>
    <s v="Caxambu"/>
  </r>
  <r>
    <x v="0"/>
    <s v="369BMG0130"/>
    <n v="0"/>
    <x v="323"/>
    <s v="0130"/>
    <n v="-46.404547720300997"/>
    <n v="-21.637992289612399"/>
    <n v="-46.5211089999802"/>
    <n v="-21.5275024904475"/>
    <s v="369"/>
    <s v="MG"/>
    <s v="Eixo Principal"/>
    <s v="-"/>
    <s v="369BMG0130"/>
    <s v="ENTR BR-146 (BOTELHOS)"/>
    <s v="DIV MG/SP"/>
    <n v="249.9"/>
    <n v="278.89999999999998"/>
    <n v="29"/>
    <x v="1"/>
    <m/>
    <m/>
    <s v="Federal"/>
    <m/>
    <m/>
    <m/>
    <s v="Federal"/>
    <s v="PLA"/>
    <s v="Caxambu"/>
  </r>
  <r>
    <x v="0"/>
    <s v="369BPR0470"/>
    <n v="0"/>
    <x v="324"/>
    <s v="0470"/>
    <n v="-49.9056926096262"/>
    <n v="-22.998523449697402"/>
    <n v="-49.908331189932397"/>
    <n v="-23.002904249731198"/>
    <s v="369"/>
    <s v="PR"/>
    <s v="Eixo Principal"/>
    <s v="Coinc"/>
    <s v="369BPR0470"/>
    <s v="ENTR BR-153(A) (DIV SP/PR)"/>
    <s v="ENTR BR-153(B)"/>
    <n v="0"/>
    <n v="1"/>
    <n v="1"/>
    <x v="0"/>
    <m/>
    <s v="153BPR1210"/>
    <s v="Concessão Estadual"/>
    <m/>
    <m/>
    <m/>
    <s v="Federal"/>
    <s v="PAV"/>
    <s v="Ponta Grossa"/>
  </r>
  <r>
    <x v="0"/>
    <s v="369BPR0473"/>
    <n v="0"/>
    <x v="324"/>
    <s v="0473"/>
    <n v="-49.908331189932397"/>
    <n v="-23.002904249731198"/>
    <n v="-49.939460200028101"/>
    <n v="-23.0012529802407"/>
    <s v="369"/>
    <s v="PR"/>
    <s v="Eixo Principal"/>
    <s v="-"/>
    <s v="369BPR0473"/>
    <s v="ENTR BR-153(B)"/>
    <s v="FIM PISTA DUPLA"/>
    <n v="1"/>
    <n v="4.4000000000000004"/>
    <n v="3.4"/>
    <x v="0"/>
    <m/>
    <m/>
    <s v="Convênio de Administração"/>
    <m/>
    <m/>
    <m/>
    <s v="Federal"/>
    <s v="PAV"/>
    <s v="Londrina"/>
  </r>
  <r>
    <x v="0"/>
    <s v="369BPR0480"/>
    <n v="0"/>
    <x v="324"/>
    <s v="0480"/>
    <n v="-49.939460200028101"/>
    <n v="-23.0012529802407"/>
    <n v="-50.104329569753801"/>
    <n v="-23.0431662897923"/>
    <s v="369"/>
    <s v="PR"/>
    <s v="Eixo Principal"/>
    <s v="-"/>
    <s v="369BPR0480"/>
    <s v="FIM PISTA DUPLA"/>
    <s v="ENTR PR-431 (P/JACAREZINHO)"/>
    <n v="4.4000000000000004"/>
    <n v="22.3"/>
    <n v="17.899999999999999"/>
    <x v="2"/>
    <m/>
    <m/>
    <s v="Convênio de Administração"/>
    <m/>
    <m/>
    <m/>
    <s v="Federal"/>
    <s v="PAV"/>
    <s v="Londrina"/>
  </r>
  <r>
    <x v="0"/>
    <s v="369BPR0490"/>
    <n v="0"/>
    <x v="324"/>
    <s v="0490"/>
    <n v="-50.104329569753801"/>
    <n v="-23.0431662897923"/>
    <n v="-50.2327323703025"/>
    <n v="-23.045508840260698"/>
    <s v="369"/>
    <s v="PR"/>
    <s v="Eixo Principal"/>
    <s v="-"/>
    <s v="369BPR0490"/>
    <s v="ENTR PR-431 (P/JACAREZINHO)"/>
    <s v="ENTR PR-517/092(A) (P/ITAMBARACÁ)"/>
    <n v="22.3"/>
    <n v="37"/>
    <n v="14.7"/>
    <x v="2"/>
    <m/>
    <m/>
    <s v="Convênio de Administração"/>
    <m/>
    <m/>
    <m/>
    <s v="Federal"/>
    <s v="PAV"/>
    <s v="Londrina"/>
  </r>
  <r>
    <x v="0"/>
    <s v="369BPR0495"/>
    <n v="0"/>
    <x v="324"/>
    <s v="0495"/>
    <n v="-50.2327323703025"/>
    <n v="-23.045508840260698"/>
    <n v="-50.2484279097201"/>
    <n v="-23.058350700424398"/>
    <s v="369"/>
    <s v="PR"/>
    <s v="Eixo Principal"/>
    <s v="-"/>
    <s v="369BPR0495"/>
    <s v="ENTR PR-517/092(A) (P/ITAMBARACÁ)"/>
    <s v="ENTR PR-092(B) (P/BARRA DO JACARÉ)"/>
    <n v="37"/>
    <n v="39.200000000000003"/>
    <n v="2.2000000000000002"/>
    <x v="2"/>
    <m/>
    <m/>
    <s v="Convênio de Administração"/>
    <m/>
    <m/>
    <m/>
    <s v="Federal"/>
    <s v="PAV"/>
    <s v="Londrina"/>
  </r>
  <r>
    <x v="0"/>
    <s v="369BPR0500"/>
    <n v="0"/>
    <x v="324"/>
    <s v="0500"/>
    <n v="-50.2484279097201"/>
    <n v="-23.058350700424398"/>
    <n v="-50.334523090268299"/>
    <n v="-23.110590540121201"/>
    <s v="369"/>
    <s v="PR"/>
    <s v="Eixo Principal"/>
    <s v="-"/>
    <s v="369BPR0500"/>
    <s v="ENTR PR-092(B) (P/BARRA DO JACARÉ)"/>
    <s v="ACESSO CONTORNO BANDEIRANTES (I)"/>
    <n v="39.200000000000003"/>
    <n v="51.8"/>
    <n v="12.6"/>
    <x v="2"/>
    <m/>
    <m/>
    <s v="Convênio de Administração"/>
    <m/>
    <m/>
    <m/>
    <s v="Federal"/>
    <s v="PAV"/>
    <s v="Londrina"/>
  </r>
  <r>
    <x v="0"/>
    <s v="369BPR0505"/>
    <n v="0"/>
    <x v="324"/>
    <s v="0505"/>
    <n v="-50.334523090268299"/>
    <n v="-23.110590540121201"/>
    <n v="-50.367526270421003"/>
    <n v="-23.108706169953699"/>
    <s v="369"/>
    <s v="PR"/>
    <s v="Eixo Principal"/>
    <s v="-"/>
    <s v="369BPR0505"/>
    <s v="ACESSO CONTORNO BANDEIRANTES (I)"/>
    <s v="ENTR PR-436 (BANDEIRANTES)"/>
    <n v="51.8"/>
    <n v="56.1"/>
    <n v="4.3"/>
    <x v="2"/>
    <m/>
    <m/>
    <s v="Convênio de Administração"/>
    <m/>
    <m/>
    <m/>
    <s v="Federal"/>
    <s v="PAV"/>
    <s v="Londrina"/>
  </r>
  <r>
    <x v="0"/>
    <s v="369BPR0520"/>
    <n v="0"/>
    <x v="324"/>
    <s v="0520"/>
    <n v="-50.367526270421003"/>
    <n v="-23.108706169953699"/>
    <n v="-50.403863589932698"/>
    <n v="-23.1360908796903"/>
    <s v="369"/>
    <s v="PR"/>
    <s v="Eixo Principal"/>
    <s v="-"/>
    <s v="369BPR0520"/>
    <s v="ENTR PR-436 (BANDEIRANTES)"/>
    <s v="ACESSO CONTORNO BANDEIRANTES (II)"/>
    <n v="56.1"/>
    <n v="60.9"/>
    <n v="4.8"/>
    <x v="2"/>
    <m/>
    <m/>
    <s v="Convênio de Administração"/>
    <m/>
    <m/>
    <m/>
    <s v="Federal"/>
    <s v="PAV"/>
    <s v="Londrina"/>
  </r>
  <r>
    <x v="0"/>
    <s v="369BPR0530"/>
    <n v="0"/>
    <x v="324"/>
    <s v="0530"/>
    <n v="-50.403863589932698"/>
    <n v="-23.1360908796903"/>
    <n v="-50.498780750131402"/>
    <n v="-23.146420929782"/>
    <s v="369"/>
    <s v="PR"/>
    <s v="Eixo Principal"/>
    <s v="-"/>
    <s v="369BPR0530"/>
    <s v="ACESSO CONTORNO BANDEIRANTES (II)"/>
    <s v="TREVO SANTA MARIANA"/>
    <n v="60.9"/>
    <n v="71.099999999999994"/>
    <n v="10.199999999999999"/>
    <x v="2"/>
    <m/>
    <m/>
    <s v="Convênio de Administração"/>
    <m/>
    <m/>
    <m/>
    <s v="Federal"/>
    <s v="PAV"/>
    <s v="Londrina"/>
  </r>
  <r>
    <x v="0"/>
    <s v="369BPR0540"/>
    <n v="0"/>
    <x v="324"/>
    <s v="0540"/>
    <n v="-50.498780750131402"/>
    <n v="-23.146420929782"/>
    <n v="-50.634905049728197"/>
    <n v="-23.1826802897635"/>
    <s v="369"/>
    <s v="PR"/>
    <s v="Eixo Principal"/>
    <s v="-"/>
    <s v="369BPR0540"/>
    <s v="TREVO SANTA MARIANA"/>
    <s v="INÍCIO PISTA DUPLA"/>
    <n v="71.099999999999994"/>
    <n v="88.2"/>
    <n v="17.100000000000001"/>
    <x v="2"/>
    <m/>
    <m/>
    <s v="Convênio de Administração"/>
    <m/>
    <m/>
    <m/>
    <s v="Federal"/>
    <s v="PAV"/>
    <s v="Londrina"/>
  </r>
  <r>
    <x v="0"/>
    <s v="369BPR0543"/>
    <n v="0"/>
    <x v="324"/>
    <s v="0543"/>
    <n v="-50.634905049728197"/>
    <n v="-23.1826802897635"/>
    <n v="-50.643056660336498"/>
    <n v="-23.189120850246901"/>
    <s v="369"/>
    <s v="PR"/>
    <s v="Eixo Principal"/>
    <s v="-"/>
    <s v="369BPR0543"/>
    <s v="INÍCIO PISTA DUPLA"/>
    <s v="ENTR PR-160(A) (CORNÉLIO PROCÓPIO)"/>
    <n v="88.2"/>
    <n v="89.4"/>
    <n v="1.2"/>
    <x v="0"/>
    <m/>
    <m/>
    <s v="Convênio de Administração"/>
    <m/>
    <m/>
    <m/>
    <s v="Federal"/>
    <s v="PAV"/>
    <s v="Londrina"/>
  </r>
  <r>
    <x v="0"/>
    <s v="369BPR0545"/>
    <n v="0"/>
    <x v="324"/>
    <s v="0545"/>
    <n v="-50.643056660336498"/>
    <n v="-23.189120850246901"/>
    <n v="-50.654352180308798"/>
    <n v="-23.198071250387802"/>
    <s v="369"/>
    <s v="PR"/>
    <s v="Eixo Principal"/>
    <s v="-"/>
    <s v="369BPR0545"/>
    <s v="ENTR PR-160(A) (CORNÉLIO PROCÓPIO)"/>
    <s v="ENTR PR-160(B) (FIM PISTA DUPLA)"/>
    <n v="89.4"/>
    <n v="91"/>
    <n v="1.6"/>
    <x v="0"/>
    <m/>
    <m/>
    <s v="Convênio de Administração"/>
    <m/>
    <m/>
    <m/>
    <s v="Federal"/>
    <s v="PAV"/>
    <s v="Londrina"/>
  </r>
  <r>
    <x v="0"/>
    <s v="369BPR0550"/>
    <n v="0"/>
    <x v="324"/>
    <s v="0550"/>
    <n v="-50.654352180308798"/>
    <n v="-23.198071250387802"/>
    <n v="-50.726912119798399"/>
    <n v="-23.2465502601863"/>
    <s v="369"/>
    <s v="PR"/>
    <s v="Eixo Principal"/>
    <s v="-"/>
    <s v="369BPR0550"/>
    <s v="ENTR PR-160(B) (FIM PISTA DUPLA)"/>
    <s v="ENTR PR-525"/>
    <n v="91"/>
    <n v="101.5"/>
    <n v="10.5"/>
    <x v="2"/>
    <m/>
    <m/>
    <s v="Convênio de Administração"/>
    <m/>
    <m/>
    <m/>
    <s v="Federal"/>
    <s v="PAV"/>
    <s v="Londrina"/>
  </r>
  <r>
    <x v="0"/>
    <s v="369BPR0565"/>
    <n v="0"/>
    <x v="324"/>
    <s v="0565"/>
    <n v="-50.726912119798399"/>
    <n v="-23.2465502601863"/>
    <n v="-50.776710300140202"/>
    <n v="-23.261973240272699"/>
    <s v="369"/>
    <s v="PR"/>
    <s v="Eixo Principal"/>
    <s v="-"/>
    <s v="369BPR0565"/>
    <s v="ENTR PR-525"/>
    <s v="ENTR PR-442(A) (P/URAÍ)"/>
    <n v="101.5"/>
    <n v="107"/>
    <n v="5.5"/>
    <x v="2"/>
    <m/>
    <m/>
    <s v="Convênio de Administração"/>
    <m/>
    <m/>
    <m/>
    <s v="Federal"/>
    <s v="PAV"/>
    <s v="Londrina"/>
  </r>
  <r>
    <x v="0"/>
    <s v="369BPR0570"/>
    <n v="0"/>
    <x v="324"/>
    <s v="0570"/>
    <n v="-50.776710300140202"/>
    <n v="-23.261973240272699"/>
    <n v="-50.808277610123497"/>
    <n v="-23.269433729982602"/>
    <s v="369"/>
    <s v="PR"/>
    <s v="Eixo Principal"/>
    <s v="-"/>
    <s v="369BPR0570"/>
    <s v="ENTR PR-442(A) (P/URAÍ)"/>
    <s v="ENTR PR-442(B)"/>
    <n v="107"/>
    <n v="110.3"/>
    <n v="3.3"/>
    <x v="2"/>
    <m/>
    <m/>
    <s v="Convênio de Administração"/>
    <m/>
    <m/>
    <m/>
    <s v="Federal"/>
    <s v="PAV"/>
    <s v="Londrina"/>
  </r>
  <r>
    <x v="0"/>
    <s v="369BPR0575"/>
    <n v="0"/>
    <x v="324"/>
    <s v="0575"/>
    <n v="-50.808277610123497"/>
    <n v="-23.269433729982602"/>
    <n v="-50.954149559754299"/>
    <n v="-23.283087099689801"/>
    <s v="369"/>
    <s v="PR"/>
    <s v="Eixo Principal"/>
    <s v="-"/>
    <s v="369BPR0575"/>
    <s v="ENTR PR-442(B)"/>
    <s v="ENTR PR-090(A) (P/ASSAÍ)"/>
    <n v="110.3"/>
    <n v="125.9"/>
    <n v="15.6"/>
    <x v="2"/>
    <m/>
    <m/>
    <s v="Convênio de Administração"/>
    <m/>
    <m/>
    <m/>
    <s v="Federal"/>
    <s v="PAV"/>
    <s v="Londrina"/>
  </r>
  <r>
    <x v="0"/>
    <s v="369BPR0580"/>
    <n v="0"/>
    <x v="324"/>
    <s v="0580"/>
    <n v="-50.954149559754299"/>
    <n v="-23.283087099689801"/>
    <n v="-50.982486329580397"/>
    <n v="-23.257120100112498"/>
    <s v="369"/>
    <s v="PR"/>
    <s v="Eixo Principal"/>
    <s v="-"/>
    <s v="369BPR0580"/>
    <s v="ENTR PR-090(A) (P/ASSAÍ)"/>
    <s v="ENTR PR-443 (JATAIZINHO)"/>
    <n v="125.9"/>
    <n v="130.1"/>
    <n v="4.2"/>
    <x v="0"/>
    <m/>
    <m/>
    <s v="Convênio de Administração"/>
    <m/>
    <m/>
    <m/>
    <s v="Federal"/>
    <s v="PAV"/>
    <s v="Londrina"/>
  </r>
  <r>
    <x v="0"/>
    <s v="369BPR0590"/>
    <n v="0"/>
    <x v="324"/>
    <s v="0590"/>
    <n v="-50.982486329580397"/>
    <n v="-23.257120100112498"/>
    <n v="-51.012273620431102"/>
    <n v="-23.260590049691"/>
    <s v="369"/>
    <s v="PR"/>
    <s v="Eixo Principal"/>
    <s v="-"/>
    <s v="369BPR0590"/>
    <s v="ENTR PR-443 (JATAIZINHO)"/>
    <s v="ENTR PR-862(A) (CONTORNO NORTE DE IBIPORÃ)"/>
    <n v="130.1"/>
    <n v="133.6"/>
    <n v="3.5"/>
    <x v="0"/>
    <m/>
    <m/>
    <s v="Convênio de Administração"/>
    <m/>
    <m/>
    <m/>
    <s v="Federal"/>
    <s v="PAV"/>
    <s v="Londrina"/>
  </r>
  <r>
    <x v="0"/>
    <s v="369BPR0600"/>
    <n v="0"/>
    <x v="324"/>
    <s v="0600"/>
    <n v="-51.012273620431102"/>
    <n v="-23.260590049691"/>
    <n v="-51.034628879718902"/>
    <n v="-23.264098869766901"/>
    <s v="369"/>
    <s v="PR"/>
    <s v="Eixo Principal"/>
    <s v="-"/>
    <s v="369BPR0600"/>
    <s v="ENTR PR-862(A) (CONTORNO NORTE DE IBIPORÃ)"/>
    <s v="INÍCIO PISTA DUPLA(IBIPORÃ)"/>
    <n v="133.6"/>
    <n v="136.30000000000001"/>
    <n v="2.7"/>
    <x v="2"/>
    <m/>
    <m/>
    <s v="Convênio de Administração"/>
    <m/>
    <m/>
    <m/>
    <s v="Federal"/>
    <s v="PAV"/>
    <s v="Londrina"/>
  </r>
  <r>
    <x v="0"/>
    <s v="369BPR0605"/>
    <n v="0"/>
    <x v="324"/>
    <s v="0605"/>
    <n v="-51.034628879718902"/>
    <n v="-23.264098869766901"/>
    <n v="-51.047170770114903"/>
    <n v="-23.2704500196526"/>
    <s v="369"/>
    <s v="PR"/>
    <s v="Eixo Principal"/>
    <s v="-"/>
    <s v="369BPR0605"/>
    <s v="INÍCIO PISTA DUPLA(IBIPORÃ)"/>
    <s v="ENTR PR-090(B)(TRAVESSIA DE IBIPORÃ)*TRECHO URBANO*"/>
    <n v="136.30000000000001"/>
    <n v="137.5"/>
    <n v="1.2"/>
    <x v="0"/>
    <m/>
    <m/>
    <s v="Convênio de Administração"/>
    <m/>
    <m/>
    <m/>
    <s v="Federal"/>
    <s v="PAV"/>
    <s v="Londrina"/>
  </r>
  <r>
    <x v="0"/>
    <s v="369BPR0610"/>
    <n v="0"/>
    <x v="324"/>
    <s v="0610"/>
    <n v="-51.047170770114903"/>
    <n v="-23.2704500196526"/>
    <n v="-51.094803030435401"/>
    <n v="-23.2926970797064"/>
    <s v="369"/>
    <s v="PR"/>
    <s v="Eixo Principal"/>
    <s v="-"/>
    <s v="369BPR0610"/>
    <s v="ENTR PR-090(B)(TRAVESSIA DE IBIPORÃ)*TRECHO URBANO*"/>
    <s v="ENTR PR-862(B) CONTORNO NORTE DE IBIPORÃ*TRECHO URBANO*"/>
    <n v="137.5"/>
    <n v="143.1"/>
    <n v="5.6"/>
    <x v="0"/>
    <m/>
    <m/>
    <s v="Convênio de Administração"/>
    <m/>
    <m/>
    <m/>
    <s v="Federal"/>
    <s v="PAV"/>
    <s v="Londrina"/>
  </r>
  <r>
    <x v="0"/>
    <s v="369BPR0615"/>
    <n v="0"/>
    <x v="324"/>
    <s v="0615"/>
    <n v="-51.094803030435401"/>
    <n v="-23.2926970797064"/>
    <n v="-51.140157760372198"/>
    <n v="-23.292961609890298"/>
    <s v="369"/>
    <s v="PR"/>
    <s v="Eixo Principal"/>
    <s v="-"/>
    <s v="369BPR0615"/>
    <s v="ENTR PR-862(B) CONTORNO NORTE DE IBIPORÃ*TRECHO URBANO*"/>
    <s v="VIADUTO SOBRE RFFSA (LONDRINA)"/>
    <n v="143.1"/>
    <n v="147.9"/>
    <n v="4.8"/>
    <x v="0"/>
    <m/>
    <m/>
    <s v="Convênio de Administração"/>
    <m/>
    <m/>
    <m/>
    <s v="Federal"/>
    <s v="PAV"/>
    <s v="Londrina"/>
  </r>
  <r>
    <x v="0"/>
    <s v="369BPR0620"/>
    <n v="0"/>
    <x v="324"/>
    <s v="0620"/>
    <n v="-51.140157760372198"/>
    <n v="-23.292961609890298"/>
    <n v="-51.235007820354603"/>
    <n v="-23.285325620181101"/>
    <s v="369"/>
    <s v="PR"/>
    <s v="Eixo Principal"/>
    <s v="-"/>
    <s v="369BPR0620"/>
    <s v="VIADUTO SOBRE RFFSA (LONDRINA)"/>
    <s v="ENTR PR-445"/>
    <n v="147.9"/>
    <n v="157.9"/>
    <n v="10"/>
    <x v="0"/>
    <m/>
    <m/>
    <s v="Convênio de Administração"/>
    <m/>
    <m/>
    <m/>
    <s v="Federal"/>
    <s v="PAV"/>
    <s v="Londrina"/>
  </r>
  <r>
    <x v="0"/>
    <s v="369BPR0630"/>
    <n v="0"/>
    <x v="324"/>
    <s v="0630"/>
    <n v="-51.235007820354603"/>
    <n v="-23.285325620181101"/>
    <n v="-51.256271380020102"/>
    <n v="-23.281844049563102"/>
    <s v="369"/>
    <s v="PR"/>
    <s v="Eixo Principal"/>
    <s v="-"/>
    <s v="369BPR0630"/>
    <s v="ENTR PR-445"/>
    <s v="ENTR PR-536 (ACESSO LESTE CAMBÉ) "/>
    <n v="157.9"/>
    <n v="160.1"/>
    <n v="2.2000000000000002"/>
    <x v="0"/>
    <m/>
    <m/>
    <s v="Convênio de Administração"/>
    <m/>
    <m/>
    <m/>
    <s v="Federal"/>
    <s v="PAV"/>
    <s v="Londrina"/>
  </r>
  <r>
    <x v="0"/>
    <s v="369BPR0650"/>
    <n v="0"/>
    <x v="324"/>
    <s v="0650"/>
    <n v="-51.256271380020102"/>
    <n v="-23.281844049563102"/>
    <n v="-51.320172010130101"/>
    <n v="-23.2974583604149"/>
    <s v="369"/>
    <s v="PR"/>
    <s v="Eixo Principal"/>
    <s v="-"/>
    <s v="369BPR0650"/>
    <s v="ENTR PR-536 (ACESSO LESTE CAMBÉ)"/>
    <s v="ACESSO OESTE CAMBÉ/INÍCIO CONT ROLÂNDIA"/>
    <n v="160.1"/>
    <n v="167.7"/>
    <n v="7.6"/>
    <x v="0"/>
    <m/>
    <m/>
    <s v="Convênio de Administração"/>
    <m/>
    <m/>
    <m/>
    <s v="Federal"/>
    <s v="PAV"/>
    <s v="Londrina"/>
  </r>
  <r>
    <x v="0"/>
    <s v="369BPR0660"/>
    <n v="0"/>
    <x v="324"/>
    <s v="0660"/>
    <n v="-51.320172010130101"/>
    <n v="-23.2974583604149"/>
    <n v="-51.375792930199502"/>
    <n v="-23.315400960285999"/>
    <s v="369"/>
    <s v="PR"/>
    <s v="Eixo Principal"/>
    <s v="-"/>
    <s v="369BPR0660"/>
    <s v="ACESSO OESTE CAMBÉ/INÍCIO CONT ROLÂNDIA"/>
    <s v="ENTR PR-170 (ROLÂNDIA)"/>
    <n v="167.7"/>
    <n v="174.2"/>
    <n v="6.5"/>
    <x v="2"/>
    <m/>
    <m/>
    <s v="Convênio de Administração"/>
    <m/>
    <m/>
    <m/>
    <s v="Federal"/>
    <s v="PAV"/>
    <s v="Londrina"/>
  </r>
  <r>
    <x v="0"/>
    <s v="369BPR0665"/>
    <n v="0"/>
    <x v="324"/>
    <s v="0665"/>
    <n v="-51.375792930199502"/>
    <n v="-23.315400960285999"/>
    <n v="-51.385580279905902"/>
    <n v="-23.348862950264898"/>
    <s v="369"/>
    <s v="PR"/>
    <s v="Eixo Principal"/>
    <s v="-"/>
    <s v="369BPR0665"/>
    <s v="ENTR PR-170 (ROLÂNDIA)"/>
    <s v="FIM CONTORNO ROLÂNDIA"/>
    <n v="174.2"/>
    <n v="178.7"/>
    <n v="4.5"/>
    <x v="2"/>
    <m/>
    <m/>
    <s v="Convênio de Administração"/>
    <m/>
    <m/>
    <m/>
    <s v="Federal"/>
    <s v="PAV"/>
    <s v="Londrina"/>
  </r>
  <r>
    <x v="0"/>
    <s v="369BPR0670"/>
    <n v="0"/>
    <x v="324"/>
    <s v="0670"/>
    <n v="-51.385580279905902"/>
    <n v="-23.348862950264898"/>
    <n v="-51.413183909809497"/>
    <n v="-23.374022700387201"/>
    <s v="369"/>
    <s v="PR"/>
    <s v="Eixo Principal"/>
    <s v="-"/>
    <s v="369BPR0670"/>
    <s v="FIM CONTORNO ROLÂNDIA"/>
    <s v="ENTR PR-444"/>
    <n v="178.7"/>
    <n v="182.7"/>
    <n v="4"/>
    <x v="0"/>
    <m/>
    <m/>
    <s v="Convênio de Administração"/>
    <m/>
    <m/>
    <m/>
    <s v="Federal"/>
    <s v="PAV"/>
    <s v="Londrina"/>
  </r>
  <r>
    <x v="0"/>
    <s v="369BPR0675"/>
    <n v="0"/>
    <x v="324"/>
    <s v="0675"/>
    <n v="-51.413183909809497"/>
    <n v="-23.374022700387201"/>
    <n v="-51.427244770429702"/>
    <n v="-23.417015469788002"/>
    <s v="369"/>
    <s v="PR"/>
    <s v="Eixo Principal"/>
    <s v="-"/>
    <s v="369BPR0675"/>
    <s v="ENTR PR-444"/>
    <s v="ACESSO ARAPONGAS"/>
    <n v="182.7"/>
    <n v="187.5"/>
    <n v="4.8"/>
    <x v="2"/>
    <m/>
    <m/>
    <s v="Convênio de Administração"/>
    <m/>
    <m/>
    <m/>
    <s v="Federal"/>
    <s v="PAV"/>
    <s v="Londrina"/>
  </r>
  <r>
    <x v="0"/>
    <s v="369BPR0680"/>
    <n v="0"/>
    <x v="324"/>
    <s v="0680"/>
    <n v="-51.427244770429702"/>
    <n v="-23.417015469788002"/>
    <n v="-51.422113739757201"/>
    <n v="-23.437046719930098"/>
    <s v="369"/>
    <s v="PR"/>
    <s v="Eixo Principal"/>
    <s v="-"/>
    <s v="369BPR0680"/>
    <s v="ACESSO ARAPONGAS"/>
    <s v="FIM CONTORNO SUL ARAPONGAS"/>
    <n v="187.5"/>
    <n v="190.2"/>
    <n v="2.7"/>
    <x v="2"/>
    <m/>
    <m/>
    <s v="Convênio de Administração"/>
    <m/>
    <m/>
    <m/>
    <s v="Federal"/>
    <s v="PAV"/>
    <s v="Londrina"/>
  </r>
  <r>
    <x v="0"/>
    <s v="369BPR0685"/>
    <n v="0"/>
    <x v="324"/>
    <s v="0685"/>
    <n v="-51.422113739757201"/>
    <n v="-23.437046719930098"/>
    <n v="-51.443816760335103"/>
    <n v="-23.523326739937001"/>
    <s v="369"/>
    <s v="PR"/>
    <s v="Eixo Principal"/>
    <s v="-"/>
    <s v="369BPR0685"/>
    <s v="FIM CONTORNO SUL ARAPONGAS"/>
    <s v="ENTR PR-170 (INÍCIO CONT NORTE APUCARANA)"/>
    <n v="190.2"/>
    <n v="200.8"/>
    <n v="10.6"/>
    <x v="0"/>
    <m/>
    <m/>
    <s v="Convênio de Administração"/>
    <m/>
    <m/>
    <m/>
    <s v="Federal"/>
    <s v="PAV"/>
    <s v="Londrina"/>
  </r>
  <r>
    <x v="0"/>
    <s v="369BPR0690"/>
    <n v="0"/>
    <x v="324"/>
    <s v="0690"/>
    <n v="-51.443816760335103"/>
    <n v="-23.523326739937001"/>
    <n v="-51.452225929582902"/>
    <n v="-23.546643069621801"/>
    <s v="369"/>
    <s v="PR"/>
    <s v="Eixo Principal"/>
    <s v="-"/>
    <s v="369BPR0690"/>
    <s v="ENTR PR-170 (INÍCIO CONT NORTE APUCARANA)"/>
    <s v="ACESSO LESTE BR-376 (APUCARANA)"/>
    <n v="200.8"/>
    <n v="204.4"/>
    <n v="3.6"/>
    <x v="2"/>
    <m/>
    <m/>
    <s v="Convênio de Administração"/>
    <m/>
    <m/>
    <m/>
    <s v="Federal"/>
    <s v="PAV"/>
    <s v="Londrina"/>
  </r>
  <r>
    <x v="0"/>
    <s v="369BPR0695"/>
    <n v="0"/>
    <x v="324"/>
    <s v="0695"/>
    <n v="-51.452225929582902"/>
    <n v="-23.546643069621801"/>
    <n v="-51.509837700449403"/>
    <n v="-23.567702109964301"/>
    <s v="369"/>
    <s v="PR"/>
    <s v="Eixo Principal"/>
    <s v="-"/>
    <s v="369BPR0695"/>
    <s v="ACESSO LESTE BR-376 (APUCARANA)"/>
    <s v="ENTR BR-376(A)/466(A) (CONTORNO SUL APUCARANA)"/>
    <n v="204.4"/>
    <n v="211.3"/>
    <n v="6.9"/>
    <x v="2"/>
    <m/>
    <m/>
    <s v="Convênio de Administração"/>
    <m/>
    <m/>
    <m/>
    <s v="Federal"/>
    <s v="PAV"/>
    <s v="Londrina"/>
  </r>
  <r>
    <x v="0"/>
    <s v="369BPR0700"/>
    <n v="0"/>
    <x v="324"/>
    <s v="0700"/>
    <n v="-51.509837700449403"/>
    <n v="-23.567702109964301"/>
    <n v="-51.519908070401002"/>
    <n v="-23.567105950279299"/>
    <s v="369"/>
    <s v="PR"/>
    <s v="Eixo Principal"/>
    <s v="-"/>
    <s v="369BPR0700"/>
    <s v="ENTR BR-376(A)/466(A) (CONTORNO SUL APUCARANA)"/>
    <s v="ENTR PR-170 (FIM CONTORNO NORTE APUCARANA)"/>
    <n v="211.3"/>
    <n v="212.6"/>
    <n v="1.3"/>
    <x v="2"/>
    <m/>
    <s v="466BPR0005;376BPR0260"/>
    <s v="Concessão Estadual"/>
    <m/>
    <m/>
    <m/>
    <s v="Federal"/>
    <s v="PAV"/>
    <s v="Londrina"/>
  </r>
  <r>
    <x v="0"/>
    <s v="369BPR0705"/>
    <n v="0"/>
    <x v="324"/>
    <s v="0705"/>
    <n v="-51.519908070401002"/>
    <n v="-23.567105950279299"/>
    <n v="-51.535371180035803"/>
    <n v="-23.562171970060302"/>
    <s v="369"/>
    <s v="PR"/>
    <s v="Eixo Principal"/>
    <s v="-"/>
    <s v="369BPR0705"/>
    <s v="ENTR PR-170 (FIM CONTORNO NORTE APUCARANA)"/>
    <s v="ACESSO PIRAPÓ"/>
    <n v="212.6"/>
    <n v="214.2"/>
    <n v="1.6"/>
    <x v="2"/>
    <m/>
    <s v="376BPR0255;466BPR0007"/>
    <s v="Concessão Estadual"/>
    <m/>
    <m/>
    <m/>
    <s v="Federal"/>
    <s v="PAV"/>
    <s v="Londrina"/>
  </r>
  <r>
    <x v="0"/>
    <s v="369BPR0710"/>
    <n v="0"/>
    <x v="324"/>
    <s v="0710"/>
    <n v="-51.535371180035803"/>
    <n v="-23.562171970060302"/>
    <n v="-51.580674080244499"/>
    <n v="-23.596148009822699"/>
    <s v="369"/>
    <s v="PR"/>
    <s v="Eixo Principal"/>
    <s v="-"/>
    <s v="369BPR0710"/>
    <s v="ACESSO PIRAPÓ"/>
    <s v="ACESSO CAMBIRA"/>
    <n v="214.2"/>
    <n v="220.6"/>
    <n v="6.4"/>
    <x v="2"/>
    <m/>
    <s v="376BPR0250;466BPR0010"/>
    <s v="Concessão Estadual"/>
    <m/>
    <m/>
    <m/>
    <s v="Federal"/>
    <s v="PAV"/>
    <s v="Londrina"/>
  </r>
  <r>
    <x v="0"/>
    <s v="369BPR0715"/>
    <n v="0"/>
    <x v="324"/>
    <s v="0715"/>
    <n v="-51.580674080244499"/>
    <n v="-23.596148009822699"/>
    <n v="-51.6276427596056"/>
    <n v="-23.598559669593001"/>
    <s v="369"/>
    <s v="PR"/>
    <s v="Eixo Principal"/>
    <s v="-"/>
    <s v="369BPR0715"/>
    <s v="ACESSO CAMBIRA"/>
    <s v="ACESSO CONTORNO SUL JANDAIA DO SUL"/>
    <n v="220.6"/>
    <n v="226.1"/>
    <n v="5.5"/>
    <x v="2"/>
    <m/>
    <s v="466BPR0015;376BPR0240"/>
    <s v="Concessão Estadual"/>
    <m/>
    <m/>
    <m/>
    <s v="Federal"/>
    <s v="PAV"/>
    <s v="Londrina"/>
  </r>
  <r>
    <x v="0"/>
    <s v="369BPR0720"/>
    <n v="0"/>
    <x v="324"/>
    <s v="0720"/>
    <n v="-51.6276427596056"/>
    <n v="-23.598559669593001"/>
    <n v="-51.645537799729603"/>
    <n v="-23.5881645301689"/>
    <s v="369"/>
    <s v="PR"/>
    <s v="Eixo Principal"/>
    <s v="-"/>
    <s v="369BPR0720"/>
    <s v="ACESSO CONTORNO SUL JANDAIA DO SUL"/>
    <s v="ENTR BR-376(B) (JANDAIA DO SUL)"/>
    <n v="226.1"/>
    <n v="228.7"/>
    <n v="2.6"/>
    <x v="2"/>
    <m/>
    <s v="376BPR0235;466BPR0020"/>
    <s v="Concessão Estadual"/>
    <m/>
    <m/>
    <m/>
    <s v="Federal"/>
    <s v="PAV"/>
    <s v="Londrina"/>
  </r>
  <r>
    <x v="0"/>
    <s v="369BPR0725"/>
    <n v="0"/>
    <x v="324"/>
    <s v="0725"/>
    <n v="-51.645537799729603"/>
    <n v="-23.5881645301689"/>
    <n v="-51.665984040231201"/>
    <n v="-23.602450959643999"/>
    <s v="369"/>
    <s v="PR"/>
    <s v="Eixo Principal"/>
    <s v="-"/>
    <s v="369BPR0725"/>
    <s v="ENTR BR-376(B) (JANDAIA DO SUL)"/>
    <s v="ACESSO SUL JANDAIA DO SUL"/>
    <n v="228.7"/>
    <n v="231.6"/>
    <n v="2.9"/>
    <x v="2"/>
    <m/>
    <s v="466BPR0025"/>
    <s v="Convênio de Administração"/>
    <m/>
    <m/>
    <m/>
    <s v="Federal"/>
    <s v="PAV"/>
    <s v="Londrina"/>
  </r>
  <r>
    <x v="0"/>
    <s v="369BPR0730"/>
    <n v="0"/>
    <x v="324"/>
    <s v="0730"/>
    <n v="-51.665984040231201"/>
    <n v="-23.602450959643999"/>
    <n v="-51.691912690018498"/>
    <n v="-23.6617008995768"/>
    <s v="369"/>
    <s v="PR"/>
    <s v="Eixo Principal"/>
    <s v="-"/>
    <s v="369BPR0730"/>
    <s v="ACESSO SUL JANDAIA DO SUL"/>
    <s v="ENTR BR-466(B) (SÃO JOSÉ)"/>
    <n v="231.6"/>
    <n v="239.2"/>
    <n v="7.6"/>
    <x v="2"/>
    <m/>
    <s v="466BPR0030"/>
    <s v="Convênio de Administração"/>
    <m/>
    <m/>
    <m/>
    <s v="Federal"/>
    <s v="PAV"/>
    <s v="Londrina"/>
  </r>
  <r>
    <x v="0"/>
    <s v="369BPR0735"/>
    <n v="0"/>
    <x v="324"/>
    <s v="0735"/>
    <n v="-51.691912690018498"/>
    <n v="-23.6617008995768"/>
    <n v="-51.761666150272497"/>
    <n v="-23.702518029983001"/>
    <s v="369"/>
    <s v="PR"/>
    <s v="Eixo Principal"/>
    <s v="-"/>
    <s v="369BPR0735"/>
    <s v="ENTR BR-466(B) (SÃO JOSÉ)"/>
    <s v="INÍCIO PISTA DUPLA"/>
    <n v="239.2"/>
    <n v="250"/>
    <n v="10.8"/>
    <x v="2"/>
    <m/>
    <m/>
    <s v="Convênio de Administração"/>
    <m/>
    <m/>
    <m/>
    <s v="Federal"/>
    <s v="PAV"/>
    <s v="Londrina"/>
  </r>
  <r>
    <x v="0"/>
    <s v="369BPR0738"/>
    <n v="0"/>
    <x v="324"/>
    <s v="0738"/>
    <n v="-51.761666150272497"/>
    <n v="-23.702518029983001"/>
    <n v="-51.766158700063798"/>
    <n v="-23.704875430057001"/>
    <s v="369"/>
    <s v="PR"/>
    <s v="Eixo Principal"/>
    <s v="-"/>
    <s v="369BPR0738"/>
    <s v="INÍCIO PISTA DUPLA"/>
    <s v="ENTR PR-546 (BOM SUCESSO)"/>
    <n v="250"/>
    <n v="250.5"/>
    <n v="0.5"/>
    <x v="0"/>
    <m/>
    <m/>
    <s v="Convênio de Administração"/>
    <m/>
    <m/>
    <m/>
    <s v="Federal"/>
    <s v="PAV"/>
    <s v="Londrina"/>
  </r>
  <r>
    <x v="0"/>
    <s v="369BPR0740"/>
    <n v="0"/>
    <x v="324"/>
    <s v="0740"/>
    <n v="-51.766158700063798"/>
    <n v="-23.704875430057001"/>
    <n v="-51.850428870196097"/>
    <n v="-23.857136739968499"/>
    <s v="369"/>
    <s v="PR"/>
    <s v="Eixo Principal"/>
    <s v="-"/>
    <s v="369BPR0740"/>
    <s v="ENTR PR-546 (BOM SUCESSO)"/>
    <s v="ENTR PR-457 (SÃO PEDRO DO IVAÍ)"/>
    <n v="250.5"/>
    <n v="270.60000000000002"/>
    <n v="20.100000000000001"/>
    <x v="1"/>
    <m/>
    <m/>
    <s v="Estadual"/>
    <m/>
    <s v="PRT-369"/>
    <s v="PAV"/>
    <s v="Estadual"/>
    <s v="PLA"/>
    <s v="Londrina"/>
  </r>
  <r>
    <x v="0"/>
    <s v="369BPR0750"/>
    <n v="0"/>
    <x v="324"/>
    <s v="0750"/>
    <n v="-51.850428870196097"/>
    <n v="-23.857136739968499"/>
    <n v="-51.982513059929701"/>
    <n v="-23.929753870045001"/>
    <s v="369"/>
    <s v="PR"/>
    <s v="Eixo Principal"/>
    <s v="-"/>
    <s v="369BPR0750"/>
    <s v="ENTR PR-457 (SÃO PEDRO DO IVAÍ)"/>
    <s v="ENTR PR-082 (FÊNIX)"/>
    <n v="270.60000000000002"/>
    <n v="284.2"/>
    <n v="13.6"/>
    <x v="1"/>
    <m/>
    <m/>
    <s v="Federal"/>
    <m/>
    <m/>
    <m/>
    <s v="Federal"/>
    <s v="PLA"/>
    <s v="Londrina"/>
  </r>
  <r>
    <x v="0"/>
    <s v="369BPR0760"/>
    <n v="0"/>
    <x v="324"/>
    <s v="0760"/>
    <n v="-51.982513059929701"/>
    <n v="-23.929753870045001"/>
    <n v="-52.012652119699503"/>
    <n v="-24.027393049649501"/>
    <s v="369"/>
    <s v="PR"/>
    <s v="Eixo Principal"/>
    <s v="-"/>
    <s v="369BPR0760"/>
    <s v="ENTR PR-082 (FÊNIX)"/>
    <s v="ENTR BR-272(A) (BARBOSA FERRAZ)"/>
    <n v="284.2"/>
    <n v="295.7"/>
    <n v="11.5"/>
    <x v="1"/>
    <m/>
    <m/>
    <s v="Estadual"/>
    <m/>
    <s v="PRT-369"/>
    <s v="PAV"/>
    <s v="Estadual"/>
    <s v="PLA"/>
    <s v="Londrina"/>
  </r>
  <r>
    <x v="0"/>
    <s v="369BPR0770"/>
    <n v="0"/>
    <x v="324"/>
    <s v="0770"/>
    <n v="-52.012652119699503"/>
    <n v="-24.027393049649501"/>
    <n v="-52.3217850996026"/>
    <n v="-24.010022100239599"/>
    <s v="369"/>
    <s v="PR"/>
    <s v="Eixo Principal"/>
    <s v="Coinc"/>
    <s v="369BPR0770"/>
    <s v="ENTR BR-272(A) (BARBOSA FERRAZ)"/>
    <s v="ENTR BR-158(A)/272(B) (ANEL VIÁRIO CAMPO MOURÃO)"/>
    <n v="295.7"/>
    <n v="332.6"/>
    <n v="36.9"/>
    <x v="1"/>
    <m/>
    <s v="272BPR0440"/>
    <s v="Federal"/>
    <m/>
    <m/>
    <m/>
    <s v="Federal"/>
    <s v="PLA"/>
    <s v="Londrina"/>
  </r>
  <r>
    <x v="0"/>
    <s v="369BPR0775"/>
    <n v="0"/>
    <x v="324"/>
    <s v="0775"/>
    <n v="-52.3217850996026"/>
    <n v="-24.010022100239599"/>
    <n v="-52.363089220091403"/>
    <n v="-24.077578889953699"/>
    <s v="369"/>
    <s v="PR"/>
    <s v="Eixo Principal"/>
    <s v="Coinc"/>
    <s v="369BPR0775"/>
    <s v="ENTR BR-158(A)/272(B) (ANEL VIÁRIO CAMPO MOURÃO)"/>
    <s v="ENTR BR-487"/>
    <n v="332.6"/>
    <n v="337.9"/>
    <n v="5.3"/>
    <x v="2"/>
    <m/>
    <s v="158BPR0880"/>
    <s v="Convênio de Administração"/>
    <m/>
    <m/>
    <m/>
    <s v="Federal"/>
    <s v="PAV"/>
    <s v="Campo Mourão"/>
  </r>
  <r>
    <x v="0"/>
    <s v="369BPR0780"/>
    <n v="0"/>
    <x v="324"/>
    <s v="0780"/>
    <n v="-52.363089220091403"/>
    <n v="-24.077578889953699"/>
    <n v="-52.381234010041503"/>
    <n v="-24.090037020192199"/>
    <s v="369"/>
    <s v="PR"/>
    <s v="Eixo Principal"/>
    <s v="Coinc"/>
    <s v="369BPR0780"/>
    <s v="ENTR BR-487"/>
    <s v="ENTR BR-158(B) (ACESSO SUDOESTE CAMPO MOURÃO)"/>
    <n v="337.9"/>
    <n v="340.3"/>
    <n v="2.4"/>
    <x v="2"/>
    <m/>
    <s v="158BPR0890"/>
    <s v="Convênio de Administração"/>
    <m/>
    <m/>
    <m/>
    <s v="Federal"/>
    <s v="PAV"/>
    <s v="Campo Mourão"/>
  </r>
  <r>
    <x v="0"/>
    <s v="369BPR0785"/>
    <n v="0"/>
    <x v="324"/>
    <s v="0785"/>
    <n v="-52.381234010041503"/>
    <n v="-24.090037020192199"/>
    <n v="-52.412747410164698"/>
    <n v="-24.082080139786498"/>
    <s v="369"/>
    <s v="PR"/>
    <s v="Eixo Principal"/>
    <s v="-"/>
    <s v="369BPR0785"/>
    <s v="ENTR BR-158(B) (ACESSO SUDOESTE CAMPO MOURÃO)"/>
    <s v="ACESSO OESTE CAMPO MOURÃO"/>
    <n v="340.3"/>
    <n v="343.7"/>
    <n v="3.4"/>
    <x v="2"/>
    <m/>
    <m/>
    <s v="Convênio de Administração"/>
    <m/>
    <m/>
    <m/>
    <s v="Federal"/>
    <s v="PAV"/>
    <s v="Campo Mourão"/>
  </r>
  <r>
    <x v="0"/>
    <s v="369BPR0790"/>
    <n v="0"/>
    <x v="324"/>
    <s v="0790"/>
    <n v="-52.412747410164698"/>
    <n v="-24.082080139786498"/>
    <n v="-52.512159679625398"/>
    <n v="-24.273119370062801"/>
    <s v="369"/>
    <s v="PR"/>
    <s v="Eixo Principal"/>
    <s v="-"/>
    <s v="369BPR0790"/>
    <s v="ACESSO OESTE CAMPO MOURÃO"/>
    <s v="ENTR PR-471 (P/MAMBORÉ)"/>
    <n v="343.7"/>
    <n v="370.2"/>
    <n v="26.5"/>
    <x v="2"/>
    <m/>
    <m/>
    <s v="Convênio de Administração"/>
    <m/>
    <m/>
    <m/>
    <s v="Federal"/>
    <s v="PAV"/>
    <s v="Campo Mourão"/>
  </r>
  <r>
    <x v="0"/>
    <s v="369BPR0795"/>
    <n v="0"/>
    <x v="324"/>
    <s v="0795"/>
    <n v="-52.512159679625398"/>
    <n v="-24.273119370062801"/>
    <n v="-52.727329750167698"/>
    <n v="-24.344468609838401"/>
    <s v="369"/>
    <s v="PR"/>
    <s v="Eixo Principal"/>
    <s v="-"/>
    <s v="369BPR0795"/>
    <s v="ENTR PR-471 (P/MAMBORÉ)"/>
    <s v="ENTR PR-468"/>
    <n v="370.2"/>
    <n v="394.2"/>
    <n v="24"/>
    <x v="2"/>
    <m/>
    <m/>
    <s v="Convênio de Administração"/>
    <m/>
    <m/>
    <m/>
    <s v="Federal"/>
    <s v="PAV"/>
    <s v="Campo Mourão"/>
  </r>
  <r>
    <x v="0"/>
    <s v="369BPR0800"/>
    <n v="0"/>
    <x v="324"/>
    <s v="0800"/>
    <n v="-52.727329750167698"/>
    <n v="-24.344468609838401"/>
    <n v="-52.893867320020703"/>
    <n v="-24.488696319979098"/>
    <s v="369"/>
    <s v="PR"/>
    <s v="Eixo Principal"/>
    <s v="-"/>
    <s v="369BPR0800"/>
    <s v="ENTR PR-468"/>
    <s v="ENTR PR-239(A)"/>
    <n v="394.2"/>
    <n v="417.9"/>
    <n v="23.7"/>
    <x v="2"/>
    <m/>
    <m/>
    <s v="Convênio de Administração"/>
    <m/>
    <m/>
    <m/>
    <s v="Federal"/>
    <s v="PAV"/>
    <s v="Campo Mourão"/>
  </r>
  <r>
    <x v="0"/>
    <s v="369BPR0805"/>
    <n v="0"/>
    <x v="324"/>
    <s v="0805"/>
    <n v="-52.893867320020703"/>
    <n v="-24.488696319979098"/>
    <n v="-52.998474620407301"/>
    <n v="-24.5569743803633"/>
    <s v="369"/>
    <s v="PR"/>
    <s v="Eixo Principal"/>
    <s v="-"/>
    <s v="369BPR0805"/>
    <s v="ENTR PR-239(A)"/>
    <s v="UBIRATÃ"/>
    <n v="417.9"/>
    <n v="430.1"/>
    <n v="12.2"/>
    <x v="2"/>
    <m/>
    <m/>
    <s v="Convênio de Administração"/>
    <m/>
    <m/>
    <m/>
    <s v="Federal"/>
    <s v="PAV"/>
    <s v="Campo Mourão"/>
  </r>
  <r>
    <x v="0"/>
    <s v="369BPR0810"/>
    <n v="0"/>
    <x v="324"/>
    <s v="0810"/>
    <n v="-52.998474620407301"/>
    <n v="-24.5569743803633"/>
    <n v="-53.201240650435601"/>
    <n v="-24.5879736003013"/>
    <s v="369"/>
    <s v="PR"/>
    <s v="Eixo Principal"/>
    <s v="-"/>
    <s v="369BPR0810"/>
    <s v="UBIRATÃ"/>
    <s v="ENTR PR-239(B)"/>
    <n v="430.1"/>
    <n v="455.9"/>
    <n v="25.8"/>
    <x v="2"/>
    <m/>
    <m/>
    <s v="Convênio de Administração"/>
    <m/>
    <m/>
    <m/>
    <s v="Federal"/>
    <s v="PAV"/>
    <s v="Campo Mourão"/>
  </r>
  <r>
    <x v="0"/>
    <s v="369BPR0830"/>
    <n v="0"/>
    <x v="324"/>
    <s v="0830"/>
    <n v="-53.201240650435601"/>
    <n v="-24.5879736003013"/>
    <n v="-53.246530989813202"/>
    <n v="-24.719779049663298"/>
    <s v="369"/>
    <s v="PR"/>
    <s v="Eixo Principal"/>
    <s v="-"/>
    <s v="369BPR0830"/>
    <s v="ENTR PR-239(B)"/>
    <s v="ENTR PR-574 (P/CAFELÂNDIA)"/>
    <n v="455.9"/>
    <n v="472.7"/>
    <n v="16.8"/>
    <x v="2"/>
    <m/>
    <m/>
    <s v="Convênio de Administração"/>
    <m/>
    <m/>
    <m/>
    <s v="Federal"/>
    <s v="PAV"/>
    <s v="Campo Mourão"/>
  </r>
  <r>
    <x v="0"/>
    <s v="369BPR0850"/>
    <n v="0"/>
    <x v="324"/>
    <s v="0850"/>
    <n v="-53.246530989813202"/>
    <n v="-24.719779049663298"/>
    <n v="-53.288321409705198"/>
    <n v="-24.793140240129901"/>
    <s v="369"/>
    <s v="PR"/>
    <s v="Eixo Principal"/>
    <s v="-"/>
    <s v="369BPR0850"/>
    <s v="ENTR PR-574 (P/CAFELÂNDIA)"/>
    <s v="ENTR PR-573 (CORBÉLIA)"/>
    <n v="472.7"/>
    <n v="483.4"/>
    <n v="10.7"/>
    <x v="2"/>
    <m/>
    <m/>
    <s v="Convênio de Administração"/>
    <m/>
    <m/>
    <m/>
    <s v="Federal"/>
    <s v="PAV"/>
    <s v="Campo Mourão"/>
  </r>
  <r>
    <x v="0"/>
    <s v="369BPR0870"/>
    <n v="0"/>
    <x v="324"/>
    <s v="0870"/>
    <n v="-53.288321409705198"/>
    <n v="-24.793140240129901"/>
    <n v="-53.405738459961903"/>
    <n v="-24.964749560044101"/>
    <s v="369"/>
    <s v="PR"/>
    <s v="Eixo Principal"/>
    <s v="-"/>
    <s v="369BPR0870"/>
    <s v="ENTR PR-573 (CORBÉLIA)"/>
    <s v="ENTR BR-277/467 (CASCAVEL - TREVO DAS CATARATAS)"/>
    <n v="483.4"/>
    <n v="507.4"/>
    <n v="24"/>
    <x v="2"/>
    <m/>
    <m/>
    <s v="Convênio de Administração"/>
    <m/>
    <m/>
    <m/>
    <s v="Federal"/>
    <s v="PAV"/>
    <s v="Campo Mourão"/>
  </r>
  <r>
    <x v="0"/>
    <s v="369BSP0150"/>
    <n v="0"/>
    <x v="325"/>
    <s v="0150"/>
    <n v="-46.5211089999802"/>
    <n v="-21.5275024904475"/>
    <n v="-46.629666600333202"/>
    <n v="-21.555951750173101"/>
    <s v="369"/>
    <s v="SP"/>
    <s v="Eixo Principal"/>
    <s v="-"/>
    <s v="369BSP0150"/>
    <s v="DIV MG/SP"/>
    <s v="ENTR SP-253 (CACONDE) *TRECHO MUNICIPAL*"/>
    <n v="0"/>
    <n v="22.5"/>
    <n v="22.5"/>
    <x v="1"/>
    <m/>
    <m/>
    <s v="Estadual"/>
    <m/>
    <s v="SPT-369"/>
    <s v="IMP"/>
    <s v="Estadual"/>
    <s v="PLA"/>
    <s v="Taubaté"/>
  </r>
  <r>
    <x v="0"/>
    <s v="369BSP0170"/>
    <n v="0"/>
    <x v="325"/>
    <s v="0170"/>
    <n v="-46.629666600333202"/>
    <n v="-21.555951750173101"/>
    <n v="-46.897544499778803"/>
    <n v="-21.6280499399527"/>
    <s v="369"/>
    <s v="SP"/>
    <s v="Eixo Principal"/>
    <s v="-"/>
    <s v="369BSP0170"/>
    <s v="ENTR SP-253 (CACONDE)"/>
    <s v="ENTR SP-350 (P/SÃO JOSÉ DO RIO PARDO)"/>
    <n v="22.5"/>
    <n v="54.2"/>
    <n v="31.7"/>
    <x v="1"/>
    <m/>
    <m/>
    <s v="Federal"/>
    <m/>
    <m/>
    <m/>
    <s v="Federal"/>
    <s v="PLA"/>
    <s v="Taubaté"/>
  </r>
  <r>
    <x v="0"/>
    <s v="369BSP0190"/>
    <n v="0"/>
    <x v="325"/>
    <s v="0190"/>
    <n v="-46.897544499778803"/>
    <n v="-21.6280499399527"/>
    <n v="-47.059728549632801"/>
    <n v="-21.774902340370598"/>
    <s v="369"/>
    <s v="SP"/>
    <s v="Eixo Principal"/>
    <s v="-"/>
    <s v="369BSP0190"/>
    <s v="ENTR SP-350 (P/SÃO JOSÉ DO RIO PARDO)"/>
    <s v="ENTR BR-267(A)/SP-340(A)"/>
    <n v="54.2"/>
    <n v="78.7"/>
    <n v="24.5"/>
    <x v="1"/>
    <m/>
    <m/>
    <s v="Estadual"/>
    <m/>
    <s v="SP-350"/>
    <s v="PAV"/>
    <s v="Estadual"/>
    <s v="PLA"/>
    <s v="Taubaté"/>
  </r>
  <r>
    <x v="0"/>
    <s v="369BSP0210"/>
    <n v="0"/>
    <x v="325"/>
    <s v="0210"/>
    <n v="-47.059728549632801"/>
    <n v="-21.774902340370598"/>
    <n v="-47.064071540369198"/>
    <n v="-21.786319529622499"/>
    <s v="369"/>
    <s v="SP"/>
    <s v="Eixo Principal"/>
    <s v="Coinc"/>
    <s v="369BSP0210"/>
    <s v="ENTR BR-267(A)/SP-340(A)"/>
    <s v="ENTR SP-340(B) (CASA BRANCA)"/>
    <n v="78.7"/>
    <n v="80.5"/>
    <n v="1.8"/>
    <x v="1"/>
    <m/>
    <s v="267BSP0490"/>
    <s v="Estadual"/>
    <m/>
    <s v="SP-215"/>
    <s v="PAV"/>
    <s v="Estadual"/>
    <s v="PLA"/>
    <s v="Taubaté"/>
  </r>
  <r>
    <x v="0"/>
    <s v="369BSP0230"/>
    <n v="0"/>
    <x v="325"/>
    <s v="0230"/>
    <n v="-47.064071540369198"/>
    <n v="-21.786319529622499"/>
    <n v="-47.247633249574697"/>
    <n v="-21.812585230024201"/>
    <s v="369"/>
    <s v="SP"/>
    <s v="Eixo Principal"/>
    <s v="Coinc"/>
    <s v="369BSP0230"/>
    <s v="ENTR SP-340(B) (CASA BRANCA)"/>
    <s v="ENTR SP-332 (SANTA CRUZ DAS PALMEIRAS)"/>
    <n v="80.5"/>
    <n v="99.7"/>
    <n v="19.2"/>
    <x v="1"/>
    <m/>
    <s v="267BSP0510"/>
    <s v="Estadual"/>
    <m/>
    <s v="SP-215"/>
    <s v="PAV"/>
    <s v="Estadual"/>
    <s v="PLA"/>
    <s v="Taubaté"/>
  </r>
  <r>
    <x v="0"/>
    <s v="369BSP0243"/>
    <n v="0"/>
    <x v="325"/>
    <s v="0243"/>
    <n v="-47.247633249574697"/>
    <n v="-21.812585230024201"/>
    <n v="-47.292005429706698"/>
    <n v="-21.822822190391701"/>
    <s v="369"/>
    <s v="SP"/>
    <s v="Eixo Principal"/>
    <s v="Coinc"/>
    <s v="369BSP0243"/>
    <s v="ENTR SP-332 (SANTA CRUZ DAS PALMEIRAS)"/>
    <s v="ENTR BR-267(B)"/>
    <n v="99.7"/>
    <n v="104.7"/>
    <n v="5"/>
    <x v="1"/>
    <m/>
    <s v="267BSP0525"/>
    <s v="Estadual"/>
    <m/>
    <s v="SP-215"/>
    <s v="PAV"/>
    <s v="Estadual"/>
    <s v="PLA"/>
    <s v="Taubaté"/>
  </r>
  <r>
    <x v="0"/>
    <s v="369BSP0250"/>
    <n v="0"/>
    <x v="325"/>
    <s v="0250"/>
    <n v="-47.292005429706698"/>
    <n v="-21.822822190391701"/>
    <n v="-47.432559199747203"/>
    <n v="-22.0379164498842"/>
    <s v="369"/>
    <s v="SP"/>
    <s v="Eixo Principal"/>
    <s v="-"/>
    <s v="369BSP0250"/>
    <s v="ENTR BR-267(B)"/>
    <s v="ENTR BR-050 (PIRASSUNUNGA)"/>
    <n v="104.7"/>
    <n v="127.5"/>
    <n v="22.8"/>
    <x v="1"/>
    <m/>
    <m/>
    <s v="Estadual"/>
    <m/>
    <s v="SP-201"/>
    <s v="PAV"/>
    <s v="Estadual"/>
    <s v="PLA"/>
    <s v="Taubaté"/>
  </r>
  <r>
    <x v="0"/>
    <s v="369BSP0270"/>
    <n v="0"/>
    <x v="325"/>
    <s v="0270"/>
    <n v="-47.432559199747203"/>
    <n v="-22.0379164498842"/>
    <n v="-47.7666531400303"/>
    <n v="-22.215701530301299"/>
    <s v="369"/>
    <s v="SP"/>
    <s v="Eixo Principal"/>
    <s v="-"/>
    <s v="369BSP0270"/>
    <s v="ENTR BR-050 (PIRASSUNUNGA)"/>
    <s v="ENTR BR-364"/>
    <n v="127.5"/>
    <n v="169.2"/>
    <n v="41.7"/>
    <x v="1"/>
    <m/>
    <m/>
    <s v="Estadual"/>
    <m/>
    <s v="SP-225"/>
    <s v="PAV"/>
    <s v="Estadual"/>
    <s v="PLA"/>
    <s v="Taubaté"/>
  </r>
  <r>
    <x v="0"/>
    <s v="369BSP0290"/>
    <n v="0"/>
    <x v="325"/>
    <s v="0290"/>
    <n v="-47.7666531400303"/>
    <n v="-22.215701530301299"/>
    <n v="-48.088453710370402"/>
    <n v="-22.291643560102099"/>
    <s v="369"/>
    <s v="SP"/>
    <s v="Eixo Principal"/>
    <s v="-"/>
    <s v="369BSP0290"/>
    <s v="ENTR BR-364"/>
    <s v="ENTR SP-197"/>
    <n v="169.2"/>
    <n v="204.6"/>
    <n v="35.4"/>
    <x v="1"/>
    <m/>
    <m/>
    <s v="Estadual"/>
    <m/>
    <s v="SP-225"/>
    <s v="PAV"/>
    <s v="Estadual"/>
    <s v="PLA"/>
    <s v="Taubaté"/>
  </r>
  <r>
    <x v="0"/>
    <s v="369BSP0310"/>
    <n v="0"/>
    <x v="325"/>
    <s v="0310"/>
    <n v="-48.088453710370402"/>
    <n v="-22.291643560102099"/>
    <n v="-48.119579550355901"/>
    <n v="-22.2745963999038"/>
    <s v="369"/>
    <s v="SP"/>
    <s v="Eixo Principal"/>
    <s v="-"/>
    <s v="369BSP0310"/>
    <s v="ENTR SP-197"/>
    <s v="ENTR AV. DANTE MARTINELLI (BROTAS)"/>
    <n v="204.6"/>
    <n v="208.4"/>
    <n v="3.8"/>
    <x v="1"/>
    <m/>
    <m/>
    <s v="Estadual"/>
    <m/>
    <s v="SP-225"/>
    <s v="PAV"/>
    <s v="Estadual"/>
    <s v="PLA"/>
    <s v="Taubaté"/>
  </r>
  <r>
    <x v="0"/>
    <s v="369BSP0330"/>
    <n v="0"/>
    <x v="325"/>
    <s v="0330"/>
    <n v="-48.119579550355901"/>
    <n v="-22.2745963999038"/>
    <n v="-48.550831440318603"/>
    <n v="-22.256913720291799"/>
    <s v="369"/>
    <s v="SP"/>
    <s v="Eixo Principal"/>
    <s v="-"/>
    <s v="369BSP0330"/>
    <s v="ENTR AV. DANTE MARTINELLI (BROTAS)"/>
    <s v="ENTR SP-255(A)/304(A)"/>
    <n v="208.4"/>
    <n v="255.9"/>
    <n v="47.5"/>
    <x v="1"/>
    <m/>
    <m/>
    <s v="Estadual"/>
    <m/>
    <s v="SP-225"/>
    <s v="PAV"/>
    <s v="Estadual"/>
    <s v="PLA"/>
    <s v="Taubaté"/>
  </r>
  <r>
    <x v="0"/>
    <s v="369BSP0331"/>
    <n v="0"/>
    <x v="325"/>
    <s v="0331"/>
    <n v="-48.550831440318603"/>
    <n v="-22.256913720291799"/>
    <n v="-48.576251500106501"/>
    <n v="-22.302951130090499"/>
    <s v="369"/>
    <s v="SP"/>
    <s v="Eixo Principal"/>
    <s v="-"/>
    <s v="369BSP0331"/>
    <s v="ENTR SP-255(A)/304(A)"/>
    <s v="ENTR SP-255(B)/304(B) (JAÚ)"/>
    <n v="255.9"/>
    <n v="262"/>
    <n v="6.1"/>
    <x v="1"/>
    <m/>
    <m/>
    <s v="Estadual"/>
    <m/>
    <s v="SP-225"/>
    <s v="DUP"/>
    <s v="Estadual"/>
    <s v="PLA"/>
    <s v="Taubaté"/>
  </r>
  <r>
    <x v="0"/>
    <s v="369BSP0350"/>
    <n v="0"/>
    <x v="325"/>
    <s v="0350"/>
    <n v="-48.576251500106501"/>
    <n v="-22.302951130090499"/>
    <n v="-48.757135170351702"/>
    <n v="-22.330701839618101"/>
    <s v="369"/>
    <s v="SP"/>
    <s v="Eixo Principal"/>
    <s v="-"/>
    <s v="369BSP0350"/>
    <s v="ENTR SP-255(B)/304(B) (JAÚ)"/>
    <s v="ENTR SP-261(A) (PEDERNEIRAS)"/>
    <n v="262"/>
    <n v="281.60000000000002"/>
    <n v="19.600000000000001"/>
    <x v="1"/>
    <m/>
    <m/>
    <s v="Estadual"/>
    <m/>
    <s v="SP-225"/>
    <s v="DUP"/>
    <s v="Estadual"/>
    <s v="PLA"/>
    <s v="Taubaté"/>
  </r>
  <r>
    <x v="0"/>
    <s v="369BSP0360"/>
    <n v="0"/>
    <x v="325"/>
    <s v="0360"/>
    <n v="-48.757135170351702"/>
    <n v="-22.330701839618101"/>
    <n v="-48.795372260021701"/>
    <n v="-22.337161409970999"/>
    <s v="369"/>
    <s v="SP"/>
    <s v="Eixo Principal"/>
    <s v="-"/>
    <s v="369BSP0360"/>
    <s v="ENTR SP-261(A) (PEDERNEIRAS)"/>
    <s v="ENTR SP-261(B)"/>
    <n v="281.60000000000002"/>
    <n v="284.60000000000002"/>
    <n v="3"/>
    <x v="1"/>
    <m/>
    <m/>
    <s v="Estadual"/>
    <m/>
    <s v="SP-225"/>
    <s v="DUP"/>
    <s v="Estadual"/>
    <s v="PLA"/>
    <s v="Taubaté"/>
  </r>
  <r>
    <x v="0"/>
    <s v="369BSP0370"/>
    <n v="0"/>
    <x v="325"/>
    <s v="0370"/>
    <n v="-48.795372260021701"/>
    <n v="-22.337161409970999"/>
    <n v="-49.0406222104466"/>
    <n v="-22.3620821598637"/>
    <s v="369"/>
    <s v="SP"/>
    <s v="Eixo Principal"/>
    <s v="-"/>
    <s v="369BSP0370"/>
    <s v="ENTR SP-261(B)"/>
    <s v="ENTR SP-300 (P/BAURÚ)"/>
    <n v="284.60000000000002"/>
    <n v="312"/>
    <n v="27.4"/>
    <x v="1"/>
    <m/>
    <m/>
    <s v="Estadual"/>
    <m/>
    <s v="SP-225"/>
    <s v="DUP"/>
    <s v="Estadual"/>
    <s v="PLA"/>
    <s v="Taubaté"/>
  </r>
  <r>
    <x v="0"/>
    <s v="369BSP0390"/>
    <n v="0"/>
    <x v="325"/>
    <s v="0390"/>
    <n v="-49.0406222104466"/>
    <n v="-22.3620821598637"/>
    <n v="-49.124646870156802"/>
    <n v="-22.424350190408902"/>
    <s v="369"/>
    <s v="SP"/>
    <s v="Eixo Principal"/>
    <s v="-"/>
    <s v="369BSP0390"/>
    <s v="ENTR SP-300 (P/BAURÚ)"/>
    <s v="ACESSO SUL PIRATININGA"/>
    <n v="312"/>
    <n v="323.2"/>
    <n v="11.2"/>
    <x v="1"/>
    <m/>
    <m/>
    <s v="Estadual"/>
    <m/>
    <s v="SP-225"/>
    <s v="PAV"/>
    <s v="Estadual"/>
    <s v="PLA"/>
    <s v="Taubaté"/>
  </r>
  <r>
    <x v="0"/>
    <s v="369BSP0397"/>
    <n v="0"/>
    <x v="325"/>
    <s v="0397"/>
    <n v="-49.124646870156802"/>
    <n v="-22.424350190408902"/>
    <n v="-49.462040229672802"/>
    <n v="-22.732090089885599"/>
    <s v="369"/>
    <s v="SP"/>
    <s v="Eixo Principal"/>
    <s v="-"/>
    <s v="369BSP0397"/>
    <s v="ACESSO SUL PIRATININGA"/>
    <s v="ENTR BR-374"/>
    <n v="323.2"/>
    <n v="375.6"/>
    <n v="52.4"/>
    <x v="1"/>
    <m/>
    <m/>
    <s v="Estadual"/>
    <m/>
    <s v="SP-225"/>
    <s v="PAV"/>
    <s v="Estadual"/>
    <s v="PLA"/>
    <s v="Taubaté"/>
  </r>
  <r>
    <x v="0"/>
    <s v="369BSP0410"/>
    <n v="0"/>
    <x v="325"/>
    <s v="0410"/>
    <n v="-49.462040229672802"/>
    <n v="-22.732090089885599"/>
    <n v="-49.5873002701912"/>
    <n v="-22.862725919665401"/>
    <s v="369"/>
    <s v="SP"/>
    <s v="Eixo Principal"/>
    <s v="-"/>
    <s v="369BSP0410"/>
    <s v="ENTR BR-374"/>
    <s v="ENTR SP-225 (SANTA CRUZ DO RIO PARDO)"/>
    <n v="375.6"/>
    <n v="395.6"/>
    <n v="20"/>
    <x v="1"/>
    <m/>
    <m/>
    <s v="Estadual"/>
    <m/>
    <s v="SP-225"/>
    <s v="DUP"/>
    <s v="Estadual"/>
    <s v="PLA"/>
    <s v="Taubaté"/>
  </r>
  <r>
    <x v="0"/>
    <s v="369BSP0430"/>
    <n v="0"/>
    <x v="325"/>
    <s v="0430"/>
    <n v="-49.5873002701912"/>
    <n v="-22.862725919665401"/>
    <n v="-49.900824680114802"/>
    <n v="-22.9229479898577"/>
    <s v="369"/>
    <s v="SP"/>
    <s v="Eixo Principal"/>
    <s v="-"/>
    <s v="369BSP0430"/>
    <s v="ENTR SP-225 (SANTA CRUZ DO RIO PARDO)"/>
    <s v="ENTR BR-153(A)/SP-270"/>
    <n v="395.6"/>
    <n v="428"/>
    <n v="32.4"/>
    <x v="1"/>
    <m/>
    <m/>
    <s v="Estadual"/>
    <m/>
    <s v="SP-327"/>
    <s v="DUP"/>
    <s v="Estadual"/>
    <s v="PLA"/>
    <s v="Taubaté"/>
  </r>
  <r>
    <x v="0"/>
    <s v="369BSP0440"/>
    <n v="0"/>
    <x v="325"/>
    <s v="0440"/>
    <n v="-49.900824680114802"/>
    <n v="-22.9229479898577"/>
    <n v="-49.902091459753002"/>
    <n v="-22.9743048598813"/>
    <s v="369"/>
    <s v="SP"/>
    <s v="Eixo Principal"/>
    <s v="Coinc"/>
    <s v="369BSP0440"/>
    <s v="ENTR BR-153(A)/SP-270"/>
    <s v="ACESSO OURINHOS (AVENIDA FABRIL)"/>
    <n v="428"/>
    <n v="434.7"/>
    <n v="6.7"/>
    <x v="2"/>
    <m/>
    <s v="153BSP1170"/>
    <s v="Concessão Federal"/>
    <m/>
    <m/>
    <m/>
    <s v="Federal"/>
    <s v="PAV"/>
    <s v="Taubaté"/>
  </r>
  <r>
    <x v="0"/>
    <s v="369BSP0450"/>
    <n v="0"/>
    <x v="325"/>
    <s v="0450"/>
    <n v="-49.902091459753002"/>
    <n v="-22.9743048598813"/>
    <n v="-49.9056926096262"/>
    <n v="-22.998523449697402"/>
    <s v="369"/>
    <s v="SP"/>
    <s v="Eixo Principal"/>
    <s v="Coinc"/>
    <s v="369BSP0450"/>
    <s v="ACESSO OURINHOS (AVENIDA FABRIL)"/>
    <s v="ENTR BR-153(B) (DIV SP/PR)"/>
    <n v="434.7"/>
    <n v="437.3"/>
    <n v="2.6"/>
    <x v="0"/>
    <m/>
    <s v="153BSP1190"/>
    <s v="Concessão Federal"/>
    <m/>
    <m/>
    <m/>
    <s v="Federal"/>
    <s v="PAV"/>
    <s v="Taubaté"/>
  </r>
  <r>
    <x v="0"/>
    <s v="373BPR0250"/>
    <n v="0"/>
    <x v="326"/>
    <s v="0250"/>
    <n v="-49.003881429883997"/>
    <n v="-24.656088699933399"/>
    <n v="-49.262168959929497"/>
    <n v="-24.8256363303523"/>
    <s v="373"/>
    <s v="PR"/>
    <s v="Eixo Principal"/>
    <s v="-"/>
    <s v="373BPR0250"/>
    <s v="INÍCIO PONTE S/RIO RIBEIRA DE IGUAPE (RIBEIRA) (DIV PR/SP)"/>
    <s v="ENTR PR-092/340 (CERRO AZUL)"/>
    <n v="0"/>
    <n v="51"/>
    <n v="51"/>
    <x v="1"/>
    <m/>
    <m/>
    <s v="Federal"/>
    <m/>
    <m/>
    <m/>
    <s v="Federal"/>
    <s v="PLA"/>
    <s v="Ponta Grossa"/>
  </r>
  <r>
    <x v="0"/>
    <s v="373BPR0270"/>
    <n v="0"/>
    <x v="326"/>
    <s v="0270"/>
    <n v="-49.262168959929497"/>
    <n v="-24.8256363303523"/>
    <n v="-49.789712300082499"/>
    <n v="-24.9715460901798"/>
    <s v="373"/>
    <s v="PR"/>
    <s v="Eixo Principal"/>
    <s v="-"/>
    <s v="373BPR0270"/>
    <s v="ENTR PR-092/340 (CERRO AZUL)"/>
    <s v="ENTR PR-090"/>
    <n v="51"/>
    <n v="109"/>
    <n v="58"/>
    <x v="1"/>
    <m/>
    <m/>
    <s v="Federal"/>
    <m/>
    <m/>
    <m/>
    <s v="Federal"/>
    <s v="PLA"/>
    <s v="Ponta Grossa"/>
  </r>
  <r>
    <x v="0"/>
    <s v="373BPR0290"/>
    <n v="0"/>
    <x v="326"/>
    <s v="0290"/>
    <n v="-49.789712300082499"/>
    <n v="-24.9715460901798"/>
    <n v="-50.151357099850202"/>
    <n v="-25.022580670161702"/>
    <s v="373"/>
    <s v="PR"/>
    <s v="Eixo Principal"/>
    <s v="-"/>
    <s v="373BPR0290"/>
    <s v="ENTR PR-090"/>
    <s v="ENTR BR-487(A)/PR-151 (PONTA GROSSA)"/>
    <n v="109"/>
    <n v="164"/>
    <n v="55"/>
    <x v="1"/>
    <m/>
    <m/>
    <s v="Federal"/>
    <m/>
    <m/>
    <m/>
    <s v="Federal"/>
    <s v="PLA"/>
    <s v="Ponta Grossa"/>
  </r>
  <r>
    <x v="0"/>
    <s v="373BPR0310"/>
    <n v="0"/>
    <x v="326"/>
    <s v="0310"/>
    <n v="-50.151357099850202"/>
    <n v="-25.022580670161702"/>
    <n v="-50.191147850192998"/>
    <n v="-25.081815120171498"/>
    <s v="373"/>
    <s v="PR"/>
    <s v="Eixo Principal"/>
    <s v="-"/>
    <s v="373BPR0310"/>
    <s v="ENTR BR-487(A)/PR-151 (PONTA GROSSA)"/>
    <s v="ENTR BR-376(A)"/>
    <n v="164"/>
    <n v="171.9"/>
    <n v="7.9"/>
    <x v="1"/>
    <m/>
    <s v="487BPR0350"/>
    <s v="Estadual"/>
    <m/>
    <s v="PTR-373"/>
    <s v="DUP"/>
    <s v="Estadual"/>
    <s v="PLA"/>
    <s v="Ponta Grossa"/>
  </r>
  <r>
    <x v="0"/>
    <s v="373BPR0320"/>
    <n v="0"/>
    <x v="326"/>
    <s v="0320"/>
    <n v="-50.191147850192998"/>
    <n v="-25.081815120171498"/>
    <n v="-50.2806248899266"/>
    <n v="-25.0400581100936"/>
    <s v="373"/>
    <s v="PR"/>
    <s v="Eixo Principal"/>
    <s v="-"/>
    <s v="373BPR0320"/>
    <s v="ENTR BR-376(A)"/>
    <s v="ENTR BR-376(B) (CAETANO)"/>
    <n v="171.9"/>
    <n v="183.4"/>
    <n v="11.5"/>
    <x v="0"/>
    <m/>
    <s v="376BPR0390;487BPR0340"/>
    <s v="Convênio de Administração"/>
    <m/>
    <m/>
    <m/>
    <s v="Federal"/>
    <s v="PAV"/>
    <s v="Ponta Grossa"/>
  </r>
  <r>
    <x v="0"/>
    <s v="373BPR0330"/>
    <n v="0"/>
    <x v="326"/>
    <s v="0330"/>
    <n v="-50.2806248899266"/>
    <n v="-25.0400581100936"/>
    <n v="-50.410661930403698"/>
    <n v="-25.086138000268399"/>
    <s v="373"/>
    <s v="PR"/>
    <s v="Eixo Principal"/>
    <s v="-"/>
    <s v="373BPR0330"/>
    <s v="ENTR BR-376(B) (CAETANO)"/>
    <s v="ENTR BR-487(B) (UVAIA)"/>
    <n v="183.4"/>
    <n v="199.3"/>
    <n v="15.9"/>
    <x v="2"/>
    <m/>
    <s v="487BPR0330"/>
    <s v="Convênio de Administração"/>
    <m/>
    <m/>
    <m/>
    <s v="Federal"/>
    <s v="PAV"/>
    <s v="Ponta Grossa"/>
  </r>
  <r>
    <x v="0"/>
    <s v="373BPR0350"/>
    <n v="0"/>
    <x v="326"/>
    <s v="0350"/>
    <n v="-50.410661930403698"/>
    <n v="-25.086138000268399"/>
    <n v="-50.596709710184903"/>
    <n v="-25.180765139899201"/>
    <s v="373"/>
    <s v="PR"/>
    <s v="Eixo Principal"/>
    <s v="-"/>
    <s v="373BPR0350"/>
    <s v="ENTR BR-487(B) (UVAIA)"/>
    <s v="ENTR BR-153 (P/IMBITUVA)"/>
    <n v="199.3"/>
    <n v="222.5"/>
    <n v="23.2"/>
    <x v="2"/>
    <m/>
    <m/>
    <s v="Convênio de Administração"/>
    <m/>
    <m/>
    <m/>
    <s v="Federal"/>
    <s v="PAV"/>
    <s v="Ponta Grossa"/>
  </r>
  <r>
    <x v="0"/>
    <s v="373BPR0370"/>
    <n v="0"/>
    <x v="326"/>
    <s v="0370"/>
    <n v="-50.596709710184903"/>
    <n v="-25.180765139899201"/>
    <n v="-50.652569340002898"/>
    <n v="-25.1784065401296"/>
    <s v="373"/>
    <s v="PR"/>
    <s v="Eixo Principal"/>
    <s v="-"/>
    <s v="373BPR0370"/>
    <s v="ENTR BR-153 (P/IMBITUVA)"/>
    <s v="ENTR PR-522 (P/IVAÍ)"/>
    <n v="222.5"/>
    <n v="228.4"/>
    <n v="5.9"/>
    <x v="2"/>
    <m/>
    <m/>
    <s v="Convênio de Administração"/>
    <m/>
    <m/>
    <m/>
    <s v="Federal"/>
    <s v="PAV"/>
    <s v="Ponta Grossa"/>
  </r>
  <r>
    <x v="0"/>
    <s v="373BPR0375"/>
    <n v="0"/>
    <x v="326"/>
    <s v="0375"/>
    <n v="-50.652569340002898"/>
    <n v="-25.1784065401296"/>
    <n v="-50.812651380157"/>
    <n v="-25.1883308700735"/>
    <s v="373"/>
    <s v="PR"/>
    <s v="Eixo Principal"/>
    <s v="-"/>
    <s v="373BPR0375"/>
    <s v="ENTR PR-522 (P/IVAÍ)"/>
    <s v="ACESSO GUAMIRANGA"/>
    <n v="228.4"/>
    <n v="245.9"/>
    <n v="17.5"/>
    <x v="2"/>
    <m/>
    <m/>
    <s v="Convênio de Administração"/>
    <m/>
    <m/>
    <m/>
    <s v="Federal"/>
    <s v="PAV"/>
    <s v="Ponta Grossa"/>
  </r>
  <r>
    <x v="0"/>
    <s v="373BPR0380"/>
    <n v="0"/>
    <x v="326"/>
    <s v="0380"/>
    <n v="-50.812651380157"/>
    <n v="-25.1883308700735"/>
    <n v="-50.986627089768298"/>
    <n v="-25.2035555802257"/>
    <s v="373"/>
    <s v="PR"/>
    <s v="Eixo Principal"/>
    <s v="-"/>
    <s v="373BPR0380"/>
    <s v="ACESSO GUAMIRANGA"/>
    <s v="ENTR PR-160 (PRUDENTÓPOLIS)"/>
    <n v="245.9"/>
    <n v="264.39999999999998"/>
    <n v="18.5"/>
    <x v="2"/>
    <m/>
    <m/>
    <s v="Convênio de Administração"/>
    <m/>
    <m/>
    <m/>
    <s v="Federal"/>
    <s v="PAV"/>
    <s v="Ponta Grossa"/>
  </r>
  <r>
    <x v="0"/>
    <s v="373BPR0390"/>
    <n v="0"/>
    <x v="326"/>
    <s v="0390"/>
    <n v="-50.986627089768298"/>
    <n v="-25.2035555802257"/>
    <n v="-51.128449849980498"/>
    <n v="-25.2920636697025"/>
    <s v="373"/>
    <s v="PR"/>
    <s v="Eixo Principal"/>
    <s v="-"/>
    <s v="373BPR0390"/>
    <s v="ENTR PR-160 (PRUDENTÓPOLIS)"/>
    <s v="ENTR BR-277(A) (RELÓGIO)"/>
    <n v="264.39999999999998"/>
    <n v="282.7"/>
    <n v="18.3"/>
    <x v="2"/>
    <m/>
    <m/>
    <s v="Convênio de Administração"/>
    <m/>
    <m/>
    <m/>
    <s v="Federal"/>
    <s v="PAV"/>
    <s v="Ponta Grossa"/>
  </r>
  <r>
    <x v="0"/>
    <s v="373BPR0400"/>
    <n v="0"/>
    <x v="326"/>
    <s v="0400"/>
    <n v="-51.128449849980498"/>
    <n v="-25.2920636697025"/>
    <n v="-51.289047559597101"/>
    <n v="-25.3774167998453"/>
    <s v="373"/>
    <s v="PR"/>
    <s v="Eixo Principal"/>
    <s v="Coinc"/>
    <s v="373BPR0400"/>
    <s v="ENTR BR-277(A) (RELÓGIO)"/>
    <s v="ENTR PR-364 (ACESSO VILA GUARÁ)"/>
    <n v="282.7"/>
    <n v="306.10000000000002"/>
    <n v="23.4"/>
    <x v="2"/>
    <m/>
    <s v="277BPR0170"/>
    <s v="Convênio de Administração"/>
    <m/>
    <m/>
    <m/>
    <s v="Federal"/>
    <s v="PAV"/>
    <s v="Ponta Grossa"/>
  </r>
  <r>
    <x v="0"/>
    <s v="373BPR0410"/>
    <n v="0"/>
    <x v="326"/>
    <s v="0410"/>
    <n v="-51.289047559597101"/>
    <n v="-25.3774167998453"/>
    <n v="-51.430361239679399"/>
    <n v="-25.3400095299158"/>
    <s v="373"/>
    <s v="PR"/>
    <s v="Eixo Principal"/>
    <s v="Coinc"/>
    <s v="373BPR0410"/>
    <s v="ENTR PR-364 (ACESSO VILA GUARÁ)"/>
    <s v="ACESSO GUARAPUAVA"/>
    <n v="306.10000000000002"/>
    <n v="322.8"/>
    <n v="16.7"/>
    <x v="2"/>
    <m/>
    <s v="277BPR0190"/>
    <s v="Convênio de Administração"/>
    <m/>
    <m/>
    <m/>
    <s v="Federal"/>
    <s v="PAV"/>
    <s v="Ponta Grossa"/>
  </r>
  <r>
    <x v="0"/>
    <s v="373BPR0425"/>
    <n v="0"/>
    <x v="326"/>
    <s v="0425"/>
    <n v="-51.430361239679399"/>
    <n v="-25.3400095299158"/>
    <n v="-51.476031910444199"/>
    <n v="-25.364138049931"/>
    <s v="373"/>
    <s v="PR"/>
    <s v="Eixo Principal"/>
    <s v="Coinc"/>
    <s v="373BPR0425"/>
    <s v="ACESSO GUARAPUAVA"/>
    <s v="ENTR BR-466 (P/GUARAPUAVA)"/>
    <n v="322.8"/>
    <n v="328.2"/>
    <n v="5.4"/>
    <x v="2"/>
    <m/>
    <s v="277BPR0205"/>
    <s v="Convênio de Administração"/>
    <m/>
    <m/>
    <m/>
    <s v="Federal"/>
    <s v="PAV"/>
    <s v="Ponta Grossa"/>
  </r>
  <r>
    <x v="0"/>
    <s v="373BPR0430"/>
    <n v="0"/>
    <x v="326"/>
    <s v="0430"/>
    <n v="-51.476031619963202"/>
    <n v="-25.3641379096367"/>
    <n v="-51.521166290292001"/>
    <n v="-25.390590009821"/>
    <s v="373"/>
    <s v="PR"/>
    <s v="Eixo Principal"/>
    <s v="Coinc"/>
    <s v="373BPR0430"/>
    <s v="ENTR BR-466 (P/GUARAPUAVA)"/>
    <s v="ENTR PR-170"/>
    <n v="328.2"/>
    <n v="333.9"/>
    <n v="5.7"/>
    <x v="2"/>
    <m/>
    <s v="277BPR0210"/>
    <s v="Convênio de Administração"/>
    <m/>
    <m/>
    <m/>
    <s v="Federal"/>
    <s v="PAV"/>
    <s v="Pato Branco"/>
  </r>
  <r>
    <x v="0"/>
    <s v="373BPR0435"/>
    <n v="0"/>
    <x v="326"/>
    <s v="0435"/>
    <n v="-51.521166290292001"/>
    <n v="-25.390590009821"/>
    <n v="-51.675820560370497"/>
    <n v="-25.413750049924801"/>
    <s v="373"/>
    <s v="PR"/>
    <s v="Eixo Principal"/>
    <s v="Coinc"/>
    <s v="373BPR0435"/>
    <s v="ENTR PR-170"/>
    <s v="ENTR PR-364"/>
    <n v="333.9"/>
    <n v="351.9"/>
    <n v="18"/>
    <x v="2"/>
    <m/>
    <s v="277BPR0215"/>
    <s v="Convênio de Administração"/>
    <m/>
    <m/>
    <m/>
    <s v="Federal"/>
    <s v="PAV"/>
    <s v="Pato Branco"/>
  </r>
  <r>
    <x v="0"/>
    <s v="373BPR0440"/>
    <n v="0"/>
    <x v="326"/>
    <s v="0440"/>
    <n v="-51.675820560370497"/>
    <n v="-25.413750049924801"/>
    <n v="-51.959263680274603"/>
    <n v="-25.459901789635801"/>
    <s v="373"/>
    <s v="PR"/>
    <s v="Eixo Principal"/>
    <s v="Coinc"/>
    <s v="373BPR0440"/>
    <s v="ENTR PR-364"/>
    <s v="ENTR BR-277(B) (TRÊS PINHEIROS)"/>
    <n v="351.9"/>
    <n v="382.4"/>
    <n v="30.5"/>
    <x v="2"/>
    <m/>
    <s v="277BPR0220"/>
    <s v="Convênio de Administração"/>
    <m/>
    <m/>
    <m/>
    <s v="Federal"/>
    <s v="PAV"/>
    <s v="Pato Branco"/>
  </r>
  <r>
    <x v="0"/>
    <s v="373BPR0450"/>
    <n v="0"/>
    <x v="326"/>
    <s v="0450"/>
    <n v="-51.959263680274603"/>
    <n v="-25.459901789635801"/>
    <n v="-52.010685619845397"/>
    <n v="-25.541047670013899"/>
    <s v="373"/>
    <s v="PR"/>
    <s v="Eixo Principal"/>
    <s v="-"/>
    <s v="373BPR0450"/>
    <s v="ENTR BR-277(B) (TRÊS PINHEIROS)"/>
    <s v="ENTR PR-560 (ACESSO ÁGUA MINERAL SANTA CLARA)"/>
    <n v="382.4"/>
    <n v="394.8"/>
    <n v="12.4"/>
    <x v="2"/>
    <m/>
    <m/>
    <s v="Federal"/>
    <m/>
    <m/>
    <m/>
    <s v="Federal"/>
    <s v="PAV"/>
    <s v="Pato Branco"/>
  </r>
  <r>
    <x v="0"/>
    <s v="373BPR0455"/>
    <n v="0"/>
    <x v="326"/>
    <s v="0455"/>
    <n v="-52.010685619845397"/>
    <n v="-25.541047670013899"/>
    <n v="-52.3735328896311"/>
    <n v="-25.8991143200697"/>
    <s v="373"/>
    <s v="PR"/>
    <s v="Eixo Principal"/>
    <s v="-"/>
    <s v="373BPR0455"/>
    <s v="ENTR PR-560 (ACESSO ÁGUA MINERAL SANTA CLARA)"/>
    <s v="ENTR PR-281(A) (P/CHOPINZINHO)"/>
    <n v="394.8"/>
    <n v="454.3"/>
    <n v="59.5"/>
    <x v="2"/>
    <m/>
    <m/>
    <s v="Federal"/>
    <m/>
    <m/>
    <m/>
    <s v="Federal"/>
    <s v="PAV"/>
    <s v="Pato Branco"/>
  </r>
  <r>
    <x v="0"/>
    <s v="373BPR0470"/>
    <n v="0"/>
    <x v="326"/>
    <s v="0470"/>
    <n v="-52.3735328896311"/>
    <n v="-25.8991143200697"/>
    <n v="-52.4028302801932"/>
    <n v="-25.937413999856101"/>
    <s v="373"/>
    <s v="PR"/>
    <s v="Eixo Principal"/>
    <s v="-"/>
    <s v="373BPR0470"/>
    <s v="ENTR PR-281(A) (P/CHOPINZINHO)"/>
    <s v="ENTR PR-281(B)"/>
    <n v="454.3"/>
    <n v="460.2"/>
    <n v="5.9"/>
    <x v="2"/>
    <m/>
    <m/>
    <s v="Federal"/>
    <m/>
    <m/>
    <m/>
    <s v="Federal"/>
    <s v="PAV"/>
    <s v="Pato Branco"/>
  </r>
  <r>
    <x v="0"/>
    <s v="373BPR0475"/>
    <n v="0"/>
    <x v="326"/>
    <s v="0475"/>
    <n v="-52.4028302801932"/>
    <n v="-25.937413999856101"/>
    <n v="-52.5650188797174"/>
    <n v="-26.004627530036402"/>
    <s v="373"/>
    <s v="PR"/>
    <s v="Eixo Principal"/>
    <s v="-"/>
    <s v="373BPR0475"/>
    <s v="ENTR PR-281(B)"/>
    <s v="ENTR BR-158 (P/CORONEL VÍVIDA)"/>
    <n v="460.2"/>
    <n v="481.5"/>
    <n v="21.3"/>
    <x v="2"/>
    <m/>
    <m/>
    <s v="Federal"/>
    <m/>
    <m/>
    <m/>
    <s v="Federal"/>
    <s v="PAV"/>
    <s v="Pato Branco"/>
  </r>
  <r>
    <x v="0"/>
    <s v="373BPR0490"/>
    <n v="0"/>
    <x v="326"/>
    <s v="0490"/>
    <n v="-52.5650188797174"/>
    <n v="-26.004627530036402"/>
    <n v="-52.7691065003646"/>
    <n v="-26.0932448196926"/>
    <s v="373"/>
    <s v="PR"/>
    <s v="Eixo Principal"/>
    <s v="-"/>
    <s v="373BPR0490"/>
    <s v="ENTR BR-158 (P/CORONEL VÍVIDA)"/>
    <s v="ENTR PR-493"/>
    <n v="481.5"/>
    <n v="512.5"/>
    <n v="31"/>
    <x v="1"/>
    <m/>
    <m/>
    <s v="Federal"/>
    <m/>
    <m/>
    <m/>
    <s v="Federal"/>
    <s v="PLA"/>
    <s v="Pato Branco"/>
  </r>
  <r>
    <x v="0"/>
    <s v="373BPR0510"/>
    <n v="0"/>
    <x v="326"/>
    <s v="0510"/>
    <n v="-52.7691065003646"/>
    <n v="-26.0932448196926"/>
    <n v="-53.0226521300916"/>
    <n v="-26.1525938999884"/>
    <s v="373"/>
    <s v="PR"/>
    <s v="Eixo Principal"/>
    <s v="-"/>
    <s v="373BPR0510"/>
    <s v="ENTR PR-493"/>
    <s v="ENTR BR-280(A)/PR-180 (MARMELEIRO)"/>
    <n v="512.5"/>
    <n v="548.5"/>
    <n v="36"/>
    <x v="1"/>
    <m/>
    <m/>
    <s v="Federal"/>
    <m/>
    <m/>
    <m/>
    <s v="Federal"/>
    <s v="PLA"/>
    <s v="Pato Branco"/>
  </r>
  <r>
    <x v="0"/>
    <s v="373BPR0530"/>
    <n v="0"/>
    <x v="326"/>
    <s v="0530"/>
    <n v="-53.0226521300916"/>
    <n v="-26.1525938999884"/>
    <n v="-53.342442659900698"/>
    <n v="-26.249129269699999"/>
    <s v="373"/>
    <s v="PR"/>
    <s v="Eixo Principal"/>
    <s v="Coinc"/>
    <s v="373BPR0530"/>
    <s v="ENTR BR-280(A)/PR-180 (MARMELEIRO)"/>
    <s v="ENTR PR-182 (P/SALGADO FILHO)"/>
    <n v="548.5"/>
    <n v="587.5"/>
    <n v="39"/>
    <x v="2"/>
    <m/>
    <s v="280BPR0330"/>
    <s v="Federal"/>
    <m/>
    <m/>
    <m/>
    <s v="Federal"/>
    <s v="PAV"/>
    <s v="Pato Branco"/>
  </r>
  <r>
    <x v="0"/>
    <s v="373BPR0550"/>
    <n v="0"/>
    <x v="326"/>
    <s v="0550"/>
    <n v="-53.342442659900698"/>
    <n v="-26.249129269699999"/>
    <n v="-53.555031230107097"/>
    <n v="-26.2870464399412"/>
    <s v="373"/>
    <s v="PR"/>
    <s v="Eixo Principal"/>
    <s v="Coinc"/>
    <s v="373BPR0550"/>
    <s v="ENTR PR-182 (P/SALGADO FILHO)"/>
    <s v="ENTR BR-163(A) (DIV PR/SC)"/>
    <n v="587.5"/>
    <n v="611.5"/>
    <n v="24"/>
    <x v="2"/>
    <m/>
    <s v="280BPR0350"/>
    <s v="Federal"/>
    <m/>
    <m/>
    <m/>
    <s v="Federal"/>
    <s v="PAV"/>
    <s v="Pato Branco"/>
  </r>
  <r>
    <x v="0"/>
    <s v="373BPR0570"/>
    <n v="0"/>
    <x v="326"/>
    <s v="0570"/>
    <n v="-53.555031230107097"/>
    <n v="-26.2870464399412"/>
    <n v="-53.618574070336997"/>
    <n v="-26.257607399861499"/>
    <s v="373"/>
    <s v="PR"/>
    <s v="Eixo Principal"/>
    <s v="Coinc"/>
    <s v="373BPR0570"/>
    <s v="ENTR BR-163(A) (DIV SC/PR)"/>
    <s v="ACESS DIONÍSIO CERQUEIRA (P INSP CARGAS)"/>
    <n v="611.5"/>
    <n v="619"/>
    <n v="7.5"/>
    <x v="2"/>
    <m/>
    <s v="280BPR0370;163BPR0030"/>
    <s v="Federal"/>
    <m/>
    <m/>
    <m/>
    <s v="Federal"/>
    <s v="PAV"/>
    <s v="Pato Branco"/>
  </r>
  <r>
    <x v="0"/>
    <s v="373BPR0580"/>
    <n v="0"/>
    <x v="326"/>
    <s v="0580"/>
    <n v="-53.618574070336997"/>
    <n v="-26.257607399861499"/>
    <n v="-53.622079759872904"/>
    <n v="-26.2570258802401"/>
    <s v="373"/>
    <s v="PR"/>
    <s v="Eixo Principal"/>
    <s v="Coinc"/>
    <s v="373BPR0580"/>
    <s v="ACESS DIONÍSIO CERQUEIRA (P INSP CARGAS)"/>
    <s v="INÍCIO PISTA DUPLA (AV ARNALDO BUSATO)"/>
    <n v="619"/>
    <n v="619.4"/>
    <n v="0.4"/>
    <x v="2"/>
    <m/>
    <s v="163BPR0035;280BPR0380"/>
    <s v="Federal"/>
    <m/>
    <m/>
    <m/>
    <s v="Federal"/>
    <s v="PAV"/>
    <s v="Pato Branco"/>
  </r>
  <r>
    <x v="0"/>
    <s v="373BPR0590"/>
    <n v="0"/>
    <x v="326"/>
    <s v="0590"/>
    <n v="-53.622079759872904"/>
    <n v="-26.2570258802401"/>
    <n v="-53.632456670039197"/>
    <n v="-26.254873139783498"/>
    <s v="373"/>
    <s v="PR"/>
    <s v="Eixo Principal"/>
    <s v="Coinc"/>
    <s v="373BPR0590"/>
    <s v="INÍCIO PISTA DUPLA (AV ARNALDO BUSATO)"/>
    <s v="ENTR BR-163(B)/280(B) (BARRACÃO)"/>
    <n v="619.4"/>
    <n v="620.5"/>
    <n v="1.1000000000000001"/>
    <x v="0"/>
    <m/>
    <s v="163BPR0040;280BPR0390"/>
    <s v="Federal"/>
    <m/>
    <m/>
    <m/>
    <s v="Federal"/>
    <s v="PAV"/>
    <s v="Pato Branco"/>
  </r>
  <r>
    <x v="0"/>
    <s v="373BSP0010"/>
    <n v="0"/>
    <x v="327"/>
    <s v="0010"/>
    <n v="-47.3757730802634"/>
    <n v="-22.545735199719601"/>
    <n v="-47.4577128497681"/>
    <n v="-22.585230330315401"/>
    <s v="373"/>
    <s v="SP"/>
    <s v="Eixo Principal"/>
    <s v="-"/>
    <s v="373BSP0010"/>
    <s v="ENTR BR-050/478/SP-151 (LIMEIRA)"/>
    <s v="ENTR SP-306"/>
    <n v="0"/>
    <n v="10.1"/>
    <n v="10.1"/>
    <x v="1"/>
    <m/>
    <m/>
    <s v="Estadual"/>
    <m/>
    <s v="SP-147"/>
    <s v="DUP"/>
    <s v="Estadual"/>
    <s v="PLA"/>
    <s v="Taubaté"/>
  </r>
  <r>
    <x v="0"/>
    <s v="373BSP0030"/>
    <n v="0"/>
    <x v="327"/>
    <s v="0030"/>
    <n v="-47.4577128497681"/>
    <n v="-22.585230330315401"/>
    <n v="-47.607153769730601"/>
    <n v="-22.698964070435402"/>
    <s v="373"/>
    <s v="SP"/>
    <s v="Eixo Principal"/>
    <s v="-"/>
    <s v="373BSP0030"/>
    <s v="ENTR SP-306"/>
    <s v="ENTR SP-304 (PIRACICABA)"/>
    <n v="10.1"/>
    <n v="28.7"/>
    <n v="18.600000000000001"/>
    <x v="1"/>
    <m/>
    <m/>
    <s v="Estadual"/>
    <m/>
    <s v="SP-147"/>
    <s v="DUP"/>
    <s v="Estadual"/>
    <s v="PLA"/>
    <s v="Taubaté"/>
  </r>
  <r>
    <x v="0"/>
    <s v="373BSP0050"/>
    <n v="0"/>
    <x v="327"/>
    <s v="0050"/>
    <n v="-47.607153769730601"/>
    <n v="-22.698964070435402"/>
    <n v="-47.650028870036202"/>
    <n v="-22.7149767800543"/>
    <s v="373"/>
    <s v="SP"/>
    <s v="Eixo Principal"/>
    <s v="-"/>
    <s v="373BSP0050"/>
    <s v="ENTR SP-304 (PIRACICABA)"/>
    <s v="MARGEM LESTE DA PONTE DO MIRANTE (PIRACICABA)"/>
    <n v="28.7"/>
    <n v="36.9"/>
    <n v="8.1999999999999993"/>
    <x v="1"/>
    <m/>
    <m/>
    <s v="Estadual"/>
    <m/>
    <s v="SP-127"/>
    <s v="PAV"/>
    <s v="Estadual"/>
    <s v="PLA"/>
    <s v="Taubaté"/>
  </r>
  <r>
    <x v="0"/>
    <s v="373BSP0053"/>
    <n v="0"/>
    <x v="327"/>
    <s v="0053"/>
    <n v="-47.650028870036202"/>
    <n v="-22.7149767800543"/>
    <n v="-47.683939940076101"/>
    <n v="-22.854113519822999"/>
    <s v="373"/>
    <s v="SP"/>
    <s v="Eixo Principal"/>
    <s v="-"/>
    <s v="373BSP0053"/>
    <s v="MARGEM LESTE DA PONTE DO MIRANTE (PIRACICABA)"/>
    <s v="FIM PISTA DUPLA"/>
    <n v="36.9"/>
    <n v="47.5"/>
    <n v="10.6"/>
    <x v="1"/>
    <m/>
    <m/>
    <s v="Estadual"/>
    <m/>
    <s v="SP-127"/>
    <s v="DUP"/>
    <s v="Estadual"/>
    <s v="PLA"/>
    <s v="Taubaté"/>
  </r>
  <r>
    <x v="0"/>
    <s v="373BSP0055"/>
    <n v="0"/>
    <x v="327"/>
    <s v="0055"/>
    <n v="-47.683939940076101"/>
    <n v="-22.854113519822999"/>
    <n v="-47.716313700017203"/>
    <n v="-23.025145410232401"/>
    <s v="373"/>
    <s v="SP"/>
    <s v="Eixo Principal"/>
    <s v="-"/>
    <s v="373BSP0055"/>
    <s v="FIM PISTA DUPLA"/>
    <s v="ENTR SP-101"/>
    <n v="47.5"/>
    <n v="68.8"/>
    <n v="21.3"/>
    <x v="1"/>
    <m/>
    <m/>
    <s v="Estadual"/>
    <m/>
    <s v="SP-127"/>
    <s v="PAV"/>
    <s v="Estadual"/>
    <s v="PLA"/>
    <s v="Taubaté"/>
  </r>
  <r>
    <x v="0"/>
    <s v="373BSP0065"/>
    <n v="0"/>
    <x v="327"/>
    <s v="0065"/>
    <n v="-47.716313700017203"/>
    <n v="-23.025145410232401"/>
    <n v="-47.717742919699901"/>
    <n v="-23.118446340326201"/>
    <s v="373"/>
    <s v="SP"/>
    <s v="Eixo Principal"/>
    <s v="-"/>
    <s v="373BSP0065"/>
    <s v="ENTR SP-101"/>
    <s v="ENTR SP-300 (TIETÊ)"/>
    <n v="68.8"/>
    <n v="80.3"/>
    <n v="11.5"/>
    <x v="1"/>
    <m/>
    <m/>
    <s v="Estadual"/>
    <m/>
    <s v="SP-127"/>
    <s v="PAV"/>
    <s v="Estadual"/>
    <s v="PLA"/>
    <s v="Taubaté"/>
  </r>
  <r>
    <x v="0"/>
    <s v="373BSP0070"/>
    <n v="0"/>
    <x v="327"/>
    <s v="0070"/>
    <n v="-47.717742919699901"/>
    <n v="-23.118446340326201"/>
    <n v="-47.751964275630698"/>
    <n v="-23.172045633898801"/>
    <s v="373"/>
    <s v="SP"/>
    <s v="Eixo Principal"/>
    <s v="-"/>
    <s v="373BSP0070"/>
    <s v="ENTR SP-300 (TIETÊ)"/>
    <s v="FIM PISTA DUPLA"/>
    <n v="80.3"/>
    <n v="88.4"/>
    <n v="8.1"/>
    <x v="1"/>
    <m/>
    <m/>
    <s v="Estadual"/>
    <m/>
    <s v="SP-127"/>
    <s v="DUP"/>
    <s v="Estadual"/>
    <s v="PLA"/>
    <s v="Taubaté"/>
  </r>
  <r>
    <x v="0"/>
    <s v="373BSP0080"/>
    <n v="0"/>
    <x v="327"/>
    <s v="0080"/>
    <n v="-47.751964275630698"/>
    <n v="-23.172045633898801"/>
    <n v="-47.806417710209097"/>
    <n v="-23.2823415302373"/>
    <s v="373"/>
    <s v="SP"/>
    <s v="Eixo Principal"/>
    <s v="-"/>
    <s v="373BSP0080"/>
    <s v="FIM PISTA DUPLA"/>
    <s v="ENTR BR-374"/>
    <n v="88.4"/>
    <n v="102.8"/>
    <n v="14.4"/>
    <x v="1"/>
    <m/>
    <m/>
    <s v="Estadual"/>
    <m/>
    <s v="SP-127"/>
    <s v="PAV"/>
    <s v="Estadual"/>
    <s v="PLA"/>
    <s v="Taubaté"/>
  </r>
  <r>
    <x v="0"/>
    <s v="373BSP0090"/>
    <n v="0"/>
    <x v="327"/>
    <s v="0090"/>
    <n v="-47.806417710209097"/>
    <n v="-23.2823415302373"/>
    <n v="-47.829641710096702"/>
    <n v="-23.322843350240301"/>
    <s v="373"/>
    <s v="SP"/>
    <s v="Eixo Principal"/>
    <s v="-"/>
    <s v="373BSP0090"/>
    <s v="ENTR BR-374"/>
    <s v="ENTR SP-129(A)"/>
    <n v="102.8"/>
    <n v="107.4"/>
    <n v="4.5999999999999996"/>
    <x v="1"/>
    <m/>
    <m/>
    <s v="Estadual"/>
    <m/>
    <s v="SP-127"/>
    <s v="DUP"/>
    <s v="Estadual"/>
    <s v="PLA"/>
    <s v="Taubaté"/>
  </r>
  <r>
    <x v="0"/>
    <s v="373BSP0103"/>
    <n v="0"/>
    <x v="327"/>
    <s v="0103"/>
    <n v="-47.829641710096702"/>
    <n v="-23.322843350240301"/>
    <n v="-47.858369159808802"/>
    <n v="-23.336394629808201"/>
    <s v="373"/>
    <s v="SP"/>
    <s v="Eixo Principal"/>
    <s v="-"/>
    <s v="373BSP0103"/>
    <s v="ENTR SP-129(A)"/>
    <s v="ENTR SP-141 (TATUÍ)"/>
    <n v="107.4"/>
    <n v="110.4"/>
    <n v="3"/>
    <x v="1"/>
    <m/>
    <m/>
    <s v="Estadual"/>
    <m/>
    <s v="SP-127"/>
    <s v="DUP"/>
    <s v="Estadual"/>
    <s v="PLA"/>
    <s v="Taubaté"/>
  </r>
  <r>
    <x v="0"/>
    <s v="373BSP0110"/>
    <n v="0"/>
    <x v="327"/>
    <s v="0110"/>
    <n v="-47.858369159808802"/>
    <n v="-23.336394629808201"/>
    <n v="-47.888857060305"/>
    <n v="-23.359865839836498"/>
    <s v="373"/>
    <s v="SP"/>
    <s v="Eixo Principal"/>
    <s v="-"/>
    <s v="373BSP0110"/>
    <s v="ENTR SP-141 (TATUÍ)"/>
    <s v="ENTR SP-129(B)"/>
    <n v="110.4"/>
    <n v="115"/>
    <n v="4.5999999999999996"/>
    <x v="1"/>
    <m/>
    <m/>
    <s v="Estadual"/>
    <m/>
    <s v="SP-127"/>
    <s v="DUP"/>
    <s v="Estadual"/>
    <s v="PLA"/>
    <s v="Taubaté"/>
  </r>
  <r>
    <x v="0"/>
    <s v="373BSP0113"/>
    <n v="0"/>
    <x v="327"/>
    <s v="0113"/>
    <n v="-47.888857060305"/>
    <n v="-23.359865839836498"/>
    <n v="-47.977446020417403"/>
    <n v="-23.5699074400762"/>
    <s v="373"/>
    <s v="SP"/>
    <s v="Eixo Principal"/>
    <s v="-"/>
    <s v="373BSP0113"/>
    <s v="ENTR SP-129(B)"/>
    <s v="ENTR SP-268"/>
    <n v="115"/>
    <n v="142.5"/>
    <n v="27.5"/>
    <x v="1"/>
    <m/>
    <m/>
    <s v="Estadual"/>
    <m/>
    <s v="SP-127"/>
    <s v="DUP"/>
    <s v="Estadual"/>
    <s v="PLA"/>
    <s v="Taubaté"/>
  </r>
  <r>
    <x v="0"/>
    <s v="373BSP0120"/>
    <n v="0"/>
    <x v="327"/>
    <s v="0120"/>
    <n v="-47.977446020417403"/>
    <n v="-23.5699074400762"/>
    <n v="-47.986230709679397"/>
    <n v="-23.5922278299503"/>
    <s v="373"/>
    <s v="SP"/>
    <s v="Eixo Principal"/>
    <s v="-"/>
    <s v="373BSP0120"/>
    <s v="ENTR SP-268"/>
    <s v="ENTR BR-272(A) (ITAPETININGA)"/>
    <n v="142.5"/>
    <n v="144.80000000000001"/>
    <n v="2.2999999999999998"/>
    <x v="1"/>
    <m/>
    <m/>
    <s v="Estadual"/>
    <m/>
    <s v="SP-127"/>
    <s v="DUP"/>
    <s v="Estadual"/>
    <s v="PLA"/>
    <s v="Taubaté"/>
  </r>
  <r>
    <x v="0"/>
    <s v="373BSP0130"/>
    <n v="0"/>
    <x v="327"/>
    <s v="0130"/>
    <n v="-47.986230709679397"/>
    <n v="-23.5922278299503"/>
    <n v="-48.0821704404134"/>
    <n v="-23.6189734796423"/>
    <s v="373"/>
    <s v="SP"/>
    <s v="Eixo Principal"/>
    <s v="Coinc"/>
    <s v="373BSP0130"/>
    <s v="ENTR BR-272(A) (ITAPETININGA)"/>
    <s v="ENTR BR-272(B)"/>
    <n v="144.80000000000001"/>
    <n v="155.5"/>
    <n v="10.7"/>
    <x v="1"/>
    <m/>
    <s v="272BSP0130"/>
    <s v="Estadual"/>
    <m/>
    <s v="SP-270"/>
    <s v="DUP"/>
    <s v="Estadual"/>
    <s v="PLA"/>
    <s v="Taubaté"/>
  </r>
  <r>
    <x v="0"/>
    <s v="373BSP0150"/>
    <n v="0"/>
    <x v="327"/>
    <s v="0150"/>
    <n v="-48.0821704404134"/>
    <n v="-23.6189734796423"/>
    <n v="-48.133160199983102"/>
    <n v="-23.7689851102745"/>
    <s v="373"/>
    <s v="SP"/>
    <s v="Eixo Principal"/>
    <s v="-"/>
    <s v="373BSP0150"/>
    <s v="ENTR BR-272(B)"/>
    <s v="ENTR SP-139 (GRAMADINHO)"/>
    <n v="155.5"/>
    <n v="175.7"/>
    <n v="20.2"/>
    <x v="1"/>
    <m/>
    <m/>
    <s v="Estadual"/>
    <m/>
    <s v="SP-127"/>
    <s v="DUP"/>
    <s v="Estadual"/>
    <s v="PLA"/>
    <s v="Taubaté"/>
  </r>
  <r>
    <x v="0"/>
    <s v="373BSP0170"/>
    <n v="0"/>
    <x v="327"/>
    <s v="0170"/>
    <n v="-48.133160199983102"/>
    <n v="-23.7689851102745"/>
    <n v="-48.326515170138897"/>
    <n v="-23.987806979608301"/>
    <s v="373"/>
    <s v="SP"/>
    <s v="Eixo Principal"/>
    <s v="-"/>
    <s v="373BSP0170"/>
    <s v="ENTR SP-139 (GRAMADINHO)"/>
    <s v="ENTR SP-258"/>
    <n v="175.7"/>
    <n v="209.9"/>
    <n v="34.200000000000003"/>
    <x v="1"/>
    <m/>
    <m/>
    <s v="Estadual"/>
    <m/>
    <s v="SP-127"/>
    <s v="DUP"/>
    <s v="Estadual"/>
    <s v="PLA"/>
    <s v="Taubaté"/>
  </r>
  <r>
    <x v="0"/>
    <s v="373BSP0185"/>
    <n v="0"/>
    <x v="327"/>
    <s v="0185"/>
    <n v="-48.326515170138897"/>
    <n v="-23.987806979608301"/>
    <n v="-48.3414727798448"/>
    <n v="-24.007903550208599"/>
    <s v="373"/>
    <s v="SP"/>
    <s v="Eixo Principal"/>
    <s v="-"/>
    <s v="373BSP0185"/>
    <s v="ENTR SP-258"/>
    <s v="ENTR SP-250 (CAPÃO BONITO)"/>
    <n v="209.9"/>
    <n v="212.9"/>
    <n v="3"/>
    <x v="1"/>
    <m/>
    <m/>
    <s v="Estadual"/>
    <m/>
    <s v="SP-127"/>
    <s v="PAV"/>
    <s v="Estadual"/>
    <s v="PLA"/>
    <s v="Taubaté"/>
  </r>
  <r>
    <x v="0"/>
    <s v="373BSP0190"/>
    <n v="0"/>
    <x v="327"/>
    <s v="0190"/>
    <n v="-48.3414727798448"/>
    <n v="-24.007903550208599"/>
    <n v="-48.536520769617702"/>
    <n v="-24.189730579602401"/>
    <s v="373"/>
    <s v="SP"/>
    <s v="Eixo Principal"/>
    <s v="-"/>
    <s v="373BSP0190"/>
    <s v="ENTR SP-250 (CAPÃO BONITO)"/>
    <s v="ENTR SP-252 (GUAPIARA)"/>
    <n v="212.9"/>
    <n v="250"/>
    <n v="37.1"/>
    <x v="1"/>
    <m/>
    <m/>
    <s v="Estadual"/>
    <m/>
    <s v="SP-250"/>
    <s v="PAV"/>
    <s v="Estadual"/>
    <s v="PLA"/>
    <s v="Taubaté"/>
  </r>
  <r>
    <x v="0"/>
    <s v="373BSP0210"/>
    <n v="0"/>
    <x v="327"/>
    <s v="0210"/>
    <n v="-48.536520769617702"/>
    <n v="-24.189730579602401"/>
    <n v="-48.838771630006697"/>
    <n v="-24.5221376804095"/>
    <s v="373"/>
    <s v="SP"/>
    <s v="Eixo Principal"/>
    <s v="-"/>
    <s v="373BSP0210"/>
    <s v="ENTR SP-252 (GUAPIARA)"/>
    <s v="ENTR SP-165/249 (APIAÍ)"/>
    <n v="250"/>
    <n v="307.8"/>
    <n v="57.8"/>
    <x v="1"/>
    <m/>
    <m/>
    <s v="Estadual"/>
    <m/>
    <s v="SP-250"/>
    <s v="PAV"/>
    <s v="Estadual"/>
    <s v="PLA"/>
    <s v="Taubaté"/>
  </r>
  <r>
    <x v="0"/>
    <s v="373BSP0230"/>
    <n v="0"/>
    <x v="327"/>
    <s v="0230"/>
    <n v="-48.838771630006697"/>
    <n v="-24.5221376804095"/>
    <n v="-49.003881429883997"/>
    <n v="-24.656088699933399"/>
    <s v="373"/>
    <s v="SP"/>
    <s v="Eixo Principal"/>
    <s v="-"/>
    <s v="373BSP0230"/>
    <s v="ENTR SP-165/249 (APIAÍ)"/>
    <s v="INÍCIO PONTE S/RIO RIBEIRA DE IGUAPE (RIBEIRA) (DIV SP/PR)"/>
    <n v="307.8"/>
    <n v="341.6"/>
    <n v="33.799999999999997"/>
    <x v="1"/>
    <m/>
    <s v="476BSP0010"/>
    <s v="Estadual"/>
    <m/>
    <s v="SP-250"/>
    <s v="PAV"/>
    <s v="Estadual"/>
    <s v="PLA"/>
    <s v="Taubaté"/>
  </r>
  <r>
    <x v="0"/>
    <s v="374BSP0010"/>
    <n v="0"/>
    <x v="328"/>
    <s v="0010"/>
    <n v="-51.834987359578903"/>
    <n v="-21.896203930367001"/>
    <n v="-51.654840779977903"/>
    <n v="-21.989680349668301"/>
    <s v="374"/>
    <s v="SP"/>
    <s v="Eixo Principal"/>
    <s v="-"/>
    <s v="374BSP0010"/>
    <s v="ENTR BR-158/267 (P/PRESIDENTE WENCESLAU)"/>
    <s v="ACESSO SANTO ANASTÁCIO"/>
    <n v="0"/>
    <n v="22.2"/>
    <n v="22.2"/>
    <x v="1"/>
    <m/>
    <m/>
    <s v="Estadual"/>
    <m/>
    <s v="SP-270"/>
    <s v="DUP"/>
    <s v="Estadual"/>
    <s v="PLA"/>
    <s v="São José do Rio Preto"/>
  </r>
  <r>
    <x v="0"/>
    <s v="374BSP0020"/>
    <n v="0"/>
    <x v="328"/>
    <s v="0020"/>
    <n v="-51.654840779977903"/>
    <n v="-21.989680349668301"/>
    <n v="-51.463196650405003"/>
    <n v="-22.1044781001841"/>
    <s v="374"/>
    <s v="SP"/>
    <s v="Eixo Principal"/>
    <s v="-"/>
    <s v="374BSP0020"/>
    <s v="ACESSO SANTO ANASTÁCIO"/>
    <s v="ENTR SP-501"/>
    <n v="22.2"/>
    <n v="46.2"/>
    <n v="24"/>
    <x v="1"/>
    <m/>
    <m/>
    <s v="Estadual"/>
    <m/>
    <s v="SP-270"/>
    <s v="DUP"/>
    <s v="Estadual"/>
    <s v="PLA"/>
    <s v="São José do Rio Preto"/>
  </r>
  <r>
    <x v="0"/>
    <s v="374BSP0030"/>
    <n v="0"/>
    <x v="328"/>
    <s v="0030"/>
    <n v="-51.463196650405003"/>
    <n v="-22.1044781001841"/>
    <n v="-51.3903145899463"/>
    <n v="-22.150966519988799"/>
    <s v="374"/>
    <s v="SP"/>
    <s v="Eixo Principal"/>
    <s v="-"/>
    <s v="374BSP0030"/>
    <s v="ENTR SP-501"/>
    <s v="ENTR SP-425 (PRESIDENTE PRUDENTE)"/>
    <n v="46.2"/>
    <n v="55.2"/>
    <n v="9"/>
    <x v="1"/>
    <m/>
    <m/>
    <s v="Estadual"/>
    <m/>
    <s v="SP-270"/>
    <s v="DUP"/>
    <s v="Estadual"/>
    <s v="PLA"/>
    <s v="São José do Rio Preto"/>
  </r>
  <r>
    <x v="0"/>
    <s v="374BSP0050"/>
    <n v="0"/>
    <x v="328"/>
    <s v="0050"/>
    <n v="-51.3903145899463"/>
    <n v="-22.150966519988799"/>
    <n v="-51.3693910198796"/>
    <n v="-22.178947759931098"/>
    <s v="374"/>
    <s v="SP"/>
    <s v="Eixo Principal"/>
    <s v="-"/>
    <s v="374BSP0050"/>
    <s v="ENTR SP-425 (PRESIDENTE PRUDENTE)"/>
    <s v="ENTR SP-425"/>
    <n v="55.2"/>
    <n v="59.5"/>
    <n v="4.3"/>
    <x v="1"/>
    <m/>
    <m/>
    <s v="Estadual"/>
    <m/>
    <s v="SP-270"/>
    <s v="DUP"/>
    <s v="Estadual"/>
    <s v="PLA"/>
    <s v="São José do Rio Preto"/>
  </r>
  <r>
    <x v="0"/>
    <s v="374BSP0070"/>
    <n v="0"/>
    <x v="328"/>
    <s v="0070"/>
    <n v="-51.3693910198796"/>
    <n v="-22.178947759931098"/>
    <n v="-51.333435989579101"/>
    <n v="-22.241821439807499"/>
    <s v="374"/>
    <s v="SP"/>
    <s v="Eixo Principal"/>
    <s v="-"/>
    <s v="374BSP0070"/>
    <s v="ENTR SP-425"/>
    <s v="ACESSO P/REGENTE FEIJÓ"/>
    <n v="59.5"/>
    <n v="67.599999999999994"/>
    <n v="8.1"/>
    <x v="1"/>
    <m/>
    <m/>
    <s v="Estadual"/>
    <m/>
    <s v="SP-270"/>
    <s v="DUP"/>
    <s v="Estadual"/>
    <s v="PLA"/>
    <s v="São José do Rio Preto"/>
  </r>
  <r>
    <x v="0"/>
    <s v="374BSP0090"/>
    <n v="0"/>
    <x v="328"/>
    <s v="0090"/>
    <n v="-51.333435989579101"/>
    <n v="-22.241821439807499"/>
    <n v="-51.261936570216498"/>
    <n v="-22.296958869955802"/>
    <s v="374"/>
    <s v="SP"/>
    <s v="Eixo Principal"/>
    <s v="-"/>
    <s v="374BSP0090"/>
    <s v="ACESSO P/REGENTE FEIJÓ"/>
    <s v="ENTR SP-483"/>
    <n v="67.599999999999994"/>
    <n v="77.2"/>
    <n v="9.6"/>
    <x v="1"/>
    <m/>
    <m/>
    <s v="Estadual"/>
    <m/>
    <s v="SP-270"/>
    <s v="DUP"/>
    <s v="Estadual"/>
    <s v="PLA"/>
    <s v="São José do Rio Preto"/>
  </r>
  <r>
    <x v="0"/>
    <s v="374BSP0110"/>
    <n v="0"/>
    <x v="328"/>
    <s v="0110"/>
    <n v="-51.261936570216498"/>
    <n v="-22.296958869955802"/>
    <n v="-50.997545329753102"/>
    <n v="-22.441575599834"/>
    <s v="374"/>
    <s v="SP"/>
    <s v="Eixo Principal"/>
    <s v="-"/>
    <s v="374BSP0110"/>
    <s v="ENTR SP-483"/>
    <s v="ENTR SP-457"/>
    <n v="77.2"/>
    <n v="109.2"/>
    <n v="32"/>
    <x v="1"/>
    <m/>
    <m/>
    <s v="Estadual"/>
    <m/>
    <s v="SP-270"/>
    <s v="PAV"/>
    <s v="Estadual"/>
    <s v="PLA"/>
    <s v="São José do Rio Preto"/>
  </r>
  <r>
    <x v="0"/>
    <s v="374BSP0130"/>
    <n v="0"/>
    <x v="328"/>
    <s v="0130"/>
    <n v="-50.997545329753102"/>
    <n v="-22.441575599834"/>
    <n v="-50.775239740421597"/>
    <n v="-22.570571130053501"/>
    <s v="374"/>
    <s v="SP"/>
    <s v="Eixo Principal"/>
    <s v="-"/>
    <s v="374BSP0130"/>
    <s v="ENTR SP-457"/>
    <s v="ENTR SP-421"/>
    <n v="109.2"/>
    <n v="136.30000000000001"/>
    <n v="27.1"/>
    <x v="1"/>
    <m/>
    <m/>
    <s v="Estadual"/>
    <m/>
    <s v="SP-270"/>
    <s v="PAV"/>
    <s v="Estadual"/>
    <s v="PLA"/>
    <s v="São José do Rio Preto"/>
  </r>
  <r>
    <x v="0"/>
    <s v="374BSP0150"/>
    <n v="0"/>
    <x v="328"/>
    <s v="0150"/>
    <n v="-50.775239740421597"/>
    <n v="-22.570571130053501"/>
    <n v="-50.4326140496986"/>
    <n v="-22.636687829979302"/>
    <s v="374"/>
    <s v="SP"/>
    <s v="Eixo Principal"/>
    <s v="-"/>
    <s v="374BSP0150"/>
    <s v="ENTR SP-421"/>
    <s v="ENTR SP-284/333(A) (ASSIS)"/>
    <n v="136.30000000000001"/>
    <n v="172.9"/>
    <n v="36.6"/>
    <x v="1"/>
    <m/>
    <m/>
    <s v="Estadual"/>
    <m/>
    <s v="SP-270"/>
    <s v="PAV"/>
    <s v="Estadual"/>
    <s v="PLA"/>
    <s v="São José do Rio Preto"/>
  </r>
  <r>
    <x v="0"/>
    <s v="374BSP0170"/>
    <n v="0"/>
    <x v="328"/>
    <s v="0170"/>
    <n v="-50.4326140496986"/>
    <n v="-22.636687829979302"/>
    <n v="-50.403691090071703"/>
    <n v="-22.638582179923599"/>
    <s v="374"/>
    <s v="SP"/>
    <s v="Eixo Principal"/>
    <s v="-"/>
    <s v="374BSP0170"/>
    <s v="ENTR SP-284/333(A) (ASSIS)"/>
    <s v="ENTR SP-333(B)"/>
    <n v="172.9"/>
    <n v="176.4"/>
    <n v="3.5"/>
    <x v="1"/>
    <m/>
    <m/>
    <s v="Estadual"/>
    <m/>
    <s v="SP-270"/>
    <s v="DUP"/>
    <s v="Estadual"/>
    <s v="PLA"/>
    <s v="São José do Rio Preto"/>
  </r>
  <r>
    <x v="0"/>
    <s v="374BSP0180"/>
    <n v="0"/>
    <x v="328"/>
    <s v="0180"/>
    <n v="-50.403691090071703"/>
    <n v="-22.638582179923599"/>
    <n v="-49.889563400030802"/>
    <n v="-22.662620179577502"/>
    <s v="374"/>
    <s v="SP"/>
    <s v="Eixo Principal"/>
    <s v="-"/>
    <s v="374BSP0180"/>
    <s v="ENTR SP-333(B)"/>
    <s v="ENTR BR-153(A)"/>
    <n v="176.4"/>
    <n v="226.4"/>
    <n v="50"/>
    <x v="1"/>
    <m/>
    <m/>
    <s v="Federal"/>
    <m/>
    <m/>
    <m/>
    <s v="Federal"/>
    <s v="PLA"/>
    <s v="São José do Rio Preto"/>
  </r>
  <r>
    <x v="0"/>
    <s v="374BSP0185"/>
    <n v="0"/>
    <x v="328"/>
    <s v="0185"/>
    <n v="-49.889568310329103"/>
    <n v="-22.6082293099346"/>
    <n v="-49.889563400030802"/>
    <n v="-22.662620179577502"/>
    <s v="374"/>
    <s v="SP"/>
    <s v="Eixo Principal"/>
    <s v="Coinc"/>
    <s v="374BSP0185"/>
    <s v="ENTR BR-153(A)"/>
    <s v="ENTR SP-331"/>
    <n v="226.4"/>
    <n v="232.8"/>
    <n v="6.4"/>
    <x v="2"/>
    <m/>
    <s v="153BSP1145"/>
    <s v="Concessão Federal"/>
    <m/>
    <m/>
    <m/>
    <s v="Federal"/>
    <s v="PAV"/>
    <s v="São José do Rio Preto"/>
  </r>
  <r>
    <x v="0"/>
    <s v="374BSP0192"/>
    <n v="0"/>
    <x v="328"/>
    <s v="0192"/>
    <n v="-49.859632300390302"/>
    <n v="-22.441802460115401"/>
    <n v="-49.889568310329103"/>
    <n v="-22.6082293099346"/>
    <s v="374"/>
    <s v="SP"/>
    <s v="Eixo Principal"/>
    <s v="Coinc"/>
    <s v="374BSP0192"/>
    <s v="ENTR SP-331"/>
    <s v="ENTR BR-153(B)"/>
    <n v="232.8"/>
    <n v="252.6"/>
    <n v="19.8"/>
    <x v="2"/>
    <m/>
    <s v="153BSP1140"/>
    <s v="Concessão Federal"/>
    <m/>
    <m/>
    <m/>
    <s v="Federal"/>
    <s v="PAV"/>
    <s v="São José do Rio Preto"/>
  </r>
  <r>
    <x v="0"/>
    <s v="374BSP0210"/>
    <n v="0"/>
    <x v="328"/>
    <s v="0210"/>
    <n v="-49.859632300390302"/>
    <n v="-22.441802460115401"/>
    <n v="-49.462040229672802"/>
    <n v="-22.732090089885599"/>
    <s v="374"/>
    <s v="SP"/>
    <s v="Eixo Principal"/>
    <s v="-"/>
    <s v="374BSP0210"/>
    <s v="ENTR BR-153(B)"/>
    <s v="ENTR BR-369"/>
    <n v="252.6"/>
    <n v="298.8"/>
    <n v="46.2"/>
    <x v="1"/>
    <m/>
    <m/>
    <s v="Federal"/>
    <m/>
    <m/>
    <m/>
    <s v="Federal"/>
    <s v="PLA"/>
    <s v="São José do Rio Preto"/>
  </r>
  <r>
    <x v="0"/>
    <s v="374BSP0230"/>
    <n v="0"/>
    <x v="328"/>
    <s v="0230"/>
    <n v="-49.462040229672802"/>
    <n v="-22.732090089885599"/>
    <n v="-49.226514779833103"/>
    <n v="-22.8336354496162"/>
    <s v="374"/>
    <s v="SP"/>
    <s v="Eixo Principal"/>
    <s v="-"/>
    <s v="374BSP0230"/>
    <s v="ENTR BR-369"/>
    <s v="ENTR SP-261 (P/ÁGUAS DE SANTA BÁRBARA)"/>
    <n v="298.8"/>
    <n v="326.2"/>
    <n v="27.4"/>
    <x v="1"/>
    <m/>
    <m/>
    <s v="Estadual"/>
    <m/>
    <s v="SP-280"/>
    <s v="DUP"/>
    <s v="Estadual"/>
    <s v="PLA"/>
    <s v="Taubaté"/>
  </r>
  <r>
    <x v="0"/>
    <s v="374BSP0250"/>
    <n v="0"/>
    <x v="328"/>
    <s v="0250"/>
    <n v="-49.226514779833103"/>
    <n v="-22.8336354496162"/>
    <n v="-48.809625609733999"/>
    <n v="-22.962045170448199"/>
    <s v="374"/>
    <s v="SP"/>
    <s v="Eixo Principal"/>
    <s v="-"/>
    <s v="374BSP0250"/>
    <s v="ENTR SP-261 (P/ÁGUAS DE SANTA BÁRBARA)"/>
    <s v="ENTR SP-255"/>
    <n v="326.2"/>
    <n v="372.4"/>
    <n v="46.2"/>
    <x v="1"/>
    <m/>
    <m/>
    <s v="Estadual"/>
    <m/>
    <s v="SP-280"/>
    <s v="DUP"/>
    <s v="Estadual"/>
    <s v="PLA"/>
    <s v="Taubaté"/>
  </r>
  <r>
    <x v="0"/>
    <s v="374BSP0270"/>
    <n v="0"/>
    <x v="328"/>
    <s v="0270"/>
    <n v="-48.809625609733999"/>
    <n v="-22.962045170448199"/>
    <n v="-48.802904926620997"/>
    <n v="-22.965798832749801"/>
    <s v="374"/>
    <s v="SP"/>
    <s v="Eixo Principal"/>
    <s v="-"/>
    <s v="374BSP0270"/>
    <s v="ENTR SP-255"/>
    <s v="ENTR SP-251"/>
    <n v="372.4"/>
    <n v="373.2"/>
    <n v="0.8"/>
    <x v="1"/>
    <m/>
    <m/>
    <s v="Estadual"/>
    <m/>
    <s v="SP-280"/>
    <s v="DUP"/>
    <s v="Estadual"/>
    <s v="PLA"/>
    <s v="Taubaté"/>
  </r>
  <r>
    <x v="0"/>
    <s v="374BSP0273"/>
    <n v="0"/>
    <x v="328"/>
    <s v="0273"/>
    <n v="-48.802904926620997"/>
    <n v="-22.965798832749801"/>
    <n v="-48.5323719002429"/>
    <n v="-23.072837579790399"/>
    <s v="374"/>
    <s v="SP"/>
    <s v="Eixo Principal"/>
    <s v="-"/>
    <s v="374BSP0273"/>
    <s v="ENTR SP-251"/>
    <s v="ENTR SP-209"/>
    <n v="373.2"/>
    <n v="403.5"/>
    <n v="30.3"/>
    <x v="1"/>
    <m/>
    <m/>
    <s v="Estadual"/>
    <m/>
    <s v="SP-280"/>
    <s v="DUP"/>
    <s v="Estadual"/>
    <s v="PLA"/>
    <s v="Taubaté"/>
  </r>
  <r>
    <x v="0"/>
    <s v="374BSP0280"/>
    <n v="0"/>
    <x v="328"/>
    <s v="0280"/>
    <n v="-48.5323719002429"/>
    <n v="-23.072837579790399"/>
    <n v="-48.306895539697301"/>
    <n v="-23.1813461104346"/>
    <s v="374"/>
    <s v="SP"/>
    <s v="Eixo Principal"/>
    <s v="-"/>
    <s v="374BSP0280"/>
    <s v="ENTR SP-209"/>
    <s v="ENTR SP-147"/>
    <n v="403.5"/>
    <n v="430.8"/>
    <n v="27.3"/>
    <x v="1"/>
    <m/>
    <m/>
    <s v="Estadual"/>
    <m/>
    <s v="SP-280"/>
    <s v="DUP"/>
    <s v="Estadual"/>
    <s v="PLA"/>
    <s v="Taubaté"/>
  </r>
  <r>
    <x v="0"/>
    <s v="374BSP0290"/>
    <n v="0"/>
    <x v="328"/>
    <s v="0290"/>
    <n v="-48.306895539697301"/>
    <n v="-23.1813461104346"/>
    <n v="-48.1227992096157"/>
    <n v="-23.2376481698271"/>
    <s v="374"/>
    <s v="SP"/>
    <s v="Eixo Principal"/>
    <s v="-"/>
    <s v="374BSP0290"/>
    <s v="ENTR SP-147"/>
    <s v="ENTR SP-157 (P/PORANGABA)"/>
    <n v="430.8"/>
    <n v="451.7"/>
    <n v="20.9"/>
    <x v="1"/>
    <m/>
    <m/>
    <s v="Estadual"/>
    <m/>
    <s v="SP-280"/>
    <s v="DUP"/>
    <s v="Estadual"/>
    <s v="PLA"/>
    <s v="Taubaté"/>
  </r>
  <r>
    <x v="0"/>
    <s v="374BSP0310"/>
    <n v="0"/>
    <x v="328"/>
    <s v="0310"/>
    <n v="-48.1227992096157"/>
    <n v="-23.2376481698271"/>
    <n v="-47.937765849813999"/>
    <n v="-23.2536962398895"/>
    <s v="374"/>
    <s v="SP"/>
    <s v="Eixo Principal"/>
    <s v="-"/>
    <s v="374BSP0310"/>
    <s v="ENTR SP-157 (P/PORANGABA)"/>
    <s v="ENTR SP-141 (P/CESÁRIO LANGE)"/>
    <n v="451.7"/>
    <n v="470.8"/>
    <n v="19.100000000000001"/>
    <x v="1"/>
    <m/>
    <m/>
    <s v="Estadual"/>
    <m/>
    <s v="SP-280"/>
    <s v="DUP"/>
    <s v="Estadual"/>
    <s v="PLA"/>
    <s v="Taubaté"/>
  </r>
  <r>
    <x v="0"/>
    <s v="374BSP0330"/>
    <n v="0"/>
    <x v="328"/>
    <s v="0330"/>
    <n v="-47.937765849813999"/>
    <n v="-23.2536962398895"/>
    <n v="-47.806417710209097"/>
    <n v="-23.2823415302373"/>
    <s v="374"/>
    <s v="SP"/>
    <s v="Eixo Principal"/>
    <s v="-"/>
    <s v="374BSP0330"/>
    <s v="ENTR SP-141 (P/CESÁRIO LANGE)"/>
    <s v="ENTR BR-373"/>
    <n v="470.8"/>
    <n v="484.9"/>
    <n v="14.1"/>
    <x v="1"/>
    <m/>
    <m/>
    <s v="Estadual"/>
    <m/>
    <s v="SP-280"/>
    <s v="DUP"/>
    <s v="Estadual"/>
    <s v="PLA"/>
    <s v="Taubaté"/>
  </r>
  <r>
    <x v="0"/>
    <s v="374BSP0350"/>
    <n v="0"/>
    <x v="328"/>
    <s v="0350"/>
    <n v="-47.806417710209097"/>
    <n v="-23.2823415302373"/>
    <n v="-47.746106590046999"/>
    <n v="-23.290338159778202"/>
    <s v="374"/>
    <s v="SP"/>
    <s v="Eixo Principal"/>
    <s v="-"/>
    <s v="374BSP0350"/>
    <s v="ENTR BR-373"/>
    <s v="ENTR SP-129"/>
    <n v="484.9"/>
    <n v="491.3"/>
    <n v="6.4"/>
    <x v="1"/>
    <m/>
    <m/>
    <s v="Estadual"/>
    <m/>
    <s v="SP-280"/>
    <s v="DUP"/>
    <s v="Estadual"/>
    <s v="PLA"/>
    <s v="Taubaté"/>
  </r>
  <r>
    <x v="0"/>
    <s v="374BSP0355"/>
    <n v="0"/>
    <x v="328"/>
    <s v="0355"/>
    <n v="-47.746106590046999"/>
    <n v="-23.290338159778202"/>
    <n v="-47.679012460156798"/>
    <n v="-23.296652850248702"/>
    <s v="374"/>
    <s v="SP"/>
    <s v="Eixo Principal"/>
    <s v="-"/>
    <s v="374BSP0355"/>
    <s v="ENTR SP-129"/>
    <s v="ACESSO BOITUVA"/>
    <n v="491.3"/>
    <n v="498.2"/>
    <n v="6.9"/>
    <x v="1"/>
    <m/>
    <m/>
    <s v="Estadual"/>
    <m/>
    <s v="SP-280"/>
    <s v="DUP"/>
    <s v="Estadual"/>
    <s v="PLA"/>
    <s v="Taubaté"/>
  </r>
  <r>
    <x v="0"/>
    <s v="374BSP0370"/>
    <n v="0"/>
    <x v="328"/>
    <s v="0370"/>
    <n v="-47.679012460156798"/>
    <n v="-23.296652850248702"/>
    <n v="-47.529354040056802"/>
    <n v="-23.344125909882699"/>
    <s v="374"/>
    <s v="SP"/>
    <s v="Eixo Principal"/>
    <s v="-"/>
    <s v="374BSP0370"/>
    <s v="ACESSO BOITUVA"/>
    <s v="ENTR BR-478"/>
    <n v="498.2"/>
    <n v="514.6"/>
    <n v="16.399999999999999"/>
    <x v="1"/>
    <m/>
    <m/>
    <s v="Estadual"/>
    <m/>
    <s v="SP-280"/>
    <s v="DUP"/>
    <s v="Estadual"/>
    <s v="PLA"/>
    <s v="Taubaté"/>
  </r>
  <r>
    <x v="0"/>
    <s v="374BSP0390"/>
    <n v="0"/>
    <x v="328"/>
    <s v="0390"/>
    <n v="-47.529354040056802"/>
    <n v="-23.344125909882699"/>
    <n v="-47.352317999575902"/>
    <n v="-23.395291030056899"/>
    <s v="374"/>
    <s v="SP"/>
    <s v="Eixo Principal"/>
    <s v="-"/>
    <s v="374BSP0390"/>
    <s v="ENTR BR-478"/>
    <s v="ENTR SP-079 (P/ITÚ)"/>
    <n v="514.6"/>
    <n v="533.70000000000005"/>
    <n v="19.100000000000001"/>
    <x v="1"/>
    <m/>
    <m/>
    <s v="Estadual"/>
    <m/>
    <s v="SP-280"/>
    <s v="DUP"/>
    <s v="Estadual"/>
    <s v="PLA"/>
    <s v="Taubaté"/>
  </r>
  <r>
    <x v="0"/>
    <s v="374BSP0407"/>
    <n v="0"/>
    <x v="328"/>
    <s v="0407"/>
    <n v="-47.352317999575902"/>
    <n v="-23.395291030056899"/>
    <n v="-47.335608419692697"/>
    <n v="-23.400873130090801"/>
    <s v="374"/>
    <s v="SP"/>
    <s v="Eixo Principal"/>
    <s v="-"/>
    <s v="374BSP0407"/>
    <s v="ENTR SP-079 (P/ITÚ)"/>
    <s v="ENTR SP-075"/>
    <n v="533.70000000000005"/>
    <n v="535.5"/>
    <n v="1.8"/>
    <x v="1"/>
    <m/>
    <m/>
    <s v="Estadual"/>
    <m/>
    <s v="SP-280"/>
    <s v="DUP"/>
    <s v="Estadual"/>
    <s v="PLA"/>
    <s v="Taubaté"/>
  </r>
  <r>
    <x v="0"/>
    <s v="374BSP0410"/>
    <n v="0"/>
    <x v="328"/>
    <s v="0410"/>
    <n v="-47.335608419692697"/>
    <n v="-23.400873130090801"/>
    <n v="-46.876700589860199"/>
    <n v="-23.5050589596032"/>
    <s v="374"/>
    <s v="SP"/>
    <s v="Eixo Principal"/>
    <s v="-"/>
    <s v="374BSP0410"/>
    <s v="ENTR SP-075"/>
    <s v="ENTR SP-312 (BARUERI)"/>
    <n v="535.5"/>
    <n v="587.4"/>
    <n v="51.9"/>
    <x v="1"/>
    <m/>
    <m/>
    <s v="Estadual"/>
    <m/>
    <s v="SP-280"/>
    <s v="DUP"/>
    <s v="Estadual"/>
    <s v="PLA"/>
    <s v="Taubaté"/>
  </r>
  <r>
    <x v="0"/>
    <s v="374BSP0430"/>
    <n v="0"/>
    <x v="328"/>
    <s v="0430"/>
    <n v="-46.876700589860199"/>
    <n v="-23.5050589596032"/>
    <n v="-46.750383909789498"/>
    <n v="-23.5270924198792"/>
    <s v="374"/>
    <s v="SP"/>
    <s v="Eixo Principal"/>
    <s v="-"/>
    <s v="374BSP0430"/>
    <s v="ENTR SP-312 (BARUERI)"/>
    <s v="ENTR BR-116 (SÃO PAULO) (MARGEM SUDOESTE ENTR TIETE-PINHEIROS)"/>
    <n v="587.4"/>
    <n v="600.1"/>
    <n v="12.7"/>
    <x v="1"/>
    <m/>
    <m/>
    <s v="Estadual"/>
    <m/>
    <s v="SP-280"/>
    <s v="DUP"/>
    <s v="Estadual"/>
    <s v="PLA"/>
    <s v="Taubaté"/>
  </r>
  <r>
    <x v="0"/>
    <s v="376APR1005"/>
    <n v="0"/>
    <x v="329"/>
    <s v="1005"/>
    <n v="-51.418779850409699"/>
    <n v="-23.580054380105501"/>
    <n v="-51.452225929582902"/>
    <n v="-23.546643069621801"/>
    <s v="376"/>
    <s v="PR"/>
    <s v="Acesso"/>
    <s v="-"/>
    <s v="376APR1005"/>
    <s v="ENTR BR-376 (CONTORNO SUL APUCARANA)"/>
    <s v="ENTR BR-369 (ACESSO LESTE APUCARANA)"/>
    <n v="0"/>
    <n v="5.3"/>
    <n v="5.3"/>
    <x v="2"/>
    <m/>
    <m/>
    <s v="Convênio de Administração"/>
    <m/>
    <m/>
    <m/>
    <s v="Federal"/>
    <s v="PAV"/>
    <s v="Londrina"/>
  </r>
  <r>
    <x v="0"/>
    <s v="376APR2005"/>
    <n v="0"/>
    <x v="329"/>
    <s v="2005"/>
    <n v="-49.181893820243502"/>
    <n v="-25.568944049927801"/>
    <n v="-49.195628660434203"/>
    <n v="-25.5306910800292"/>
    <s v="376"/>
    <s v="PR"/>
    <s v="Acesso"/>
    <s v="-"/>
    <s v="376APR2005"/>
    <s v="ENTR BR-116(B) (CONTORNO LESTE CURITIBA)"/>
    <s v="SÃO JOSÉ DOS PINHAIS"/>
    <n v="0"/>
    <n v="4.5"/>
    <n v="4.5"/>
    <x v="0"/>
    <m/>
    <m/>
    <s v="Federal"/>
    <m/>
    <m/>
    <m/>
    <s v="Federal"/>
    <s v="PAV"/>
    <s v="Colombo"/>
  </r>
  <r>
    <x v="0"/>
    <s v="376BMS0010"/>
    <n v="0"/>
    <x v="330"/>
    <s v="0010"/>
    <n v="-54.692950659944898"/>
    <n v="-22.1948468896721"/>
    <n v="-54.666010950045198"/>
    <n v="-22.225105480133699"/>
    <s v="376"/>
    <s v="MS"/>
    <s v="Eixo Principal"/>
    <s v="-"/>
    <s v="376BMS0010"/>
    <s v="ENTR BR-163 (P/DOURADOS)"/>
    <s v="ENTR MS-274 (P/INDÁPOLIS)"/>
    <n v="0"/>
    <n v="4.3"/>
    <n v="4.3"/>
    <x v="2"/>
    <m/>
    <m/>
    <m/>
    <s v="MP082/2003"/>
    <m/>
    <m/>
    <m/>
    <s v="PAV"/>
    <s v="Dourados"/>
  </r>
  <r>
    <x v="0"/>
    <s v="376BMS0012"/>
    <n v="0"/>
    <x v="330"/>
    <s v="0012"/>
    <n v="-54.666010950045198"/>
    <n v="-22.225105480133699"/>
    <n v="-54.5237455498172"/>
    <n v="-22.372720660330099"/>
    <s v="376"/>
    <s v="MS"/>
    <s v="Eixo Principal"/>
    <s v="-"/>
    <s v="376BMS0012"/>
    <s v="ENTR MS-274 (P/INDÁPOLIS)"/>
    <s v="FIM DA PONTE S/ RIO DOURADOS (FÁTIMA DO SUL)"/>
    <n v="4.3"/>
    <n v="26.5"/>
    <n v="22.2"/>
    <x v="2"/>
    <m/>
    <m/>
    <m/>
    <s v="MP082/2003"/>
    <m/>
    <m/>
    <m/>
    <s v="PAV"/>
    <s v="Dourados"/>
  </r>
  <r>
    <x v="0"/>
    <s v="376BMS0030"/>
    <n v="0"/>
    <x v="330"/>
    <s v="0030"/>
    <n v="-54.5237455498172"/>
    <n v="-22.372720660330099"/>
    <n v="-54.438301310257202"/>
    <n v="-22.408114969630098"/>
    <s v="376"/>
    <s v="MS"/>
    <s v="Eixo Principal"/>
    <s v="-"/>
    <s v="376BMS0030"/>
    <s v="FIM DA PONTE S/ RIO DOURADOS (FÁTIMA DO SUL)"/>
    <s v="ENTR MS-147(A) (VICENTINA)"/>
    <n v="26.5"/>
    <n v="36.1"/>
    <n v="9.6"/>
    <x v="2"/>
    <m/>
    <m/>
    <m/>
    <s v="MP082/2003"/>
    <m/>
    <m/>
    <m/>
    <s v="PAV"/>
    <s v="Dourados"/>
  </r>
  <r>
    <x v="0"/>
    <s v="376BMS0032"/>
    <n v="0"/>
    <x v="330"/>
    <s v="0032"/>
    <n v="-54.438301310257202"/>
    <n v="-22.408114969630098"/>
    <n v="-54.391109400278502"/>
    <n v="-22.426358300095401"/>
    <s v="376"/>
    <s v="MS"/>
    <s v="Eixo Principal"/>
    <s v="-"/>
    <s v="376BMS0032"/>
    <s v="ENTR MS-147(A) (VICENTINA)"/>
    <s v="ENTR MS-147(B) (P/CULTURAMA)"/>
    <n v="36.1"/>
    <n v="41.4"/>
    <n v="5.3"/>
    <x v="2"/>
    <m/>
    <m/>
    <m/>
    <s v="MP082/2003"/>
    <m/>
    <m/>
    <m/>
    <s v="PAV"/>
    <s v="Dourados"/>
  </r>
  <r>
    <x v="0"/>
    <s v="376BMS0035"/>
    <n v="0"/>
    <x v="330"/>
    <s v="0035"/>
    <n v="-54.391109400278502"/>
    <n v="-22.426358300095401"/>
    <n v="-54.304946339801603"/>
    <n v="-22.4623086701089"/>
    <s v="376"/>
    <s v="MS"/>
    <s v="Eixo Principal"/>
    <s v="-"/>
    <s v="376BMS0035"/>
    <s v="ENTR MS-147(B) (P/CULTURAMA)"/>
    <s v="ENTR MS-478 (P/ JATEÍ)"/>
    <n v="41.4"/>
    <n v="51.1"/>
    <n v="9.6999999999999993"/>
    <x v="2"/>
    <m/>
    <m/>
    <m/>
    <s v="MP082/2003"/>
    <m/>
    <m/>
    <m/>
    <s v="PAV"/>
    <s v="Dourados"/>
  </r>
  <r>
    <x v="0"/>
    <s v="376BMS0040"/>
    <n v="0"/>
    <x v="330"/>
    <s v="0040"/>
    <n v="-54.304946339801603"/>
    <n v="-22.4623086701089"/>
    <n v="-54.259532019886699"/>
    <n v="-22.478045859828502"/>
    <s v="376"/>
    <s v="MS"/>
    <s v="Eixo Principal"/>
    <s v="-"/>
    <s v="376BMS0040"/>
    <s v="ENTR MS-478 (P/ JATEÍ)"/>
    <s v="ENTR MS-145(A)"/>
    <n v="51.1"/>
    <n v="56.2"/>
    <n v="5.0999999999999996"/>
    <x v="2"/>
    <m/>
    <m/>
    <m/>
    <s v="MP082/2003"/>
    <m/>
    <m/>
    <m/>
    <s v="PAV"/>
    <s v="Dourados"/>
  </r>
  <r>
    <x v="0"/>
    <s v="376BMS0042"/>
    <n v="0"/>
    <x v="330"/>
    <s v="0042"/>
    <n v="-54.259532019886699"/>
    <n v="-22.478045859828502"/>
    <n v="-54.249684189873399"/>
    <n v="-22.458143739741701"/>
    <s v="376"/>
    <s v="MS"/>
    <s v="Eixo Principal"/>
    <s v="-"/>
    <s v="376BMS0042"/>
    <s v="ENTR MS-145(A)"/>
    <s v="ENTR MS-475"/>
    <n v="56.2"/>
    <n v="58.6"/>
    <n v="2.4"/>
    <x v="2"/>
    <m/>
    <m/>
    <m/>
    <s v="MP082/2003"/>
    <m/>
    <m/>
    <m/>
    <s v="PAV"/>
    <s v="Dourados"/>
  </r>
  <r>
    <x v="0"/>
    <s v="376BMS0050"/>
    <n v="0"/>
    <x v="330"/>
    <s v="0050"/>
    <n v="-54.249684189873399"/>
    <n v="-22.458143739741701"/>
    <n v="-54.231391279783601"/>
    <n v="-22.4185226204225"/>
    <s v="376"/>
    <s v="MS"/>
    <s v="Eixo Principal"/>
    <s v="-"/>
    <s v="376BMS0050"/>
    <s v="ENTR MS-475"/>
    <s v="ENTR R. ORÍGENES FRANÇA SIMÕES (GLÓRIA DE DOURADOS)"/>
    <n v="58.6"/>
    <n v="63.4"/>
    <n v="4.8"/>
    <x v="2"/>
    <m/>
    <m/>
    <m/>
    <s v="MP082/2003"/>
    <m/>
    <m/>
    <m/>
    <s v="PAV"/>
    <s v="Dourados"/>
  </r>
  <r>
    <x v="0"/>
    <s v="376BMS0060"/>
    <n v="0"/>
    <x v="330"/>
    <s v="0060"/>
    <n v="-54.231391279783601"/>
    <n v="-22.4185226204225"/>
    <n v="-54.227102510072697"/>
    <n v="-22.409188590181198"/>
    <s v="376"/>
    <s v="MS"/>
    <s v="Eixo Principal"/>
    <s v="-"/>
    <s v="376BMS0060"/>
    <s v="ENTR R. ORÍGENES FRANÇA SIMÕES (GLÓRIA DE DOURADOS)"/>
    <s v="ENTR R. JOAQUIM FERNANDES DA SILVA (GLÓRIA DE DOURADOS)*TRECHO URBANO*"/>
    <n v="63.4"/>
    <n v="64.5"/>
    <n v="1.1000000000000001"/>
    <x v="0"/>
    <m/>
    <m/>
    <m/>
    <s v="MP082/2003"/>
    <m/>
    <m/>
    <m/>
    <s v="PAV"/>
    <s v="Dourados"/>
  </r>
  <r>
    <x v="0"/>
    <s v="376BMS0065"/>
    <n v="0"/>
    <x v="330"/>
    <s v="0065"/>
    <n v="-54.227102510072697"/>
    <n v="-22.409188590181198"/>
    <n v="-54.170465189716701"/>
    <n v="-22.2812052397299"/>
    <s v="376"/>
    <s v="MS"/>
    <s v="Eixo Principal"/>
    <s v="-"/>
    <s v="376BMS0065"/>
    <s v="ENTR R. JOAQUIM FERNANDES DA SILVA (GLÓRIA DE DOURADOS)"/>
    <s v="INÍCIO PISTA DUPLA (DEODÁPOLIS)"/>
    <n v="64.5"/>
    <n v="80.099999999999994"/>
    <n v="15.6"/>
    <x v="2"/>
    <m/>
    <m/>
    <m/>
    <s v="MP082/2003"/>
    <m/>
    <m/>
    <m/>
    <s v="PAV"/>
    <s v="Dourados"/>
  </r>
  <r>
    <x v="0"/>
    <s v="376BMS0070"/>
    <n v="0"/>
    <x v="330"/>
    <s v="0070"/>
    <n v="-54.170465189716701"/>
    <n v="-22.2812052397299"/>
    <n v="-54.161771049594201"/>
    <n v="-22.278868630182998"/>
    <s v="376"/>
    <s v="MS"/>
    <s v="Eixo Principal"/>
    <s v="-"/>
    <s v="376BMS0070"/>
    <s v="INÍCIO PISTA DUPLA (DEODÁPOLIS)"/>
    <s v="FIM PISTA DUPLA *TRECHO URBANO*"/>
    <n v="80.099999999999994"/>
    <n v="81.400000000000006"/>
    <n v="1.3"/>
    <x v="0"/>
    <m/>
    <m/>
    <m/>
    <s v="MP082/2003"/>
    <m/>
    <m/>
    <m/>
    <s v="PAV"/>
    <s v="Dourados"/>
  </r>
  <r>
    <x v="0"/>
    <s v="376BMS0080"/>
    <n v="0"/>
    <x v="330"/>
    <s v="0080"/>
    <n v="-54.161771049594201"/>
    <n v="-22.278868630182998"/>
    <n v="-53.8315996202262"/>
    <n v="-22.3126134002881"/>
    <s v="376"/>
    <s v="MS"/>
    <s v="Eixo Principal"/>
    <s v="-"/>
    <s v="376BMS0080"/>
    <s v="FIM PISTA DUPLA"/>
    <s v="ENTR MS-141 (IVINHEMA)"/>
    <n v="81.400000000000006"/>
    <n v="116.7"/>
    <n v="35.299999999999997"/>
    <x v="2"/>
    <m/>
    <m/>
    <m/>
    <s v="MP082/2003"/>
    <m/>
    <m/>
    <m/>
    <s v="PAV"/>
    <s v="Dourados"/>
  </r>
  <r>
    <x v="0"/>
    <s v="376BMS0090"/>
    <n v="0"/>
    <x v="330"/>
    <s v="0090"/>
    <n v="-53.8315996202262"/>
    <n v="-22.3126134002881"/>
    <n v="-53.593016899909898"/>
    <n v="-22.387461549610801"/>
    <s v="376"/>
    <s v="MS"/>
    <s v="Eixo Principal"/>
    <s v="-"/>
    <s v="376BMS0090"/>
    <s v="ENTR MS-141 (IVINHEMA)"/>
    <s v="AUTO POSTO VILA AMANDINA"/>
    <n v="116.7"/>
    <n v="143.19999999999999"/>
    <n v="26.5"/>
    <x v="2"/>
    <m/>
    <m/>
    <m/>
    <s v="MP082/2003"/>
    <m/>
    <m/>
    <m/>
    <s v="PAV"/>
    <s v="Dourados"/>
  </r>
  <r>
    <x v="0"/>
    <s v="376BMS0092"/>
    <n v="0"/>
    <x v="330"/>
    <s v="0092"/>
    <n v="-53.593016899909898"/>
    <n v="-22.387461549610801"/>
    <n v="-53.363512350014901"/>
    <n v="-22.266536729686202"/>
    <s v="376"/>
    <s v="MS"/>
    <s v="Eixo Principal"/>
    <s v="-"/>
    <s v="376BMS0092"/>
    <s v="AUTO POSTO VILA AMANDINA"/>
    <s v="ENTR MS-276"/>
    <n v="143.19999999999999"/>
    <n v="172.1"/>
    <n v="28.9"/>
    <x v="2"/>
    <m/>
    <m/>
    <m/>
    <s v="MP082/2003"/>
    <m/>
    <m/>
    <m/>
    <s v="PAV"/>
    <s v="Dourados"/>
  </r>
  <r>
    <x v="0"/>
    <s v="376BMS0094"/>
    <n v="0"/>
    <x v="330"/>
    <s v="0094"/>
    <n v="-53.363512350014901"/>
    <n v="-22.266536729686202"/>
    <n v="-53.348032159556404"/>
    <n v="-22.2478368601829"/>
    <s v="376"/>
    <s v="MS"/>
    <s v="Eixo Principal"/>
    <s v="-"/>
    <s v="376BMS0094"/>
    <s v="ENTR MS-276"/>
    <s v="ENTR MS-134(A)/274/473 (NOVA ANDRADINA)"/>
    <n v="172.1"/>
    <n v="174.8"/>
    <n v="2.7"/>
    <x v="0"/>
    <m/>
    <m/>
    <m/>
    <s v="MP082/2003"/>
    <m/>
    <m/>
    <m/>
    <s v="PAV"/>
    <s v="Dourados"/>
  </r>
  <r>
    <x v="0"/>
    <s v="376BMS0100"/>
    <n v="0"/>
    <x v="330"/>
    <s v="0100"/>
    <n v="-53.348032159556404"/>
    <n v="-22.2478368601829"/>
    <n v="-53.280411650177399"/>
    <n v="-22.2890571503671"/>
    <s v="376"/>
    <s v="MS"/>
    <s v="Eixo Principal"/>
    <s v="-"/>
    <s v="376BMS0100"/>
    <s v="ENTR MS-134(A)/274/473 (NOVA ANDRADINA)"/>
    <s v="ENTR MS-276(B)"/>
    <n v="174.8"/>
    <n v="183.8"/>
    <n v="9"/>
    <x v="1"/>
    <m/>
    <m/>
    <s v="Estadual"/>
    <m/>
    <s v="MS-134"/>
    <s v="PAV"/>
    <s v="Estadual"/>
    <s v="PLA"/>
    <s v="Dourados"/>
  </r>
  <r>
    <x v="0"/>
    <s v="376BMS0102"/>
    <n v="0"/>
    <x v="330"/>
    <s v="0102"/>
    <n v="-53.280411650177399"/>
    <n v="-22.2890571503671"/>
    <n v="-53.267339120204198"/>
    <n v="-22.363630019909401"/>
    <s v="376"/>
    <s v="MS"/>
    <s v="Eixo Principal"/>
    <s v="-"/>
    <s v="376BMS0102"/>
    <s v="ENTR MS-276(B)"/>
    <s v="ENTR MS-476"/>
    <n v="183.8"/>
    <n v="191.8"/>
    <n v="8"/>
    <x v="1"/>
    <m/>
    <m/>
    <s v="Estadual"/>
    <m/>
    <s v="MS-134"/>
    <s v="IMP"/>
    <s v="Estadual"/>
    <s v="PLA"/>
    <s v="Dourados"/>
  </r>
  <r>
    <x v="0"/>
    <s v="376BMS0110"/>
    <n v="0"/>
    <x v="330"/>
    <s v="0110"/>
    <n v="-53.267339120204198"/>
    <n v="-22.363630019909401"/>
    <n v="-53.0704970396066"/>
    <n v="-22.521926500207702"/>
    <s v="376"/>
    <s v="MS"/>
    <s v="Eixo Principal"/>
    <s v="-"/>
    <s v="376BMS0110"/>
    <s v="ENTR MS-476"/>
    <s v="ENTR MS-134(B)"/>
    <n v="191.8"/>
    <n v="227.6"/>
    <n v="35.799999999999997"/>
    <x v="1"/>
    <m/>
    <m/>
    <s v="Estadual"/>
    <m/>
    <s v="MS-134"/>
    <s v="IMP"/>
    <s v="Estadual"/>
    <s v="PLA"/>
    <s v="Dourados"/>
  </r>
  <r>
    <x v="0"/>
    <s v="376BMS0115"/>
    <n v="0"/>
    <x v="330"/>
    <s v="0115"/>
    <n v="-53.0704970396066"/>
    <n v="-22.521926500207702"/>
    <n v="-53.013546659850398"/>
    <n v="-22.510196450305799"/>
    <s v="376"/>
    <s v="MS"/>
    <s v="Eixo Principal"/>
    <s v="-"/>
    <s v="376BMS0115"/>
    <s v="ENTR MS-134(B)"/>
    <s v="ENTR MS-134(B) (DIV MS/SP) (PORTO PRIMAVERA)"/>
    <n v="227.6"/>
    <n v="234.3"/>
    <n v="6.7"/>
    <x v="1"/>
    <m/>
    <m/>
    <s v="Estadual"/>
    <m/>
    <s v="MS-134"/>
    <s v="LEN"/>
    <s v="Estadual"/>
    <s v="PLA"/>
    <s v="Dourados"/>
  </r>
  <r>
    <x v="0"/>
    <s v="376BPR0130"/>
    <n v="0"/>
    <x v="331"/>
    <s v="0130"/>
    <n v="-52.871668129980101"/>
    <n v="-22.595725399707302"/>
    <n v="-52.871486830252898"/>
    <n v="-22.661430429570601"/>
    <s v="376"/>
    <s v="PR"/>
    <s v="Eixo Principal"/>
    <s v="-"/>
    <s v="376BPR0130"/>
    <s v="ENTR PR-182(A) (DIV SP/PR)"/>
    <s v="ENTR PR-557 (DIAMANTE DO NORTE)"/>
    <n v="0"/>
    <n v="8.6"/>
    <n v="8.6"/>
    <x v="1"/>
    <m/>
    <m/>
    <s v="Estadual"/>
    <m/>
    <s v="PR-182"/>
    <s v="PAV"/>
    <s v="Estadual"/>
    <s v="PLA"/>
    <s v="Campo Mourão"/>
  </r>
  <r>
    <x v="0"/>
    <s v="376BPR0135"/>
    <n v="0"/>
    <x v="331"/>
    <s v="0135"/>
    <n v="-52.871486830252898"/>
    <n v="-22.661430429570601"/>
    <n v="-52.884844400348697"/>
    <n v="-22.730216439636902"/>
    <s v="376"/>
    <s v="PR"/>
    <s v="Eixo Principal"/>
    <s v="-"/>
    <s v="376BPR0135"/>
    <s v="ENTR PR-557 (DIAMANTE DO NORTE)"/>
    <s v="ITAÚNA DO SUL"/>
    <n v="8.6"/>
    <n v="17"/>
    <n v="8.4"/>
    <x v="1"/>
    <m/>
    <m/>
    <s v="Estadual"/>
    <m/>
    <s v="PR-182"/>
    <s v="PAV"/>
    <s v="Estadual"/>
    <s v="PLA"/>
    <s v="Campo Mourão"/>
  </r>
  <r>
    <x v="0"/>
    <s v="376BPR0140"/>
    <n v="0"/>
    <x v="331"/>
    <s v="0140"/>
    <n v="-52.884844400348697"/>
    <n v="-22.730216439636902"/>
    <n v="-52.985105250307001"/>
    <n v="-22.764246919859399"/>
    <s v="376"/>
    <s v="PR"/>
    <s v="Eixo Principal"/>
    <s v="-"/>
    <s v="376BPR0140"/>
    <s v="ITAÚNA DO SUL"/>
    <s v="ENTR PR-569 (NOVA LONDRINA)"/>
    <n v="17"/>
    <n v="29.6"/>
    <n v="12.6"/>
    <x v="1"/>
    <m/>
    <m/>
    <s v="Estadual"/>
    <m/>
    <s v="PR-182"/>
    <s v="PAV"/>
    <s v="Estadual"/>
    <s v="PLA"/>
    <s v="Campo Mourão"/>
  </r>
  <r>
    <x v="0"/>
    <s v="376BPR0145"/>
    <n v="0"/>
    <x v="331"/>
    <s v="0145"/>
    <n v="-52.985105250307001"/>
    <n v="-22.764246919859399"/>
    <n v="-53.018947860355397"/>
    <n v="-22.811078139644302"/>
    <s v="376"/>
    <s v="PR"/>
    <s v="Eixo Principal"/>
    <s v="-"/>
    <s v="376BPR0145"/>
    <s v="ENTR PR-569 (NOVA LONDRINA)"/>
    <s v="ENTR PR-577 (P/ PORTO SÃO JOSÉ)"/>
    <n v="29.6"/>
    <n v="35.5"/>
    <n v="5.9"/>
    <x v="2"/>
    <m/>
    <m/>
    <s v="Convênio de Administração"/>
    <m/>
    <m/>
    <m/>
    <s v="Federal"/>
    <s v="PAV"/>
    <s v="Campo Mourão"/>
  </r>
  <r>
    <x v="0"/>
    <s v="376BPR0150"/>
    <n v="0"/>
    <x v="331"/>
    <s v="0150"/>
    <n v="-53.018947860355397"/>
    <n v="-22.811078139644302"/>
    <n v="-52.966326330395802"/>
    <n v="-22.860213050192002"/>
    <s v="376"/>
    <s v="PR"/>
    <s v="Eixo Principal"/>
    <s v="-"/>
    <s v="376BPR0150"/>
    <s v="ENTR PR-577 (P/ PORTO SÃO JOSÉ)"/>
    <s v="ENTR PR-182(B)"/>
    <n v="35.5"/>
    <n v="43.2"/>
    <n v="7.7"/>
    <x v="2"/>
    <m/>
    <m/>
    <s v="Concessão Estadual"/>
    <m/>
    <m/>
    <m/>
    <s v="Federal"/>
    <s v="PAV"/>
    <s v="Campo Mourão"/>
  </r>
  <r>
    <x v="0"/>
    <s v="376BPR0155"/>
    <n v="0"/>
    <x v="331"/>
    <s v="0155"/>
    <n v="-52.966326330395802"/>
    <n v="-22.860213050192002"/>
    <n v="-52.7013078002147"/>
    <n v="-22.954132249803401"/>
    <s v="376"/>
    <s v="PR"/>
    <s v="Eixo Principal"/>
    <s v="-"/>
    <s v="376BPR0155"/>
    <s v="ENTR PR-182(B)"/>
    <s v="ENTR PR-180 (P/GUAIRAÇÁ)"/>
    <n v="43.2"/>
    <n v="74.5"/>
    <n v="31.3"/>
    <x v="2"/>
    <m/>
    <m/>
    <s v="Concessão Estadual"/>
    <m/>
    <m/>
    <m/>
    <s v="Federal"/>
    <s v="PAV"/>
    <s v="Campo Mourão"/>
  </r>
  <r>
    <x v="0"/>
    <s v="376BPR0160"/>
    <n v="0"/>
    <x v="331"/>
    <s v="0160"/>
    <n v="-52.7013078002147"/>
    <n v="-22.954132249803401"/>
    <n v="-52.4748492001304"/>
    <n v="-23.040078999945798"/>
    <s v="376"/>
    <s v="PR"/>
    <s v="Eixo Principal"/>
    <s v="-"/>
    <s v="376BPR0160"/>
    <s v="ENTR PR-180 (P/GUAIRAÇÁ)"/>
    <s v="ACESSO SECUNDÁRIO I P/PARANAVAÍ"/>
    <n v="74.5"/>
    <n v="100.8"/>
    <n v="26.3"/>
    <x v="2"/>
    <m/>
    <m/>
    <s v="Concessão Estadual"/>
    <m/>
    <m/>
    <m/>
    <s v="Federal"/>
    <s v="PAV"/>
    <s v="Campo Mourão"/>
  </r>
  <r>
    <x v="0"/>
    <s v="376BPR0165"/>
    <n v="0"/>
    <x v="331"/>
    <s v="0165"/>
    <n v="-52.4748492001304"/>
    <n v="-23.040078999945798"/>
    <n v="-52.425113500187798"/>
    <n v="-23.068275790295399"/>
    <s v="376"/>
    <s v="PR"/>
    <s v="Eixo Principal"/>
    <s v="-"/>
    <s v="376BPR0165"/>
    <s v="ACESSO SECUNDÁRIO I P/PARANAVAÍ"/>
    <s v="ENTR PR-218 (PARANAVAÍ)"/>
    <n v="100.8"/>
    <n v="106.9"/>
    <n v="6.1"/>
    <x v="2"/>
    <m/>
    <m/>
    <s v="Concessão Estadual"/>
    <m/>
    <m/>
    <m/>
    <s v="Federal"/>
    <s v="PAV"/>
    <s v="Campo Mourão"/>
  </r>
  <r>
    <x v="0"/>
    <s v="376BPR0170"/>
    <n v="0"/>
    <x v="331"/>
    <s v="0170"/>
    <n v="-52.425113500187798"/>
    <n v="-23.068275790295399"/>
    <n v="-52.395643900245702"/>
    <n v="-23.088621740201098"/>
    <s v="376"/>
    <s v="PR"/>
    <s v="Eixo Principal"/>
    <s v="-"/>
    <s v="376BPR0170"/>
    <s v="ENTR PR-218 (PARANAVAÍ)"/>
    <s v="ENTR BR-158(A) (P/SUMARÉ)"/>
    <n v="106.9"/>
    <n v="110.7"/>
    <n v="3.8"/>
    <x v="2"/>
    <m/>
    <m/>
    <s v="Concessão Estadual"/>
    <m/>
    <m/>
    <m/>
    <s v="Federal"/>
    <s v="PAV"/>
    <s v="Campo Mourão"/>
  </r>
  <r>
    <x v="0"/>
    <s v="376BPR0175"/>
    <n v="0"/>
    <x v="331"/>
    <s v="0175"/>
    <n v="-52.395643900245702"/>
    <n v="-23.088621740201098"/>
    <n v="-52.3913450302488"/>
    <n v="-23.0905582503629"/>
    <s v="376"/>
    <s v="PR"/>
    <s v="Eixo Principal"/>
    <s v="Coinc"/>
    <s v="376BPR0175"/>
    <s v="ENTR BR-158(A) (P/SUMARÉ)"/>
    <s v="ENTR BR-158(B) (P/TAMBOARA)"/>
    <n v="110.7"/>
    <n v="111.2"/>
    <n v="0.5"/>
    <x v="1"/>
    <m/>
    <s v="158BPR0780"/>
    <s v="Estadual"/>
    <m/>
    <s v="PRT-158"/>
    <s v="PAV"/>
    <s v="Estadual"/>
    <s v="PLA"/>
    <s v="Campo Mourão"/>
  </r>
  <r>
    <x v="0"/>
    <s v="376BPR0180"/>
    <n v="0"/>
    <x v="331"/>
    <s v="0180"/>
    <n v="-52.3913450302488"/>
    <n v="-23.0905582503629"/>
    <n v="-52.301539100349103"/>
    <n v="-23.129115090389"/>
    <s v="376"/>
    <s v="PR"/>
    <s v="Eixo Principal"/>
    <s v="-"/>
    <s v="376BPR0180"/>
    <s v="ENTR BR-158(B) (P/TAMBOARA)"/>
    <s v="ACESSO ALTO PARANÁ/MARISTELA"/>
    <n v="111.2"/>
    <n v="121.4"/>
    <n v="10.199999999999999"/>
    <x v="2"/>
    <m/>
    <m/>
    <s v="Concessão Estadual"/>
    <m/>
    <m/>
    <m/>
    <s v="Federal"/>
    <s v="PAV"/>
    <s v="Campo Mourão"/>
  </r>
  <r>
    <x v="0"/>
    <s v="376BPR0185"/>
    <n v="0"/>
    <x v="331"/>
    <s v="0185"/>
    <n v="-52.301539100349103"/>
    <n v="-23.129115090389"/>
    <n v="-52.2019487003721"/>
    <n v="-23.195579300044599"/>
    <s v="376"/>
    <s v="PR"/>
    <s v="Eixo Principal"/>
    <s v="-"/>
    <s v="376BPR0185"/>
    <s v="ACESSO ALTO PARANÁ/MARISTELA"/>
    <s v="ENTR PR-555 (NOVA ESPERANÇA)"/>
    <n v="121.4"/>
    <n v="134.1"/>
    <n v="12.7"/>
    <x v="2"/>
    <m/>
    <m/>
    <s v="Concessão Estadual"/>
    <m/>
    <m/>
    <m/>
    <s v="Federal"/>
    <s v="PAV"/>
    <s v="Campo Mourão"/>
  </r>
  <r>
    <x v="0"/>
    <s v="376BPR0190"/>
    <n v="0"/>
    <x v="331"/>
    <s v="0190"/>
    <n v="-52.2019487003721"/>
    <n v="-23.195579300044599"/>
    <n v="-52.196417369765697"/>
    <n v="-23.202703279632601"/>
    <s v="376"/>
    <s v="PR"/>
    <s v="Eixo Principal"/>
    <s v="-"/>
    <s v="376BPR0190"/>
    <s v="ENTR PR-555 (NOVA ESPERANÇA)"/>
    <s v="ENTR PR-463"/>
    <n v="134.1"/>
    <n v="135.1"/>
    <n v="1"/>
    <x v="2"/>
    <m/>
    <m/>
    <s v="Concessão Estadual"/>
    <m/>
    <m/>
    <m/>
    <s v="Federal"/>
    <s v="PAV"/>
    <s v="Campo Mourão"/>
  </r>
  <r>
    <x v="0"/>
    <s v="376BPR0193"/>
    <n v="0"/>
    <x v="331"/>
    <s v="0193"/>
    <n v="-52.196417369765697"/>
    <n v="-23.202703279632601"/>
    <n v="-52.173660439977198"/>
    <n v="-23.235741439815499"/>
    <s v="376"/>
    <s v="PR"/>
    <s v="Eixo Principal"/>
    <s v="-"/>
    <s v="376BPR0193"/>
    <s v="ENTR PR-463"/>
    <s v="ENTR PR-218 (P/ATALAIA)"/>
    <n v="135.1"/>
    <n v="139.5"/>
    <n v="4.4000000000000004"/>
    <x v="2"/>
    <m/>
    <m/>
    <s v="Concessão Estadual"/>
    <m/>
    <m/>
    <m/>
    <s v="Federal"/>
    <s v="PAV"/>
    <s v="Campo Mourão"/>
  </r>
  <r>
    <x v="0"/>
    <s v="376BPR0195"/>
    <n v="0"/>
    <x v="331"/>
    <s v="0195"/>
    <n v="-52.173660439977198"/>
    <n v="-23.235741439815499"/>
    <n v="-52.156382139623901"/>
    <n v="-23.2744468604342"/>
    <s v="376"/>
    <s v="PR"/>
    <s v="Eixo Principal"/>
    <s v="-"/>
    <s v="376BPR0195"/>
    <s v="ENTR PR-218 (P/ATALAIA)"/>
    <s v="ENTR PR-498 (PRESIDENTE CASTELO BRANCO)"/>
    <n v="139.5"/>
    <n v="144.19999999999999"/>
    <n v="4.7"/>
    <x v="2"/>
    <m/>
    <m/>
    <s v="Concessão Estadual"/>
    <m/>
    <m/>
    <m/>
    <s v="Federal"/>
    <s v="PAV"/>
    <s v="Campo Mourão"/>
  </r>
  <r>
    <x v="0"/>
    <s v="376BPR0199"/>
    <n v="0"/>
    <x v="331"/>
    <s v="0199"/>
    <n v="-52.156382139623901"/>
    <n v="-23.2744468604342"/>
    <n v="-52.103340209882703"/>
    <n v="-23.337958020246301"/>
    <s v="376"/>
    <s v="PR"/>
    <s v="Eixo Principal"/>
    <s v="-"/>
    <s v="376BPR0199"/>
    <s v="ENTR PR-498 (PRESIDENTE CASTELO BRANCO)"/>
    <s v="ENTR PR-552 (MANDAGUAÇU) (P/ OURIZONA)"/>
    <n v="144.19999999999999"/>
    <n v="154.5"/>
    <n v="10.3"/>
    <x v="2"/>
    <m/>
    <m/>
    <s v="Concessão Estadual"/>
    <m/>
    <m/>
    <m/>
    <s v="Federal"/>
    <s v="PAV"/>
    <s v="Campo Mourão"/>
  </r>
  <r>
    <x v="0"/>
    <s v="376BPR0203"/>
    <n v="0"/>
    <x v="331"/>
    <s v="0203"/>
    <n v="-52.103340209882703"/>
    <n v="-23.337958020246301"/>
    <n v="-52.090846300116503"/>
    <n v="-23.349411249829199"/>
    <s v="376"/>
    <s v="PR"/>
    <s v="Eixo Principal"/>
    <s v="-"/>
    <s v="376BPR0203"/>
    <s v="ENTR PR-552 (MANDAGUAÇU) (P/ OURIZONA)"/>
    <s v="INÍCIO PISTA DUPLA (MANDAGUAÇÚ)"/>
    <n v="154.5"/>
    <n v="156.69999999999999"/>
    <n v="2.2000000000000002"/>
    <x v="2"/>
    <m/>
    <m/>
    <s v="Concessão Estadual"/>
    <m/>
    <m/>
    <m/>
    <s v="Federal"/>
    <s v="PAV"/>
    <s v="Campo Mourão"/>
  </r>
  <r>
    <x v="0"/>
    <s v="376BPR0204"/>
    <n v="0"/>
    <x v="331"/>
    <s v="0204"/>
    <n v="-52.090846300116503"/>
    <n v="-23.349411249829199"/>
    <n v="-51.987451740005703"/>
    <n v="-23.409788819997999"/>
    <s v="376"/>
    <s v="PR"/>
    <s v="Eixo Principal"/>
    <s v="-"/>
    <s v="376BPR0204"/>
    <s v="INÍCIO PISTA DUPLA (MANDAGUAÇÚ)"/>
    <s v="ENTR AV SABIÁ (CONTORNO NORTE MARINGÁ)"/>
    <n v="156.69999999999999"/>
    <n v="168"/>
    <n v="11.3"/>
    <x v="0"/>
    <m/>
    <m/>
    <s v="Concessão Estadual"/>
    <m/>
    <m/>
    <m/>
    <s v="Federal"/>
    <s v="PAV"/>
    <s v="Campo Mourão"/>
  </r>
  <r>
    <x v="0"/>
    <s v="376BPR0205"/>
    <n v="0"/>
    <x v="331"/>
    <s v="0205"/>
    <n v="-51.987451740005703"/>
    <n v="-23.409788819997999"/>
    <n v="-51.971922569770697"/>
    <n v="-23.418417070391399"/>
    <s v="376"/>
    <s v="PR"/>
    <s v="Eixo Principal"/>
    <s v="-"/>
    <s v="376BPR0205"/>
    <s v="ENTR AV SABIÁ (CONTORNO NORTE MARINGÁ)"/>
    <s v="ENTR PR-317(A) (P/FLORESTA)"/>
    <n v="168"/>
    <n v="171.6"/>
    <n v="3.6"/>
    <x v="0"/>
    <m/>
    <m/>
    <s v="Concessão Estadual"/>
    <m/>
    <m/>
    <m/>
    <s v="Federal"/>
    <s v="PAV"/>
    <s v="Campo Mourão"/>
  </r>
  <r>
    <x v="0"/>
    <s v="376BPR0206"/>
    <n v="0"/>
    <x v="331"/>
    <s v="0206"/>
    <n v="-51.971922569770697"/>
    <n v="-23.418417070391399"/>
    <n v="-51.932521799641201"/>
    <n v="-23.412379079730702"/>
    <s v="376"/>
    <s v="PR"/>
    <s v="Eixo Principal"/>
    <s v="-"/>
    <s v="376BPR0206"/>
    <s v="ENTR PR-317(A) (P/FLORESTA)"/>
    <s v="ENTR PR-317(B) (AVENIDA MORANGUEIRA)"/>
    <n v="171.6"/>
    <n v="175.9"/>
    <n v="4.3"/>
    <x v="0"/>
    <m/>
    <m/>
    <s v="Concessão Estadual"/>
    <m/>
    <m/>
    <m/>
    <s v="Federal"/>
    <s v="PAV"/>
    <s v="Campo Mourão"/>
  </r>
  <r>
    <x v="0"/>
    <s v="376BPR0207"/>
    <n v="0"/>
    <x v="331"/>
    <s v="0207"/>
    <n v="-51.932521799641201"/>
    <n v="-23.412379079730702"/>
    <n v="-51.887369279568503"/>
    <n v="-23.431352579657698"/>
    <s v="376"/>
    <s v="PR"/>
    <s v="Eixo Principal"/>
    <s v="-"/>
    <s v="376BPR0207"/>
    <s v="ENTR PR-317(B) (AVENIDA MORANGUEIRA)"/>
    <s v="ENTR PR-323 (CONTORNO SUL MARINGÁ)"/>
    <n v="175.9"/>
    <n v="180.9"/>
    <n v="5"/>
    <x v="0"/>
    <m/>
    <m/>
    <s v="Concessão Estadual"/>
    <m/>
    <m/>
    <m/>
    <s v="Federal"/>
    <s v="PAV"/>
    <s v="Campo Mourão"/>
  </r>
  <r>
    <x v="0"/>
    <s v="376BPR0209"/>
    <n v="0"/>
    <x v="331"/>
    <s v="0209"/>
    <n v="-51.887369279568503"/>
    <n v="-23.431352579657698"/>
    <n v="-51.872335740102301"/>
    <n v="-23.440551250239899"/>
    <s v="376"/>
    <s v="PR"/>
    <s v="Eixo Principal"/>
    <s v="-"/>
    <s v="376BPR0209"/>
    <s v="ENTR PR-323 (CONTORNO SUL MARINGÁ)"/>
    <s v="SARANDI"/>
    <n v="180.9"/>
    <n v="182.8"/>
    <n v="1.9"/>
    <x v="0"/>
    <m/>
    <m/>
    <s v="Concessão Estadual"/>
    <m/>
    <m/>
    <m/>
    <s v="Federal"/>
    <s v="PAV"/>
    <s v="Campo Mourão"/>
  </r>
  <r>
    <x v="0"/>
    <s v="376BPR0210"/>
    <n v="0"/>
    <x v="331"/>
    <s v="0210"/>
    <n v="-51.872335740102301"/>
    <n v="-23.440551250239899"/>
    <n v="-51.819516409654497"/>
    <n v="-23.471231879947201"/>
    <s v="376"/>
    <s v="PR"/>
    <s v="Eixo Principal"/>
    <s v="-"/>
    <s v="376BPR0210"/>
    <s v="SARANDI"/>
    <s v="ENTR PR-897(A) (CONTORNO SUL MARIALVA)"/>
    <n v="182.8"/>
    <n v="189"/>
    <n v="6.2"/>
    <x v="0"/>
    <m/>
    <m/>
    <s v="Concessão Estadual"/>
    <m/>
    <m/>
    <m/>
    <s v="Federal"/>
    <s v="PAV"/>
    <s v="Campo Mourão"/>
  </r>
  <r>
    <x v="0"/>
    <s v="376BPR0215"/>
    <n v="0"/>
    <x v="331"/>
    <s v="0215"/>
    <n v="-51.819516409654497"/>
    <n v="-23.471231879947201"/>
    <n v="-51.770166070107997"/>
    <n v="-23.498757919942001"/>
    <s v="376"/>
    <s v="PR"/>
    <s v="Eixo Principal"/>
    <s v="-"/>
    <s v="376BPR0215"/>
    <s v="ENTR PR-897(A) (CONTORNO SUL MARIALVA)"/>
    <s v="FIM CONTORNO SUL MARIALVA"/>
    <n v="189"/>
    <n v="195.4"/>
    <n v="6.4"/>
    <x v="2"/>
    <m/>
    <m/>
    <s v="Concessão Estadual"/>
    <m/>
    <m/>
    <m/>
    <s v="Federal"/>
    <s v="PAV"/>
    <s v="Campo Mourão"/>
  </r>
  <r>
    <x v="0"/>
    <s v="376BPR0217"/>
    <n v="0"/>
    <x v="331"/>
    <s v="0217"/>
    <n v="-51.770166070107997"/>
    <n v="-23.498757919942001"/>
    <n v="-51.717166059565898"/>
    <n v="-23.5103272304173"/>
    <s v="376"/>
    <s v="PR"/>
    <s v="Eixo Principal"/>
    <s v="-"/>
    <s v="376BPR0217"/>
    <s v="FIM CONTORNO SUL MARIALVA"/>
    <s v="ENTR ACESSO I MANDAGUARI"/>
    <n v="195.4"/>
    <n v="200.4"/>
    <n v="5"/>
    <x v="0"/>
    <m/>
    <m/>
    <s v="Concessão Estadual"/>
    <m/>
    <m/>
    <m/>
    <s v="Federal"/>
    <s v="PAV"/>
    <s v="Campo Mourão"/>
  </r>
  <r>
    <x v="0"/>
    <s v="376BPR0220"/>
    <n v="0"/>
    <x v="331"/>
    <s v="0220"/>
    <n v="-51.717166059565898"/>
    <n v="-23.5103272304173"/>
    <n v="-51.661609479693702"/>
    <n v="-23.561135190236701"/>
    <s v="376"/>
    <s v="PR"/>
    <s v="Eixo Principal"/>
    <s v="-"/>
    <s v="376BPR0220"/>
    <s v="ENTR ACESSO I MANDAGUARI"/>
    <s v="ENTR ACESSO II MANDAGUARI"/>
    <n v="200.4"/>
    <n v="210.5"/>
    <n v="10.1"/>
    <x v="0"/>
    <m/>
    <m/>
    <s v="Concessão Estadual"/>
    <m/>
    <m/>
    <m/>
    <s v="Federal"/>
    <s v="PAV"/>
    <s v="Campo Mourão"/>
  </r>
  <r>
    <x v="0"/>
    <s v="376BPR0225"/>
    <n v="0"/>
    <x v="331"/>
    <s v="0225"/>
    <n v="-51.661609479693702"/>
    <n v="-23.561135190236701"/>
    <n v="-51.648465450020403"/>
    <n v="-23.584498969951401"/>
    <s v="376"/>
    <s v="PR"/>
    <s v="Eixo Principal"/>
    <s v="-"/>
    <s v="376BPR0225"/>
    <s v="ENTR ACESSO II MANDAGUARI"/>
    <s v="FIM DA PISTA DUPLA"/>
    <n v="210.5"/>
    <n v="213.5"/>
    <n v="3"/>
    <x v="0"/>
    <m/>
    <m/>
    <s v="Concessão Estadual"/>
    <m/>
    <m/>
    <m/>
    <s v="Federal"/>
    <s v="PAV"/>
    <s v="Campo Mourão"/>
  </r>
  <r>
    <x v="0"/>
    <s v="376BPR0230"/>
    <n v="0"/>
    <x v="331"/>
    <s v="0230"/>
    <n v="-51.648465450020403"/>
    <n v="-23.584498969951401"/>
    <n v="-51.645537799729603"/>
    <n v="-23.5881645301689"/>
    <s v="376"/>
    <s v="PR"/>
    <s v="Eixo Principal"/>
    <s v="-"/>
    <s v="376BPR0230"/>
    <s v="FIM DA PISTA DUPLA"/>
    <s v="ENTR BR-369(A)/466(A) (JANDAIA DO SUL)"/>
    <n v="213.5"/>
    <n v="214"/>
    <n v="0.5"/>
    <x v="2"/>
    <m/>
    <m/>
    <s v="Convênio de Administração"/>
    <m/>
    <m/>
    <m/>
    <s v="Federal"/>
    <s v="PAV"/>
    <s v="Campo Mourão"/>
  </r>
  <r>
    <x v="0"/>
    <s v="376BPR0235"/>
    <n v="0"/>
    <x v="331"/>
    <s v="0235"/>
    <n v="-51.645537799729603"/>
    <n v="-23.5881645301689"/>
    <n v="-51.6276427596056"/>
    <n v="-23.598559669593001"/>
    <s v="376"/>
    <s v="PR"/>
    <s v="Eixo Principal"/>
    <s v="Coinc"/>
    <s v="376BPR0235"/>
    <s v="ENTR BR-369(A)/466(A) (JANDAIA DO SUL)"/>
    <s v="ACESSO CONTORNO SUL JANDAIA DO SUL"/>
    <n v="214"/>
    <n v="216.6"/>
    <n v="2.6"/>
    <x v="2"/>
    <m/>
    <s v="369BPR0720;466BPR0020"/>
    <s v="Concessão Estadual"/>
    <m/>
    <m/>
    <m/>
    <s v="Federal"/>
    <s v="PAV"/>
    <s v="Londrina"/>
  </r>
  <r>
    <x v="0"/>
    <s v="376BPR0240"/>
    <n v="0"/>
    <x v="331"/>
    <s v="0240"/>
    <n v="-51.6276427596056"/>
    <n v="-23.598559669593001"/>
    <n v="-51.580674080244499"/>
    <n v="-23.596148009822699"/>
    <s v="376"/>
    <s v="PR"/>
    <s v="Eixo Principal"/>
    <s v="Coinc"/>
    <s v="376BPR0240"/>
    <s v="ACESSO CONTORNO SUL JANDAIA DO SUL"/>
    <s v="ACESSO CAMBIRA"/>
    <n v="216.6"/>
    <n v="222.1"/>
    <n v="5.5"/>
    <x v="2"/>
    <m/>
    <s v="466BPR0015;369BPR0715"/>
    <s v="Concessão Estadual"/>
    <m/>
    <m/>
    <m/>
    <s v="Federal"/>
    <s v="PAV"/>
    <s v="Londrina"/>
  </r>
  <r>
    <x v="0"/>
    <s v="376BPR0250"/>
    <n v="0"/>
    <x v="331"/>
    <s v="0250"/>
    <n v="-51.580674080244499"/>
    <n v="-23.596148009822699"/>
    <n v="-51.535371180035803"/>
    <n v="-23.562171970060302"/>
    <s v="376"/>
    <s v="PR"/>
    <s v="Eixo Principal"/>
    <s v="Coinc"/>
    <s v="376BPR0250"/>
    <s v="ACESSO CAMBIRA"/>
    <s v="ACESSO PIRAPÓ"/>
    <n v="222.1"/>
    <n v="228.5"/>
    <n v="6.4"/>
    <x v="2"/>
    <m/>
    <s v="466BPR0010;369BPR0710"/>
    <s v="Concessão Estadual"/>
    <m/>
    <m/>
    <m/>
    <s v="Federal"/>
    <s v="PAV"/>
    <s v="Londrina"/>
  </r>
  <r>
    <x v="0"/>
    <s v="376BPR0255"/>
    <n v="0"/>
    <x v="331"/>
    <s v="0255"/>
    <n v="-51.535371180035803"/>
    <n v="-23.562171970060302"/>
    <n v="-51.519908070401002"/>
    <n v="-23.567105950279299"/>
    <s v="376"/>
    <s v="PR"/>
    <s v="Eixo Principal"/>
    <s v="Coinc"/>
    <s v="376BPR0255"/>
    <s v="ACESSO PIRAPÓ"/>
    <s v="ENTR PR-170 (FIM CONTORNO NORTE APUCARANA)"/>
    <n v="228.5"/>
    <n v="230.1"/>
    <n v="1.6"/>
    <x v="2"/>
    <m/>
    <s v="369BPR0705;466BPR0007"/>
    <s v="Concessão Estadual"/>
    <m/>
    <m/>
    <m/>
    <s v="Federal"/>
    <s v="PAV"/>
    <s v="Londrina"/>
  </r>
  <r>
    <x v="0"/>
    <s v="376BPR0260"/>
    <n v="0"/>
    <x v="331"/>
    <s v="0260"/>
    <n v="-51.519908070401002"/>
    <n v="-23.567105950279299"/>
    <n v="-51.509837700449403"/>
    <n v="-23.567702109964301"/>
    <s v="376"/>
    <s v="PR"/>
    <s v="Eixo Principal"/>
    <s v="Coinc"/>
    <s v="376BPR0260"/>
    <s v="ENTR PR-170 (FIM CONTORNO NORTE APUCARANA)"/>
    <s v="ENTR BR-369(B)/466(B) (CONTORNO SUL APUCARANA)"/>
    <n v="230.1"/>
    <n v="231.4"/>
    <n v="1.3"/>
    <x v="2"/>
    <m/>
    <s v="369BPR0700;466BPR0005"/>
    <s v="Concessão Estadual"/>
    <m/>
    <m/>
    <m/>
    <s v="Federal"/>
    <s v="PAV"/>
    <s v="Londrina"/>
  </r>
  <r>
    <x v="0"/>
    <s v="376BPR0265"/>
    <n v="0"/>
    <x v="331"/>
    <s v="0265"/>
    <n v="-51.509837700449403"/>
    <n v="-23.567702109964301"/>
    <n v="-51.418779850409699"/>
    <n v="-23.580054380105501"/>
    <s v="376"/>
    <s v="PR"/>
    <s v="Eixo Principal"/>
    <s v="-"/>
    <s v="376BPR0265"/>
    <s v="ENTR BR-369(B)/466(B) (CONTORNO SUL APUCARANA)"/>
    <s v="ACESSO LESTE APUCARANA"/>
    <n v="231.4"/>
    <n v="242"/>
    <n v="10.6"/>
    <x v="2"/>
    <m/>
    <m/>
    <s v="Convênio de Administração"/>
    <m/>
    <m/>
    <m/>
    <s v="Federal"/>
    <s v="PAV"/>
    <s v="Londrina"/>
  </r>
  <r>
    <x v="0"/>
    <s v="376BPR0270"/>
    <n v="0"/>
    <x v="331"/>
    <s v="0270"/>
    <n v="-51.418779850409699"/>
    <n v="-23.580054380105501"/>
    <n v="-51.398828079652098"/>
    <n v="-23.6108041397991"/>
    <s v="376"/>
    <s v="PR"/>
    <s v="Eixo Principal"/>
    <s v="-"/>
    <s v="376BPR0270"/>
    <s v="ACESSO LESTE APUCARANA"/>
    <s v="ENTR PR-532 (P/CORREIA DE FREITAS/AEROPORTO)"/>
    <n v="242"/>
    <n v="246.3"/>
    <n v="4.3"/>
    <x v="2"/>
    <m/>
    <m/>
    <s v="Convênio de Administração"/>
    <m/>
    <m/>
    <m/>
    <s v="Federal"/>
    <s v="PAV"/>
    <s v="Londrina"/>
  </r>
  <r>
    <x v="0"/>
    <s v="376BPR0275"/>
    <n v="0"/>
    <x v="331"/>
    <s v="0275"/>
    <n v="-51.398828079652098"/>
    <n v="-23.6108041397991"/>
    <n v="-51.305412930262399"/>
    <n v="-23.7190194096179"/>
    <s v="376"/>
    <s v="PR"/>
    <s v="Eixo Principal"/>
    <s v="-"/>
    <s v="376BPR0275"/>
    <s v="ENTR PR-532 (P/CORREIA DE FREITAS/AEROPORTO)"/>
    <s v="ENTR PR-539 (MARILÂNDIA DO SUL)"/>
    <n v="246.3"/>
    <n v="263.2"/>
    <n v="16.899999999999999"/>
    <x v="2"/>
    <m/>
    <m/>
    <s v="Convênio de Administração"/>
    <m/>
    <m/>
    <m/>
    <s v="Federal"/>
    <s v="PAV"/>
    <s v="Londrina"/>
  </r>
  <r>
    <x v="0"/>
    <s v="376BPR0280"/>
    <n v="0"/>
    <x v="331"/>
    <s v="0280"/>
    <n v="-51.305412930262399"/>
    <n v="-23.7190194096179"/>
    <n v="-51.228702570067497"/>
    <n v="-23.893503860314802"/>
    <s v="376"/>
    <s v="PR"/>
    <s v="Eixo Principal"/>
    <s v="-"/>
    <s v="376BPR0280"/>
    <s v="ENTR PR-539 (MARILÂNDIA DO SUL)"/>
    <s v="ACESSO MAUÁ DA SERRA"/>
    <n v="263.2"/>
    <n v="286.39999999999998"/>
    <n v="23.2"/>
    <x v="2"/>
    <m/>
    <m/>
    <s v="Convênio de Administração"/>
    <m/>
    <m/>
    <m/>
    <s v="Federal"/>
    <s v="PAV"/>
    <s v="Londrina"/>
  </r>
  <r>
    <x v="0"/>
    <s v="376BPR0285"/>
    <n v="0"/>
    <x v="331"/>
    <s v="0285"/>
    <n v="-51.228702570067497"/>
    <n v="-23.893503860314802"/>
    <n v="-51.192663509813002"/>
    <n v="-23.907572730297201"/>
    <s v="376"/>
    <s v="PR"/>
    <s v="Eixo Principal"/>
    <s v="-"/>
    <s v="376BPR0285"/>
    <s v="ACESSO MAUÁ DA SERRA"/>
    <s v="ENTR BR-272/PR-445"/>
    <n v="286.39999999999998"/>
    <n v="291"/>
    <n v="4.5999999999999996"/>
    <x v="2"/>
    <m/>
    <m/>
    <s v="Convênio de Administração"/>
    <m/>
    <m/>
    <m/>
    <s v="Federal"/>
    <s v="PAV"/>
    <s v="Londrina"/>
  </r>
  <r>
    <x v="0"/>
    <s v="376BPR0290"/>
    <n v="0"/>
    <x v="331"/>
    <s v="0290"/>
    <n v="-51.192663509813002"/>
    <n v="-23.907572730297201"/>
    <n v="-51.186004600232003"/>
    <n v="-23.910189789826902"/>
    <s v="376"/>
    <s v="PR"/>
    <s v="Eixo Principal"/>
    <s v="-"/>
    <s v="376BPR0290"/>
    <s v="ENTR BR-272/PR-445"/>
    <s v="INÍCIO PISTA DUPLA MAUÁ DA SERRA"/>
    <n v="291"/>
    <n v="291.8"/>
    <n v="0.8"/>
    <x v="2"/>
    <m/>
    <m/>
    <s v="Convênio de Administração"/>
    <m/>
    <m/>
    <m/>
    <s v="Federal"/>
    <s v="PAV"/>
    <s v="Ponta Grossa"/>
  </r>
  <r>
    <x v="0"/>
    <s v="376BPR0293"/>
    <n v="0"/>
    <x v="331"/>
    <s v="0293"/>
    <n v="-51.186004600232003"/>
    <n v="-23.910189789826902"/>
    <n v="-51.114033480160899"/>
    <n v="-23.952968529573901"/>
    <s v="376"/>
    <s v="PR"/>
    <s v="Eixo Principal"/>
    <s v="-"/>
    <s v="376BPR0293"/>
    <s v="INÍCIO PISTA DUPLA MAUÁ DA SERRA"/>
    <s v="FIM PISTA DUPLA"/>
    <n v="291.8"/>
    <n v="304"/>
    <n v="12.2"/>
    <x v="0"/>
    <m/>
    <m/>
    <s v="Convênio de Administração"/>
    <m/>
    <m/>
    <m/>
    <s v="Federal"/>
    <s v="PAV"/>
    <s v="Ponta Grossa"/>
  </r>
  <r>
    <x v="0"/>
    <s v="376BPR0295"/>
    <n v="0"/>
    <x v="331"/>
    <s v="0295"/>
    <n v="-51.114033480160899"/>
    <n v="-23.952968529573901"/>
    <n v="-51.047131039865498"/>
    <n v="-24.092044039900401"/>
    <s v="376"/>
    <s v="PR"/>
    <s v="Eixo Principal"/>
    <s v="-"/>
    <s v="376BPR0295"/>
    <s v="FIM PISTA DUPLA"/>
    <s v="BAIRRO DOS FRANÇA"/>
    <n v="304"/>
    <n v="325.60000000000002"/>
    <n v="21.6"/>
    <x v="2"/>
    <m/>
    <m/>
    <s v="Convênio de Administração"/>
    <m/>
    <m/>
    <m/>
    <s v="Federal"/>
    <s v="PAV"/>
    <s v="Ponta Grossa"/>
  </r>
  <r>
    <x v="0"/>
    <s v="376BPR0300"/>
    <n v="0"/>
    <x v="331"/>
    <s v="0300"/>
    <n v="-51.047131039865498"/>
    <n v="-24.092044039900401"/>
    <n v="-50.937343620211799"/>
    <n v="-24.216218560038399"/>
    <s v="376"/>
    <s v="PR"/>
    <s v="Eixo Principal"/>
    <s v="-"/>
    <s v="376BPR0300"/>
    <s v="BAIRRO DOS FRANÇA"/>
    <s v="ENTR PR-987 (P/ORTIGUEIRA)"/>
    <n v="325.60000000000002"/>
    <n v="345.9"/>
    <n v="20.3"/>
    <x v="2"/>
    <m/>
    <m/>
    <s v="Convênio de Administração"/>
    <m/>
    <m/>
    <m/>
    <s v="Federal"/>
    <s v="PAV"/>
    <s v="Ponta Grossa"/>
  </r>
  <r>
    <x v="0"/>
    <s v="376BPR0310"/>
    <n v="0"/>
    <x v="331"/>
    <s v="0310"/>
    <n v="-50.937343620211799"/>
    <n v="-24.216218560038399"/>
    <n v="-50.759609460308198"/>
    <n v="-24.4492799996722"/>
    <s v="376"/>
    <s v="PR"/>
    <s v="Eixo Principal"/>
    <s v="-"/>
    <s v="376BPR0310"/>
    <s v="ENTR PR-987 (P/ORTIGUEIRA)"/>
    <s v="ENTR PR-160/239 (IMBAÚ)"/>
    <n v="345.9"/>
    <n v="379.6"/>
    <n v="33.700000000000003"/>
    <x v="2"/>
    <m/>
    <m/>
    <s v="Convênio de Administração"/>
    <m/>
    <m/>
    <m/>
    <s v="Federal"/>
    <s v="PAV"/>
    <s v="Ponta Grossa"/>
  </r>
  <r>
    <x v="0"/>
    <s v="376BPR0330"/>
    <n v="0"/>
    <x v="331"/>
    <s v="0330"/>
    <n v="-50.759609460308198"/>
    <n v="-24.4492799996722"/>
    <n v="-50.643413409700997"/>
    <n v="-24.628674130006999"/>
    <s v="376"/>
    <s v="PR"/>
    <s v="Eixo Principal"/>
    <s v="-"/>
    <s v="376BPR0330"/>
    <s v="ENTR PR-160/239 (IMBAÚ)"/>
    <s v="ENTR PR-441 (P/RESERVA)"/>
    <n v="379.6"/>
    <n v="404.1"/>
    <n v="24.5"/>
    <x v="2"/>
    <m/>
    <m/>
    <s v="Convênio de Administração"/>
    <m/>
    <m/>
    <m/>
    <s v="Federal"/>
    <s v="PAV"/>
    <s v="Ponta Grossa"/>
  </r>
  <r>
    <x v="0"/>
    <s v="376BPR0340"/>
    <n v="0"/>
    <x v="331"/>
    <s v="0340"/>
    <n v="-50.643413409700997"/>
    <n v="-24.628674130006999"/>
    <n v="-50.536774049782501"/>
    <n v="-24.747653110202801"/>
    <s v="376"/>
    <s v="PR"/>
    <s v="Eixo Principal"/>
    <s v="-"/>
    <s v="376BPR0340"/>
    <s v="ENTR PR-441 (P/RESERVA)"/>
    <s v="ACESSO RESERVA/ALTO DO AMPARO"/>
    <n v="404.1"/>
    <n v="423.5"/>
    <n v="19.399999999999999"/>
    <x v="2"/>
    <m/>
    <m/>
    <s v="Convênio de Administração"/>
    <m/>
    <m/>
    <m/>
    <s v="Federal"/>
    <s v="PAV"/>
    <s v="Ponta Grossa"/>
  </r>
  <r>
    <x v="0"/>
    <s v="376BPR0350"/>
    <n v="0"/>
    <x v="331"/>
    <s v="0350"/>
    <n v="-50.536774049782501"/>
    <n v="-24.747653110202801"/>
    <n v="-50.487586539687001"/>
    <n v="-24.814485020267401"/>
    <s v="376"/>
    <s v="PR"/>
    <s v="Eixo Principal"/>
    <s v="-"/>
    <s v="376BPR0350"/>
    <s v="ACESSO RESERVA/ALTO DO AMPARO"/>
    <s v="ENTR BR-153 (P/TIBAGI/IPIRANGA)"/>
    <n v="423.5"/>
    <n v="433.2"/>
    <n v="9.6999999999999993"/>
    <x v="2"/>
    <m/>
    <m/>
    <s v="Convênio de Administração"/>
    <m/>
    <m/>
    <m/>
    <s v="Federal"/>
    <s v="PAV"/>
    <s v="Ponta Grossa"/>
  </r>
  <r>
    <x v="0"/>
    <s v="376BPR0370"/>
    <n v="0"/>
    <x v="331"/>
    <s v="0370"/>
    <n v="-50.487586539687001"/>
    <n v="-24.814485020267401"/>
    <n v="-50.2806248899266"/>
    <n v="-25.0400581100936"/>
    <s v="376"/>
    <s v="PR"/>
    <s v="Eixo Principal"/>
    <s v="-"/>
    <s v="376BPR0370"/>
    <s v="ENTR BR-153 (P/TIBAGI/IPIRANGA)"/>
    <s v="ENTR BR-373(A)/487(A) (CAETANO)"/>
    <n v="433.2"/>
    <n v="468.9"/>
    <n v="35.700000000000003"/>
    <x v="2"/>
    <m/>
    <m/>
    <s v="Convênio de Administração"/>
    <m/>
    <m/>
    <m/>
    <s v="Federal"/>
    <s v="PAV"/>
    <s v="Ponta Grossa"/>
  </r>
  <r>
    <x v="0"/>
    <s v="376BPR0390"/>
    <n v="0"/>
    <x v="331"/>
    <s v="0390"/>
    <n v="-50.2806248899266"/>
    <n v="-25.0400581100936"/>
    <n v="-50.191147850192998"/>
    <n v="-25.081815120171498"/>
    <s v="376"/>
    <s v="PR"/>
    <s v="Eixo Principal"/>
    <s v="Coinc"/>
    <s v="376BPR0390"/>
    <s v="ENTR BR-373(A)/487(A) (CAETANO)"/>
    <s v="ENTR BR-373(B)/487(B) (P/PONTA GROSSA)"/>
    <n v="468.9"/>
    <n v="480.4"/>
    <n v="11.5"/>
    <x v="0"/>
    <m/>
    <s v="373BPR0320;487BPR0340"/>
    <s v="Convênio de Administração"/>
    <m/>
    <m/>
    <m/>
    <s v="Federal"/>
    <s v="PAV"/>
    <s v="Ponta Grossa"/>
  </r>
  <r>
    <x v="0"/>
    <s v="376BPR0400"/>
    <n v="0"/>
    <x v="331"/>
    <s v="0400"/>
    <n v="-50.191147850192998"/>
    <n v="-25.081815120171498"/>
    <n v="-50.143066070042998"/>
    <n v="-25.150896900171698"/>
    <s v="376"/>
    <s v="PR"/>
    <s v="Eixo Principal"/>
    <s v="-"/>
    <s v="376BPR0400"/>
    <s v="ENTR BR-373(B)/487(B) (P/PONTA GROSSA)"/>
    <s v="ENTR PR-151"/>
    <n v="480.4"/>
    <n v="490.9"/>
    <n v="10.5"/>
    <x v="0"/>
    <m/>
    <m/>
    <s v="Convênio de Administração"/>
    <m/>
    <m/>
    <m/>
    <s v="Federal"/>
    <s v="PAV"/>
    <s v="Ponta Grossa"/>
  </r>
  <r>
    <x v="0"/>
    <s v="376BPR0410"/>
    <n v="0"/>
    <x v="331"/>
    <s v="0410"/>
    <n v="-50.143066070042998"/>
    <n v="-25.150896900171698"/>
    <n v="-50.080720040397502"/>
    <n v="-25.191296180374302"/>
    <s v="376"/>
    <s v="PR"/>
    <s v="Eixo Principal"/>
    <s v="-"/>
    <s v="376BPR0410"/>
    <s v="ENTR PR-151"/>
    <s v="ENTR PR-513 (P/ITAIACOCA)"/>
    <n v="490.9"/>
    <n v="498.5"/>
    <n v="7.6"/>
    <x v="0"/>
    <m/>
    <m/>
    <s v="Convênio de Administração"/>
    <m/>
    <m/>
    <m/>
    <s v="Federal"/>
    <s v="PAV"/>
    <s v="Ponta Grossa"/>
  </r>
  <r>
    <x v="0"/>
    <s v="376BPR0415"/>
    <n v="0"/>
    <x v="331"/>
    <s v="0415"/>
    <n v="-50.080720040397502"/>
    <n v="-25.191296180374302"/>
    <n v="-50.0225213000179"/>
    <n v="-25.246402949936101"/>
    <s v="376"/>
    <s v="PR"/>
    <s v="Eixo Principal"/>
    <s v="-"/>
    <s v="376BPR0415"/>
    <s v="ENTR PR-513 (P/ITAIACOCA)"/>
    <s v="ENTR PR-810 (ACESSO VILA VELHA)"/>
    <n v="498.5"/>
    <n v="506.9"/>
    <n v="8.4"/>
    <x v="0"/>
    <m/>
    <m/>
    <s v="Convênio de Administração"/>
    <m/>
    <m/>
    <m/>
    <s v="Federal"/>
    <s v="PAV"/>
    <s v="Ponta Grossa"/>
  </r>
  <r>
    <x v="0"/>
    <s v="376BPR0420"/>
    <n v="0"/>
    <x v="331"/>
    <s v="0420"/>
    <n v="-50.0225213000179"/>
    <n v="-25.246402949936101"/>
    <n v="-49.7288211297912"/>
    <n v="-25.464375709970898"/>
    <s v="376"/>
    <s v="PR"/>
    <s v="Eixo Principal"/>
    <s v="-"/>
    <s v="376BPR0420"/>
    <s v="ENTR PR-810 (ACESSO VILA VELHA)"/>
    <s v="ENTR BR-277(A)/PR-428 (SÃO LUÍS PURUNÃ)"/>
    <n v="506.9"/>
    <n v="547.5"/>
    <n v="40.6"/>
    <x v="0"/>
    <m/>
    <m/>
    <s v="Convênio de Administração"/>
    <m/>
    <m/>
    <m/>
    <s v="Federal"/>
    <s v="PAV"/>
    <s v="Ponta Grossa"/>
  </r>
  <r>
    <x v="0"/>
    <s v="376BPR0425"/>
    <n v="0"/>
    <x v="331"/>
    <s v="0425"/>
    <n v="-49.7288211297912"/>
    <n v="-25.464375709970898"/>
    <n v="-49.666789999558702"/>
    <n v="-25.4718722301192"/>
    <s v="376"/>
    <s v="PR"/>
    <s v="Eixo Principal"/>
    <s v="Coinc"/>
    <s v="376BPR0425"/>
    <s v="ENTR BR-277(A)/PR-428 (SÃO LUÍS PURUNÃ)"/>
    <s v="ACESSO SANTA"/>
    <n v="547.5"/>
    <n v="554.5"/>
    <n v="7"/>
    <x v="0"/>
    <m/>
    <s v="277BPR0075"/>
    <s v="Concessão Estadual"/>
    <m/>
    <m/>
    <m/>
    <s v="Federal"/>
    <s v="PAV"/>
    <s v="Colombo"/>
  </r>
  <r>
    <x v="0"/>
    <s v="376BPR0430"/>
    <n v="0"/>
    <x v="331"/>
    <s v="0430"/>
    <n v="-49.666789999558702"/>
    <n v="-25.4718722301192"/>
    <n v="-49.594470140384601"/>
    <n v="-25.467543640226701"/>
    <s v="376"/>
    <s v="PR"/>
    <s v="Eixo Principal"/>
    <s v="-"/>
    <s v="376BPR0430"/>
    <s v="ACESSO SANTA"/>
    <s v="ACESSO FÁBRICA CIMENTO ITAMBÉ"/>
    <n v="554.5"/>
    <n v="563.20000000000005"/>
    <n v="8.6999999999999993"/>
    <x v="2"/>
    <m/>
    <s v="277VPR1005"/>
    <s v="Concessão Estadual"/>
    <m/>
    <m/>
    <m/>
    <s v="Federal"/>
    <s v="PAV"/>
    <s v="Colombo"/>
  </r>
  <r>
    <x v="0"/>
    <s v="376BPR0435"/>
    <n v="0"/>
    <x v="331"/>
    <s v="0435"/>
    <n v="-49.594470140384601"/>
    <n v="-25.467543640226701"/>
    <n v="-49.581166609651198"/>
    <n v="-25.4619777100032"/>
    <s v="376"/>
    <s v="PR"/>
    <s v="Eixo Principal"/>
    <s v="-"/>
    <s v="376BPR0435"/>
    <s v="ACESSO FÁBRICA CIMENTO ITAMBÉ"/>
    <s v="ENTR PR-423"/>
    <n v="563.20000000000005"/>
    <n v="565.20000000000005"/>
    <n v="2"/>
    <x v="2"/>
    <m/>
    <s v="277VPR1010"/>
    <s v="Concessão Estadual"/>
    <m/>
    <m/>
    <m/>
    <s v="Federal"/>
    <s v="PAV"/>
    <s v="Colombo"/>
  </r>
  <r>
    <x v="0"/>
    <s v="376BPR0440"/>
    <n v="0"/>
    <x v="331"/>
    <s v="0440"/>
    <n v="-49.581166609651198"/>
    <n v="-25.4619777100032"/>
    <n v="-49.522228810011498"/>
    <n v="-25.450561340033701"/>
    <s v="376"/>
    <s v="PR"/>
    <s v="Eixo Principal"/>
    <s v="-"/>
    <s v="376BPR0440"/>
    <s v="ENTR PR-423"/>
    <s v="ENTR PR-510 (P/BATÉIAS)"/>
    <n v="565.20000000000005"/>
    <n v="570.9"/>
    <n v="5.7"/>
    <x v="2"/>
    <m/>
    <s v="277VPR1015"/>
    <s v="Concessão Estadual"/>
    <m/>
    <m/>
    <m/>
    <s v="Federal"/>
    <s v="PAV"/>
    <s v="Colombo"/>
  </r>
  <r>
    <x v="0"/>
    <s v="376BPR0445"/>
    <n v="0"/>
    <x v="331"/>
    <s v="0445"/>
    <n v="-49.522228810011498"/>
    <n v="-25.450561340033701"/>
    <n v="-49.500850999573899"/>
    <n v="-25.4451226099204"/>
    <s v="376"/>
    <s v="PR"/>
    <s v="Eixo Principal"/>
    <s v="-"/>
    <s v="376BPR0445"/>
    <s v="ENTR PR-510 (P/BATÉIAS)"/>
    <s v="ACESSO CAMPO LARGO"/>
    <n v="570.9"/>
    <n v="572.9"/>
    <n v="2"/>
    <x v="2"/>
    <m/>
    <s v="277VPR1020"/>
    <s v="Concessão Estadual"/>
    <m/>
    <m/>
    <m/>
    <s v="Federal"/>
    <s v="PAV"/>
    <s v="Colombo"/>
  </r>
  <r>
    <x v="0"/>
    <s v="376BPR0450"/>
    <n v="0"/>
    <x v="331"/>
    <s v="0450"/>
    <n v="-49.500850999573899"/>
    <n v="-25.4451226099204"/>
    <n v="-49.365711999908797"/>
    <n v="-25.432076910321001"/>
    <s v="376"/>
    <s v="PR"/>
    <s v="Eixo Principal"/>
    <s v="Coinc"/>
    <s v="376BPR0450"/>
    <s v="ACESSO CAMPO LARGO"/>
    <s v="ACESSO OESTE CURITIBA"/>
    <n v="572.9"/>
    <n v="587.79999999999995"/>
    <n v="14.9"/>
    <x v="0"/>
    <m/>
    <s v="277BPR0055"/>
    <s v="Convênio de Administração"/>
    <m/>
    <m/>
    <m/>
    <s v="Federal"/>
    <s v="PAV"/>
    <s v="Colombo"/>
  </r>
  <r>
    <x v="0"/>
    <s v="376BPR0455"/>
    <n v="0"/>
    <x v="331"/>
    <s v="0455"/>
    <n v="-49.365711999908797"/>
    <n v="-25.432076910321001"/>
    <n v="-49.310956240238198"/>
    <n v="-25.540531309871898"/>
    <s v="376"/>
    <s v="PR"/>
    <s v="Eixo Principal"/>
    <s v="Coinc"/>
    <s v="376BPR0455"/>
    <s v="ACESSO OESTE CURITIBA"/>
    <s v="ENTR BR-476(A) (P/ARAUCÁRIA)"/>
    <n v="587.79999999999995"/>
    <n v="601.5"/>
    <n v="13.7"/>
    <x v="0"/>
    <m/>
    <s v="277BPR0053"/>
    <s v="Federal"/>
    <m/>
    <m/>
    <m/>
    <s v="Federal"/>
    <s v="PAV"/>
    <s v="Colombo"/>
  </r>
  <r>
    <x v="0"/>
    <s v="376BPR0460"/>
    <n v="0"/>
    <x v="331"/>
    <s v="0460"/>
    <n v="-49.310956240238198"/>
    <n v="-25.540531309871898"/>
    <n v="-49.303409099949903"/>
    <n v="-25.544169439867598"/>
    <s v="376"/>
    <s v="PR"/>
    <s v="Eixo Principal"/>
    <s v="Coinc"/>
    <s v="376BPR0460"/>
    <s v="ENTR BR-476(A) (P/ARAUCÁRIA)"/>
    <s v="ENTR BR-116(A)/476(B) (CURITIBA SUL/PINHEIRINHO)"/>
    <n v="601.5"/>
    <n v="602.4"/>
    <n v="0.9"/>
    <x v="0"/>
    <m/>
    <s v="277BPR0051;476BPR0085"/>
    <s v="Federal"/>
    <m/>
    <m/>
    <m/>
    <s v="Federal"/>
    <s v="PAV"/>
    <s v="Colombo"/>
  </r>
  <r>
    <x v="0"/>
    <s v="376BPR0470"/>
    <n v="0"/>
    <x v="331"/>
    <s v="0470"/>
    <n v="-49.303409099949903"/>
    <n v="-25.544169439867598"/>
    <n v="-49.181893820243502"/>
    <n v="-25.568944049927801"/>
    <s v="376"/>
    <s v="PR"/>
    <s v="Eixo Principal"/>
    <s v="Coinc"/>
    <s v="376BPR0470"/>
    <s v="ENTR BR-116(A)/476(B) (CURITIBA SUL/PINHEIRINHO)"/>
    <s v="ENTR BR-116(B)"/>
    <n v="602.4"/>
    <n v="615.20000000000005"/>
    <n v="12.8"/>
    <x v="0"/>
    <m/>
    <s v="277BPR0041;116BPR2770"/>
    <s v="Convênio de Administração"/>
    <m/>
    <m/>
    <m/>
    <s v="Federal"/>
    <s v="PAV"/>
    <s v="Colombo"/>
  </r>
  <r>
    <x v="0"/>
    <s v="376BPR0480"/>
    <n v="0"/>
    <x v="331"/>
    <s v="0480"/>
    <n v="-49.181893820243502"/>
    <n v="-25.568944049927801"/>
    <n v="-49.124800889849098"/>
    <n v="-25.8238967400424"/>
    <s v="376"/>
    <s v="PR"/>
    <s v="Eixo Principal"/>
    <s v="-"/>
    <s v="376BPR0480"/>
    <s v="ENTR BR-116(B)"/>
    <s v="ENTR PR-281 (P/TIJUCAS DO SUL)"/>
    <n v="615.20000000000005"/>
    <n v="645.29999999999995"/>
    <n v="30.1"/>
    <x v="0"/>
    <m/>
    <m/>
    <s v="Concessão Federal"/>
    <m/>
    <m/>
    <m/>
    <s v="Federal"/>
    <s v="PAV"/>
    <s v="São José dos Pinhais"/>
  </r>
  <r>
    <x v="0"/>
    <s v="376BPR0490"/>
    <n v="0"/>
    <x v="331"/>
    <s v="0490"/>
    <n v="-49.124800889849098"/>
    <n v="-25.8238967400424"/>
    <n v="-48.886446100007397"/>
    <n v="-25.9816419701007"/>
    <s v="376"/>
    <s v="PR"/>
    <s v="Eixo Principal"/>
    <s v="-"/>
    <s v="376BPR0490"/>
    <s v="ENTR PR-281 (P/TIJUCAS DO SUL)"/>
    <s v="DIV PR/SC (ENTR BR-101)"/>
    <n v="645.29999999999995"/>
    <n v="682.9"/>
    <n v="37.6"/>
    <x v="0"/>
    <m/>
    <m/>
    <s v="Concessão Federal"/>
    <m/>
    <m/>
    <m/>
    <s v="Federal"/>
    <s v="PAV"/>
    <s v="São José dos Pinhais"/>
  </r>
  <r>
    <x v="0"/>
    <s v="376BSC0510"/>
    <n v="0"/>
    <x v="332"/>
    <s v="0510"/>
    <n v="-48.886446100007397"/>
    <n v="-25.9816419701007"/>
    <n v="-48.861226220313704"/>
    <n v="-26.028743330040498"/>
    <s v="376"/>
    <s v="SC"/>
    <s v="Eixo Principal"/>
    <s v="Coinc"/>
    <s v="376BSC0510"/>
    <s v="ENTR BR-101 (DIV PR/SC)"/>
    <s v="ENTR SC-417 (GARUVA)"/>
    <n v="0"/>
    <n v="6.2"/>
    <n v="6.2"/>
    <x v="0"/>
    <m/>
    <s v="101BSC3810"/>
    <s v="Concessão Federal"/>
    <m/>
    <m/>
    <m/>
    <s v="Federal"/>
    <s v="PAV"/>
    <s v="Joinville"/>
  </r>
  <r>
    <x v="0"/>
    <s v="376BSP0120"/>
    <n v="0"/>
    <x v="333"/>
    <s v="0120"/>
    <n v="-53.013546659850398"/>
    <n v="-22.510196450305799"/>
    <n v="-52.871668129980101"/>
    <n v="-22.595725399707302"/>
    <s v="376"/>
    <s v="SP"/>
    <s v="Eixo Principal"/>
    <s v="-"/>
    <s v="376BSP0120"/>
    <s v="DIV SP/MS (PORTO PRIMAVERA)"/>
    <s v="DIV PR/SP"/>
    <n v="0"/>
    <n v="18"/>
    <n v="18"/>
    <x v="1"/>
    <m/>
    <m/>
    <s v="Federal"/>
    <m/>
    <m/>
    <m/>
    <s v="Federal"/>
    <s v="PLA"/>
    <s v="São José do Rio Preto"/>
  </r>
  <r>
    <x v="0"/>
    <s v="376CPR1005"/>
    <n v="0"/>
    <x v="334"/>
    <s v="1005"/>
    <n v="-51.987451740005703"/>
    <n v="-23.409788819997999"/>
    <n v="-51.958106379605603"/>
    <n v="-23.380332940113"/>
    <s v="376"/>
    <s v="PR"/>
    <s v="Contorno"/>
    <s v="-"/>
    <s v="376CPR1005"/>
    <s v="ENTR BR-376 (I)"/>
    <s v="ENTR AV MANDACARU (CONT NORTE MARINGÁ)"/>
    <n v="0"/>
    <n v="4.3"/>
    <n v="4.3"/>
    <x v="0"/>
    <m/>
    <m/>
    <s v="Federal"/>
    <m/>
    <m/>
    <m/>
    <s v="Federal"/>
    <s v="PAV"/>
    <s v="Campo Mourão"/>
  </r>
  <r>
    <x v="0"/>
    <s v="376CPR1010"/>
    <n v="0"/>
    <x v="334"/>
    <s v="1010"/>
    <n v="-51.958106379605603"/>
    <n v="-23.380332940113"/>
    <n v="-51.936685710177301"/>
    <n v="-23.3749144195647"/>
    <s v="376"/>
    <s v="PR"/>
    <s v="Contorno"/>
    <s v="-"/>
    <s v="376CPR1010"/>
    <s v="ENTR AV MANDACARU (CONT NORTE MARINGÁ)"/>
    <s v="ENTR AV KAKOGAWA (CONT NORTE MARINGÁ)"/>
    <n v="4.3"/>
    <n v="6.8"/>
    <n v="2.5"/>
    <x v="0"/>
    <m/>
    <m/>
    <s v="Federal"/>
    <m/>
    <m/>
    <m/>
    <s v="Federal"/>
    <s v="PAV"/>
    <s v="Campo Mourão"/>
  </r>
  <r>
    <x v="0"/>
    <s v="376CPR1015"/>
    <n v="0"/>
    <x v="334"/>
    <s v="1015"/>
    <n v="-51.936685710177301"/>
    <n v="-23.3749144195647"/>
    <n v="-51.913017189791397"/>
    <n v="-23.380181419636699"/>
    <s v="376"/>
    <s v="PR"/>
    <s v="Contorno"/>
    <s v="-"/>
    <s v="376CPR1015"/>
    <s v="ENTR AV KAKOGAWA (CONT NORTE MARINGÁ)"/>
    <s v="ENTR PR-317 (CONTORNO NORTE DE MARINGÁ)"/>
    <n v="6.8"/>
    <n v="9"/>
    <n v="2.2000000000000002"/>
    <x v="0"/>
    <m/>
    <m/>
    <s v="Federal"/>
    <m/>
    <m/>
    <m/>
    <s v="Federal"/>
    <s v="PAV"/>
    <s v="Campo Mourão"/>
  </r>
  <r>
    <x v="0"/>
    <s v="376CPR1020"/>
    <n v="0"/>
    <x v="334"/>
    <s v="1020"/>
    <n v="-51.913017189791397"/>
    <n v="-23.380181419636699"/>
    <n v="-51.885936899668103"/>
    <n v="-23.3958812398273"/>
    <s v="376"/>
    <s v="PR"/>
    <s v="Contorno"/>
    <s v="-"/>
    <s v="376CPR1020"/>
    <s v="ENTR PR-317 (CONTORNO NORTE DE MARINGÁ)"/>
    <s v="ENTR AV TUIUTI (CONT NORTE MARINGÁ)"/>
    <n v="9"/>
    <n v="12.1"/>
    <n v="3.1"/>
    <x v="0"/>
    <m/>
    <m/>
    <s v="Federal"/>
    <m/>
    <m/>
    <m/>
    <s v="Federal"/>
    <s v="PAV"/>
    <s v="Campo Mourão"/>
  </r>
  <r>
    <x v="0"/>
    <s v="376CPR1025"/>
    <n v="0"/>
    <x v="334"/>
    <s v="1025"/>
    <n v="-51.885936899668103"/>
    <n v="-23.3958812398273"/>
    <n v="-51.878289740379103"/>
    <n v="-23.402277950267099"/>
    <s v="376"/>
    <s v="PR"/>
    <s v="Contorno"/>
    <s v="-"/>
    <s v="376CPR1025"/>
    <s v="ENTR AV TUIUTI (CONT NORTE MARINGÁ)"/>
    <s v="ENTR AV GUAIAPÓ (CONT NORTE MARINGÁ)"/>
    <n v="12.1"/>
    <n v="13.5"/>
    <n v="1.4"/>
    <x v="0"/>
    <m/>
    <m/>
    <s v="Federal"/>
    <m/>
    <m/>
    <m/>
    <s v="Federal"/>
    <s v="PAV"/>
    <s v="Campo Mourão"/>
  </r>
  <r>
    <x v="0"/>
    <s v="376CPR1030"/>
    <n v="0"/>
    <x v="334"/>
    <s v="1030"/>
    <n v="-51.878289740379103"/>
    <n v="-23.402277950267099"/>
    <n v="-51.887369279568503"/>
    <n v="-23.431352579657698"/>
    <s v="376"/>
    <s v="PR"/>
    <s v="Contorno"/>
    <s v="-"/>
    <s v="376CPR1030"/>
    <s v="ENTR AV GUAIAPÓ (CONT NORTE MARINGÁ)"/>
    <s v="ENTR BR-376 (II) (CONT NORTE MARINGÁ)"/>
    <n v="13.5"/>
    <n v="17.3"/>
    <n v="3.8"/>
    <x v="0"/>
    <m/>
    <m/>
    <s v="Federal"/>
    <m/>
    <m/>
    <m/>
    <s v="Federal"/>
    <s v="PAV"/>
    <s v="Campo Mourão"/>
  </r>
  <r>
    <x v="0"/>
    <s v="376UPR1005"/>
    <n v="0"/>
    <x v="335"/>
    <s v="1005"/>
    <n v="-52.103340209882703"/>
    <n v="-23.337958020246301"/>
    <n v="-52.091269569634903"/>
    <n v="-23.351706030109099"/>
    <s v="376"/>
    <s v="PR"/>
    <s v="Travessia Urbana"/>
    <s v="-"/>
    <s v="376UPR1005"/>
    <s v="ENTR BR-376 (MANDAGUAÇU)"/>
    <s v="ENTR BR-376 (FIM CONT SUL MARIALVA)(CONT SUL MARINGÁ)"/>
    <n v="0"/>
    <n v="32.299999999999997"/>
    <n v="32.299999999999997"/>
    <x v="1"/>
    <m/>
    <m/>
    <s v="Federal"/>
    <m/>
    <m/>
    <m/>
    <s v="Federal"/>
    <s v="PLA"/>
    <s v="Campo Mourão"/>
  </r>
  <r>
    <x v="0"/>
    <s v="376UPR2005"/>
    <n v="0"/>
    <x v="335"/>
    <s v="2005"/>
    <n v="-51.717166059565898"/>
    <n v="-23.5103272304173"/>
    <n v="-51.704511250293898"/>
    <n v="-23.513229599866101"/>
    <s v="376"/>
    <s v="PR"/>
    <s v="Travessia Urbana"/>
    <s v="-"/>
    <s v="376UPR2005"/>
    <s v="ENTR BR-376 (KM 199,9)"/>
    <s v="ENTR PR-444 (MANDAGUARI)"/>
    <n v="0"/>
    <n v="1.5"/>
    <n v="1.5"/>
    <x v="2"/>
    <m/>
    <m/>
    <s v="Convênio de Administração"/>
    <m/>
    <m/>
    <m/>
    <s v="Federal"/>
    <s v="PAV"/>
    <s v="Campo Mourão"/>
  </r>
  <r>
    <x v="0"/>
    <s v="376UPR2010"/>
    <n v="0"/>
    <x v="335"/>
    <s v="2010"/>
    <n v="-51.704511250293898"/>
    <n v="-23.513229599866101"/>
    <n v="-51.667367520394599"/>
    <n v="-23.550034029946399"/>
    <s v="376"/>
    <s v="PR"/>
    <s v="Travessia Urbana"/>
    <s v="-"/>
    <s v="376UPR2010"/>
    <s v="ENTR PR-444 (MANDAGUARI)"/>
    <s v="INICIO DO TRECHO CONCEDIDO"/>
    <n v="1.5"/>
    <n v="8.6"/>
    <n v="7.1"/>
    <x v="2"/>
    <m/>
    <m/>
    <s v="Convênio de Administração"/>
    <m/>
    <m/>
    <m/>
    <s v="Federal"/>
    <s v="PAV"/>
    <s v="Campo Mourão"/>
  </r>
  <r>
    <x v="0"/>
    <s v="376UPR2015"/>
    <n v="0"/>
    <x v="335"/>
    <s v="2015"/>
    <n v="-51.667367520394599"/>
    <n v="-23.550034029946399"/>
    <n v="-51.661609479693702"/>
    <n v="-23.561135190236701"/>
    <s v="376"/>
    <s v="PR"/>
    <s v="Travessia Urbana"/>
    <s v="-"/>
    <s v="376UPR2015"/>
    <s v="INICIO DO TRECHO CONCEDIDO"/>
    <s v="ENTR BR-376 (KM 210,5)"/>
    <n v="8.6"/>
    <n v="10"/>
    <n v="1.4"/>
    <x v="2"/>
    <m/>
    <m/>
    <s v="Concessão Estadual"/>
    <m/>
    <m/>
    <m/>
    <s v="Federal"/>
    <s v="PAV"/>
    <s v="Campo Mourão"/>
  </r>
  <r>
    <x v="0"/>
    <s v="376VPR1005"/>
    <n v="0"/>
    <x v="336"/>
    <s v="1005"/>
    <n v="-49.500850999573899"/>
    <n v="-25.4451226099204"/>
    <n v="-49.519236750275702"/>
    <n v="-25.434976929841401"/>
    <s v="376"/>
    <s v="PR"/>
    <s v="Variante"/>
    <s v="-"/>
    <s v="376VPR1005"/>
    <s v="ACESSO CAMPO LARGO"/>
    <s v="ENTR PR-510 (P/BATÉIAS)"/>
    <n v="0"/>
    <n v="2.1"/>
    <n v="2.1"/>
    <x v="0"/>
    <m/>
    <s v="277BPR0058"/>
    <s v="Concessão Estadual"/>
    <m/>
    <m/>
    <m/>
    <s v="Federal"/>
    <s v="PAV"/>
    <s v="Colombo"/>
  </r>
  <r>
    <x v="0"/>
    <s v="376VPR1010"/>
    <n v="0"/>
    <x v="336"/>
    <s v="1010"/>
    <n v="-49.519236750275702"/>
    <n v="-25.434976929841401"/>
    <n v="-49.573122709944997"/>
    <n v="-25.446399819895699"/>
    <s v="376"/>
    <s v="PR"/>
    <s v="Variante"/>
    <s v="-"/>
    <s v="376VPR1010"/>
    <s v="ENTR PR-510 (P/BATÉIAS)"/>
    <s v="ENTR PR-423"/>
    <n v="2.1"/>
    <n v="8"/>
    <n v="5.9"/>
    <x v="0"/>
    <m/>
    <s v="277BPR0060"/>
    <s v="Concessão Estadual"/>
    <m/>
    <m/>
    <m/>
    <s v="Federal"/>
    <s v="PAV"/>
    <s v="Colombo"/>
  </r>
  <r>
    <x v="0"/>
    <s v="376VPR1015"/>
    <n v="0"/>
    <x v="336"/>
    <s v="1015"/>
    <n v="-49.573122709944997"/>
    <n v="-25.446399819895699"/>
    <n v="-49.609581529663799"/>
    <n v="-25.449193650166698"/>
    <s v="376"/>
    <s v="PR"/>
    <s v="Variante"/>
    <s v="-"/>
    <s v="376VPR1015"/>
    <s v="ENTR PR-423"/>
    <s v="ACESSO FÁBRICA CIMENTO ITAMBÉ"/>
    <n v="8"/>
    <n v="11.8"/>
    <n v="3.8"/>
    <x v="2"/>
    <m/>
    <s v="277BPR0065"/>
    <s v="Concessão Estadual"/>
    <m/>
    <m/>
    <m/>
    <s v="Federal"/>
    <s v="PAV"/>
    <s v="Colombo"/>
  </r>
  <r>
    <x v="0"/>
    <s v="376VPR1020"/>
    <n v="0"/>
    <x v="336"/>
    <s v="1020"/>
    <n v="-49.609581529663799"/>
    <n v="-25.449193650166698"/>
    <n v="-49.666789999558702"/>
    <n v="-25.4718722301192"/>
    <s v="376"/>
    <s v="PR"/>
    <s v="Variante"/>
    <s v="-"/>
    <s v="376VPR1020"/>
    <s v="ACESSO FÁBRICA CIMENTO ITAMBÉ"/>
    <s v="ACESSO SANTA"/>
    <n v="11.8"/>
    <n v="18.3"/>
    <n v="6.5"/>
    <x v="2"/>
    <m/>
    <s v="277BPR0070"/>
    <s v="Concessão Estadual"/>
    <m/>
    <m/>
    <m/>
    <s v="Federal"/>
    <s v="PAV"/>
    <s v="Colombo"/>
  </r>
  <r>
    <x v="0"/>
    <s v="377BRS0010"/>
    <n v="0"/>
    <x v="337"/>
    <s v="0010"/>
    <n v="-52.7709427702925"/>
    <n v="-28.274448769594901"/>
    <n v="-52.743477379677302"/>
    <n v="-28.301696109687601"/>
    <s v="377"/>
    <s v="RS"/>
    <s v="Eixo Principal"/>
    <s v="-"/>
    <s v="377BRS0010"/>
    <s v="ENTR BR-386(A)/AV. FLORES DA CUNHA (CARAZINHO)"/>
    <s v="ENTR BR-285(A)/386(B)"/>
    <n v="0"/>
    <n v="4.2"/>
    <n v="4.2"/>
    <x v="2"/>
    <m/>
    <s v="386BRS0170"/>
    <s v="Federal"/>
    <m/>
    <m/>
    <m/>
    <s v="Federal"/>
    <s v="PAV"/>
    <s v="Passo Fundo"/>
  </r>
  <r>
    <x v="0"/>
    <s v="377BRS0030"/>
    <n v="0"/>
    <x v="337"/>
    <s v="0030"/>
    <n v="-52.743477379677302"/>
    <n v="-28.301696109687601"/>
    <n v="-52.7913657102592"/>
    <n v="-28.312085069870001"/>
    <s v="377"/>
    <s v="RS"/>
    <s v="Eixo Principal"/>
    <s v="Coinc"/>
    <s v="377BRS0030"/>
    <s v="ENTR BR-285(A)/386(B)"/>
    <s v="ENTR RS-142 (ACESSO SUL DE CARAZINHO)"/>
    <n v="4.2"/>
    <n v="10.1"/>
    <n v="5.9"/>
    <x v="2"/>
    <m/>
    <s v="285BRS0230"/>
    <s v="Federal"/>
    <m/>
    <m/>
    <m/>
    <s v="Federal"/>
    <s v="PAV"/>
    <s v="Passo Fundo"/>
  </r>
  <r>
    <x v="0"/>
    <s v="377BRS0040"/>
    <n v="0"/>
    <x v="337"/>
    <s v="0040"/>
    <n v="-52.7913657102592"/>
    <n v="-28.312085069870001"/>
    <n v="-53.090057580093202"/>
    <n v="-28.408811809917001"/>
    <s v="377"/>
    <s v="RS"/>
    <s v="Eixo Principal"/>
    <s v="Coinc"/>
    <s v="377BRS0040"/>
    <s v="ENTR RS-142 (ACESSO SUL DE CARAZINHO)"/>
    <s v="ACESSO A SALDANHA MARINHO"/>
    <n v="10.1"/>
    <n v="43.6"/>
    <n v="33.5"/>
    <x v="2"/>
    <m/>
    <s v="285BRS0250"/>
    <s v="Federal"/>
    <m/>
    <m/>
    <m/>
    <s v="Federal"/>
    <s v="PAV"/>
    <s v="Passo Fundo"/>
  </r>
  <r>
    <x v="0"/>
    <s v="377BRS0050"/>
    <n v="0"/>
    <x v="337"/>
    <s v="0050"/>
    <n v="-53.090057580093202"/>
    <n v="-28.408811809917001"/>
    <n v="-53.190686379572597"/>
    <n v="-28.432607509728701"/>
    <s v="377"/>
    <s v="RS"/>
    <s v="Eixo Principal"/>
    <s v="Coinc"/>
    <s v="377BRS0050"/>
    <s v="ACESSO A SALDANHA MARINHO"/>
    <s v="ENTR BR-285(B) (P/SANTA BÁRBARA DO SUL)"/>
    <n v="43.6"/>
    <n v="54.7"/>
    <n v="11.1"/>
    <x v="2"/>
    <m/>
    <s v="285BRS0260"/>
    <s v="Federal"/>
    <m/>
    <m/>
    <m/>
    <s v="Federal"/>
    <s v="PAV"/>
    <s v="Passo Fundo"/>
  </r>
  <r>
    <x v="0"/>
    <s v="377BRS0070"/>
    <n v="0"/>
    <x v="337"/>
    <s v="0070"/>
    <n v="-53.190686379572597"/>
    <n v="-28.432607509728701"/>
    <n v="-53.242310430082199"/>
    <n v="-28.478552440442702"/>
    <s v="377"/>
    <s v="RS"/>
    <s v="Eixo Principal"/>
    <s v="-"/>
    <s v="377BRS0070"/>
    <s v="ENTR BR-285(B) (P/SANTA BÁRBARA DO SUL)"/>
    <s v="ENTR RS-506"/>
    <n v="54.7"/>
    <n v="62.4"/>
    <n v="7.7"/>
    <x v="1"/>
    <m/>
    <m/>
    <s v="Estadual"/>
    <m/>
    <s v="RSC-377"/>
    <s v="IMP"/>
    <s v="Estadual"/>
    <s v="PLA"/>
    <s v="Cruz Alta"/>
  </r>
  <r>
    <x v="0"/>
    <s v="377BRS0075"/>
    <n v="0"/>
    <x v="337"/>
    <s v="0075"/>
    <n v="-53.242310430082199"/>
    <n v="-28.478552440442702"/>
    <n v="-53.337796940276498"/>
    <n v="-28.60342603958"/>
    <s v="377"/>
    <s v="RS"/>
    <s v="Eixo Principal"/>
    <s v="-"/>
    <s v="377BRS0075"/>
    <s v="ENTR RS-506"/>
    <s v="ENTR RS-223"/>
    <n v="62.4"/>
    <n v="80.2"/>
    <n v="17.8"/>
    <x v="1"/>
    <m/>
    <m/>
    <s v="Estadual"/>
    <m/>
    <s v="RSC-377"/>
    <s v="IMP"/>
    <s v="Estadual"/>
    <s v="PLA"/>
    <s v="Cruz Alta"/>
  </r>
  <r>
    <x v="0"/>
    <s v="377BRS0090"/>
    <n v="0"/>
    <x v="337"/>
    <s v="0090"/>
    <n v="-53.337796940276498"/>
    <n v="-28.60342603958"/>
    <n v="-53.5739423899293"/>
    <n v="-28.645298410193401"/>
    <s v="377"/>
    <s v="RS"/>
    <s v="Eixo Principal"/>
    <s v="-"/>
    <s v="377BRS0090"/>
    <s v="ENTR RS-223"/>
    <s v="ENTR BR-158(A) (CRUZ ALTA)"/>
    <n v="80.2"/>
    <n v="106"/>
    <n v="25.8"/>
    <x v="1"/>
    <m/>
    <m/>
    <s v="Estadual"/>
    <m/>
    <s v="RSC-377"/>
    <s v="PAV"/>
    <s v="Estadual"/>
    <s v="PLA"/>
    <s v="Cruz Alta"/>
  </r>
  <r>
    <x v="0"/>
    <s v="377BRS0105"/>
    <n v="0"/>
    <x v="337"/>
    <s v="0105"/>
    <n v="-53.5739423899293"/>
    <n v="-28.645298410193401"/>
    <n v="-53.5940793895521"/>
    <n v="-28.6757938002436"/>
    <s v="377"/>
    <s v="RS"/>
    <s v="Eixo Principal"/>
    <s v="Coinc"/>
    <s v="377BRS0105"/>
    <s v="ENTR BR-158(A) (CRUZ ALTA)"/>
    <s v="ENTR BR-158(B)/481/RS-342"/>
    <n v="106"/>
    <n v="110"/>
    <n v="4"/>
    <x v="2"/>
    <m/>
    <s v="158BRS1240"/>
    <s v="Federal"/>
    <m/>
    <m/>
    <m/>
    <s v="Federal"/>
    <s v="PAV"/>
    <s v="Cruz Alta"/>
  </r>
  <r>
    <x v="0"/>
    <s v="377BRS0110"/>
    <n v="0"/>
    <x v="337"/>
    <s v="0110"/>
    <n v="-53.5940793895521"/>
    <n v="-28.6757938002436"/>
    <n v="-54.134795699561799"/>
    <n v="-28.882559190054501"/>
    <s v="377"/>
    <s v="RS"/>
    <s v="Eixo Principal"/>
    <s v="-"/>
    <s v="377BRS0110"/>
    <s v="ENTR BR-158(B)/481/RS-342"/>
    <s v="ENTR BR-392 (SANTA TECLA)"/>
    <n v="110"/>
    <n v="170.4"/>
    <n v="60.4"/>
    <x v="1"/>
    <m/>
    <m/>
    <s v="Federal"/>
    <m/>
    <m/>
    <m/>
    <s v="Federal"/>
    <s v="PLA"/>
    <s v="Cruz Alta"/>
  </r>
  <r>
    <x v="0"/>
    <s v="377BRS0130"/>
    <n v="0"/>
    <x v="337"/>
    <s v="0130"/>
    <n v="-54.134795699561799"/>
    <n v="-28.882559190054501"/>
    <n v="-54.5383086197469"/>
    <n v="-29.011538150265299"/>
    <s v="377"/>
    <s v="RS"/>
    <s v="Eixo Principal"/>
    <s v="-"/>
    <s v="377BRS0130"/>
    <s v="ENTR BR-392 (SANTA TECLA)"/>
    <s v="ENTR RS-533 (P/CAPÃO DO CIPÓ)"/>
    <n v="170.4"/>
    <n v="220.1"/>
    <n v="49.7"/>
    <x v="1"/>
    <m/>
    <m/>
    <s v="Estadual"/>
    <m/>
    <s v="RST-377"/>
    <s v="PAV"/>
    <s v="Estadual"/>
    <s v="PLA"/>
    <s v="Santa Maria"/>
  </r>
  <r>
    <x v="0"/>
    <s v="377BRS0140"/>
    <n v="0"/>
    <x v="337"/>
    <s v="0140"/>
    <n v="-54.5383086197469"/>
    <n v="-29.011538150265299"/>
    <n v="-54.886582650069201"/>
    <n v="-29.148626729939501"/>
    <s v="377"/>
    <s v="RS"/>
    <s v="Eixo Principal"/>
    <s v="-"/>
    <s v="377BRS0140"/>
    <s v="ENTR RS-533 (P/CAPÃO DO CIPÓ)"/>
    <s v="ENTR BR-287 (SANTIAGO)"/>
    <n v="220.1"/>
    <n v="256.2"/>
    <n v="36.1"/>
    <x v="1"/>
    <m/>
    <m/>
    <s v="Estadual"/>
    <m/>
    <s v="RST-377"/>
    <s v="PAV"/>
    <s v="Estadual"/>
    <s v="PLA"/>
    <s v="Santa Maria"/>
  </r>
  <r>
    <x v="0"/>
    <s v="377BRS0150"/>
    <n v="0"/>
    <x v="337"/>
    <s v="0150"/>
    <n v="-54.886582650069201"/>
    <n v="-29.148626729939501"/>
    <n v="-55.103925229965299"/>
    <n v="-29.593597640118901"/>
    <s v="377"/>
    <s v="RS"/>
    <s v="Eixo Principal"/>
    <s v="-"/>
    <s v="377BRS0150"/>
    <s v="ENTR BR-287 (SANTIAGO)"/>
    <s v="ENTR RS-241 (P/SÃO FRANCISCO DE ASSIS)"/>
    <n v="256.2"/>
    <n v="318.10000000000002"/>
    <n v="61.9"/>
    <x v="1"/>
    <m/>
    <m/>
    <s v="Estadual"/>
    <m/>
    <s v="RST-377"/>
    <s v="PAV"/>
    <s v="Estadual"/>
    <s v="PLA"/>
    <s v="Santa Maria"/>
  </r>
  <r>
    <x v="0"/>
    <s v="377BRS0155"/>
    <n v="0"/>
    <x v="337"/>
    <s v="0155"/>
    <n v="-55.103925229965299"/>
    <n v="-29.593597640118901"/>
    <n v="-55.133565680411699"/>
    <n v="-29.595892159595401"/>
    <s v="377"/>
    <s v="RS"/>
    <s v="Eixo Principal"/>
    <s v="-"/>
    <s v="377BRS0155"/>
    <s v="ENTR RS-241 (P/SÃO FRANCISCO DE ASSIS)"/>
    <s v="ACESSO P/JACAQUÁ"/>
    <n v="318.10000000000002"/>
    <n v="321.10000000000002"/>
    <n v="3"/>
    <x v="1"/>
    <m/>
    <m/>
    <s v="Estadual"/>
    <m/>
    <s v="RST-377"/>
    <s v="PAV"/>
    <s v="Estadual"/>
    <s v="PLA"/>
    <s v="Santa Maria"/>
  </r>
  <r>
    <x v="0"/>
    <s v="377BRS0170"/>
    <n v="0"/>
    <x v="337"/>
    <s v="0170"/>
    <n v="-55.133565680411699"/>
    <n v="-29.595892159595401"/>
    <n v="-55.477655739920401"/>
    <n v="-29.5780660102381"/>
    <s v="377"/>
    <s v="RS"/>
    <s v="Eixo Principal"/>
    <s v="-"/>
    <s v="377BRS0170"/>
    <s v="ACESSO P/JACAQUÁ"/>
    <s v="ENTR RS-176 (P/RIO ITU)"/>
    <n v="321.10000000000002"/>
    <n v="356.8"/>
    <n v="35.700000000000003"/>
    <x v="1"/>
    <m/>
    <m/>
    <s v="Estadual"/>
    <m/>
    <s v="RST-377"/>
    <s v="PAV"/>
    <s v="Estadual"/>
    <s v="PLA"/>
    <s v="Santa Maria"/>
  </r>
  <r>
    <x v="0"/>
    <s v="377BRS0175"/>
    <n v="0"/>
    <x v="337"/>
    <s v="0175"/>
    <n v="-55.477655739920401"/>
    <n v="-29.5780660102381"/>
    <n v="-55.478905079905402"/>
    <n v="-29.5831811399975"/>
    <s v="377"/>
    <s v="RS"/>
    <s v="Eixo Principal"/>
    <s v="-"/>
    <s v="377BRS0175"/>
    <s v="ENTR RS-176 (P/RIO ITU)"/>
    <s v="MANOEL VIANA"/>
    <n v="356.8"/>
    <n v="357.2"/>
    <n v="0.4"/>
    <x v="1"/>
    <m/>
    <m/>
    <s v="Estadual"/>
    <m/>
    <s v="RST-377"/>
    <s v="PAV"/>
    <s v="Estadual"/>
    <s v="PLA"/>
    <s v="Santa Maria"/>
  </r>
  <r>
    <x v="0"/>
    <s v="377BRS0180"/>
    <n v="0"/>
    <x v="337"/>
    <s v="0180"/>
    <n v="-55.478905079905402"/>
    <n v="-29.5831811399975"/>
    <n v="-55.522356269725996"/>
    <n v="-29.7153123103148"/>
    <s v="377"/>
    <s v="RS"/>
    <s v="Eixo Principal"/>
    <s v="-"/>
    <s v="377BRS0180"/>
    <s v="MANOEL VIANA"/>
    <s v="ACESSO PASSO NOVO"/>
    <n v="357.2"/>
    <n v="373.6"/>
    <n v="16.399999999999999"/>
    <x v="1"/>
    <m/>
    <m/>
    <s v="Estadual"/>
    <m/>
    <s v="RST-377"/>
    <s v="PAV"/>
    <s v="Estadual"/>
    <s v="PLA"/>
    <s v="Santa Maria"/>
  </r>
  <r>
    <x v="0"/>
    <s v="377BRS0185"/>
    <n v="0"/>
    <x v="337"/>
    <s v="0185"/>
    <n v="-55.522356269725996"/>
    <n v="-29.7153123103148"/>
    <n v="-55.721247700221099"/>
    <n v="-29.822136339720199"/>
    <s v="377"/>
    <s v="RS"/>
    <s v="Eixo Principal"/>
    <s v="-"/>
    <s v="377BRS0185"/>
    <s v="ACESSO PASSO NOVO"/>
    <s v="ENTR BR-290(A) (P/ROSÁRIO DO SUL)"/>
    <n v="373.6"/>
    <n v="397.8"/>
    <n v="24.2"/>
    <x v="1"/>
    <m/>
    <m/>
    <s v="Estadual"/>
    <m/>
    <s v="RST-377"/>
    <s v="PAV"/>
    <s v="Estadual"/>
    <s v="PLA"/>
    <s v="Santa Maria"/>
  </r>
  <r>
    <x v="0"/>
    <s v="377BRS0190"/>
    <n v="0"/>
    <x v="337"/>
    <s v="0190"/>
    <n v="-55.721247700221099"/>
    <n v="-29.822136339720199"/>
    <n v="-56.139556510424498"/>
    <n v="-29.971975869790501"/>
    <s v="377"/>
    <s v="RS"/>
    <s v="Eixo Principal"/>
    <s v="Coinc"/>
    <s v="377BRS0190"/>
    <s v="ENTR BR-290(A) (P/ROSÁRIO DO SUL)"/>
    <s v="ENTR RS-183 (P/HARMONIA)"/>
    <n v="397.8"/>
    <n v="445.1"/>
    <n v="47.3"/>
    <x v="2"/>
    <m/>
    <s v="290BRS0350"/>
    <s v="Federal"/>
    <m/>
    <m/>
    <m/>
    <s v="Federal"/>
    <s v="PAV"/>
    <s v="Uruguaiana"/>
  </r>
  <r>
    <x v="0"/>
    <s v="377BRS0220"/>
    <n v="0"/>
    <x v="337"/>
    <s v="0220"/>
    <n v="-56.139556510424498"/>
    <n v="-29.971975869790501"/>
    <n v="-56.432479189762702"/>
    <n v="-30.015678140433799"/>
    <s v="377"/>
    <s v="RS"/>
    <s v="Eixo Principal"/>
    <s v="Coinc"/>
    <s v="377BRS0220"/>
    <s v="ENTR RS-183 (P/HARMONIA)"/>
    <s v="ENTR BR-290(B) (P/URUGUAIANA)"/>
    <n v="445.1"/>
    <n v="475.4"/>
    <n v="30.3"/>
    <x v="2"/>
    <m/>
    <s v="290BRS0380"/>
    <s v="Federal"/>
    <m/>
    <m/>
    <m/>
    <s v="Federal"/>
    <s v="PAV"/>
    <s v="Uruguaiana"/>
  </r>
  <r>
    <x v="0"/>
    <s v="377BRS0230"/>
    <n v="0"/>
    <x v="337"/>
    <s v="0230"/>
    <n v="-56.432479189762702"/>
    <n v="-30.015678140433799"/>
    <n v="-56.438011849567097"/>
    <n v="-30.385111810161799"/>
    <s v="377"/>
    <s v="RS"/>
    <s v="Eixo Principal"/>
    <s v="-"/>
    <s v="377BRS0230"/>
    <s v="ENTR BR-290(B) (P/URUGUAIANA)"/>
    <s v="ENTR BR-293 (QUARAÍ)"/>
    <n v="475.4"/>
    <n v="524.1"/>
    <n v="48.7"/>
    <x v="1"/>
    <m/>
    <m/>
    <s v="Estadual"/>
    <m/>
    <s v="RST-377"/>
    <s v="PAV"/>
    <s v="Estadual"/>
    <s v="PLA"/>
    <s v="Santana do Livramento"/>
  </r>
  <r>
    <x v="0"/>
    <s v="381AMG1005"/>
    <n v="0"/>
    <x v="338"/>
    <s v="1005"/>
    <n v="-42.010690329794798"/>
    <n v="-18.914755450103801"/>
    <n v="-41.966365089777"/>
    <n v="-18.873906230088298"/>
    <s v="381"/>
    <s v="MG"/>
    <s v="Acesso"/>
    <s v="-"/>
    <s v="381AMG1005"/>
    <s v="ENTR BR-381"/>
    <s v="ENTR BR-116 (GOV. VALADARES)"/>
    <n v="0"/>
    <n v="6.6"/>
    <n v="6.6"/>
    <x v="2"/>
    <m/>
    <m/>
    <s v="Convênio de Administração"/>
    <m/>
    <m/>
    <m/>
    <s v="Federal"/>
    <s v="PAV"/>
    <s v="Governador Valadares"/>
  </r>
  <r>
    <x v="0"/>
    <s v="381BES0010"/>
    <n v="0"/>
    <x v="339"/>
    <s v="0010"/>
    <n v="-39.877314869585497"/>
    <n v="-18.7148241802916"/>
    <n v="-40.216579290201999"/>
    <n v="-18.731139660167099"/>
    <s v="381"/>
    <s v="ES"/>
    <s v="Eixo Principal"/>
    <s v="-"/>
    <s v="381BES0010"/>
    <s v="ENTR BR-101 (SÃO MATEUS)"/>
    <s v="ENTR ES-356 (NESTOR GOMES)"/>
    <n v="0"/>
    <n v="39.299999999999997"/>
    <n v="39.299999999999997"/>
    <x v="1"/>
    <m/>
    <m/>
    <s v="Estadual"/>
    <m/>
    <s v="ES-381"/>
    <s v="PAV"/>
    <s v="Estadual"/>
    <s v="PLA"/>
    <s v="Colatina"/>
  </r>
  <r>
    <x v="0"/>
    <s v="381BES0020"/>
    <n v="0"/>
    <x v="339"/>
    <s v="0020"/>
    <n v="-40.216579290201999"/>
    <n v="-18.731139660167099"/>
    <n v="-40.334469720201298"/>
    <n v="-18.725605459823999"/>
    <s v="381"/>
    <s v="ES"/>
    <s v="Eixo Principal"/>
    <s v="-"/>
    <s v="381BES0020"/>
    <s v="ENTR ES-356 (NESTOR GOMES)"/>
    <s v="ENTR BR-342/ES-344 (P/VALÉRIO)"/>
    <n v="39.299999999999997"/>
    <n v="50.7"/>
    <n v="11.4"/>
    <x v="1"/>
    <m/>
    <m/>
    <s v="Estadual"/>
    <m/>
    <s v="ES-381"/>
    <s v="PAV"/>
    <s v="Estadual"/>
    <s v="PLA"/>
    <s v="Colatina"/>
  </r>
  <r>
    <x v="0"/>
    <s v="381BES0030"/>
    <n v="0"/>
    <x v="339"/>
    <s v="0030"/>
    <n v="-40.334469720201298"/>
    <n v="-18.725605459823999"/>
    <n v="-40.399402709966999"/>
    <n v="-18.710033509738601"/>
    <s v="381"/>
    <s v="ES"/>
    <s v="Eixo Principal"/>
    <s v="-"/>
    <s v="381BES0030"/>
    <s v="ENTR BR-342/ES-344 (P/VALÉRIO)"/>
    <s v="ENTR ES-137(A) (NOVA VENÉCIA)"/>
    <n v="50.7"/>
    <n v="61.2"/>
    <n v="10.5"/>
    <x v="1"/>
    <m/>
    <m/>
    <s v="Estadual"/>
    <m/>
    <s v="ES-381"/>
    <s v="PAV"/>
    <s v="Estadual"/>
    <s v="PLA"/>
    <s v="Colatina"/>
  </r>
  <r>
    <x v="0"/>
    <s v="381BES0050"/>
    <n v="0"/>
    <x v="339"/>
    <s v="0050"/>
    <n v="-40.399402709966999"/>
    <n v="-18.710033509738601"/>
    <n v="-40.472508840110798"/>
    <n v="-18.766702999743501"/>
    <s v="381"/>
    <s v="ES"/>
    <s v="Eixo Principal"/>
    <s v="-"/>
    <s v="381BES0050"/>
    <s v="ENTR ES-137(A) (NOVA VENÉCIA)"/>
    <s v="ENTR ES-137(B) (P/SÃO GABRIEL DA PALHA)"/>
    <n v="61.2"/>
    <n v="72.900000000000006"/>
    <n v="11.7"/>
    <x v="1"/>
    <m/>
    <m/>
    <s v="Estadual"/>
    <m/>
    <s v="ES-137"/>
    <s v="PAV"/>
    <s v="Estadual"/>
    <s v="PLA"/>
    <s v="Colatina"/>
  </r>
  <r>
    <x v="0"/>
    <s v="381BES0055"/>
    <n v="0"/>
    <x v="339"/>
    <s v="0055"/>
    <n v="-40.472508840110798"/>
    <n v="-18.766702999743501"/>
    <n v="-40.740742829717703"/>
    <n v="-18.859406799783901"/>
    <s v="381"/>
    <s v="ES"/>
    <s v="Eixo Principal"/>
    <s v="-"/>
    <s v="381BES0055"/>
    <s v="ENTR ES-137(B) (P/SÃO GABRIEL DA PALHA)"/>
    <s v="ENTR ES-080(A) (P/ÁGUIA BRANCA)"/>
    <n v="72.900000000000006"/>
    <n v="115.4"/>
    <n v="42.5"/>
    <x v="1"/>
    <m/>
    <m/>
    <s v="Estadual"/>
    <m/>
    <s v="ES-381"/>
    <s v="PAV"/>
    <s v="Estadual"/>
    <s v="PLA"/>
    <s v="Colatina"/>
  </r>
  <r>
    <x v="0"/>
    <s v="381BES0060"/>
    <n v="0"/>
    <x v="339"/>
    <s v="0060"/>
    <n v="-40.740742829717703"/>
    <n v="-18.859406799783901"/>
    <n v="-40.758852859971398"/>
    <n v="-18.820077680440502"/>
    <s v="381"/>
    <s v="ES"/>
    <s v="Eixo Principal"/>
    <s v="-"/>
    <s v="381BES0060"/>
    <s v="ENTR ES-080(A) (P/ÁGUIA BRANCA)"/>
    <s v="ENTR ES-426 (P/ITAPORANA)"/>
    <n v="115.4"/>
    <n v="119.9"/>
    <n v="4.5"/>
    <x v="1"/>
    <m/>
    <m/>
    <s v="Estadual"/>
    <m/>
    <s v="ES-080"/>
    <s v="PAV"/>
    <s v="Estadual"/>
    <s v="PLA"/>
    <s v="Colatina"/>
  </r>
  <r>
    <x v="0"/>
    <s v="381BES0065"/>
    <n v="0"/>
    <x v="339"/>
    <s v="0065"/>
    <n v="-40.758852859971398"/>
    <n v="-18.820077680440502"/>
    <n v="-40.893115580019902"/>
    <n v="-18.754384380434701"/>
    <s v="381"/>
    <s v="ES"/>
    <s v="Eixo Principal"/>
    <s v="-"/>
    <s v="381BES0065"/>
    <s v="ENTR ES-426 (P/ITAPORANA)"/>
    <s v="ENTR ES-080(B)/320 (BARRA DE SÃO FRANCISCO)"/>
    <n v="119.9"/>
    <n v="140.69999999999999"/>
    <n v="20.8"/>
    <x v="1"/>
    <m/>
    <m/>
    <s v="Estadual"/>
    <m/>
    <s v="ES-080"/>
    <s v="PAV"/>
    <s v="Estadual"/>
    <s v="PLA"/>
    <s v="Colatina"/>
  </r>
  <r>
    <x v="0"/>
    <s v="381BES0070"/>
    <n v="0"/>
    <x v="339"/>
    <s v="0070"/>
    <n v="-40.893115580019902"/>
    <n v="-18.754384380434701"/>
    <n v="-40.938944810254696"/>
    <n v="-18.772467820433501"/>
    <s v="381"/>
    <s v="ES"/>
    <s v="Eixo Principal"/>
    <s v="-"/>
    <s v="381BES0070"/>
    <s v="ENTR ES-080(B)/320 (BARRA DE SÃO FRANCISCO)"/>
    <s v="DIV ES/MG"/>
    <n v="140.69999999999999"/>
    <n v="147.69999999999999"/>
    <n v="7"/>
    <x v="1"/>
    <m/>
    <m/>
    <s v="Estadual"/>
    <m/>
    <s v="EST-381"/>
    <s v="PAV"/>
    <s v="Estadual"/>
    <s v="PLA"/>
    <s v="Colatina"/>
  </r>
  <r>
    <x v="0"/>
    <s v="381BMG0090"/>
    <n v="0"/>
    <x v="340"/>
    <s v="0090"/>
    <n v="-40.938944810254696"/>
    <n v="-18.772467820433501"/>
    <n v="-40.981265900300997"/>
    <n v="-18.7807814996664"/>
    <s v="381"/>
    <s v="MG"/>
    <s v="Eixo Principal"/>
    <s v="-"/>
    <s v="381BMG0090"/>
    <s v="DIV ES/MG"/>
    <s v="ENTR MG-418 (MANTENA)"/>
    <n v="0"/>
    <n v="5.4"/>
    <n v="5.4"/>
    <x v="1"/>
    <m/>
    <m/>
    <s v="Estadual"/>
    <m/>
    <s v="MGT-381"/>
    <s v="PAV"/>
    <s v="Estadual"/>
    <s v="PLA"/>
    <s v="Governador Valadares"/>
  </r>
  <r>
    <x v="0"/>
    <s v="381BMG0100"/>
    <n v="0"/>
    <x v="340"/>
    <s v="0100"/>
    <n v="-40.981265900300997"/>
    <n v="-18.7807814996664"/>
    <n v="-41.028988539789196"/>
    <n v="-18.7694780197947"/>
    <s v="381"/>
    <s v="MG"/>
    <s v="Eixo Principal"/>
    <s v="-"/>
    <s v="381BMG0100"/>
    <s v="ENTR MG-418 (MANTENA)"/>
    <s v="ENTR MG-311"/>
    <n v="5.4"/>
    <n v="11.5"/>
    <n v="6.1"/>
    <x v="1"/>
    <m/>
    <m/>
    <s v="Estadual"/>
    <m/>
    <s v="MGT-381"/>
    <s v="PAV"/>
    <s v="Estadual"/>
    <s v="PLA"/>
    <s v="Governador Valadares"/>
  </r>
  <r>
    <x v="0"/>
    <s v="381BMG0110"/>
    <n v="0"/>
    <x v="340"/>
    <s v="0110"/>
    <n v="-41.028988539789196"/>
    <n v="-18.7694780197947"/>
    <n v="-41.494012839620801"/>
    <n v="-18.7379063202204"/>
    <s v="381"/>
    <s v="MG"/>
    <s v="Eixo Principal"/>
    <s v="-"/>
    <s v="381BMG0110"/>
    <s v="ENTR MG-311"/>
    <s v="ENTR MG-417 (DIVINO DAS LARANJEIRAS)"/>
    <n v="11.5"/>
    <n v="81.7"/>
    <n v="70.2"/>
    <x v="1"/>
    <m/>
    <m/>
    <s v="Estadual"/>
    <m/>
    <s v="MGT-381"/>
    <s v="PAV"/>
    <s v="Estadual"/>
    <s v="PLA"/>
    <s v="Governador Valadares"/>
  </r>
  <r>
    <x v="0"/>
    <s v="381BMG0130"/>
    <n v="0"/>
    <x v="340"/>
    <s v="0130"/>
    <n v="-41.494012839620801"/>
    <n v="-18.7379063202204"/>
    <n v="-41.685446749967397"/>
    <n v="-18.8239121899955"/>
    <s v="381"/>
    <s v="MG"/>
    <s v="Eixo Principal"/>
    <s v="-"/>
    <s v="381BMG0130"/>
    <s v="ENTR MG-417 (DIVINO DAS LARANJEIRAS)"/>
    <s v="ENTR BR-259(A) (SÃO VITOR)"/>
    <n v="81.7"/>
    <n v="109.6"/>
    <n v="27.9"/>
    <x v="1"/>
    <m/>
    <m/>
    <s v="Estadual"/>
    <m/>
    <s v="MGT-381"/>
    <s v="PAV"/>
    <s v="Estadual"/>
    <s v="PLA"/>
    <s v="Governador Valadares"/>
  </r>
  <r>
    <x v="0"/>
    <s v="381BMG0140"/>
    <n v="0"/>
    <x v="340"/>
    <s v="0140"/>
    <n v="-41.685446749967397"/>
    <n v="-18.8239121899955"/>
    <n v="-41.868950159721997"/>
    <n v="-18.842496359919"/>
    <s v="381"/>
    <s v="MG"/>
    <s v="Eixo Principal"/>
    <s v="Coinc"/>
    <s v="381BMG0140"/>
    <s v="ENTR BR-259(A) (SÃO VITOR)"/>
    <s v="ACESSO À GOV. VALADARES"/>
    <n v="109.6"/>
    <n v="133.6"/>
    <n v="24"/>
    <x v="2"/>
    <m/>
    <s v="259BMG0160"/>
    <s v="Federal"/>
    <m/>
    <m/>
    <m/>
    <s v="Federal"/>
    <s v="PAV"/>
    <s v="Governador Valadares"/>
  </r>
  <r>
    <x v="0"/>
    <s v="381BMG0150"/>
    <n v="0"/>
    <x v="340"/>
    <s v="0150"/>
    <n v="-41.868950159721997"/>
    <n v="-18.842496359919"/>
    <n v="-41.963312869893002"/>
    <n v="-18.836188380189501"/>
    <s v="381"/>
    <s v="MG"/>
    <s v="Eixo Principal"/>
    <s v="Coinc"/>
    <s v="381BMG0150"/>
    <s v="ACESSO À GOV. VALADARES"/>
    <s v="ENTR BR-259(B) (ENTR AV MINAS GERAIS - GOV VALADARES)"/>
    <n v="133.6"/>
    <n v="145.69999999999999"/>
    <n v="12.1"/>
    <x v="2"/>
    <m/>
    <s v="259BMG0170"/>
    <s v="Federal"/>
    <m/>
    <m/>
    <m/>
    <s v="Federal"/>
    <s v="PAV"/>
    <s v="Governador Valadares"/>
  </r>
  <r>
    <x v="0"/>
    <s v="381BMG0155"/>
    <n v="0"/>
    <x v="340"/>
    <s v="0155"/>
    <n v="-41.963312869893002"/>
    <n v="-18.836188380189501"/>
    <n v="-41.980517770278801"/>
    <n v="-18.8462106202238"/>
    <s v="381"/>
    <s v="MG"/>
    <s v="Eixo Principal"/>
    <s v="-"/>
    <s v="381BMG0155"/>
    <s v="ENTR BR-259(B) (ENTR AV MINAS GERAIS - GOV VALADARES)"/>
    <s v="ENTR BR-116/451 (GOV VALADARES)"/>
    <n v="145.69999999999999"/>
    <n v="148"/>
    <n v="2.2999999999999998"/>
    <x v="2"/>
    <m/>
    <m/>
    <s v="Federal"/>
    <m/>
    <m/>
    <m/>
    <s v="Federal"/>
    <s v="PAV"/>
    <s v="Governador Valadares"/>
  </r>
  <r>
    <x v="0"/>
    <s v="381BMG0160"/>
    <n v="0"/>
    <x v="340"/>
    <s v="0160"/>
    <n v="-41.980517770278801"/>
    <n v="-18.8462106202238"/>
    <n v="-42.010690329794798"/>
    <n v="-18.914755450103801"/>
    <s v="381"/>
    <s v="MG"/>
    <s v="Eixo Principal"/>
    <s v="-"/>
    <s v="381BMG0160"/>
    <s v="ENTR BR-116/451 (GOV VALADARES)"/>
    <s v="ACESSO À GOV. VALADARES"/>
    <n v="148"/>
    <n v="157"/>
    <n v="9"/>
    <x v="2"/>
    <m/>
    <m/>
    <s v="Federal"/>
    <m/>
    <m/>
    <m/>
    <s v="Federal"/>
    <s v="PAV"/>
    <s v="Governador Valadares"/>
  </r>
  <r>
    <x v="0"/>
    <s v="381BMG0170"/>
    <n v="0"/>
    <x v="340"/>
    <s v="0170"/>
    <n v="-42.010690329794798"/>
    <n v="-18.914755450103801"/>
    <n v="-42.237671329867901"/>
    <n v="-19.1567439102032"/>
    <s v="381"/>
    <s v="MG"/>
    <s v="Eixo Principal"/>
    <s v="-"/>
    <s v="381BMG0170"/>
    <s v="ACESSO À GOV. VALADARES"/>
    <s v="ENTR R SÃO LUIZ (PERIQUITO)"/>
    <n v="157"/>
    <n v="196.2"/>
    <n v="39.200000000000003"/>
    <x v="2"/>
    <m/>
    <m/>
    <s v="Federal"/>
    <m/>
    <m/>
    <m/>
    <s v="Federal"/>
    <s v="PAV"/>
    <s v="Governador Valadares"/>
  </r>
  <r>
    <x v="0"/>
    <s v="381BMG0180"/>
    <n v="0"/>
    <x v="340"/>
    <s v="0180"/>
    <n v="-42.237671329867901"/>
    <n v="-19.1567439102032"/>
    <n v="-42.389289879923901"/>
    <n v="-19.307881599955799"/>
    <s v="381"/>
    <s v="MG"/>
    <s v="Eixo Principal"/>
    <s v="-"/>
    <s v="381BMG0180"/>
    <s v="ENTR R SÃO LUIZ (PERIQUITO)"/>
    <s v="INÍCIO PISTA DUPLA (ACESSO BELO ORIENTE)"/>
    <n v="196.2"/>
    <n v="221.7"/>
    <n v="25.5"/>
    <x v="2"/>
    <m/>
    <m/>
    <s v="Federal"/>
    <m/>
    <m/>
    <m/>
    <s v="Federal"/>
    <s v="PAV"/>
    <s v="Governador Valadares"/>
  </r>
  <r>
    <x v="0"/>
    <s v="381BMG0185"/>
    <n v="0"/>
    <x v="340"/>
    <s v="0185"/>
    <n v="-42.389289879923901"/>
    <n v="-19.307881599955799"/>
    <n v="-42.407677799790498"/>
    <n v="-19.322760240192899"/>
    <s v="381"/>
    <s v="MG"/>
    <s v="Eixo Principal"/>
    <s v="-"/>
    <s v="381BMG0185"/>
    <s v="INÍCIO PISTA DUPLA (ACESSO BELO ORIENTE)"/>
    <s v="FIM PISTA DUPLA"/>
    <n v="221.7"/>
    <n v="224.3"/>
    <n v="2.6"/>
    <x v="0"/>
    <m/>
    <m/>
    <s v="Federal"/>
    <m/>
    <m/>
    <m/>
    <s v="Federal"/>
    <s v="PAV"/>
    <s v="Governador Valadares"/>
  </r>
  <r>
    <x v="0"/>
    <s v="381BMG0187"/>
    <n v="0"/>
    <x v="340"/>
    <s v="0187"/>
    <n v="-42.407677799790498"/>
    <n v="-19.322760240192899"/>
    <n v="-42.531295519972197"/>
    <n v="-19.461939070031999"/>
    <s v="381"/>
    <s v="MG"/>
    <s v="Eixo Principal"/>
    <s v="-"/>
    <s v="381BMG0187"/>
    <s v="FIM PISTA DUPLA"/>
    <s v="INÍCIO PISTA DUPLA (IPATINGA)"/>
    <n v="224.3"/>
    <n v="246.4"/>
    <n v="22.1"/>
    <x v="2"/>
    <m/>
    <m/>
    <s v="Federal"/>
    <m/>
    <m/>
    <m/>
    <s v="Federal"/>
    <s v="PAV"/>
    <s v="Governador Valadares"/>
  </r>
  <r>
    <x v="0"/>
    <s v="381BMG0190"/>
    <n v="0"/>
    <x v="340"/>
    <s v="0190"/>
    <n v="-42.541514010063402"/>
    <n v="-19.473453109972901"/>
    <n v="-42.531295519972197"/>
    <n v="-19.461939070031999"/>
    <s v="381"/>
    <s v="MG"/>
    <s v="Eixo Principal"/>
    <s v="-"/>
    <s v="381BMG0190"/>
    <s v="INÍCIO PISTA DUPLA (IPATINGA)"/>
    <s v="ENTR BR-458/MG-232"/>
    <n v="246.4"/>
    <n v="248.1"/>
    <n v="1.7"/>
    <x v="0"/>
    <m/>
    <m/>
    <s v="Federal"/>
    <m/>
    <m/>
    <m/>
    <s v="Federal"/>
    <s v="PAV"/>
    <s v="Governador Valadares"/>
  </r>
  <r>
    <x v="0"/>
    <s v="381BMG0210"/>
    <n v="0"/>
    <x v="340"/>
    <s v="0210"/>
    <n v="-42.541514010063402"/>
    <n v="-19.473453109972901"/>
    <n v="-42.573313509710601"/>
    <n v="-19.509884299820499"/>
    <s v="381"/>
    <s v="MG"/>
    <s v="Eixo Principal"/>
    <s v="-"/>
    <s v="381BMG0210"/>
    <s v="ENTR BR-458/MG-232"/>
    <s v="ACESSO A CORONEL FABRICIANO"/>
    <n v="248.1"/>
    <n v="253.5"/>
    <n v="5.4"/>
    <x v="0"/>
    <m/>
    <m/>
    <s v="Federal"/>
    <m/>
    <m/>
    <m/>
    <s v="Federal"/>
    <s v="PAV"/>
    <s v="Governador Valadares"/>
  </r>
  <r>
    <x v="0"/>
    <s v="381BMG0220"/>
    <n v="0"/>
    <x v="340"/>
    <s v="0220"/>
    <n v="-42.573313509710601"/>
    <n v="-19.509884299820499"/>
    <n v="-42.6402304695604"/>
    <n v="-19.525480699774398"/>
    <s v="381"/>
    <s v="MG"/>
    <s v="Eixo Principal"/>
    <s v="-"/>
    <s v="381BMG0220"/>
    <s v="ACESSO A CORONEL FABRICIANO"/>
    <s v="ENTR VIADUTO ANTIGA BR-381/MG-425 (CORONEL FABRICIANO)"/>
    <n v="253.5"/>
    <n v="263.3"/>
    <n v="9.8000000000000007"/>
    <x v="0"/>
    <m/>
    <m/>
    <s v="Federal"/>
    <m/>
    <m/>
    <m/>
    <s v="Federal"/>
    <s v="PAV"/>
    <s v="Governador Valadares"/>
  </r>
  <r>
    <x v="0"/>
    <s v="381BMG0230"/>
    <n v="0"/>
    <x v="340"/>
    <s v="0230"/>
    <n v="-42.6402304695604"/>
    <n v="-19.525480699774398"/>
    <n v="-42.686875429857103"/>
    <n v="-19.540899960264898"/>
    <s v="381"/>
    <s v="MG"/>
    <s v="Eixo Principal"/>
    <s v="-"/>
    <s v="381BMG0230"/>
    <s v="ENTR VIADUTO ANTIGA BR-381/MG-425 (CORONEL FABRICIANO) "/>
    <s v="ENTR AV. BELO HORIZONTE"/>
    <n v="263.3"/>
    <n v="269.2"/>
    <n v="5.9"/>
    <x v="2"/>
    <m/>
    <m/>
    <s v="Federal"/>
    <m/>
    <m/>
    <m/>
    <s v="Federal"/>
    <s v="PAV"/>
    <s v="Caratinga"/>
  </r>
  <r>
    <x v="0"/>
    <s v="381BMG0240"/>
    <n v="0"/>
    <x v="340"/>
    <s v="0240"/>
    <n v="-42.686875429857103"/>
    <n v="-19.540899960264898"/>
    <n v="-42.760986680091101"/>
    <n v="-19.6069385297892"/>
    <s v="381"/>
    <s v="MG"/>
    <s v="Eixo Principal"/>
    <s v="-"/>
    <s v="381BMG0240"/>
    <s v="ENTR AV. BELO HORIZONTE"/>
    <s v="ENTR MG-320 (P/JAGUARAÇU)"/>
    <n v="269.2"/>
    <n v="280.60000000000002"/>
    <n v="11.4"/>
    <x v="2"/>
    <m/>
    <m/>
    <s v="Federal"/>
    <m/>
    <m/>
    <m/>
    <s v="Federal"/>
    <s v="PAV"/>
    <s v="Caratinga"/>
  </r>
  <r>
    <x v="0"/>
    <s v="381BMG0250"/>
    <n v="0"/>
    <x v="340"/>
    <s v="0250"/>
    <n v="-42.760986680091101"/>
    <n v="-19.6069385297892"/>
    <n v="-43.0270882800001"/>
    <n v="-19.753180039627001"/>
    <s v="381"/>
    <s v="MG"/>
    <s v="Eixo Principal"/>
    <s v="-"/>
    <s v="381BMG0250"/>
    <s v="ENTR MG-320 (P/JAGUARAÇU)"/>
    <s v="ENTR BR-120(A) (DESEMBARGADOR DRUMOND) (P/ ITABIRA)"/>
    <n v="280.60000000000002"/>
    <n v="322.89999999999998"/>
    <n v="42.3"/>
    <x v="2"/>
    <m/>
    <m/>
    <s v="Federal"/>
    <m/>
    <m/>
    <m/>
    <s v="Federal"/>
    <s v="PAV"/>
    <s v="Caratinga"/>
  </r>
  <r>
    <x v="0"/>
    <s v="381BMG0270"/>
    <n v="0"/>
    <x v="340"/>
    <s v="0270"/>
    <n v="-43.0270882800001"/>
    <n v="-19.753180039627001"/>
    <n v="-43.027113350400697"/>
    <n v="-19.756827990219499"/>
    <s v="381"/>
    <s v="MG"/>
    <s v="Eixo Principal"/>
    <s v="Coinc"/>
    <s v="381BMG0270"/>
    <s v="ENTR BR-120(A) (DESEMBARGADOR DRUMOND) (P/ ITABIRA)"/>
    <s v="ENTR BR-120(B) (NOVA ERA) (P/ SÃO DOMINGOS DO PRATA)"/>
    <n v="322.89999999999998"/>
    <n v="323.3"/>
    <n v="0.4"/>
    <x v="2"/>
    <m/>
    <s v="120BMG0200"/>
    <s v="Federal"/>
    <m/>
    <m/>
    <m/>
    <s v="Federal"/>
    <s v="PAV"/>
    <s v="Caratinga"/>
  </r>
  <r>
    <x v="0"/>
    <s v="381BMG0275"/>
    <n v="0"/>
    <x v="340"/>
    <s v="0275"/>
    <n v="-43.027113350400697"/>
    <n v="-19.756827990219499"/>
    <n v="-43.117249950224902"/>
    <n v="-19.860906000011799"/>
    <s v="381"/>
    <s v="MG"/>
    <s v="Eixo Principal"/>
    <s v="-"/>
    <s v="381BMG0275"/>
    <s v="ENTR BR-120(B) (NOVA ERA) (P/ SÃO DOMINGOS DO PRATA)"/>
    <s v="ENTR BR-262(A) (P/VARGEM LINDA)"/>
    <n v="323.3"/>
    <n v="343.7"/>
    <n v="20.399999999999999"/>
    <x v="2"/>
    <m/>
    <m/>
    <s v="Federal"/>
    <m/>
    <m/>
    <m/>
    <s v="Federal"/>
    <s v="PAV"/>
    <s v="Caratinga"/>
  </r>
  <r>
    <x v="0"/>
    <s v="381BMG0280"/>
    <n v="0"/>
    <x v="340"/>
    <s v="0280"/>
    <n v="-43.1172499403324"/>
    <n v="-19.860906000011799"/>
    <n v="-43.121836870375198"/>
    <n v="-19.8630637299071"/>
    <s v="381"/>
    <s v="MG"/>
    <s v="Eixo Principal"/>
    <s v="Coinc"/>
    <s v="381BMG0280"/>
    <s v="ENTR BR-262(A) (P/VARGEM LINDA)"/>
    <s v="ENTR BR-262(B) (P/ RIO PIRACICABA)"/>
    <n v="343.7"/>
    <n v="344.3"/>
    <n v="0.6"/>
    <x v="2"/>
    <m/>
    <s v="262BMG0405"/>
    <s v="Federal"/>
    <m/>
    <m/>
    <m/>
    <s v="Federal"/>
    <s v="PAV"/>
    <s v="Contagem"/>
  </r>
  <r>
    <x v="0"/>
    <s v="381BMG0290"/>
    <n v="0"/>
    <x v="340"/>
    <s v="0290"/>
    <n v="-43.121836870375198"/>
    <n v="-19.8630637299071"/>
    <n v="-43.181578879761403"/>
    <n v="-19.8392168200002"/>
    <s v="381"/>
    <s v="MG"/>
    <s v="Eixo Principal"/>
    <s v="-"/>
    <s v="381BMG0290"/>
    <s v="ENTR BR-262(B) (P/ RIO PIRACICABA)"/>
    <s v="ENTR AV. ARMANDO FAJARDO (JOÃO MONLEVADE)"/>
    <n v="344.3"/>
    <n v="351.9"/>
    <n v="7.6"/>
    <x v="2"/>
    <m/>
    <m/>
    <s v="Federal"/>
    <m/>
    <m/>
    <m/>
    <s v="Federal"/>
    <s v="PAV"/>
    <s v="Contagem"/>
  </r>
  <r>
    <x v="0"/>
    <s v="381BMG0295"/>
    <n v="0"/>
    <x v="340"/>
    <s v="0295"/>
    <n v="-43.181578879761403"/>
    <n v="-19.8392168200002"/>
    <n v="-43.3559919503681"/>
    <n v="-19.831094190044698"/>
    <s v="381"/>
    <s v="MG"/>
    <s v="Eixo Principal"/>
    <s v="-"/>
    <s v="381BMG0295"/>
    <s v="ENTR AV. ARMANDO FAJARDO (JOÃO MONLEVADE)"/>
    <s v="ENTR MG-129 (SÃO GONÇALO DO RIO ABAIXO)"/>
    <n v="351.9"/>
    <n v="376.4"/>
    <n v="24.5"/>
    <x v="2"/>
    <m/>
    <m/>
    <s v="Federal"/>
    <m/>
    <m/>
    <m/>
    <s v="Federal"/>
    <s v="PAV"/>
    <s v="Contagem"/>
  </r>
  <r>
    <x v="0"/>
    <s v="381BMG0310"/>
    <n v="0"/>
    <x v="340"/>
    <s v="0310"/>
    <n v="-43.3559919503681"/>
    <n v="-19.831094190044698"/>
    <n v="-43.429689800243999"/>
    <n v="-19.788541209808901"/>
    <s v="381"/>
    <s v="MG"/>
    <s v="Eixo Principal"/>
    <s v="-"/>
    <s v="381BMG0310"/>
    <s v="ENTR MG-129 (SÃO GONÇALO DO RIO ABAIXO)"/>
    <s v="ENTR MG-436"/>
    <n v="376.4"/>
    <n v="386.9"/>
    <n v="10.5"/>
    <x v="2"/>
    <m/>
    <m/>
    <s v="Federal"/>
    <m/>
    <m/>
    <m/>
    <s v="Federal"/>
    <s v="PAV"/>
    <s v="Contagem"/>
  </r>
  <r>
    <x v="0"/>
    <s v="381BMG0330"/>
    <n v="0"/>
    <x v="340"/>
    <s v="0330"/>
    <n v="-43.429689800243999"/>
    <n v="-19.788541209808901"/>
    <n v="-43.474804850063698"/>
    <n v="-19.753396750159801"/>
    <s v="381"/>
    <s v="MG"/>
    <s v="Eixo Principal"/>
    <s v="-"/>
    <s v="381BMG0330"/>
    <s v="ENTR MG-436"/>
    <s v="ENTR MG-434"/>
    <n v="386.9"/>
    <n v="393.5"/>
    <n v="6.6"/>
    <x v="2"/>
    <m/>
    <m/>
    <s v="Federal"/>
    <m/>
    <m/>
    <m/>
    <s v="Federal"/>
    <s v="PAV"/>
    <s v="Contagem"/>
  </r>
  <r>
    <x v="0"/>
    <s v="381BMG0335"/>
    <n v="0"/>
    <x v="340"/>
    <s v="0335"/>
    <n v="-43.474804850063698"/>
    <n v="-19.753396750159801"/>
    <n v="-43.682337160131702"/>
    <n v="-19.789916980084499"/>
    <s v="381"/>
    <s v="MG"/>
    <s v="Eixo Principal"/>
    <s v="-"/>
    <s v="381BMG0335"/>
    <s v="ENTR MG-434"/>
    <s v="ENTR MG-435 (P/CAETÉ)"/>
    <n v="393.5"/>
    <n v="423.5"/>
    <n v="30"/>
    <x v="2"/>
    <m/>
    <m/>
    <s v="Federal"/>
    <m/>
    <m/>
    <m/>
    <s v="Federal"/>
    <s v="PAV"/>
    <s v="Contagem"/>
  </r>
  <r>
    <x v="0"/>
    <s v="381BMG0350"/>
    <n v="0"/>
    <x v="340"/>
    <s v="0350"/>
    <n v="-43.682337160131702"/>
    <n v="-19.789916980084499"/>
    <n v="-43.749556810198598"/>
    <n v="-19.800000599747801"/>
    <s v="381"/>
    <s v="MG"/>
    <s v="Eixo Principal"/>
    <s v="-"/>
    <s v="381BMG0350"/>
    <s v="ENTR MG-435 (P/CAETÉ)"/>
    <s v="ACESSO DISTR. ALTO DOS PINTOS/RAVENA (SABARÁ)"/>
    <n v="423.5"/>
    <n v="432.5"/>
    <n v="9"/>
    <x v="2"/>
    <m/>
    <m/>
    <s v="Federal"/>
    <m/>
    <m/>
    <m/>
    <s v="Federal"/>
    <s v="PAV"/>
    <s v="Contagem"/>
  </r>
  <r>
    <x v="0"/>
    <s v="381BMG0360"/>
    <n v="0"/>
    <x v="340"/>
    <s v="0360"/>
    <n v="-43.749556810198598"/>
    <n v="-19.800000599747801"/>
    <n v="-43.895823469577401"/>
    <n v="-19.855722799667401"/>
    <s v="381"/>
    <s v="MG"/>
    <s v="Eixo Principal"/>
    <s v="-"/>
    <s v="381BMG0360"/>
    <s v="ACESSO DISTR. ALTO DOS PINTOS/RAVENA (SABARÁ)"/>
    <s v="ENTR BR-262(C)"/>
    <n v="432.5"/>
    <n v="452"/>
    <n v="19.5"/>
    <x v="2"/>
    <m/>
    <m/>
    <s v="Federal"/>
    <m/>
    <m/>
    <m/>
    <s v="Federal"/>
    <s v="PAV"/>
    <s v="Contagem"/>
  </r>
  <r>
    <x v="0"/>
    <s v="381BMG0370"/>
    <n v="0"/>
    <x v="340"/>
    <s v="0370"/>
    <n v="-43.895823469577401"/>
    <n v="-19.855722799667401"/>
    <n v="-43.9271262403836"/>
    <n v="-19.864818059905399"/>
    <s v="381"/>
    <s v="MG"/>
    <s v="Eixo Principal"/>
    <s v="Coinc"/>
    <s v="381BMG0370"/>
    <s v="ENTR BR-262(C)"/>
    <s v="ENTR MG-020"/>
    <n v="452"/>
    <n v="456"/>
    <n v="4"/>
    <x v="0"/>
    <m/>
    <s v="262BMG0530"/>
    <s v="Federal"/>
    <m/>
    <m/>
    <m/>
    <s v="Federal"/>
    <s v="PAV"/>
    <s v="Contagem"/>
  </r>
  <r>
    <x v="0"/>
    <s v="381BMG0390"/>
    <n v="0"/>
    <x v="340"/>
    <s v="0390"/>
    <n v="-43.9271262403836"/>
    <n v="-19.864818059905399"/>
    <n v="-43.952160390289698"/>
    <n v="-19.8785289295664"/>
    <s v="381"/>
    <s v="MG"/>
    <s v="Eixo Principal"/>
    <s v="Coinc"/>
    <s v="381BMG0390"/>
    <s v="ENTR MG-020"/>
    <s v="AVENIDA ANTÔNIO CARLOS"/>
    <n v="456"/>
    <n v="459.2"/>
    <n v="3.2"/>
    <x v="0"/>
    <m/>
    <s v="262BMG0550"/>
    <s v="Federal"/>
    <m/>
    <m/>
    <m/>
    <s v="Federal"/>
    <s v="PAV"/>
    <s v="Contagem"/>
  </r>
  <r>
    <x v="0"/>
    <s v="381BMG0410"/>
    <n v="0"/>
    <x v="340"/>
    <s v="0410"/>
    <n v="-43.952160390289698"/>
    <n v="-19.8785289295664"/>
    <n v="-44.0060609999151"/>
    <n v="-19.926556830433299"/>
    <s v="381"/>
    <s v="MG"/>
    <s v="Eixo Principal"/>
    <s v="Coinc"/>
    <s v="381BMG0410"/>
    <s v="AVENIDA ANTÔNIO CARLOS"/>
    <s v="ENTR BR-040(A)/135"/>
    <n v="459.2"/>
    <n v="467.4"/>
    <n v="8.1999999999999993"/>
    <x v="0"/>
    <m/>
    <s v="262BMG0570"/>
    <s v="Federal"/>
    <m/>
    <m/>
    <m/>
    <s v="Federal"/>
    <s v="PAV"/>
    <s v="Contagem"/>
  </r>
  <r>
    <x v="0"/>
    <s v="381BMG0430"/>
    <n v="0"/>
    <x v="340"/>
    <s v="0430"/>
    <n v="-44.0060609999151"/>
    <n v="-19.926556830433299"/>
    <n v="-44.007964219872797"/>
    <n v="-19.947067109859098"/>
    <s v="381"/>
    <s v="MG"/>
    <s v="Eixo Principal"/>
    <s v="Coinc"/>
    <s v="381BMG0430"/>
    <s v="ENTR BR-040(A)/135"/>
    <s v="ENTR BR-040(B)"/>
    <n v="467.4"/>
    <n v="470"/>
    <n v="2.6"/>
    <x v="0"/>
    <m/>
    <s v="262BMG0590;040BMG0370"/>
    <s v="Concessão Federal"/>
    <m/>
    <m/>
    <m/>
    <s v="Federal"/>
    <s v="PAV"/>
    <s v="Contagem"/>
  </r>
  <r>
    <x v="0"/>
    <s v="381BMG0450"/>
    <n v="0"/>
    <x v="340"/>
    <s v="0450"/>
    <n v="-44.007964219872797"/>
    <n v="-19.947067109859098"/>
    <n v="-44.018643549560103"/>
    <n v="-19.952471090168601"/>
    <s v="381"/>
    <s v="MG"/>
    <s v="Eixo Principal"/>
    <s v="Coinc"/>
    <s v="381BMG0450"/>
    <s v="ENTR BR-040(B)"/>
    <s v="ENTR MG-040 (PARQUE INDUSTRIAL) *TRECHO URBANO*"/>
    <n v="470"/>
    <n v="471.2"/>
    <n v="1.2"/>
    <x v="0"/>
    <m/>
    <s v="262BMG0610"/>
    <s v="Federal"/>
    <m/>
    <m/>
    <m/>
    <s v="Federal"/>
    <s v="PAV"/>
    <s v="Contagem"/>
  </r>
  <r>
    <x v="0"/>
    <s v="381BMG0460"/>
    <n v="0"/>
    <x v="340"/>
    <s v="0460"/>
    <n v="-44.018643549560103"/>
    <n v="-19.952471090168601"/>
    <n v="-44.033610659704102"/>
    <n v="-19.959387329961199"/>
    <s v="381"/>
    <s v="MG"/>
    <s v="Eixo Principal"/>
    <s v="Coinc"/>
    <s v="381BMG0460"/>
    <s v="ENTR MG-040 (PARQUE INDUSTRIAL)"/>
    <s v="PRAÇA CEMIG *TRECHO URBANO*"/>
    <n v="471.2"/>
    <n v="472.5"/>
    <n v="1.3"/>
    <x v="0"/>
    <m/>
    <s v="262BMG0630"/>
    <s v="Federal"/>
    <m/>
    <m/>
    <m/>
    <s v="Federal"/>
    <s v="PAV"/>
    <s v="Contagem"/>
  </r>
  <r>
    <x v="0"/>
    <s v="381BMG0470"/>
    <n v="0"/>
    <x v="340"/>
    <s v="0470"/>
    <n v="-44.033610659704102"/>
    <n v="-19.959387329961199"/>
    <n v="-44.203314149828003"/>
    <n v="-19.9858565298549"/>
    <s v="381"/>
    <s v="MG"/>
    <s v="Eixo Principal"/>
    <s v="Coinc"/>
    <s v="381BMG0470"/>
    <s v="PRAÇA CEMIG"/>
    <s v="ENTR BR-262(B) (BETIM) *TRECHO URBANO*"/>
    <n v="472.5"/>
    <n v="493.5"/>
    <n v="21"/>
    <x v="0"/>
    <m/>
    <s v="262BMG0640"/>
    <s v="Concessão Federal"/>
    <m/>
    <m/>
    <m/>
    <s v="Federal"/>
    <s v="PAV"/>
    <s v="Contagem"/>
  </r>
  <r>
    <x v="0"/>
    <s v="381BMG0490"/>
    <n v="0"/>
    <x v="340"/>
    <s v="0490"/>
    <n v="-44.203314149828003"/>
    <n v="-19.9858565298549"/>
    <n v="-44.347928209619099"/>
    <n v="-20.162160530284201"/>
    <s v="381"/>
    <s v="MG"/>
    <s v="Eixo Principal"/>
    <s v="-"/>
    <s v="381BMG0490"/>
    <s v="ENTR BR-262(B) (BETIM)"/>
    <s v="ENTR MG-155"/>
    <n v="493.5"/>
    <n v="525.6"/>
    <n v="32.1"/>
    <x v="0"/>
    <m/>
    <m/>
    <s v="Concessão Federal"/>
    <m/>
    <m/>
    <m/>
    <s v="Federal"/>
    <s v="PAV"/>
    <s v="Oliveira"/>
  </r>
  <r>
    <x v="0"/>
    <s v="381BMG0510"/>
    <n v="0"/>
    <x v="340"/>
    <s v="0510"/>
    <n v="-44.347928209619099"/>
    <n v="-20.162160530284201"/>
    <n v="-44.385784289813103"/>
    <n v="-20.1972556099584"/>
    <s v="381"/>
    <s v="MG"/>
    <s v="Eixo Principal"/>
    <s v="-"/>
    <s v="381BMG0510"/>
    <s v="ENTR MG-155"/>
    <s v="ENTR MG-431 (P/ITAITIAIUÇU)"/>
    <n v="525.6"/>
    <n v="531.70000000000005"/>
    <n v="6.1"/>
    <x v="0"/>
    <m/>
    <m/>
    <s v="Concessão Federal"/>
    <m/>
    <m/>
    <m/>
    <s v="Federal"/>
    <s v="PAV"/>
    <s v="Oliveira"/>
  </r>
  <r>
    <x v="0"/>
    <s v="381BMG0530"/>
    <n v="0"/>
    <x v="340"/>
    <s v="0530"/>
    <n v="-44.385784289813103"/>
    <n v="-20.1972556099584"/>
    <n v="-44.499214099550997"/>
    <n v="-20.394190059923201"/>
    <s v="381"/>
    <s v="MG"/>
    <s v="Eixo Principal"/>
    <s v="-"/>
    <s v="381BMG0530"/>
    <s v="ENTR MG-431 (P/ITAITIAIUÇU)"/>
    <s v="ENTR MG-040 (ITAGUARA)"/>
    <n v="531.70000000000005"/>
    <n v="560.4"/>
    <n v="28.7"/>
    <x v="0"/>
    <m/>
    <m/>
    <s v="Concessão Federal"/>
    <m/>
    <m/>
    <m/>
    <s v="Federal"/>
    <s v="PAV"/>
    <s v="Oliveira"/>
  </r>
  <r>
    <x v="0"/>
    <s v="381BMG0550"/>
    <n v="0"/>
    <x v="340"/>
    <s v="0550"/>
    <n v="-44.499214099550997"/>
    <n v="-20.394190059923201"/>
    <n v="-44.565031089613001"/>
    <n v="-20.444969159598902"/>
    <s v="381"/>
    <s v="MG"/>
    <s v="Eixo Principal"/>
    <s v="-"/>
    <s v="381BMG0550"/>
    <s v="ENTR MG-040 (ITAGUARA)"/>
    <s v="ENTR MG-260"/>
    <n v="560.4"/>
    <n v="570"/>
    <n v="9.6"/>
    <x v="0"/>
    <m/>
    <m/>
    <s v="Concessão Federal"/>
    <m/>
    <m/>
    <m/>
    <s v="Federal"/>
    <s v="PAV"/>
    <s v="Oliveira"/>
  </r>
  <r>
    <x v="0"/>
    <s v="381BMG0570"/>
    <n v="0"/>
    <x v="340"/>
    <s v="0570"/>
    <n v="-44.565031089613001"/>
    <n v="-20.444969159598902"/>
    <n v="-44.647677180357498"/>
    <n v="-20.544430690323999"/>
    <s v="381"/>
    <s v="MG"/>
    <s v="Eixo Principal"/>
    <s v="-"/>
    <s v="381BMG0570"/>
    <s v="ENTR MG-260"/>
    <s v="ENTR MG-270 (CARMÓPOLIS DE MINAS)"/>
    <n v="570"/>
    <n v="584.9"/>
    <n v="14.9"/>
    <x v="0"/>
    <m/>
    <m/>
    <s v="Concessão Federal"/>
    <m/>
    <m/>
    <m/>
    <s v="Federal"/>
    <s v="PAV"/>
    <s v="Oliveira"/>
  </r>
  <r>
    <x v="0"/>
    <s v="381BMG0590"/>
    <n v="0"/>
    <x v="340"/>
    <s v="0590"/>
    <n v="-44.647677180357498"/>
    <n v="-20.544430690323999"/>
    <n v="-44.772557660207802"/>
    <n v="-20.729079080035401"/>
    <s v="381"/>
    <s v="MG"/>
    <s v="Eixo Principal"/>
    <s v="-"/>
    <s v="381BMG0590"/>
    <s v="ENTR MG-270 (CARMÓPOLIS DE MINAS)"/>
    <s v="ENTR BR-494(A) (P/OLIVEIRA)"/>
    <n v="584.9"/>
    <n v="612.1"/>
    <n v="27.2"/>
    <x v="0"/>
    <m/>
    <m/>
    <s v="Concessão Federal"/>
    <m/>
    <m/>
    <m/>
    <s v="Federal"/>
    <s v="PAV"/>
    <s v="Oliveira"/>
  </r>
  <r>
    <x v="0"/>
    <s v="381BMG0610"/>
    <n v="0"/>
    <x v="340"/>
    <s v="0610"/>
    <n v="-44.772557660207802"/>
    <n v="-20.729079080035401"/>
    <n v="-44.775245949640798"/>
    <n v="-20.7547947901474"/>
    <s v="381"/>
    <s v="MG"/>
    <s v="Eixo Principal"/>
    <s v="-"/>
    <s v="381BMG0610"/>
    <s v="ENTR BR-494(A) (P/OLIVEIRA)"/>
    <s v="ENTR BR-494(B)"/>
    <n v="612.1"/>
    <n v="615.1"/>
    <n v="3"/>
    <x v="0"/>
    <m/>
    <s v="494BMG0080"/>
    <s v="Concessão Federal"/>
    <m/>
    <m/>
    <m/>
    <s v="Federal"/>
    <s v="PAV"/>
    <s v="Oliveira"/>
  </r>
  <r>
    <x v="0"/>
    <s v="381BMG0620"/>
    <n v="0"/>
    <x v="340"/>
    <s v="0620"/>
    <n v="-44.775245949640798"/>
    <n v="-20.7547947901474"/>
    <n v="-44.895024130359197"/>
    <n v="-20.9552349197556"/>
    <s v="381"/>
    <s v="MG"/>
    <s v="Eixo Principal"/>
    <s v="-"/>
    <s v="381BMG0620"/>
    <s v="ENTR BR-494(B)"/>
    <s v="ENTR MG-332 (SANTO ANTÔNIO DO AMPARO)"/>
    <n v="615.1"/>
    <n v="644"/>
    <n v="28.9"/>
    <x v="0"/>
    <m/>
    <m/>
    <s v="Concessão Federal"/>
    <m/>
    <m/>
    <m/>
    <s v="Federal"/>
    <s v="PAV"/>
    <s v="Oliveira"/>
  </r>
  <r>
    <x v="0"/>
    <s v="381BMG0630"/>
    <n v="0"/>
    <x v="340"/>
    <s v="0630"/>
    <n v="-44.895024130359197"/>
    <n v="-20.9552349197556"/>
    <n v="-45.0911391000893"/>
    <n v="-21.107021039589199"/>
    <s v="381"/>
    <s v="MG"/>
    <s v="Eixo Principal"/>
    <s v="-"/>
    <s v="381BMG0630"/>
    <s v="ENTR MG-332 (SANTO ANTÔNIO DO AMPARO)"/>
    <s v="ENTR BR-354 (PERDÕES)"/>
    <n v="644"/>
    <n v="672.9"/>
    <n v="28.9"/>
    <x v="0"/>
    <m/>
    <m/>
    <s v="Concessão Federal"/>
    <m/>
    <m/>
    <m/>
    <s v="Federal"/>
    <s v="PAV"/>
    <s v="Oliveira"/>
  </r>
  <r>
    <x v="0"/>
    <s v="381BMG0650"/>
    <n v="0"/>
    <x v="340"/>
    <s v="0650"/>
    <n v="-45.0911391000893"/>
    <n v="-21.107021039589199"/>
    <n v="-45.119264409624698"/>
    <n v="-21.184433010374999"/>
    <s v="381"/>
    <s v="MG"/>
    <s v="Eixo Principal"/>
    <s v="-"/>
    <s v="381BMG0650"/>
    <s v="ENTR BR-354 (PERDÕES)"/>
    <s v="ENTR BR-265(A) (P/LAVRAS)"/>
    <n v="672.9"/>
    <n v="683"/>
    <n v="10.1"/>
    <x v="0"/>
    <m/>
    <m/>
    <s v="Concessão Federal"/>
    <m/>
    <m/>
    <m/>
    <s v="Federal"/>
    <s v="PAV"/>
    <s v="Oliveira"/>
  </r>
  <r>
    <x v="0"/>
    <s v="381BMG0660"/>
    <n v="0"/>
    <x v="340"/>
    <s v="0660"/>
    <n v="-45.119264409624698"/>
    <n v="-21.184433010374999"/>
    <n v="-45.130249179655799"/>
    <n v="-21.224746780339601"/>
    <s v="381"/>
    <s v="MG"/>
    <s v="Eixo Principal"/>
    <s v="Coinc"/>
    <s v="381BMG0660"/>
    <s v="ENTR BR-265(A) (P/LAVRAS)"/>
    <s v="ENTR BR-265(B) (P/NEPOMUCENO)"/>
    <n v="683"/>
    <n v="687.8"/>
    <n v="4.8"/>
    <x v="0"/>
    <m/>
    <s v="265BMG0265"/>
    <s v="Concessão Federal"/>
    <m/>
    <m/>
    <m/>
    <s v="Federal"/>
    <s v="PAV"/>
    <s v="Oliveira"/>
  </r>
  <r>
    <x v="0"/>
    <s v="381BMG0670"/>
    <n v="0"/>
    <x v="340"/>
    <s v="0670"/>
    <n v="-45.130249179655799"/>
    <n v="-21.224746780339601"/>
    <n v="-45.3018224097763"/>
    <n v="-21.656365590099799"/>
    <s v="381"/>
    <s v="MG"/>
    <s v="Eixo Principal"/>
    <s v="-"/>
    <s v="381BMG0670"/>
    <s v="ENTR BR-265(B) (P/NEPOMUCENO)"/>
    <s v="ENTR MG-167(A) (P/TRÊS CORAÇÕES)"/>
    <n v="687.8"/>
    <n v="746.9"/>
    <n v="59.1"/>
    <x v="0"/>
    <m/>
    <m/>
    <s v="Concessão Federal"/>
    <m/>
    <m/>
    <m/>
    <s v="Federal"/>
    <s v="PAV"/>
    <s v="Caxambu"/>
  </r>
  <r>
    <x v="0"/>
    <s v="381BMG0690"/>
    <n v="0"/>
    <x v="340"/>
    <s v="0690"/>
    <n v="-45.3018224097763"/>
    <n v="-21.656365590099799"/>
    <n v="-45.335961160279197"/>
    <n v="-21.673402200351202"/>
    <s v="381"/>
    <s v="MG"/>
    <s v="Eixo Principal"/>
    <s v="-"/>
    <s v="381BMG0690"/>
    <s v="ENTR MG-167(A) (P/TRÊS CORAÇÕES)"/>
    <s v="ENTR BR-491/MG-167(B)"/>
    <n v="746.9"/>
    <n v="751.1"/>
    <n v="4.2"/>
    <x v="0"/>
    <m/>
    <m/>
    <s v="Concessão Federal"/>
    <m/>
    <m/>
    <m/>
    <s v="Federal"/>
    <s v="PAV"/>
    <s v="Caxambu"/>
  </r>
  <r>
    <x v="0"/>
    <s v="381BMG0710"/>
    <n v="0"/>
    <x v="340"/>
    <s v="0710"/>
    <n v="-45.335961160279197"/>
    <n v="-21.673402200351202"/>
    <n v="-45.437202509588097"/>
    <n v="-21.787154769576802"/>
    <s v="381"/>
    <s v="MG"/>
    <s v="Eixo Principal"/>
    <s v="-"/>
    <s v="381BMG0710"/>
    <s v="ENTR BR-491/MG-167(B)"/>
    <s v="ENTR BR-267 (P/PALMELA)"/>
    <n v="751.1"/>
    <n v="768.7"/>
    <n v="17.600000000000001"/>
    <x v="0"/>
    <m/>
    <m/>
    <s v="Concessão Federal"/>
    <m/>
    <m/>
    <m/>
    <s v="Federal"/>
    <s v="PAV"/>
    <s v="Caxambu"/>
  </r>
  <r>
    <x v="0"/>
    <s v="381BMG0730"/>
    <n v="0"/>
    <x v="340"/>
    <s v="0730"/>
    <n v="-45.437202509588097"/>
    <n v="-21.787154769576802"/>
    <n v="-45.701487940316099"/>
    <n v="-22.0792612404138"/>
    <s v="381"/>
    <s v="MG"/>
    <s v="Eixo Principal"/>
    <s v="-"/>
    <s v="381BMG0730"/>
    <s v="ENTR BR-267 (P/PALMELA)"/>
    <s v="ENTR MG-458 (CAREAÇU)"/>
    <n v="768.7"/>
    <n v="812.7"/>
    <n v="44"/>
    <x v="0"/>
    <m/>
    <m/>
    <s v="Concessão Federal"/>
    <m/>
    <m/>
    <m/>
    <s v="Federal"/>
    <s v="PAV"/>
    <s v="Caxambu"/>
  </r>
  <r>
    <x v="0"/>
    <s v="381BMG0750"/>
    <n v="0"/>
    <x v="340"/>
    <s v="0750"/>
    <n v="-45.701487940316099"/>
    <n v="-22.0792612404138"/>
    <n v="-45.881889570347298"/>
    <n v="-22.2410417896468"/>
    <s v="381"/>
    <s v="MG"/>
    <s v="Eixo Principal"/>
    <s v="-"/>
    <s v="381BMG0750"/>
    <s v="ENTR MG-458 (CAREAÇU)"/>
    <s v="ENTR BR-459 (P/POUSO ALEGRE)"/>
    <n v="812.7"/>
    <n v="844.5"/>
    <n v="31.8"/>
    <x v="0"/>
    <m/>
    <m/>
    <s v="Concessão Federal"/>
    <m/>
    <m/>
    <m/>
    <s v="Federal"/>
    <s v="PAV"/>
    <s v="Caxambu"/>
  </r>
  <r>
    <x v="0"/>
    <s v="381BMG0770"/>
    <n v="0"/>
    <x v="340"/>
    <s v="0770"/>
    <n v="-45.881889570347298"/>
    <n v="-22.2410417896468"/>
    <n v="-46.061130440017699"/>
    <n v="-22.608974779562399"/>
    <s v="381"/>
    <s v="MG"/>
    <s v="Eixo Principal"/>
    <s v="-"/>
    <s v="381BMG0770"/>
    <s v="ENTR BR-459 (P/POUSO ALEGRE)"/>
    <s v="ENTR MG-295 (CAMBUÍ)"/>
    <n v="844.5"/>
    <n v="891.7"/>
    <n v="47.2"/>
    <x v="0"/>
    <m/>
    <m/>
    <s v="Concessão Federal"/>
    <m/>
    <m/>
    <m/>
    <s v="Federal"/>
    <s v="PAV"/>
    <s v="Caxambu"/>
  </r>
  <r>
    <x v="0"/>
    <s v="381BMG0790"/>
    <n v="0"/>
    <x v="340"/>
    <s v="0790"/>
    <n v="-46.061130440017699"/>
    <n v="-22.608974779562399"/>
    <n v="-46.298713900226197"/>
    <n v="-22.819376569972601"/>
    <s v="381"/>
    <s v="MG"/>
    <s v="Eixo Principal"/>
    <s v="-"/>
    <s v="381BMG0790"/>
    <s v="ENTR MG-295 (CAMBUÍ)"/>
    <s v="ENTR MG-460 (P/TOLEDO)"/>
    <n v="891.7"/>
    <n v="932.8"/>
    <n v="41.1"/>
    <x v="0"/>
    <m/>
    <m/>
    <s v="Concessão Federal"/>
    <m/>
    <m/>
    <m/>
    <s v="Federal"/>
    <s v="PAV"/>
    <s v="Caxambu"/>
  </r>
  <r>
    <x v="0"/>
    <s v="381BMG0800"/>
    <n v="0"/>
    <x v="340"/>
    <s v="0800"/>
    <n v="-46.298713900226197"/>
    <n v="-22.819376569972601"/>
    <n v="-46.372883549736002"/>
    <n v="-22.879247970217499"/>
    <s v="381"/>
    <s v="MG"/>
    <s v="Eixo Principal"/>
    <s v="-"/>
    <s v="381BMG0800"/>
    <s v="ENTR MG-460 (P/TOLEDO)"/>
    <s v="DIV MG/SP"/>
    <n v="932.8"/>
    <n v="943.6"/>
    <n v="10.8"/>
    <x v="0"/>
    <m/>
    <m/>
    <s v="Concessão Federal"/>
    <m/>
    <m/>
    <m/>
    <s v="Federal"/>
    <s v="PAV"/>
    <s v="Caxambu"/>
  </r>
  <r>
    <x v="0"/>
    <s v="381BSP0810"/>
    <n v="0"/>
    <x v="341"/>
    <s v="0810"/>
    <n v="-46.372883549736002"/>
    <n v="-22.879247970217499"/>
    <n v="-46.496326439913197"/>
    <n v="-22.981896250411499"/>
    <s v="381"/>
    <s v="SP"/>
    <s v="Eixo Principal"/>
    <s v="-"/>
    <s v="381BSP0810"/>
    <s v="DIV MG/SP"/>
    <s v="ENTR SP-063 (P/BRAGANÇA PAULISTA)"/>
    <n v="0"/>
    <n v="19.2"/>
    <n v="19.2"/>
    <x v="0"/>
    <m/>
    <m/>
    <s v="Concessão Federal"/>
    <m/>
    <m/>
    <m/>
    <s v="Federal"/>
    <s v="PAV"/>
    <s v="Taubaté"/>
  </r>
  <r>
    <x v="0"/>
    <s v="381BSP0830"/>
    <n v="0"/>
    <x v="341"/>
    <s v="0830"/>
    <n v="-46.496326439913197"/>
    <n v="-22.981896250411499"/>
    <n v="-46.569716690173003"/>
    <n v="-23.1000694398527"/>
    <s v="381"/>
    <s v="SP"/>
    <s v="Eixo Principal"/>
    <s v="-"/>
    <s v="381BSP0830"/>
    <s v="ENTR SP-063 (P/BRAGANÇA PAULISTA)"/>
    <s v="ENTR SP-065 (ATIBAIA)"/>
    <n v="19.2"/>
    <n v="36.4"/>
    <n v="17.2"/>
    <x v="0"/>
    <m/>
    <m/>
    <s v="Concessão Federal"/>
    <m/>
    <m/>
    <m/>
    <s v="Federal"/>
    <s v="PAV"/>
    <s v="Taubaté"/>
  </r>
  <r>
    <x v="0"/>
    <s v="381BSP0850"/>
    <n v="0"/>
    <x v="341"/>
    <s v="0850"/>
    <n v="-46.569716690173003"/>
    <n v="-23.1000694398527"/>
    <n v="-46.582504400357699"/>
    <n v="-23.315701199850398"/>
    <s v="381"/>
    <s v="SP"/>
    <s v="Eixo Principal"/>
    <s v="-"/>
    <s v="381BSP0850"/>
    <s v="ENTR SP-065 (ATIBAIA)"/>
    <s v="ENTR SP-023 (MARIPORÃ)"/>
    <n v="36.4"/>
    <n v="64.900000000000006"/>
    <n v="28.5"/>
    <x v="0"/>
    <m/>
    <m/>
    <s v="Concessão Federal"/>
    <m/>
    <m/>
    <m/>
    <s v="Federal"/>
    <s v="PAV"/>
    <s v="Taubaté"/>
  </r>
  <r>
    <x v="0"/>
    <s v="381BSP0860"/>
    <n v="0"/>
    <x v="341"/>
    <s v="0860"/>
    <n v="-46.582504400357699"/>
    <n v="-23.315701199850398"/>
    <n v="-46.568094590193098"/>
    <n v="-23.438358669816601"/>
    <s v="381"/>
    <s v="SP"/>
    <s v="Eixo Principal"/>
    <s v="-"/>
    <s v="381BSP0860"/>
    <s v="ENTR SP-023 (MARIPORÃ)"/>
    <s v="ACESSO GUARULHOS"/>
    <n v="64.900000000000006"/>
    <n v="83.9"/>
    <n v="19"/>
    <x v="0"/>
    <m/>
    <m/>
    <s v="Concessão Federal"/>
    <m/>
    <m/>
    <m/>
    <s v="Federal"/>
    <s v="PAV"/>
    <s v="Taubaté"/>
  </r>
  <r>
    <x v="0"/>
    <s v="381BSP0870"/>
    <n v="0"/>
    <x v="341"/>
    <s v="0870"/>
    <n v="-46.568094590193098"/>
    <n v="-23.438358669816601"/>
    <n v="-46.559560300067702"/>
    <n v="-23.498828180376101"/>
    <s v="381"/>
    <s v="SP"/>
    <s v="Eixo Principal"/>
    <s v="-"/>
    <s v="381BSP0870"/>
    <s v="ACESSO GUARULHOS"/>
    <s v="ENTR BR-116(A)"/>
    <n v="83.9"/>
    <n v="90.4"/>
    <n v="6.5"/>
    <x v="0"/>
    <m/>
    <m/>
    <s v="Concessão Federal"/>
    <m/>
    <m/>
    <m/>
    <s v="Federal"/>
    <s v="PAV"/>
    <s v="Taubaté"/>
  </r>
  <r>
    <x v="0"/>
    <s v="381BSP0890"/>
    <n v="0"/>
    <x v="341"/>
    <s v="0890"/>
    <n v="-46.559560300067702"/>
    <n v="-23.498828180376101"/>
    <n v="-46.590554130368702"/>
    <n v="-23.528833699815301"/>
    <s v="381"/>
    <s v="SP"/>
    <s v="Eixo Principal"/>
    <s v="Coinc"/>
    <s v="381BSP0890"/>
    <s v="ENTR BR-116(A)"/>
    <s v="ENTR BR-116(B)/SP-015 (SÃO PAULO) (MARGINAL TIETE)"/>
    <n v="90.4"/>
    <n v="93.6"/>
    <n v="3.2"/>
    <x v="0"/>
    <m/>
    <s v="116BSP2530"/>
    <s v="Concessão Federal"/>
    <m/>
    <m/>
    <m/>
    <s v="Federal"/>
    <s v="PAV"/>
    <s v="Taubaté"/>
  </r>
  <r>
    <x v="0"/>
    <s v="381CMG1005"/>
    <n v="0"/>
    <x v="342"/>
    <s v="1005"/>
    <n v="-43.7430323501627"/>
    <n v="-19.7874946201805"/>
    <n v="-44.090682099898899"/>
    <n v="-19.815195330100298"/>
    <s v="381"/>
    <s v="MG"/>
    <s v="Contorno"/>
    <s v="-"/>
    <s v="381CMG1005"/>
    <s v="ENTR BR-381 (NORTE)"/>
    <s v="ENTR BR-040"/>
    <n v="0"/>
    <n v="50.9"/>
    <n v="50.9"/>
    <x v="1"/>
    <m/>
    <m/>
    <s v="Federal"/>
    <m/>
    <m/>
    <m/>
    <s v="Federal"/>
    <s v="PLA"/>
    <s v="Contagem"/>
  </r>
  <r>
    <x v="0"/>
    <s v="381CMG1010"/>
    <n v="0"/>
    <x v="342"/>
    <s v="1010"/>
    <n v="-44.090682099898899"/>
    <n v="-19.815195330100298"/>
    <n v="-44.149331340369002"/>
    <n v="-19.956427349942199"/>
    <s v="381"/>
    <s v="MG"/>
    <s v="Contorno"/>
    <s v="Coinc"/>
    <s v="381CMG1010"/>
    <s v="ENTR BR-040"/>
    <s v="ENTR BR-381 (BETIM)"/>
    <n v="50.9"/>
    <n v="67.5"/>
    <n v="16.600000000000001"/>
    <x v="1"/>
    <m/>
    <s v="040CMG1005"/>
    <s v="Federal"/>
    <m/>
    <m/>
    <m/>
    <s v="Federal"/>
    <s v="PLA"/>
    <s v="Contagem"/>
  </r>
  <r>
    <x v="0"/>
    <s v="381CMG2005"/>
    <n v="0"/>
    <x v="342"/>
    <s v="2005"/>
    <n v="-43.046822879772002"/>
    <n v="-19.761389839968999"/>
    <n v="-43.204016233662202"/>
    <n v="-19.7814712731806"/>
    <s v="381"/>
    <s v="MG"/>
    <s v="Contorno"/>
    <s v="-"/>
    <s v="381CMG2005"/>
    <s v="ENTR BR-381 (NOVA ERA)"/>
    <s v="ENTR ACESSO SUL JOÃO MONLEVADE"/>
    <n v="0"/>
    <n v="19.399999999999999"/>
    <n v="19.399999999999999"/>
    <x v="1"/>
    <m/>
    <m/>
    <s v="Federal"/>
    <m/>
    <m/>
    <m/>
    <s v="Federal"/>
    <s v="PLA"/>
    <s v="Contagem"/>
  </r>
  <r>
    <x v="0"/>
    <s v="381CMG2010"/>
    <n v="0"/>
    <x v="342"/>
    <s v="2010"/>
    <n v="-43.204016233662202"/>
    <n v="-19.7814712731806"/>
    <n v="-43.352503589868697"/>
    <n v="-19.832035180379201"/>
    <s v="381"/>
    <s v="MG"/>
    <s v="Contorno"/>
    <s v="-"/>
    <s v="381CMG2010"/>
    <s v="ENTR ACESSO SUL JOÃO MONLEVADE"/>
    <s v="ENTR BR-381 (RIO UNA)"/>
    <n v="19.399999999999999"/>
    <n v="38.6"/>
    <n v="19.2"/>
    <x v="1"/>
    <m/>
    <m/>
    <s v="Federal"/>
    <m/>
    <m/>
    <m/>
    <s v="Federal"/>
    <s v="PLA"/>
    <s v="Contagem"/>
  </r>
  <r>
    <x v="0"/>
    <s v="381CMG3005"/>
    <n v="0"/>
    <x v="342"/>
    <s v="3005"/>
    <n v="-44.149331340369002"/>
    <n v="-19.956427349942199"/>
    <n v="-44.160532849711203"/>
    <n v="-19.979457820222098"/>
    <s v="381"/>
    <s v="MG"/>
    <s v="Contorno"/>
    <s v="Coinc"/>
    <s v="381CMG3005"/>
    <s v="ENTR BR-262/381 (TERMINAL RODOVIÁRIO)"/>
    <s v="ENTR CONTORNO SUL DE BH (CONT DE BETIM)"/>
    <n v="0"/>
    <n v="2.4"/>
    <n v="2.4"/>
    <x v="0"/>
    <m/>
    <s v="040CMG1010"/>
    <s v="Concessão Federal"/>
    <m/>
    <m/>
    <m/>
    <s v="Federal"/>
    <s v="PAV"/>
    <s v="Contagem"/>
  </r>
  <r>
    <x v="0"/>
    <s v="381CMG3010"/>
    <n v="0"/>
    <x v="342"/>
    <s v="3010"/>
    <n v="-44.160532849711203"/>
    <n v="-19.979457820222098"/>
    <n v="-44.177654091562999"/>
    <n v="-19.986845206740799"/>
    <s v="381"/>
    <s v="MG"/>
    <s v="Contorno"/>
    <s v="-"/>
    <s v="381CMG3010"/>
    <s v="ENTR CONTORNO SUL DE BH (CONT DE BETIM)"/>
    <s v="AC BAIRRO BANDEIRINHAS (CONT DE BETIM)"/>
    <n v="2.4"/>
    <n v="4.5"/>
    <n v="2.1"/>
    <x v="0"/>
    <m/>
    <m/>
    <s v="Concessão Federal"/>
    <m/>
    <m/>
    <m/>
    <s v="Federal"/>
    <s v="PAV"/>
    <s v="Contagem"/>
  </r>
  <r>
    <x v="0"/>
    <s v="381CMG3015"/>
    <n v="0"/>
    <x v="342"/>
    <s v="3015"/>
    <n v="-44.177654091562999"/>
    <n v="-19.986845206740799"/>
    <n v="-44.203314149828003"/>
    <n v="-19.9858565298549"/>
    <s v="381"/>
    <s v="MG"/>
    <s v="Contorno"/>
    <s v="-"/>
    <s v="381CMG3015"/>
    <s v="AC BAIRRO BANDEIRINHAS (CONT DE BETIM)"/>
    <s v="ENTR BR-262/381 (TREVO) ( CONTORNO DE BETIM)"/>
    <n v="4.5"/>
    <n v="7.4"/>
    <n v="2.9"/>
    <x v="0"/>
    <m/>
    <m/>
    <s v="Concessão Federal"/>
    <m/>
    <m/>
    <m/>
    <s v="Federal"/>
    <s v="PAV"/>
    <s v="Contagem"/>
  </r>
  <r>
    <x v="0"/>
    <s v="381UMG1005"/>
    <n v="0"/>
    <x v="343"/>
    <s v="1005"/>
    <n v="-42.573313509710601"/>
    <n v="-19.509884299820499"/>
    <n v="-42.592222909559602"/>
    <n v="-19.505062619743999"/>
    <s v="381"/>
    <s v="MG"/>
    <s v="Travessia Urbana"/>
    <s v="-"/>
    <s v="381UMG1005"/>
    <s v="ENTR BR-381 (IPATINGA)"/>
    <s v="DIV MUNIC IPATINGA/CEL FABRICIANO"/>
    <n v="0"/>
    <n v="2.2999999999999998"/>
    <n v="2.2999999999999998"/>
    <x v="0"/>
    <m/>
    <m/>
    <s v="Federal"/>
    <m/>
    <m/>
    <m/>
    <s v="Federal"/>
    <s v="PAV"/>
    <s v="Governador Valadares"/>
  </r>
  <r>
    <x v="0"/>
    <s v="381UMG1010"/>
    <n v="0"/>
    <x v="343"/>
    <s v="1010"/>
    <n v="-42.592222909559602"/>
    <n v="-19.505062619743999"/>
    <n v="-42.639894169879902"/>
    <n v="-19.523917839936299"/>
    <s v="381"/>
    <s v="MG"/>
    <s v="Travessia Urbana"/>
    <s v="-"/>
    <s v="381UMG1010"/>
    <s v="DIV MUNIC IPATINGA/CEL FABRICIANO"/>
    <s v="DIV CEL FABRICIANO/TIMÓTEO (INÍCIO PONTE S/RIO PIRACICABA)"/>
    <n v="2.2999999999999998"/>
    <n v="8.6"/>
    <n v="6.3"/>
    <x v="0"/>
    <m/>
    <m/>
    <s v="Federal"/>
    <m/>
    <m/>
    <m/>
    <s v="Federal"/>
    <s v="PAV"/>
    <s v="Governador Valadares"/>
  </r>
  <r>
    <x v="0"/>
    <s v="381UMG1015"/>
    <n v="0"/>
    <x v="343"/>
    <s v="1015"/>
    <n v="-42.639894169879902"/>
    <n v="-19.523917839936299"/>
    <n v="-42.6402304695604"/>
    <n v="-19.525480699774398"/>
    <s v="381"/>
    <s v="MG"/>
    <s v="Travessia Urbana"/>
    <s v="-"/>
    <s v="381UMG1015"/>
    <s v="DIV CEL FABRICIANO/TIMÓTEO (INÍCIO PONTE S/RIO PIRACICABA)"/>
    <s v="FIM PONTE S/RIO PIRACICABA"/>
    <n v="8.6"/>
    <n v="8.8000000000000007"/>
    <n v="0.2"/>
    <x v="2"/>
    <m/>
    <m/>
    <s v="Federal"/>
    <m/>
    <m/>
    <m/>
    <s v="Federal"/>
    <s v="PAV"/>
    <s v="Governador Valadares"/>
  </r>
  <r>
    <x v="0"/>
    <s v="381UMG1020"/>
    <n v="0"/>
    <x v="343"/>
    <s v="1020"/>
    <n v="-42.6402304695604"/>
    <n v="-19.525480699774398"/>
    <n v="-42.686875429857103"/>
    <n v="-19.540899960264898"/>
    <s v="381"/>
    <s v="MG"/>
    <s v="Travessia Urbana"/>
    <s v="-"/>
    <s v="381UMG1020"/>
    <s v="FIM PONTE S/RIO PIRACICABA"/>
    <s v="ENTR BR-381 (TIMÓTEO)"/>
    <n v="8.8000000000000007"/>
    <n v="15"/>
    <n v="6.2"/>
    <x v="2"/>
    <m/>
    <m/>
    <s v="Federal"/>
    <m/>
    <m/>
    <m/>
    <s v="Federal"/>
    <s v="PAV"/>
    <s v="Caratinga"/>
  </r>
  <r>
    <x v="0"/>
    <s v="383BMG0010"/>
    <n v="0"/>
    <x v="344"/>
    <s v="0010"/>
    <n v="-43.805832860298203"/>
    <n v="-20.655641289813602"/>
    <n v="-43.8141383296201"/>
    <n v="-20.5564695197525"/>
    <s v="383"/>
    <s v="MG"/>
    <s v="Eixo Principal"/>
    <s v="Coinc"/>
    <s v="383BMG0010"/>
    <s v="ENTR BR-040(A)/482 (CONSELHEIRO LAFAIETE)"/>
    <s v="ENTR BR-040(B)"/>
    <n v="0"/>
    <n v="12.1"/>
    <n v="12.1"/>
    <x v="2"/>
    <m/>
    <s v="040BMG0470"/>
    <s v="Concessão Federal"/>
    <m/>
    <m/>
    <m/>
    <s v="Federal"/>
    <s v="PAV"/>
    <s v="Contagem"/>
  </r>
  <r>
    <x v="0"/>
    <s v="383BMG0030"/>
    <n v="0"/>
    <x v="344"/>
    <s v="0030"/>
    <n v="-43.8141383296201"/>
    <n v="-20.5564695197525"/>
    <n v="-43.927185979649202"/>
    <n v="-20.616973629928999"/>
    <s v="383"/>
    <s v="MG"/>
    <s v="Eixo Principal"/>
    <s v="-"/>
    <s v="383BMG0030"/>
    <s v="ENTR BR-040(B)"/>
    <s v="ENTR MG-155 (SÃO BRÁS DO SUAÇUÍ)"/>
    <n v="12.1"/>
    <n v="27.1"/>
    <n v="15"/>
    <x v="1"/>
    <m/>
    <m/>
    <s v="Estadual"/>
    <m/>
    <s v="MGT-383"/>
    <s v="PAV"/>
    <s v="Estadual"/>
    <s v="PLA"/>
    <s v="Contagem"/>
  </r>
  <r>
    <x v="0"/>
    <s v="383BMG0050"/>
    <n v="0"/>
    <x v="344"/>
    <s v="0050"/>
    <n v="-43.927185979649202"/>
    <n v="-20.616973629928999"/>
    <n v="-44.052825249885302"/>
    <n v="-20.678571080091199"/>
    <s v="383"/>
    <s v="MG"/>
    <s v="Eixo Principal"/>
    <s v="-"/>
    <s v="383BMG0050"/>
    <s v="ENTR MG-155 (SÃO BRÁS DO SUAÇUÍ)"/>
    <s v="ENTR MG-270"/>
    <n v="27.1"/>
    <n v="44.6"/>
    <n v="17.5"/>
    <x v="1"/>
    <m/>
    <m/>
    <s v="Estadual"/>
    <m/>
    <s v="MGT-383"/>
    <s v="PAV"/>
    <s v="Estadual"/>
    <s v="PLA"/>
    <s v="Contagem"/>
  </r>
  <r>
    <x v="0"/>
    <s v="383BMG0070"/>
    <n v="0"/>
    <x v="344"/>
    <s v="0070"/>
    <n v="-44.052825249885302"/>
    <n v="-20.678571080091199"/>
    <n v="-44.054219379820402"/>
    <n v="-20.681909549685901"/>
    <s v="383"/>
    <s v="MG"/>
    <s v="Eixo Principal"/>
    <s v="-"/>
    <s v="383BMG0070"/>
    <s v="ENTR MG-270"/>
    <s v="ACESSO ENTRE RIOS DE MINAS"/>
    <n v="44.6"/>
    <n v="45"/>
    <n v="0.4"/>
    <x v="1"/>
    <m/>
    <m/>
    <s v="Estadual"/>
    <m/>
    <s v="MGT-383"/>
    <s v="PAV"/>
    <s v="Estadual"/>
    <s v="PLA"/>
    <s v="Juiz de Fora"/>
  </r>
  <r>
    <x v="0"/>
    <s v="383BMG0073"/>
    <n v="0"/>
    <x v="344"/>
    <s v="0073"/>
    <n v="-44.054219379820402"/>
    <n v="-20.681909549685901"/>
    <n v="-44.075268599566101"/>
    <n v="-20.914523670131199"/>
    <s v="383"/>
    <s v="MG"/>
    <s v="Eixo Principal"/>
    <s v="-"/>
    <s v="383BMG0073"/>
    <s v="ACESSO ENTRE RIOS DE MINAS"/>
    <s v="ENTR MG-275 (LAGOA DOURADA)"/>
    <n v="45"/>
    <n v="75.8"/>
    <n v="30.8"/>
    <x v="1"/>
    <m/>
    <m/>
    <s v="Estadual"/>
    <m/>
    <s v="MGT-383"/>
    <s v="PAV"/>
    <s v="Estadual"/>
    <s v="PLA"/>
    <s v="Juiz de Fora"/>
  </r>
  <r>
    <x v="0"/>
    <s v="383BMG0090"/>
    <n v="0"/>
    <x v="344"/>
    <s v="0090"/>
    <n v="-44.075268599566101"/>
    <n v="-20.914523670131199"/>
    <n v="-44.1482202801418"/>
    <n v="-20.993016259992299"/>
    <s v="383"/>
    <s v="MG"/>
    <s v="Eixo Principal"/>
    <s v="-"/>
    <s v="383BMG0090"/>
    <s v="ENTR MG-275 (LAGOA DOURADA)"/>
    <s v="ACESSO RESENDE COSTA"/>
    <n v="75.8"/>
    <n v="90.3"/>
    <n v="14.5"/>
    <x v="1"/>
    <m/>
    <m/>
    <s v="Estadual"/>
    <m/>
    <s v="MGT-383"/>
    <s v="PAV"/>
    <s v="Estadual"/>
    <s v="PLA"/>
    <s v="Juiz de Fora"/>
  </r>
  <r>
    <x v="0"/>
    <s v="383BMG0100"/>
    <n v="0"/>
    <x v="344"/>
    <s v="0100"/>
    <n v="-44.1482202801418"/>
    <n v="-20.993016259992299"/>
    <n v="-44.201592990424103"/>
    <n v="-21.0594736096193"/>
    <s v="383"/>
    <s v="MG"/>
    <s v="Eixo Principal"/>
    <s v="-"/>
    <s v="383BMG0100"/>
    <s v="ACESSO RESENDE COSTA"/>
    <s v="ACESSO CORONEL XAVIER CHAVES"/>
    <n v="90.3"/>
    <n v="100.6"/>
    <n v="10.3"/>
    <x v="1"/>
    <m/>
    <m/>
    <s v="Estadual"/>
    <m/>
    <s v="MGT-383"/>
    <s v="PAV"/>
    <s v="Estadual"/>
    <s v="PLA"/>
    <s v="Juiz de Fora"/>
  </r>
  <r>
    <x v="0"/>
    <s v="383BMG0105"/>
    <n v="0"/>
    <x v="344"/>
    <s v="0105"/>
    <n v="-44.201592990424103"/>
    <n v="-21.0594736096193"/>
    <n v="-44.2434779200698"/>
    <n v="-21.113076559835299"/>
    <s v="383"/>
    <s v="MG"/>
    <s v="Eixo Principal"/>
    <s v="-"/>
    <s v="383BMG0105"/>
    <s v="ACESSO CORONEL XAVIER CHAVES"/>
    <s v="ENTR BR-494(A) (SÃO JOÃO DEL REY)"/>
    <n v="100.6"/>
    <n v="108.8"/>
    <n v="8.1999999999999993"/>
    <x v="1"/>
    <m/>
    <m/>
    <s v="Estadual"/>
    <m/>
    <s v="MGT-383"/>
    <s v="PAV"/>
    <s v="Estadual"/>
    <s v="PLA"/>
    <s v="Juiz de Fora"/>
  </r>
  <r>
    <x v="0"/>
    <s v="383BMG0110"/>
    <n v="0"/>
    <x v="344"/>
    <s v="0110"/>
    <n v="-44.2434779200698"/>
    <n v="-21.113076559835299"/>
    <n v="-44.280935810139503"/>
    <n v="-21.167746769697601"/>
    <s v="383"/>
    <s v="MG"/>
    <s v="Eixo Principal"/>
    <s v="-"/>
    <s v="383BMG0110"/>
    <s v="ENTR BR-494(A) (SÃO JOÃO DEL REY)"/>
    <s v="ENTR BR-265(A)"/>
    <n v="108.8"/>
    <n v="117.1"/>
    <n v="8.3000000000000007"/>
    <x v="1"/>
    <m/>
    <s v="494BMG0110"/>
    <s v="Estadual"/>
    <m/>
    <s v="MGT-383"/>
    <s v="PAV"/>
    <s v="Estadual"/>
    <s v="PLA"/>
    <s v="Oliveira"/>
  </r>
  <r>
    <x v="0"/>
    <s v="383BMG0115"/>
    <n v="0"/>
    <x v="344"/>
    <s v="0115"/>
    <n v="-44.280935810139503"/>
    <n v="-21.167746769697601"/>
    <n v="-44.376034139663702"/>
    <n v="-21.228498529783199"/>
    <s v="383"/>
    <s v="MG"/>
    <s v="Eixo Principal"/>
    <s v="Coinc"/>
    <s v="383BMG0115"/>
    <s v="ENTR BR-265(A)"/>
    <s v="ENTR BR-265(B) (P/ITUTINGA)"/>
    <n v="117.1"/>
    <n v="130"/>
    <n v="12.9"/>
    <x v="2"/>
    <m/>
    <s v="494BMG0115;265BMG0210"/>
    <s v="Federal"/>
    <m/>
    <m/>
    <m/>
    <s v="Federal"/>
    <s v="PAV"/>
    <s v="Oliveira"/>
  </r>
  <r>
    <x v="0"/>
    <s v="383BMG0120"/>
    <n v="0"/>
    <x v="344"/>
    <s v="0120"/>
    <n v="-44.376034139663702"/>
    <n v="-21.228498529783199"/>
    <n v="-44.317566990324202"/>
    <n v="-21.483514440438999"/>
    <s v="383"/>
    <s v="MG"/>
    <s v="Eixo Principal"/>
    <s v="-"/>
    <s v="383BMG0120"/>
    <s v="ENTR BR-265(B) (P/ITUTINGA)"/>
    <s v="ENTR MG-338 (MADRE DE DEUS DE MINAS)"/>
    <n v="130"/>
    <n v="167.3"/>
    <n v="37.299999999999997"/>
    <x v="1"/>
    <m/>
    <s v="494BMG0120"/>
    <s v="Estadual"/>
    <m/>
    <s v="MGT-494"/>
    <s v="PAV"/>
    <s v="Estadual"/>
    <s v="PLA"/>
    <s v="Caxambu"/>
  </r>
  <r>
    <x v="0"/>
    <s v="383BMG0130"/>
    <n v="0"/>
    <x v="344"/>
    <s v="0130"/>
    <n v="-44.317566990324202"/>
    <n v="-21.483514440438999"/>
    <n v="-44.359538809768097"/>
    <n v="-21.558803700030602"/>
    <s v="383"/>
    <s v="MG"/>
    <s v="Eixo Principal"/>
    <s v="-"/>
    <s v="383BMG0130"/>
    <s v="ENTR MG-338 (MADRE DE DEUS DE MINAS)"/>
    <s v="ENTR BR-494(B)"/>
    <n v="167.3"/>
    <n v="177.7"/>
    <n v="10.4"/>
    <x v="1"/>
    <m/>
    <s v="494BMG0130"/>
    <s v="Estadual"/>
    <m/>
    <s v="MGT-383"/>
    <s v="PAV"/>
    <s v="Estadual"/>
    <s v="PLA"/>
    <s v="Caxambu"/>
  </r>
  <r>
    <x v="0"/>
    <s v="383BMG0150"/>
    <n v="0"/>
    <x v="344"/>
    <s v="0150"/>
    <n v="-44.359538809768097"/>
    <n v="-21.558803700030602"/>
    <n v="-44.608557889934602"/>
    <n v="-21.678457959567101"/>
    <s v="383"/>
    <s v="MG"/>
    <s v="Eixo Principal"/>
    <s v="-"/>
    <s v="383BMG0150"/>
    <s v="ENTR BR-494(B)"/>
    <s v="ENTR MG-451 (MINDURI)"/>
    <n v="177.7"/>
    <n v="216.2"/>
    <n v="38.5"/>
    <x v="1"/>
    <m/>
    <m/>
    <s v="Estadual"/>
    <m/>
    <s v="MGT-383"/>
    <s v="PAV"/>
    <s v="Estadual"/>
    <s v="PLA"/>
    <s v="Caxambu"/>
  </r>
  <r>
    <x v="0"/>
    <s v="383BMG0160"/>
    <n v="0"/>
    <x v="344"/>
    <s v="0160"/>
    <n v="-44.608557889934602"/>
    <n v="-21.678457959567101"/>
    <n v="-44.802259560430301"/>
    <n v="-21.8189608495634"/>
    <s v="383"/>
    <s v="MG"/>
    <s v="Eixo Principal"/>
    <s v="-"/>
    <s v="383BMG0160"/>
    <s v="ENTR MG-451 (MINDURI)"/>
    <s v="ENTR BR-354(A) (CRUZÍLIA)"/>
    <n v="216.2"/>
    <n v="246.4"/>
    <n v="30.2"/>
    <x v="1"/>
    <m/>
    <m/>
    <s v="Estadual"/>
    <m/>
    <s v="MGT-383"/>
    <s v="PAV"/>
    <s v="Estadual"/>
    <s v="PLA"/>
    <s v="Caxambu"/>
  </r>
  <r>
    <x v="0"/>
    <s v="383BMG0170"/>
    <n v="0"/>
    <x v="344"/>
    <s v="0170"/>
    <n v="-44.802259560430301"/>
    <n v="-21.8189608495634"/>
    <n v="-44.819400869754297"/>
    <n v="-21.923267879808702"/>
    <s v="383"/>
    <s v="MG"/>
    <s v="Eixo Principal"/>
    <s v="Coinc"/>
    <s v="383BMG0170"/>
    <s v="ENTR BR-354(A) (CRUZÍLIA)"/>
    <s v="ENTR BR-267(A)"/>
    <n v="246.4"/>
    <n v="259.39999999999998"/>
    <n v="13"/>
    <x v="1"/>
    <m/>
    <s v="354BMG0450"/>
    <s v="Estadual"/>
    <m/>
    <s v="MGT-354"/>
    <s v="PAV"/>
    <s v="Estadual"/>
    <s v="PLA"/>
    <s v="Caxambu"/>
  </r>
  <r>
    <x v="0"/>
    <s v="383BMG0190"/>
    <n v="0"/>
    <x v="344"/>
    <s v="0190"/>
    <n v="-44.819400869754297"/>
    <n v="-21.923267879808702"/>
    <n v="-44.872666870079897"/>
    <n v="-21.9359424004214"/>
    <s v="383"/>
    <s v="MG"/>
    <s v="Eixo Principal"/>
    <s v="Coinc"/>
    <s v="383BMG0190"/>
    <s v="ENTR BR-267(A)"/>
    <s v="ACESSO BAEPENDI"/>
    <n v="259.39999999999998"/>
    <n v="265.5"/>
    <n v="6.1"/>
    <x v="2"/>
    <m/>
    <s v="267BMG0210;354BMG0470"/>
    <s v="Federal"/>
    <m/>
    <m/>
    <m/>
    <s v="Federal"/>
    <s v="PAV"/>
    <s v="Caxambu"/>
  </r>
  <r>
    <x v="0"/>
    <s v="383BMG0210"/>
    <n v="0"/>
    <x v="344"/>
    <s v="0210"/>
    <n v="-44.872666870079897"/>
    <n v="-21.9359424004214"/>
    <n v="-44.923995430344803"/>
    <n v="-21.969451790068"/>
    <s v="383"/>
    <s v="MG"/>
    <s v="Eixo Principal"/>
    <s v="Coinc"/>
    <s v="383BMG0210"/>
    <s v="ACESSO BAEPENDI"/>
    <s v="ENTR BR-354(B) (CAXAMBÚ)"/>
    <n v="265.5"/>
    <n v="272.5"/>
    <n v="7"/>
    <x v="2"/>
    <m/>
    <s v="267BMG0230;354BMG0490"/>
    <s v="Federal"/>
    <m/>
    <m/>
    <m/>
    <s v="Federal"/>
    <s v="PAV"/>
    <s v="Caxambu"/>
  </r>
  <r>
    <x v="0"/>
    <s v="383BMG0220"/>
    <n v="0"/>
    <x v="344"/>
    <s v="0220"/>
    <n v="-44.923995430344803"/>
    <n v="-21.969451790068"/>
    <n v="-44.973409489556197"/>
    <n v="-21.9560533799594"/>
    <s v="383"/>
    <s v="MG"/>
    <s v="Eixo Principal"/>
    <s v="Coinc"/>
    <s v="383BMG0220"/>
    <s v="ENTR BR-354(B) (CAXAMBÚ)"/>
    <s v="ENTR BR-267(B)"/>
    <n v="272.5"/>
    <n v="278.60000000000002"/>
    <n v="6.1"/>
    <x v="1"/>
    <m/>
    <s v="267BMG0240"/>
    <s v="Estadual"/>
    <m/>
    <s v="MGT-267"/>
    <s v="PAV"/>
    <s v="Estadual"/>
    <s v="PLA"/>
    <s v="Caxambu"/>
  </r>
  <r>
    <x v="0"/>
    <s v="383BMG0230"/>
    <n v="0"/>
    <x v="344"/>
    <s v="0230"/>
    <n v="-44.973409489556197"/>
    <n v="-21.9560533799594"/>
    <n v="-45.053113280053701"/>
    <n v="-22.115666299560001"/>
    <s v="383"/>
    <s v="MG"/>
    <s v="Eixo Principal"/>
    <s v="-"/>
    <s v="383BMG0230"/>
    <s v="ENTR BR-267(B)"/>
    <s v="ENTR BR-460 (SÃO LOURENÇO)"/>
    <n v="278.60000000000002"/>
    <n v="300.2"/>
    <n v="21.6"/>
    <x v="1"/>
    <m/>
    <m/>
    <s v="Estadual"/>
    <m/>
    <s v="MGT-383"/>
    <s v="PAV"/>
    <s v="Estadual"/>
    <s v="PLA"/>
    <s v="Caxambu"/>
  </r>
  <r>
    <x v="0"/>
    <s v="383BMG0250"/>
    <n v="0"/>
    <x v="344"/>
    <s v="0250"/>
    <n v="-45.053113280053701"/>
    <n v="-22.115666299560001"/>
    <n v="-45.363207350139"/>
    <n v="-22.311621959785501"/>
    <s v="383"/>
    <s v="MG"/>
    <s v="Eixo Principal"/>
    <s v="-"/>
    <s v="383BMG0250"/>
    <s v="ENTR BR-460 (SÃO LOURENÇO)"/>
    <s v="MARIA DA FÉ"/>
    <n v="300.2"/>
    <n v="350.4"/>
    <n v="50.2"/>
    <x v="1"/>
    <m/>
    <m/>
    <s v="Federal"/>
    <m/>
    <m/>
    <m/>
    <s v="Federal"/>
    <s v="PLA"/>
    <s v="Caxambu"/>
  </r>
  <r>
    <x v="0"/>
    <s v="383BMG0251"/>
    <n v="0"/>
    <x v="344"/>
    <s v="0251"/>
    <n v="-45.363207350139"/>
    <n v="-22.311621959785501"/>
    <n v="-45.431852809659397"/>
    <n v="-22.442864400271699"/>
    <s v="383"/>
    <s v="MG"/>
    <s v="Eixo Principal"/>
    <s v="-"/>
    <s v="383BMG0251"/>
    <s v="MARIA DA FÉ"/>
    <s v="ENTR BR-459/ACESSO À IMBEL (ITAJUBÁ)"/>
    <n v="350.4"/>
    <n v="373.2"/>
    <n v="22.8"/>
    <x v="1"/>
    <m/>
    <m/>
    <s v="Estadual"/>
    <m/>
    <s v="MGT-383"/>
    <s v="PAV"/>
    <s v="Estadual"/>
    <s v="PLA"/>
    <s v="Caxambu"/>
  </r>
  <r>
    <x v="0"/>
    <s v="383BMG0255"/>
    <n v="0"/>
    <x v="344"/>
    <s v="0255"/>
    <n v="-45.431852809659397"/>
    <n v="-22.442864400271699"/>
    <n v="-45.442844050312601"/>
    <n v="-22.430926140229101"/>
    <s v="383"/>
    <s v="MG"/>
    <s v="Eixo Principal"/>
    <s v="-"/>
    <s v="383BMG0255"/>
    <s v="ENTR BR-459/ACESSO À IMBEL (ITAJUBÁ)"/>
    <s v="INÍCIO CONVÊNIO DE ADMINISTRAÇÃO"/>
    <n v="373.2"/>
    <n v="374.9"/>
    <n v="1.7"/>
    <x v="2"/>
    <m/>
    <s v="459BMG0126"/>
    <s v="Federal"/>
    <m/>
    <m/>
    <m/>
    <s v="Federal"/>
    <s v="PAV"/>
    <s v="Caxambu"/>
  </r>
  <r>
    <x v="0"/>
    <s v="383BMG0260"/>
    <n v="0"/>
    <x v="344"/>
    <s v="0260"/>
    <n v="-45.442844050312601"/>
    <n v="-22.430926140229101"/>
    <n v="-45.458255209710103"/>
    <n v="-22.430456290325399"/>
    <s v="383"/>
    <s v="MG"/>
    <s v="Eixo Principal"/>
    <s v="-"/>
    <s v="383BMG0260"/>
    <s v="INÍCIO CONVÊNIO DE ADMINISTRAÇÃO"/>
    <s v="ENTR AV. PAULO CHIARADIA"/>
    <n v="374.9"/>
    <n v="376.7"/>
    <n v="1.8"/>
    <x v="2"/>
    <m/>
    <s v="459BMG0123"/>
    <s v="Federal"/>
    <m/>
    <m/>
    <m/>
    <s v="Federal"/>
    <s v="PAV"/>
    <s v="Caxambu"/>
  </r>
  <r>
    <x v="0"/>
    <s v="383BMG0265"/>
    <n v="0"/>
    <x v="344"/>
    <s v="0265"/>
    <n v="-45.458255209710103"/>
    <n v="-22.430456290325399"/>
    <n v="-45.465502800213997"/>
    <n v="-22.429316069580899"/>
    <s v="383"/>
    <s v="MG"/>
    <s v="Eixo Principal"/>
    <s v="-"/>
    <s v="383BMG0265"/>
    <s v="ENTR AV. PAULO CHIARADIA"/>
    <s v="ENTR BR-459 (ITAJUBÁ)"/>
    <n v="376.7"/>
    <n v="377.5"/>
    <n v="0.8"/>
    <x v="0"/>
    <m/>
    <s v="459BMG0121"/>
    <s v="Federal"/>
    <m/>
    <m/>
    <m/>
    <s v="Federal"/>
    <s v="PAV"/>
    <s v="Caxambu"/>
  </r>
  <r>
    <x v="0"/>
    <s v="383BMG0270"/>
    <n v="0"/>
    <x v="344"/>
    <s v="0270"/>
    <n v="-45.465502800213997"/>
    <n v="-22.429316069580899"/>
    <n v="-45.496867619744798"/>
    <n v="-22.5261140404305"/>
    <s v="383"/>
    <s v="MG"/>
    <s v="Eixo Principal"/>
    <s v="-"/>
    <s v="383BMG0270"/>
    <s v="ENTR BR-459 (ITAJUBÁ)"/>
    <s v="PIRANGUÇÚ"/>
    <n v="377.5"/>
    <n v="389.4"/>
    <n v="11.9"/>
    <x v="1"/>
    <m/>
    <m/>
    <s v="Estadual"/>
    <m/>
    <s v="MG-383"/>
    <s v="PAV"/>
    <s v="Estadual"/>
    <s v="PLA"/>
    <s v="Caxambu"/>
  </r>
  <r>
    <x v="0"/>
    <s v="383BMG0271"/>
    <n v="0"/>
    <x v="344"/>
    <s v="0271"/>
    <n v="-45.496867619744798"/>
    <n v="-22.5261140404305"/>
    <n v="-45.5654424600014"/>
    <n v="-22.611254259676201"/>
    <s v="383"/>
    <s v="MG"/>
    <s v="Eixo Principal"/>
    <s v="-"/>
    <s v="383BMG0271"/>
    <s v="PIRANGUÇÚ"/>
    <s v="DIV MG/SP"/>
    <n v="389.4"/>
    <n v="405.7"/>
    <n v="16.3"/>
    <x v="1"/>
    <m/>
    <m/>
    <s v="Estadual"/>
    <m/>
    <s v="MGT-383"/>
    <s v="LEN"/>
    <s v="Estadual"/>
    <s v="PLA"/>
    <s v="Caxambu"/>
  </r>
  <r>
    <x v="0"/>
    <s v="383BSP0290"/>
    <n v="0"/>
    <x v="345"/>
    <s v="0290"/>
    <n v="-45.5654424600014"/>
    <n v="-22.611254259676201"/>
    <n v="-45.606507869842197"/>
    <n v="-22.7486873300562"/>
    <s v="383"/>
    <s v="SP"/>
    <s v="Eixo Principal"/>
    <s v="-"/>
    <s v="383BSP0290"/>
    <s v="DIV MG/SP"/>
    <s v="ENTR SP-123(A)/183 (CAMPOS DO JORDÃO) *TRECHO MUNICIPAL*"/>
    <n v="0"/>
    <n v="22.8"/>
    <n v="22.8"/>
    <x v="1"/>
    <m/>
    <m/>
    <s v="Estadual"/>
    <m/>
    <s v="SPT-383"/>
    <s v="LEN"/>
    <s v="Estadual"/>
    <s v="PLA"/>
    <s v="Taubaté"/>
  </r>
  <r>
    <x v="0"/>
    <s v="383BSP0310"/>
    <n v="0"/>
    <x v="345"/>
    <s v="0310"/>
    <n v="-45.606507869842197"/>
    <n v="-22.7486873300562"/>
    <n v="-45.623966620063399"/>
    <n v="-22.8318275200239"/>
    <s v="383"/>
    <s v="SP"/>
    <s v="Eixo Principal"/>
    <s v="-"/>
    <s v="383BSP0310"/>
    <s v="ENTR SP-123(A)/183 (CAMPOS DO JORDÃO)"/>
    <s v="ENTR SP-046"/>
    <n v="22.8"/>
    <n v="34.799999999999997"/>
    <n v="12"/>
    <x v="2"/>
    <m/>
    <m/>
    <s v="Convênio de Administração"/>
    <m/>
    <m/>
    <m/>
    <s v="Federal"/>
    <s v="PAV"/>
    <s v="Taubaté"/>
  </r>
  <r>
    <x v="0"/>
    <s v="383BSP0313"/>
    <n v="0"/>
    <x v="345"/>
    <s v="0313"/>
    <n v="-45.623966620063399"/>
    <n v="-22.8318275200239"/>
    <n v="-45.596392799987697"/>
    <n v="-22.866966459634298"/>
    <s v="383"/>
    <s v="SP"/>
    <s v="Eixo Principal"/>
    <s v="-"/>
    <s v="383BSP0313"/>
    <s v="ENTR SP-046"/>
    <s v="ENTR SP-132(A)"/>
    <n v="34.799999999999997"/>
    <n v="43.6"/>
    <n v="8.8000000000000007"/>
    <x v="2"/>
    <m/>
    <m/>
    <s v="Convênio de Administração"/>
    <m/>
    <m/>
    <m/>
    <s v="Federal"/>
    <s v="PAV"/>
    <s v="Taubaté"/>
  </r>
  <r>
    <x v="0"/>
    <s v="383BSP0315"/>
    <n v="0"/>
    <x v="345"/>
    <s v="0315"/>
    <n v="-45.596392799987697"/>
    <n v="-22.866966459634298"/>
    <n v="-45.470967720383896"/>
    <n v="-22.922096670025201"/>
    <s v="383"/>
    <s v="SP"/>
    <s v="Eixo Principal"/>
    <s v="-"/>
    <s v="383BSP0315"/>
    <s v="ENTR SP-123"/>
    <s v="RUA CONSELHEIRO RODRIGUES ALVES (PINDAMONHANGABA)"/>
    <n v="43.6"/>
    <n v="60.1"/>
    <n v="16.5"/>
    <x v="1"/>
    <m/>
    <m/>
    <s v="Estadual"/>
    <m/>
    <s v="SP-132"/>
    <s v="PAV"/>
    <s v="Estadual"/>
    <s v="PLA"/>
    <s v="Taubaté"/>
  </r>
  <r>
    <x v="0"/>
    <s v="383BSP0330"/>
    <n v="0"/>
    <x v="345"/>
    <s v="0330"/>
    <n v="-45.470967720383896"/>
    <n v="-22.922096670025201"/>
    <n v="-45.463525649688897"/>
    <n v="-22.981962179710699"/>
    <s v="383"/>
    <s v="SP"/>
    <s v="Eixo Principal"/>
    <s v="-"/>
    <s v="383BSP0330"/>
    <s v="RUA CONSELHEIRO RODRIGUES ALVES (PINDAMONHANGABA)"/>
    <s v="ENTR BR-116(A)/SP-123(B)"/>
    <n v="60.1"/>
    <n v="76.3"/>
    <n v="16.2"/>
    <x v="1"/>
    <m/>
    <m/>
    <s v="Estadual"/>
    <m/>
    <s v="SP-123"/>
    <s v="PAV"/>
    <s v="Estadual"/>
    <s v="PLA"/>
    <s v="Taubaté"/>
  </r>
  <r>
    <x v="0"/>
    <s v="383BSP0350"/>
    <n v="0"/>
    <x v="345"/>
    <s v="0350"/>
    <n v="-45.463525649688897"/>
    <n v="-22.981962179710699"/>
    <n v="-45.5573675399799"/>
    <n v="-23.037180320415398"/>
    <s v="383"/>
    <s v="SP"/>
    <s v="Eixo Principal"/>
    <s v="Coinc"/>
    <s v="383BSP0350"/>
    <s v="ENTR BR-116(A)/SP-123(B)"/>
    <s v="ENTR BR-116(B) (TAUBATÉ)"/>
    <n v="76.3"/>
    <n v="88"/>
    <n v="11.7"/>
    <x v="0"/>
    <m/>
    <s v="116BSP2370"/>
    <s v="Concessão Federal"/>
    <m/>
    <m/>
    <m/>
    <s v="Federal"/>
    <s v="PAV"/>
    <s v="Taubaté"/>
  </r>
  <r>
    <x v="0"/>
    <s v="383BSP0370"/>
    <n v="0"/>
    <x v="345"/>
    <s v="0370"/>
    <n v="-45.5573675399799"/>
    <n v="-23.037180320415398"/>
    <n v="-45.464981410163801"/>
    <n v="-23.185572710012501"/>
    <s v="383"/>
    <s v="SP"/>
    <s v="Eixo Principal"/>
    <s v="-"/>
    <s v="383BSP0370"/>
    <s v="ENTR BR-116(B) (TAUBATÉ)"/>
    <s v="ENTR SP-121"/>
    <n v="88"/>
    <n v="113"/>
    <n v="25"/>
    <x v="1"/>
    <m/>
    <m/>
    <s v="Estadual"/>
    <m/>
    <s v="SP-125"/>
    <s v="PAV"/>
    <s v="Estadual"/>
    <s v="PLA"/>
    <s v="Taubaté"/>
  </r>
  <r>
    <x v="0"/>
    <s v="383BSP0390"/>
    <n v="0"/>
    <x v="345"/>
    <s v="0390"/>
    <n v="-45.464981410163801"/>
    <n v="-23.185572710012501"/>
    <n v="-45.3157134001532"/>
    <n v="-23.2256895698177"/>
    <s v="383"/>
    <s v="SP"/>
    <s v="Eixo Principal"/>
    <s v="-"/>
    <s v="383BSP0390"/>
    <s v="ENTR SP-121"/>
    <s v="ENTR SP-153 (SÃO LUÍS DO PARAITINGA)"/>
    <n v="113"/>
    <n v="131"/>
    <n v="18"/>
    <x v="1"/>
    <m/>
    <m/>
    <s v="Estadual"/>
    <m/>
    <s v="SP-125"/>
    <s v="PAV"/>
    <s v="Estadual"/>
    <s v="PLA"/>
    <s v="Taubaté"/>
  </r>
  <r>
    <x v="0"/>
    <s v="383BSP0410"/>
    <n v="0"/>
    <x v="345"/>
    <s v="0410"/>
    <n v="-45.3157134001532"/>
    <n v="-23.2256895698177"/>
    <n v="-45.087734860375399"/>
    <n v="-23.435605030247899"/>
    <s v="383"/>
    <s v="SP"/>
    <s v="Eixo Principal"/>
    <s v="-"/>
    <s v="383BSP0410"/>
    <s v="ENTR SP-153 (SÃO LUÍS DO PARAITINGA)"/>
    <s v="FIM DA JURISDIÇÃO ESTADUAL (UBATUBA)"/>
    <n v="131"/>
    <n v="177.5"/>
    <n v="46.5"/>
    <x v="1"/>
    <m/>
    <m/>
    <s v="Estadual"/>
    <m/>
    <s v="SP-125"/>
    <s v="PAV"/>
    <s v="Estadual"/>
    <s v="PLA"/>
    <s v="Taubaté"/>
  </r>
  <r>
    <x v="0"/>
    <s v="383BSP0420"/>
    <n v="0"/>
    <x v="345"/>
    <s v="0420"/>
    <n v="-45.087734860375399"/>
    <n v="-23.435605030247899"/>
    <n v="-45.085249490371602"/>
    <n v="-23.433505619588601"/>
    <s v="383"/>
    <s v="SP"/>
    <s v="Eixo Principal"/>
    <s v="-"/>
    <s v="383BSP0420"/>
    <s v="FIM DA JURISDIÇÃO ESTADUAL (UBATUBA)"/>
    <s v="ENTR BR-101 (UBATUBA)"/>
    <n v="177.5"/>
    <n v="178"/>
    <n v="0.5"/>
    <x v="1"/>
    <m/>
    <m/>
    <s v="Estadual"/>
    <m/>
    <s v="SP-125"/>
    <s v="PAV"/>
    <s v="Estadual"/>
    <s v="PLA"/>
    <s v="Taubaté"/>
  </r>
  <r>
    <x v="0"/>
    <s v="386BRS0070"/>
    <n v="0"/>
    <x v="346"/>
    <s v="0070"/>
    <n v="-53.225135040049999"/>
    <n v="-27.1690188496401"/>
    <n v="-53.231978989638598"/>
    <n v="-27.175625760420399"/>
    <s v="386"/>
    <s v="RS"/>
    <s v="Eixo Principal"/>
    <s v="Coinc"/>
    <s v="386BRS0070"/>
    <s v="ENTR BR-386(A) (DIV SC/RS)(INÍCIO PONTE S/RIO URUGUAI)"/>
    <s v="FIM PONTE S/RIO URUGUAI"/>
    <n v="0"/>
    <n v="1"/>
    <n v="1"/>
    <x v="2"/>
    <m/>
    <s v="158BRS1110"/>
    <s v="Federal"/>
    <m/>
    <m/>
    <m/>
    <s v="Federal"/>
    <s v="PAV"/>
    <s v="Cruz Alta"/>
  </r>
  <r>
    <x v="0"/>
    <s v="386BRS0080"/>
    <n v="0"/>
    <x v="346"/>
    <s v="0080"/>
    <n v="-53.231978989638598"/>
    <n v="-27.175625760420399"/>
    <n v="-53.244024060362001"/>
    <n v="-27.181557980016599"/>
    <s v="386"/>
    <s v="RS"/>
    <s v="Eixo Principal"/>
    <s v="Coinc"/>
    <s v="386BRS0080"/>
    <s v="FIM PONTE S/RIO URUGUAI"/>
    <s v="ENTR RS-324 (P/PLANALTO)"/>
    <n v="1"/>
    <n v="2.6"/>
    <n v="1.6"/>
    <x v="2"/>
    <m/>
    <s v="158BRS1115"/>
    <s v="Federal"/>
    <m/>
    <m/>
    <m/>
    <s v="Federal"/>
    <s v="PAV"/>
    <s v="Cruz Alta"/>
  </r>
  <r>
    <x v="0"/>
    <s v="386BRS0090"/>
    <n v="0"/>
    <x v="346"/>
    <s v="0090"/>
    <n v="-53.244024060362001"/>
    <n v="-27.181557980016599"/>
    <n v="-53.264671540359203"/>
    <n v="-27.189712279597899"/>
    <s v="386"/>
    <s v="RS"/>
    <s v="Eixo Principal"/>
    <s v="Coinc"/>
    <s v="386BRS0090"/>
    <s v="ENTR RS-324 (P/PLANALTO)"/>
    <s v="ACESSO A IRAÍ"/>
    <n v="2.6"/>
    <n v="4.9000000000000004"/>
    <n v="2.2999999999999998"/>
    <x v="2"/>
    <m/>
    <s v="158BRS1120"/>
    <s v="Federal"/>
    <m/>
    <m/>
    <m/>
    <s v="Federal"/>
    <s v="PAV"/>
    <s v="Cruz Alta"/>
  </r>
  <r>
    <x v="0"/>
    <s v="386BRS0095"/>
    <n v="0"/>
    <x v="346"/>
    <s v="0095"/>
    <n v="-53.264671540359203"/>
    <n v="-27.189712279597899"/>
    <n v="-53.388738419742197"/>
    <n v="-27.343524820214199"/>
    <s v="386"/>
    <s v="RS"/>
    <s v="Eixo Principal"/>
    <s v="Coinc"/>
    <s v="386BRS0095"/>
    <s v="ACESSO A IRAÍ"/>
    <s v="ENTR RS-150 (P/CAIÇARA)"/>
    <n v="4.9000000000000004"/>
    <n v="32.1"/>
    <n v="27.2"/>
    <x v="2"/>
    <m/>
    <s v="158BRS1130"/>
    <s v="Federal"/>
    <m/>
    <m/>
    <m/>
    <s v="Federal"/>
    <s v="PAV"/>
    <s v="Cruz Alta"/>
  </r>
  <r>
    <x v="0"/>
    <s v="386BRS0100"/>
    <n v="0"/>
    <x v="346"/>
    <s v="0100"/>
    <n v="-53.388738419742197"/>
    <n v="-27.343524820214199"/>
    <n v="-53.393733060132597"/>
    <n v="-27.3643840896539"/>
    <s v="386"/>
    <s v="RS"/>
    <s v="Eixo Principal"/>
    <s v="Coinc"/>
    <s v="386BRS0100"/>
    <s v="ENTR RS-150 (P/CAIÇARA)"/>
    <s v="ENTR RS-591 (FREDERICO WESTPHALEN)"/>
    <n v="32.1"/>
    <n v="34.700000000000003"/>
    <n v="2.6"/>
    <x v="2"/>
    <m/>
    <s v="158BRS1140"/>
    <s v="Federal"/>
    <m/>
    <m/>
    <m/>
    <s v="Federal"/>
    <s v="PAV"/>
    <s v="Cruz Alta"/>
  </r>
  <r>
    <x v="0"/>
    <s v="386BRS0105"/>
    <n v="0"/>
    <x v="346"/>
    <s v="0105"/>
    <n v="-53.393733060132597"/>
    <n v="-27.3643840896539"/>
    <n v="-53.421561319998801"/>
    <n v="-27.4224668399726"/>
    <s v="386"/>
    <s v="RS"/>
    <s v="Eixo Principal"/>
    <s v="Coinc"/>
    <s v="386BRS0105"/>
    <s v="ENTR RS-591 (FREDERICO WESTPHALEN)"/>
    <s v="ENTR BR-472 (P/PALMITINHO)"/>
    <n v="34.700000000000003"/>
    <n v="42.2"/>
    <n v="7.5"/>
    <x v="2"/>
    <m/>
    <s v="158BRS1145"/>
    <s v="Federal"/>
    <m/>
    <m/>
    <m/>
    <s v="Federal"/>
    <s v="PAV"/>
    <s v="Cruz Alta"/>
  </r>
  <r>
    <x v="0"/>
    <s v="386BRS0110"/>
    <n v="0"/>
    <x v="346"/>
    <s v="0110"/>
    <n v="-53.421561319998801"/>
    <n v="-27.4224668399726"/>
    <n v="-53.389655429654297"/>
    <n v="-27.498176889651599"/>
    <s v="386"/>
    <s v="RS"/>
    <s v="Eixo Principal"/>
    <s v="Coinc"/>
    <s v="386BRS0110"/>
    <s v="ENTR BR-472 (P/PALMITINHO)"/>
    <s v="ENTR RS-585/587 (SEBERI)"/>
    <n v="42.2"/>
    <n v="51.5"/>
    <n v="9.3000000000000007"/>
    <x v="2"/>
    <m/>
    <s v="158BRS1150"/>
    <s v="Federal"/>
    <m/>
    <m/>
    <m/>
    <s v="Federal"/>
    <s v="PAV"/>
    <s v="Cruz Alta"/>
  </r>
  <r>
    <x v="0"/>
    <s v="386BRS0120"/>
    <n v="0"/>
    <x v="346"/>
    <s v="0120"/>
    <n v="-53.389655429654297"/>
    <n v="-27.498176889651599"/>
    <n v="-53.314297210048103"/>
    <n v="-27.6622255101991"/>
    <s v="386"/>
    <s v="RS"/>
    <s v="Eixo Principal"/>
    <s v="Coinc"/>
    <s v="386BRS0120"/>
    <s v="ENTR RS-585/587 (SEBERI)"/>
    <s v="ENTR RS-323 (P/JABOTICABA)"/>
    <n v="51.5"/>
    <n v="71.900000000000006"/>
    <n v="20.399999999999999"/>
    <x v="2"/>
    <m/>
    <s v="158BRS1160"/>
    <s v="Federal"/>
    <m/>
    <m/>
    <m/>
    <s v="Federal"/>
    <s v="PAV"/>
    <s v="Cruz Alta"/>
  </r>
  <r>
    <x v="0"/>
    <s v="386BRS0125"/>
    <n v="0"/>
    <x v="346"/>
    <s v="0125"/>
    <n v="-53.314297210048103"/>
    <n v="-27.6622255101991"/>
    <n v="-53.307977540031402"/>
    <n v="-27.685851030400599"/>
    <s v="386"/>
    <s v="RS"/>
    <s v="Eixo Principal"/>
    <s v="Coinc"/>
    <s v="386BRS0125"/>
    <s v="ENTR RS-323 (P/JABOTICABA)"/>
    <s v="ENTR BR-158(B)"/>
    <n v="71.900000000000006"/>
    <n v="74.900000000000006"/>
    <n v="3"/>
    <x v="2"/>
    <m/>
    <s v="158BRS1165"/>
    <s v="Federal"/>
    <m/>
    <m/>
    <m/>
    <s v="Federal"/>
    <s v="PAV"/>
    <s v="Cruz Alta"/>
  </r>
  <r>
    <x v="0"/>
    <s v="386BRS0130"/>
    <n v="0"/>
    <x v="346"/>
    <s v="0130"/>
    <n v="-53.307977540031402"/>
    <n v="-27.685851030400599"/>
    <n v="-53.0406187499552"/>
    <n v="-27.814801269862599"/>
    <s v="386"/>
    <s v="RS"/>
    <s v="Eixo Principal"/>
    <s v="-"/>
    <s v="386BRS0130"/>
    <s v="ENTR BR-158(B)"/>
    <s v="ENTR RS-500"/>
    <n v="74.900000000000006"/>
    <n v="113.2"/>
    <n v="38.299999999999997"/>
    <x v="2"/>
    <m/>
    <m/>
    <s v="Federal"/>
    <m/>
    <m/>
    <m/>
    <s v="Federal"/>
    <s v="PAV"/>
    <s v="Passo Fundo"/>
  </r>
  <r>
    <x v="0"/>
    <s v="386BRS0140"/>
    <n v="0"/>
    <x v="346"/>
    <s v="0140"/>
    <n v="-53.0406187499552"/>
    <n v="-27.814801269862599"/>
    <n v="-52.964470170162201"/>
    <n v="-27.928234329750399"/>
    <s v="386"/>
    <s v="RS"/>
    <s v="Eixo Principal"/>
    <s v="-"/>
    <s v="386BRS0140"/>
    <s v="ENTR RS-500"/>
    <s v="ENTR RS-569"/>
    <n v="113.2"/>
    <n v="129.30000000000001"/>
    <n v="16.100000000000001"/>
    <x v="2"/>
    <m/>
    <m/>
    <s v="Federal"/>
    <m/>
    <m/>
    <m/>
    <s v="Federal"/>
    <s v="PAV"/>
    <s v="Passo Fundo"/>
  </r>
  <r>
    <x v="0"/>
    <s v="386BRS0150"/>
    <n v="0"/>
    <x v="346"/>
    <s v="0150"/>
    <n v="-52.964470170162201"/>
    <n v="-27.928234329750399"/>
    <n v="-52.9161812896347"/>
    <n v="-27.953758110148598"/>
    <s v="386"/>
    <s v="RS"/>
    <s v="Eixo Principal"/>
    <s v="-"/>
    <s v="386BRS0150"/>
    <s v="ENTR RS-569"/>
    <s v="ENTR RS-404 (SARANDI)"/>
    <n v="129.30000000000001"/>
    <n v="135.30000000000001"/>
    <n v="6"/>
    <x v="2"/>
    <m/>
    <m/>
    <s v="Federal"/>
    <m/>
    <m/>
    <m/>
    <s v="Federal"/>
    <s v="PAV"/>
    <s v="Passo Fundo"/>
  </r>
  <r>
    <x v="0"/>
    <s v="386BRS0155"/>
    <n v="0"/>
    <x v="346"/>
    <s v="0155"/>
    <n v="-52.9161812896347"/>
    <n v="-27.953758110148598"/>
    <n v="-52.7709427702925"/>
    <n v="-28.274448769594901"/>
    <s v="386"/>
    <s v="RS"/>
    <s v="Eixo Principal"/>
    <s v="-"/>
    <s v="386BRS0155"/>
    <s v="ENTR RS-404 (SARANDI)"/>
    <s v="ENTR BR-377(A)/AV. FLORES DA CUNHA (CARAZINHO)"/>
    <n v="135.30000000000001"/>
    <n v="176"/>
    <n v="40.700000000000003"/>
    <x v="2"/>
    <m/>
    <m/>
    <s v="Federal"/>
    <m/>
    <m/>
    <m/>
    <s v="Federal"/>
    <s v="PAV"/>
    <s v="Passo Fundo"/>
  </r>
  <r>
    <x v="0"/>
    <s v="386BRS0170"/>
    <n v="0"/>
    <x v="346"/>
    <s v="0170"/>
    <n v="-52.7709427702925"/>
    <n v="-28.274448769594901"/>
    <n v="-52.743477379677302"/>
    <n v="-28.301696109687601"/>
    <s v="386"/>
    <s v="RS"/>
    <s v="Eixo Principal"/>
    <s v="Coinc"/>
    <s v="386BRS0170"/>
    <s v="ENTR BR-377(A)/AV. FLORES DA CUNHA (CARAZINHO)"/>
    <s v="ENTR BR-285/377(B) (P/PASSO FUNDO)"/>
    <n v="176"/>
    <n v="180.2"/>
    <n v="4.2"/>
    <x v="2"/>
    <m/>
    <s v="377BRS0010"/>
    <s v="Federal"/>
    <m/>
    <m/>
    <m/>
    <s v="Federal"/>
    <s v="PAV"/>
    <s v="Passo Fundo"/>
  </r>
  <r>
    <x v="0"/>
    <s v="386BRS0190"/>
    <n v="0"/>
    <x v="346"/>
    <s v="0190"/>
    <n v="-52.743477379677302"/>
    <n v="-28.301696109687601"/>
    <n v="-52.595287350131002"/>
    <n v="-28.574985530257901"/>
    <s v="386"/>
    <s v="RS"/>
    <s v="Eixo Principal"/>
    <s v="-"/>
    <s v="386BRS0190"/>
    <s v="ENTR BR-285/377(B) (P/PASSO FUNDO)"/>
    <s v="ENTR BR-153(A)/RS-223 (P/TAPERA)"/>
    <n v="180.2"/>
    <n v="214.8"/>
    <n v="34.6"/>
    <x v="2"/>
    <m/>
    <m/>
    <s v="Concessão Federal"/>
    <m/>
    <m/>
    <m/>
    <s v="Federal"/>
    <s v="PAV"/>
    <s v="Passo Fundo"/>
  </r>
  <r>
    <x v="0"/>
    <s v="386BRS0210"/>
    <n v="0"/>
    <x v="346"/>
    <s v="0210"/>
    <n v="-52.595287350131002"/>
    <n v="-28.574985530257901"/>
    <n v="-52.507555319822103"/>
    <n v="-28.803825740165699"/>
    <s v="386"/>
    <s v="RS"/>
    <s v="Eixo Principal"/>
    <s v="Coinc"/>
    <s v="386BRS0210"/>
    <s v="ENTR BR-153(A)/RS-223 (P/TAPERA)"/>
    <s v="ACESSO NORTE DE SOLEDADE"/>
    <n v="214.8"/>
    <n v="245.3"/>
    <n v="30.5"/>
    <x v="2"/>
    <m/>
    <s v="153BRS1710"/>
    <s v="Concessão Federal"/>
    <m/>
    <m/>
    <m/>
    <s v="Federal"/>
    <s v="PAV"/>
    <s v="Passo Fundo"/>
  </r>
  <r>
    <x v="0"/>
    <s v="386BRS0220"/>
    <n v="0"/>
    <x v="346"/>
    <s v="0220"/>
    <n v="-52.507555319822103"/>
    <n v="-28.803825740165699"/>
    <n v="-52.476098669617798"/>
    <n v="-28.822922160329298"/>
    <s v="386"/>
    <s v="RS"/>
    <s v="Eixo Principal"/>
    <s v="Coinc"/>
    <s v="386BRS0220"/>
    <s v="ACESSO NORTE DE SOLEDADE"/>
    <s v="ENTR BR-153(B)/RS-332(A)"/>
    <n v="245.3"/>
    <n v="249"/>
    <n v="3.7"/>
    <x v="2"/>
    <m/>
    <s v="153BRS1720"/>
    <s v="Concessão Federal"/>
    <m/>
    <m/>
    <m/>
    <s v="Federal"/>
    <s v="PAV"/>
    <s v="Passo Fundo"/>
  </r>
  <r>
    <x v="0"/>
    <s v="386BRS0230"/>
    <n v="0"/>
    <x v="346"/>
    <s v="0230"/>
    <n v="-52.476098669617798"/>
    <n v="-28.822922160329298"/>
    <n v="-52.456497940227699"/>
    <n v="-28.832505929604899"/>
    <s v="386"/>
    <s v="RS"/>
    <s v="Eixo Principal"/>
    <s v="-"/>
    <s v="386BRS0230"/>
    <s v="ENTR BR-153(B)/RS-332(A)"/>
    <s v="ENTR RS-332(B) (P/ARVOREZINHA)"/>
    <n v="249"/>
    <n v="251.6"/>
    <n v="2.6"/>
    <x v="2"/>
    <m/>
    <m/>
    <s v="Concessão Federal"/>
    <m/>
    <m/>
    <m/>
    <s v="Federal"/>
    <s v="PAV"/>
    <s v="Passo Fundo"/>
  </r>
  <r>
    <x v="0"/>
    <s v="386BRS0235"/>
    <n v="0"/>
    <x v="346"/>
    <s v="0235"/>
    <n v="-52.456497940227699"/>
    <n v="-28.832505929604899"/>
    <n v="-52.367181120112498"/>
    <n v="-28.980488339864898"/>
    <s v="386"/>
    <s v="RS"/>
    <s v="Eixo Principal"/>
    <s v="-"/>
    <s v="386BRS0235"/>
    <s v="ENTR RS-332(B) (P/ARVOREZINHA)"/>
    <s v="ACESSO P/FONTOURA XAVIER"/>
    <n v="251.6"/>
    <n v="270.89999999999998"/>
    <n v="19.3"/>
    <x v="2"/>
    <m/>
    <m/>
    <s v="Concessão Federal"/>
    <m/>
    <m/>
    <m/>
    <s v="Federal"/>
    <s v="PAV"/>
    <s v="Passo Fundo"/>
  </r>
  <r>
    <x v="0"/>
    <s v="386BRS0238"/>
    <n v="0"/>
    <x v="346"/>
    <s v="0238"/>
    <n v="-52.367181120112498"/>
    <n v="-28.980488339864898"/>
    <n v="-52.156563340425798"/>
    <n v="-29.259049290392301"/>
    <s v="386"/>
    <s v="RS"/>
    <s v="Eixo Principal"/>
    <s v="-"/>
    <s v="386BRS0238"/>
    <s v="ACESSO P/FONTOURA XAVIER"/>
    <s v="ENTR RS-423 (P/PROGRESSO)"/>
    <n v="270.89999999999998"/>
    <n v="315.8"/>
    <n v="44.9"/>
    <x v="2"/>
    <m/>
    <m/>
    <s v="Concessão Federal"/>
    <m/>
    <m/>
    <m/>
    <s v="Federal"/>
    <s v="PAV"/>
    <s v="Passo Fundo"/>
  </r>
  <r>
    <x v="0"/>
    <s v="386BRS0242"/>
    <n v="0"/>
    <x v="346"/>
    <s v="0242"/>
    <n v="-52.156563340425798"/>
    <n v="-29.259049290392301"/>
    <n v="-52.101994780035"/>
    <n v="-29.3252677396144"/>
    <s v="386"/>
    <s v="RS"/>
    <s v="Eixo Principal"/>
    <s v="-"/>
    <s v="386BRS0242"/>
    <s v="ENTR RS-423 (P/PROGRESSO)"/>
    <s v="ENTR R. BRASIL (MARQUÊS DE SOUZA)"/>
    <n v="315.8"/>
    <n v="325.8"/>
    <n v="10"/>
    <x v="2"/>
    <m/>
    <m/>
    <s v="Concessão Federal"/>
    <m/>
    <m/>
    <m/>
    <s v="Federal"/>
    <s v="PAV"/>
    <s v="Passo Fundo"/>
  </r>
  <r>
    <x v="0"/>
    <s v="386BRS0244"/>
    <n v="0"/>
    <x v="346"/>
    <s v="0244"/>
    <n v="-52.101994780035"/>
    <n v="-29.3252677396144"/>
    <n v="-52.007455819830099"/>
    <n v="-29.433800630194799"/>
    <s v="386"/>
    <s v="RS"/>
    <s v="Eixo Principal"/>
    <s v="-"/>
    <s v="386BRS0244"/>
    <s v="ENTR R. BRASIL (MARQUÊS DE SOUZA)"/>
    <s v="ENTR RS-421 (P/FORQUETINHA)"/>
    <n v="325.8"/>
    <n v="342.5"/>
    <n v="16.7"/>
    <x v="2"/>
    <m/>
    <m/>
    <s v="Concessão Federal"/>
    <m/>
    <m/>
    <m/>
    <s v="Federal"/>
    <s v="PAV"/>
    <s v="Passo Fundo"/>
  </r>
  <r>
    <x v="0"/>
    <s v="386BRS0247"/>
    <n v="0"/>
    <x v="346"/>
    <s v="0247"/>
    <n v="-52.007455819830099"/>
    <n v="-29.433800630194799"/>
    <n v="-51.9736608702529"/>
    <n v="-29.447253299999701"/>
    <s v="386"/>
    <s v="RS"/>
    <s v="Eixo Principal"/>
    <s v="-"/>
    <s v="386BRS0247"/>
    <s v="ENTR RS-421 (P/FORQUETINHA)"/>
    <s v="ENTR BR-453(A)/RS-130 (P/LAJEADO)"/>
    <n v="342.5"/>
    <n v="346.1"/>
    <n v="3.6"/>
    <x v="2"/>
    <m/>
    <m/>
    <s v="Concessão Federal"/>
    <m/>
    <m/>
    <m/>
    <s v="Federal"/>
    <s v="PAV"/>
    <s v="Passo Fundo"/>
  </r>
  <r>
    <x v="0"/>
    <s v="386BRS0250"/>
    <n v="0"/>
    <x v="346"/>
    <s v="0250"/>
    <n v="-51.9736608702529"/>
    <n v="-29.447253299999701"/>
    <n v="-51.954721999620503"/>
    <n v="-29.4849159701958"/>
    <s v="386"/>
    <s v="RS"/>
    <s v="Eixo Principal"/>
    <s v="-"/>
    <s v="386BRS0250"/>
    <s v="ENTR BR-453(A)/RS-130 (P/LAJEADO)"/>
    <s v="ENTR BR-453(B)/RS-129 (ESTRELA)"/>
    <n v="346.1"/>
    <n v="351.2"/>
    <n v="5.0999999999999996"/>
    <x v="1"/>
    <m/>
    <s v="453BRS0070"/>
    <s v="Estadual; Convênio de Administração"/>
    <m/>
    <s v="ERS-129"/>
    <s v="DUP"/>
    <s v="Estadual"/>
    <s v="PLA"/>
    <s v="Passo Fundo"/>
  </r>
  <r>
    <x v="0"/>
    <s v="386BRS0260"/>
    <n v="0"/>
    <x v="346"/>
    <s v="0260"/>
    <n v="-51.954721999620503"/>
    <n v="-29.4849159701958"/>
    <n v="-51.889981280411703"/>
    <n v="-29.557866579678802"/>
    <s v="386"/>
    <s v="RS"/>
    <s v="Eixo Principal"/>
    <s v="-"/>
    <s v="386BRS0260"/>
    <s v="ENTR BR-453(B)/RS-129 (ESTRELA)"/>
    <s v="ENTR RS-128(A) (P/ BOM RETIRO DO SUL)"/>
    <n v="351.2"/>
    <n v="362"/>
    <n v="10.8"/>
    <x v="2"/>
    <s v="EOD"/>
    <m/>
    <s v="Concessão Federal"/>
    <m/>
    <m/>
    <m/>
    <s v="Federal"/>
    <s v="PAV"/>
    <s v="Passo Fundo"/>
  </r>
  <r>
    <x v="0"/>
    <s v="386BRS0263"/>
    <n v="0"/>
    <x v="346"/>
    <s v="0263"/>
    <n v="-51.889981280411703"/>
    <n v="-29.557866579678802"/>
    <n v="-51.840775759593598"/>
    <n v="-29.5809635503275"/>
    <s v="386"/>
    <s v="RS"/>
    <s v="Eixo Principal"/>
    <s v="-"/>
    <s v="386BRS0263"/>
    <s v="ENTR RS-128(A) (P/ BOM RETIRO DO SUL)"/>
    <s v="ENTR RS-128(B) (P/TEUTÔNIA)"/>
    <n v="362"/>
    <n v="367.6"/>
    <n v="5.6"/>
    <x v="0"/>
    <m/>
    <m/>
    <s v="Concessão Federal"/>
    <m/>
    <m/>
    <m/>
    <s v="Federal"/>
    <s v="PAV"/>
    <s v="Passo Fundo"/>
  </r>
  <r>
    <x v="0"/>
    <s v="386BRS0265"/>
    <n v="0"/>
    <x v="346"/>
    <s v="0265"/>
    <n v="-51.840775759593598"/>
    <n v="-29.5809635503275"/>
    <n v="-51.7121409501447"/>
    <n v="-29.690035570085399"/>
    <s v="386"/>
    <s v="RS"/>
    <s v="Eixo Principal"/>
    <s v="-"/>
    <s v="386BRS0265"/>
    <s v="ENTR RS-128(B) (P/TEUTÔNIA)"/>
    <s v="ENTR BR-287(A) (TABAÍ)"/>
    <n v="367.6"/>
    <n v="386"/>
    <n v="18.399999999999999"/>
    <x v="0"/>
    <m/>
    <m/>
    <s v="Concessão Federal"/>
    <m/>
    <m/>
    <m/>
    <s v="Federal"/>
    <s v="PAV"/>
    <s v="Passo Fundo"/>
  </r>
  <r>
    <x v="0"/>
    <s v="386BRS0271"/>
    <n v="0"/>
    <x v="346"/>
    <s v="0271"/>
    <n v="-51.7121409501447"/>
    <n v="-29.690035570085399"/>
    <n v="-51.652029209680201"/>
    <n v="-29.706216139962802"/>
    <s v="386"/>
    <s v="RS"/>
    <s v="Eixo Principal"/>
    <s v="Coinc"/>
    <s v="386BRS0271"/>
    <s v="ENTR BR-287(A) (TABAÍ)"/>
    <s v="ENTR BR-287(B)"/>
    <n v="386"/>
    <n v="392.3"/>
    <n v="6.3"/>
    <x v="1"/>
    <m/>
    <s v="287BRS0030"/>
    <s v="Estadual; Convênio de Administração"/>
    <m/>
    <s v="RSC-287"/>
    <s v="DUP"/>
    <s v="Estadual"/>
    <s v="PLA"/>
    <s v="Passo Fundo"/>
  </r>
  <r>
    <x v="0"/>
    <s v="386BRS0290"/>
    <n v="0"/>
    <x v="346"/>
    <s v="0290"/>
    <n v="-51.652029209680201"/>
    <n v="-29.706216139962802"/>
    <n v="-51.593022969834102"/>
    <n v="-29.7585741901467"/>
    <s v="386"/>
    <s v="RS"/>
    <s v="Eixo Principal"/>
    <s v="-"/>
    <s v="386BRS0290"/>
    <s v="ENTR BR-287(B)"/>
    <s v="ENTR BR-470"/>
    <n v="392.3"/>
    <n v="401.2"/>
    <n v="8.9"/>
    <x v="0"/>
    <m/>
    <m/>
    <s v="Concessão Federal"/>
    <m/>
    <m/>
    <m/>
    <s v="Federal"/>
    <s v="PAV"/>
    <s v="São Leopoldo"/>
  </r>
  <r>
    <x v="0"/>
    <s v="386BRS0330"/>
    <n v="0"/>
    <x v="346"/>
    <s v="0330"/>
    <n v="-51.593022969834102"/>
    <n v="-29.7585741901467"/>
    <n v="-51.236101299735097"/>
    <n v="-29.881733089710199"/>
    <s v="386"/>
    <s v="RS"/>
    <s v="Eixo Principal"/>
    <s v="-"/>
    <s v="386BRS0330"/>
    <s v="ENTR BR-470"/>
    <s v="ENTR BR-116(CONTORNO)/448 (CANOAS)"/>
    <n v="401.2"/>
    <n v="440.7"/>
    <n v="39.5"/>
    <x v="0"/>
    <m/>
    <m/>
    <s v="Concessão Federal"/>
    <m/>
    <m/>
    <m/>
    <s v="Federal"/>
    <s v="PAV"/>
    <s v="São Leopoldo"/>
  </r>
  <r>
    <x v="0"/>
    <s v="386BRS0362"/>
    <n v="0"/>
    <x v="346"/>
    <s v="0362"/>
    <n v="-51.236101299735097"/>
    <n v="-29.881733089710199"/>
    <n v="-51.181399799760896"/>
    <n v="-29.8932374997107"/>
    <s v="386"/>
    <s v="RS"/>
    <s v="Eixo Principal"/>
    <s v="-"/>
    <s v="386BRS0362"/>
    <s v="ENTR BR-116(CONTORNO)/448 (CANOAS)"/>
    <s v="FIM DA CONCESSÃO"/>
    <n v="440.7"/>
    <n v="446"/>
    <n v="5.3"/>
    <x v="0"/>
    <m/>
    <m/>
    <s v="Concessão Federal"/>
    <m/>
    <m/>
    <m/>
    <s v="Federal"/>
    <s v="PAV"/>
    <s v="São Leopoldo"/>
  </r>
  <r>
    <x v="0"/>
    <s v="386BRS0365"/>
    <n v="0"/>
    <x v="346"/>
    <s v="0365"/>
    <n v="-51.181399799760896"/>
    <n v="-29.8932374997107"/>
    <n v="-51.177018440348697"/>
    <n v="-29.8928772196079"/>
    <s v="386"/>
    <s v="RS"/>
    <s v="Eixo Principal"/>
    <s v="-"/>
    <s v="386BRS0365"/>
    <s v="FIM DA CONCESSÃO"/>
    <s v="ENTR BR-116 (CANOAS)"/>
    <n v="446"/>
    <n v="446.5"/>
    <n v="0.5"/>
    <x v="0"/>
    <m/>
    <m/>
    <s v="Federal"/>
    <m/>
    <m/>
    <m/>
    <s v="Federal"/>
    <s v="PAV"/>
    <s v="São Leopoldo"/>
  </r>
  <r>
    <x v="0"/>
    <s v="386BRS0370"/>
    <n v="0"/>
    <x v="346"/>
    <s v="0370"/>
    <n v="-51.177018440348697"/>
    <n v="-29.8928772196079"/>
    <n v="-51.176838709938401"/>
    <n v="-29.9719161098405"/>
    <s v="386"/>
    <s v="RS"/>
    <s v="Eixo Principal"/>
    <s v="Coinc"/>
    <s v="386BRS0370"/>
    <s v="ENTR BR-470/116(A) (CANOAS)"/>
    <s v="ENTR BR-116(B)/290 (PORTO ALEGRE)"/>
    <n v="446.5"/>
    <n v="455.3"/>
    <n v="8.8000000000000007"/>
    <x v="0"/>
    <m/>
    <s v="116BRS3230"/>
    <s v="Federal"/>
    <m/>
    <m/>
    <m/>
    <s v="Federal"/>
    <s v="PAV"/>
    <s v="São Leopoldo"/>
  </r>
  <r>
    <x v="0"/>
    <s v="386BSC0010"/>
    <n v="0"/>
    <x v="347"/>
    <s v="0010"/>
    <n v="-53.500767529997397"/>
    <n v="-26.7612013703468"/>
    <n v="-53.534514470166599"/>
    <n v="-26.989118370416399"/>
    <s v="386"/>
    <s v="SC"/>
    <s v="Eixo Principal"/>
    <s v="Coinc"/>
    <s v="386BSC0010"/>
    <s v="ENTR BR-163(A)/282 (P/SÃO MIGUEL DO OESTE)"/>
    <s v="ENTR R. SÃO JOSÉ (IPORÃ DO OESTE)"/>
    <n v="0"/>
    <n v="30.4"/>
    <n v="30.4"/>
    <x v="1"/>
    <m/>
    <s v="163BSC0024"/>
    <s v="Estadual"/>
    <m/>
    <s v="SCT-163"/>
    <s v="PAV"/>
    <s v="Estadual"/>
    <s v="PLA"/>
    <s v="Chapecó"/>
  </r>
  <r>
    <x v="0"/>
    <s v="386BSC0025"/>
    <n v="0"/>
    <x v="347"/>
    <s v="0025"/>
    <n v="-53.534514470166599"/>
    <n v="-26.989118370416399"/>
    <n v="-53.533480819983801"/>
    <n v="-27.009187929879001"/>
    <s v="386"/>
    <s v="SC"/>
    <s v="Eixo Principal"/>
    <s v="Coinc"/>
    <s v="386BSC0025"/>
    <s v="ENTR R. SÃO JOSÉ (IPORÃ DO OESTE)"/>
    <s v="ENTR BR-163(B)"/>
    <n v="30.4"/>
    <n v="32.799999999999997"/>
    <n v="2.4"/>
    <x v="1"/>
    <m/>
    <s v="163BSC0023"/>
    <s v="Estadual"/>
    <m/>
    <s v="SCT-163"/>
    <s v="PAV"/>
    <s v="Estadual"/>
    <s v="PLA"/>
    <s v="Chapecó"/>
  </r>
  <r>
    <x v="0"/>
    <s v="386BSC0030"/>
    <n v="0"/>
    <x v="347"/>
    <s v="0030"/>
    <n v="-53.533480819983801"/>
    <n v="-27.009187929879001"/>
    <n v="-53.395598309813998"/>
    <n v="-27.101674489685902"/>
    <s v="386"/>
    <s v="SC"/>
    <s v="Eixo Principal"/>
    <s v="-"/>
    <s v="386BSC0030"/>
    <s v="ENTR BR-163(B)"/>
    <s v="ENTR BR-283 (MONDAÍ)"/>
    <n v="32.799999999999997"/>
    <n v="54.4"/>
    <n v="21.6"/>
    <x v="1"/>
    <m/>
    <m/>
    <s v="Estadual"/>
    <m/>
    <s v="SCT-386"/>
    <s v="PAV"/>
    <s v="Estadual"/>
    <s v="PLA"/>
    <s v="Chapecó"/>
  </r>
  <r>
    <x v="0"/>
    <s v="386BSC0050"/>
    <n v="0"/>
    <x v="347"/>
    <s v="0050"/>
    <n v="-53.395598309813998"/>
    <n v="-27.101674489685902"/>
    <n v="-53.225135040049999"/>
    <n v="-27.1690188496401"/>
    <s v="386"/>
    <s v="SC"/>
    <s v="Eixo Principal"/>
    <s v="-"/>
    <s v="386BSC0050"/>
    <s v="ENTR BR-283 (MONDAÍ)"/>
    <s v="ENTR BR-158(A) (DIV SC/RS)"/>
    <n v="54.4"/>
    <n v="76"/>
    <n v="21.6"/>
    <x v="1"/>
    <m/>
    <m/>
    <s v="Federal"/>
    <m/>
    <m/>
    <m/>
    <s v="Federal"/>
    <s v="PLA"/>
    <s v="Chapecó"/>
  </r>
  <r>
    <x v="0"/>
    <s v="392ARS1005"/>
    <n v="0"/>
    <x v="348"/>
    <s v="1005"/>
    <n v="-52.1113340803035"/>
    <n v="-32.110503660215699"/>
    <n v="-52.101347279853002"/>
    <n v="-32.157454630126999"/>
    <s v="392"/>
    <s v="RS"/>
    <s v="Acesso"/>
    <s v="-"/>
    <s v="392ARS1005"/>
    <s v="ENTR BR-392 (KM 8)"/>
    <s v="MOLHES DA BARRA (ACES MOLHES DA BARRA)"/>
    <n v="0"/>
    <n v="5.4"/>
    <n v="5.4"/>
    <x v="2"/>
    <m/>
    <m/>
    <s v="Federal"/>
    <m/>
    <m/>
    <m/>
    <s v="Federal"/>
    <s v="PAV"/>
    <s v="Pelotas"/>
  </r>
  <r>
    <x v="0"/>
    <s v="392ARS2005"/>
    <n v="0"/>
    <x v="348"/>
    <s v="2005"/>
    <n v="-52.204748190076799"/>
    <n v="-32.087105590250701"/>
    <n v="-52.197321460017299"/>
    <n v="-32.080502530367397"/>
    <s v="392"/>
    <s v="RS"/>
    <s v="Acesso"/>
    <s v="-"/>
    <s v="392ARS2005"/>
    <s v="ENTR BR-392 (KM 20)"/>
    <s v="PERÍMETRO URBANO DE RIO GRANDE"/>
    <n v="0"/>
    <n v="1.5"/>
    <n v="1.5"/>
    <x v="1"/>
    <m/>
    <m/>
    <s v="Federal"/>
    <m/>
    <m/>
    <m/>
    <s v="Federal"/>
    <s v="PLA"/>
    <s v="Pelotas"/>
  </r>
  <r>
    <x v="0"/>
    <s v="392ARS3005"/>
    <n v="0"/>
    <x v="348"/>
    <s v="3005"/>
    <n v="-52.359581579925901"/>
    <n v="-31.7778190097394"/>
    <n v="-52.333435609865397"/>
    <n v="-31.781653420369"/>
    <s v="392"/>
    <s v="RS"/>
    <s v="Acesso"/>
    <s v="-"/>
    <s v="392ARS3005"/>
    <s v="ENTR BR-392"/>
    <s v="PORTO DE PELOTAS - ACESSO"/>
    <n v="0"/>
    <n v="3"/>
    <n v="3"/>
    <x v="1"/>
    <m/>
    <m/>
    <s v="Federal"/>
    <m/>
    <m/>
    <m/>
    <s v="Federal"/>
    <s v="PLA"/>
    <s v="Pelotas"/>
  </r>
  <r>
    <x v="0"/>
    <s v="392ARS4005"/>
    <n v="0"/>
    <x v="348"/>
    <s v="4005"/>
    <n v="-52.400481580160701"/>
    <n v="-31.756460999675301"/>
    <n v="-52.4026700003202"/>
    <n v="-31.760642310294301"/>
    <s v="392"/>
    <s v="RS"/>
    <s v="Acesso"/>
    <s v="-"/>
    <s v="392ARS4005"/>
    <s v="ENTR BR-392 (ENTR AV DUQUE DE CAXIAS - PELOTAS)"/>
    <s v="ARROIO FRAGATA"/>
    <n v="0"/>
    <n v="0.6"/>
    <n v="0.6"/>
    <x v="2"/>
    <m/>
    <m/>
    <s v="Federal"/>
    <m/>
    <m/>
    <m/>
    <s v="Federal"/>
    <s v="PAV"/>
    <s v="Pelotas"/>
  </r>
  <r>
    <x v="0"/>
    <s v="392ARS4010"/>
    <n v="0"/>
    <x v="348"/>
    <s v="4010"/>
    <n v="-52.4026700003202"/>
    <n v="-31.760642310294301"/>
    <n v="-52.418480629577303"/>
    <n v="-31.762746290408899"/>
    <s v="392"/>
    <s v="RS"/>
    <s v="Acesso"/>
    <s v="-"/>
    <s v="392ARS4010"/>
    <s v="ARROIO FRAGATA"/>
    <s v="ENTR AV ELISEU MACIEL/AV TRÊS DE MAIO"/>
    <n v="0.6"/>
    <n v="2.1"/>
    <n v="1.5"/>
    <x v="2"/>
    <m/>
    <m/>
    <s v="Federal"/>
    <m/>
    <m/>
    <m/>
    <s v="Federal"/>
    <s v="PAV"/>
    <s v="Pelotas"/>
  </r>
  <r>
    <x v="0"/>
    <s v="392ARS4015"/>
    <n v="0"/>
    <x v="348"/>
    <s v="4015"/>
    <n v="-52.418480629577303"/>
    <n v="-31.762746290408899"/>
    <n v="-52.408182169970999"/>
    <n v="-31.8001219599604"/>
    <s v="392"/>
    <s v="RS"/>
    <s v="Acesso"/>
    <s v="-"/>
    <s v="392ARS4015"/>
    <s v="ENTR AV ELISEU MACIEL/AV TRÊS DE MAIO"/>
    <s v="PORTAL UFPEL/ACESSO ECLUSA S GONÇALO"/>
    <n v="2.1"/>
    <n v="6.6"/>
    <n v="4.5"/>
    <x v="2"/>
    <m/>
    <m/>
    <s v="Federal"/>
    <m/>
    <m/>
    <m/>
    <s v="Federal"/>
    <s v="PAV"/>
    <s v="Pelotas"/>
  </r>
  <r>
    <x v="0"/>
    <s v="392ARS5005"/>
    <n v="0"/>
    <x v="348"/>
    <s v="5005"/>
    <n v="-53.136575469782002"/>
    <n v="-30.872488719878401"/>
    <n v="-53.1184420796382"/>
    <n v="-30.871241590427001"/>
    <s v="392"/>
    <s v="RS"/>
    <s v="Acesso"/>
    <s v="-"/>
    <s v="392ARS5005"/>
    <s v="ENTR BR-392 (KM 199,9)"/>
    <s v="ENTR R. MINAS DO CAMAQUÃ (SANTANA DA BOA VISTA)"/>
    <n v="0"/>
    <n v="1.8"/>
    <n v="1.8"/>
    <x v="2"/>
    <m/>
    <m/>
    <s v="Federal"/>
    <m/>
    <m/>
    <m/>
    <s v="Federal"/>
    <s v="PAV"/>
    <s v="Pelotas"/>
  </r>
  <r>
    <x v="0"/>
    <s v="392BRS0010"/>
    <n v="0"/>
    <x v="349"/>
    <s v="0010"/>
    <n v="-52.075779769920402"/>
    <n v="-32.045529879900002"/>
    <n v="-52.1113340803035"/>
    <n v="-32.110503660215699"/>
    <s v="392"/>
    <s v="RS"/>
    <s v="Eixo Principal"/>
    <s v="-"/>
    <s v="392BRS0010"/>
    <s v="PORTO NOVO (RIO GRANDE)"/>
    <s v="SUPER PORTO (RIO GRANDE)"/>
    <n v="0"/>
    <n v="8.9"/>
    <n v="8.9"/>
    <x v="2"/>
    <m/>
    <m/>
    <s v="Concessão Federal"/>
    <m/>
    <m/>
    <m/>
    <s v="Federal"/>
    <s v="PAV"/>
    <s v="Pelotas"/>
  </r>
  <r>
    <x v="0"/>
    <s v="392BRS0030"/>
    <n v="0"/>
    <x v="349"/>
    <s v="0030"/>
    <n v="-52.1113340803035"/>
    <n v="-32.110503660215699"/>
    <n v="-52.164295689794102"/>
    <n v="-32.100770689815398"/>
    <s v="392"/>
    <s v="RS"/>
    <s v="Eixo Principal"/>
    <s v="-"/>
    <s v="392BRS0030"/>
    <s v="SUPER PORTO (RIO GRANDE)"/>
    <s v="ENTR RS-734 (P/CASSINO)"/>
    <n v="8.9"/>
    <n v="16.2"/>
    <n v="7.3"/>
    <x v="0"/>
    <m/>
    <m/>
    <s v="Concessão Federal"/>
    <m/>
    <m/>
    <m/>
    <s v="Federal"/>
    <s v="PAV"/>
    <s v="Pelotas"/>
  </r>
  <r>
    <x v="0"/>
    <s v="392BRS0050"/>
    <n v="0"/>
    <x v="349"/>
    <s v="0050"/>
    <n v="-52.164295689794102"/>
    <n v="-32.100770689815398"/>
    <n v="-52.264658389772798"/>
    <n v="-32.074825249685396"/>
    <s v="392"/>
    <s v="RS"/>
    <s v="Eixo Principal"/>
    <s v="-"/>
    <s v="392BRS0050"/>
    <s v="ENTR RS-734 (P/CASSINO)"/>
    <s v="ENTR BR-471(A) (QUINTA)"/>
    <n v="16.2"/>
    <n v="26.9"/>
    <n v="10.7"/>
    <x v="0"/>
    <m/>
    <m/>
    <s v="Concessão Federal"/>
    <m/>
    <m/>
    <m/>
    <s v="Federal"/>
    <s v="PAV"/>
    <s v="Pelotas"/>
  </r>
  <r>
    <x v="0"/>
    <s v="392BRS0070"/>
    <n v="0"/>
    <x v="349"/>
    <s v="0070"/>
    <n v="-52.264658389772798"/>
    <n v="-32.074825249685396"/>
    <n v="-52.359581579925901"/>
    <n v="-31.7778190097394"/>
    <s v="392"/>
    <s v="RS"/>
    <s v="Eixo Principal"/>
    <s v="-"/>
    <s v="392BRS0070"/>
    <s v="ENTR BR-471(A) (QUINTA)"/>
    <s v="ACESSO PELOTAS"/>
    <n v="26.9"/>
    <n v="62.2"/>
    <n v="35.299999999999997"/>
    <x v="0"/>
    <m/>
    <s v="471BRS0190"/>
    <s v="Concessão Federal"/>
    <m/>
    <m/>
    <m/>
    <s v="Federal"/>
    <s v="PAV"/>
    <s v="Pelotas"/>
  </r>
  <r>
    <x v="0"/>
    <s v="392BRS0090"/>
    <n v="0"/>
    <x v="349"/>
    <s v="0090"/>
    <n v="-52.359581579925901"/>
    <n v="-31.7778190097394"/>
    <n v="-52.4041712404103"/>
    <n v="-31.7453258899777"/>
    <s v="392"/>
    <s v="RS"/>
    <s v="Eixo Principal"/>
    <s v="-"/>
    <s v="392BRS0090"/>
    <s v="ACESSO PELOTAS"/>
    <s v="ENTR BR-116(A)/293(A)"/>
    <n v="62.2"/>
    <n v="68.400000000000006"/>
    <n v="6.2"/>
    <x v="2"/>
    <s v="EOD"/>
    <s v="471BRS0180"/>
    <s v="Concessão Federal"/>
    <m/>
    <m/>
    <m/>
    <s v="Federal"/>
    <s v="PAV"/>
    <s v="Pelotas"/>
  </r>
  <r>
    <x v="0"/>
    <s v="392BRS0100"/>
    <n v="0"/>
    <x v="349"/>
    <s v="0100"/>
    <n v="-52.4041712404103"/>
    <n v="-31.7453258899777"/>
    <n v="-52.384862709746201"/>
    <n v="-31.725837930176201"/>
    <s v="392"/>
    <s v="RS"/>
    <s v="Eixo Principal"/>
    <s v="Coinc"/>
    <s v="392BRS0100"/>
    <s v="ENTR BR-116(A)/293(A)"/>
    <s v="ENTR BR-116(B)/293(B)/471(A) (P/CAMAQUÃ)"/>
    <n v="68.400000000000006"/>
    <n v="71.3"/>
    <n v="2.9"/>
    <x v="2"/>
    <s v="EOD"/>
    <s v="116BRS3370;471BRS0170;293BRS0011"/>
    <s v="Concessão Federal"/>
    <m/>
    <m/>
    <m/>
    <s v="Federal"/>
    <s v="PAV"/>
    <s v="Pelotas"/>
  </r>
  <r>
    <x v="0"/>
    <s v="392BRS0110"/>
    <n v="0"/>
    <x v="349"/>
    <s v="0110"/>
    <n v="-52.384862709746201"/>
    <n v="-31.725837930176201"/>
    <n v="-52.696091459852902"/>
    <n v="-31.3913874401781"/>
    <s v="392"/>
    <s v="RS"/>
    <s v="Eixo Principal"/>
    <s v="-"/>
    <s v="392BRS0110"/>
    <s v="ENTR BR-116(B)/293(B)/471(A) (P/CAMAQUÃ)"/>
    <s v="ENTR RS-265(A) (P/CANGUÇU)"/>
    <n v="71.3"/>
    <n v="120.7"/>
    <n v="49.4"/>
    <x v="2"/>
    <m/>
    <s v="471BRS0150"/>
    <s v="Concessão Federal"/>
    <m/>
    <m/>
    <m/>
    <s v="Federal"/>
    <s v="PAV"/>
    <s v="Pelotas"/>
  </r>
  <r>
    <x v="0"/>
    <s v="392BRS0130"/>
    <n v="0"/>
    <x v="349"/>
    <s v="0130"/>
    <n v="-52.696091459852902"/>
    <n v="-31.3913874401781"/>
    <n v="-52.725441360030601"/>
    <n v="-31.3650610697125"/>
    <s v="392"/>
    <s v="RS"/>
    <s v="Eixo Principal"/>
    <s v="-"/>
    <s v="392BRS0130"/>
    <s v="ENTR RS-265(A) (P/CANGUÇU)"/>
    <s v="ENTR RS-265(B) (P/CANCELÃO)"/>
    <n v="120.7"/>
    <n v="125"/>
    <n v="4.3"/>
    <x v="2"/>
    <m/>
    <s v="471BRS0140"/>
    <s v="Concessão Federal"/>
    <m/>
    <m/>
    <m/>
    <s v="Federal"/>
    <s v="PAV"/>
    <s v="Pelotas"/>
  </r>
  <r>
    <x v="0"/>
    <s v="392BRS0150"/>
    <n v="0"/>
    <x v="349"/>
    <s v="0150"/>
    <n v="-52.725441360030601"/>
    <n v="-31.3650610697125"/>
    <n v="-52.850924530442597"/>
    <n v="-31.1707216602763"/>
    <s v="392"/>
    <s v="RS"/>
    <s v="Eixo Principal"/>
    <s v="-"/>
    <s v="392BRS0150"/>
    <s v="ENTR RS-265(B) (P/CANCELÃO)"/>
    <s v="ENTR BR-471(B)/RS-471 (P/CORONEL PRESTES)"/>
    <n v="125"/>
    <n v="150.30000000000001"/>
    <n v="25.3"/>
    <x v="2"/>
    <m/>
    <s v="471BRS0130"/>
    <s v="Concessão Federal"/>
    <m/>
    <m/>
    <m/>
    <s v="Federal"/>
    <s v="PAV"/>
    <s v="Pelotas"/>
  </r>
  <r>
    <x v="0"/>
    <s v="392BRS0160"/>
    <n v="0"/>
    <x v="349"/>
    <s v="0160"/>
    <n v="-52.850924530442597"/>
    <n v="-31.1707216602763"/>
    <n v="-53.136575469782002"/>
    <n v="-30.872488719878401"/>
    <s v="392"/>
    <s v="RS"/>
    <s v="Eixo Principal"/>
    <s v="-"/>
    <s v="392BRS0160"/>
    <s v="ENTR BR-471(B)/RS-471 (P/CORONEL PRESTES)"/>
    <s v="ACESSO SANTANA DA BOA VISTA"/>
    <n v="150.30000000000001"/>
    <n v="199.9"/>
    <n v="49.6"/>
    <x v="2"/>
    <m/>
    <m/>
    <s v="Concessão Federal"/>
    <m/>
    <m/>
    <m/>
    <s v="Federal"/>
    <s v="PAV"/>
    <s v="Pelotas"/>
  </r>
  <r>
    <x v="0"/>
    <s v="392BRS0170"/>
    <n v="0"/>
    <x v="349"/>
    <s v="0170"/>
    <n v="-53.136575469782002"/>
    <n v="-30.872488719878401"/>
    <n v="-53.393290060387898"/>
    <n v="-30.583026499573201"/>
    <s v="392"/>
    <s v="RS"/>
    <s v="Eixo Principal"/>
    <s v="-"/>
    <s v="392BRS0170"/>
    <s v="ACESSO SANTANA DA BOA VISTA"/>
    <s v="ENTR BR-153"/>
    <n v="199.9"/>
    <n v="244.5"/>
    <n v="44.6"/>
    <x v="2"/>
    <m/>
    <m/>
    <s v="Federal"/>
    <m/>
    <m/>
    <m/>
    <s v="Federal"/>
    <s v="PAV"/>
    <s v="Pelotas"/>
  </r>
  <r>
    <x v="0"/>
    <s v="392BRS0190"/>
    <n v="0"/>
    <x v="349"/>
    <s v="0190"/>
    <n v="-53.393290060387898"/>
    <n v="-30.583026499573201"/>
    <n v="-53.477090799700498"/>
    <n v="-30.4965194502124"/>
    <s v="392"/>
    <s v="RS"/>
    <s v="Eixo Principal"/>
    <s v="-"/>
    <s v="392BRS0190"/>
    <s v="ENTR BR-153"/>
    <s v="ENTR RS-357 (CAÇAPAVA DO SUL)"/>
    <n v="244.5"/>
    <n v="257.60000000000002"/>
    <n v="13.1"/>
    <x v="2"/>
    <m/>
    <m/>
    <s v="Federal"/>
    <m/>
    <m/>
    <m/>
    <s v="Federal"/>
    <s v="PAV"/>
    <s v="Pelotas"/>
  </r>
  <r>
    <x v="0"/>
    <s v="392BRS0210"/>
    <n v="0"/>
    <x v="349"/>
    <s v="0210"/>
    <n v="-53.477090799700498"/>
    <n v="-30.4965194502124"/>
    <n v="-53.518219750241201"/>
    <n v="-30.359982719726698"/>
    <s v="392"/>
    <s v="RS"/>
    <s v="Eixo Principal"/>
    <s v="-"/>
    <s v="392BRS0210"/>
    <s v="ENTR RS-357 (CAÇAPAVA DO SUL)"/>
    <s v="ENTR BR-290"/>
    <n v="257.60000000000002"/>
    <n v="273.8"/>
    <n v="16.2"/>
    <x v="2"/>
    <m/>
    <m/>
    <s v="Federal"/>
    <m/>
    <m/>
    <m/>
    <s v="Federal"/>
    <s v="PAV"/>
    <s v="Pelotas"/>
  </r>
  <r>
    <x v="0"/>
    <s v="392BRS0230"/>
    <n v="0"/>
    <x v="349"/>
    <s v="0230"/>
    <n v="-53.518219750241201"/>
    <n v="-30.359982719726698"/>
    <n v="-53.578834469834803"/>
    <n v="-30.171919630286599"/>
    <s v="392"/>
    <s v="RS"/>
    <s v="Eixo Principal"/>
    <s v="-"/>
    <s v="392BRS0230"/>
    <s v="ENTR BR-290"/>
    <s v="ENTR AV. PRES. GETÚLIO VARGAS (SÃO SEPÉ)"/>
    <n v="273.8"/>
    <n v="296.10000000000002"/>
    <n v="22.3"/>
    <x v="2"/>
    <m/>
    <m/>
    <s v="Federal"/>
    <m/>
    <m/>
    <m/>
    <s v="Federal"/>
    <s v="PAV"/>
    <s v="Santa Maria"/>
  </r>
  <r>
    <x v="0"/>
    <s v="392BRS0233"/>
    <n v="0"/>
    <x v="349"/>
    <s v="0233"/>
    <n v="-53.578834469834803"/>
    <n v="-30.171919630286599"/>
    <n v="-53.639208479587602"/>
    <n v="-30.0840008701439"/>
    <s v="392"/>
    <s v="RS"/>
    <s v="Eixo Principal"/>
    <s v="-"/>
    <s v="392BRS0233"/>
    <s v="ENTR AV. PRES. GETÚLIO VARGAS (SÃO SEPÉ)"/>
    <s v="ENTR RS-149 (P/FORMIGUEIRO)"/>
    <n v="296.10000000000002"/>
    <n v="307.5"/>
    <n v="11.4"/>
    <x v="2"/>
    <m/>
    <m/>
    <s v="Federal"/>
    <m/>
    <m/>
    <m/>
    <s v="Federal"/>
    <s v="PAV"/>
    <s v="Santa Maria"/>
  </r>
  <r>
    <x v="0"/>
    <s v="392BRS0250"/>
    <n v="0"/>
    <x v="349"/>
    <s v="0250"/>
    <n v="-53.639208479587602"/>
    <n v="-30.0840008701439"/>
    <n v="-53.810830620236899"/>
    <n v="-29.714943959695901"/>
    <s v="392"/>
    <s v="RS"/>
    <s v="Eixo Principal"/>
    <s v="-"/>
    <s v="392BRS0250"/>
    <s v="ENTR RS-149 (P/FORMIGUEIRO)"/>
    <s v="ENTR BR-158(A)/287(A) (SANTA MARIA)"/>
    <n v="307.5"/>
    <n v="352.7"/>
    <n v="45.2"/>
    <x v="2"/>
    <m/>
    <m/>
    <s v="Federal"/>
    <m/>
    <m/>
    <m/>
    <s v="Federal"/>
    <s v="PAV"/>
    <s v="Santa Maria"/>
  </r>
  <r>
    <x v="0"/>
    <s v="392BRS0251"/>
    <n v="0"/>
    <x v="349"/>
    <s v="0251"/>
    <n v="-53.810830620236899"/>
    <n v="-29.714943959695901"/>
    <n v="-53.793105780407402"/>
    <n v="-29.7018171997039"/>
    <s v="392"/>
    <s v="RS"/>
    <s v="Eixo Principal"/>
    <s v="Coinc"/>
    <s v="392BRS0251"/>
    <s v="ENTR BR-158(A)/287(A) (SANTA MARIA)"/>
    <s v="ENTR BR-287(B) (P/CAMOBÍ)"/>
    <n v="352.7"/>
    <n v="355"/>
    <n v="2.2999999999999998"/>
    <x v="2"/>
    <m/>
    <s v="287BRS0230;158BRS1317"/>
    <s v="Federal"/>
    <m/>
    <m/>
    <m/>
    <s v="Federal"/>
    <s v="PAV"/>
    <s v="Santa Maria"/>
  </r>
  <r>
    <x v="0"/>
    <s v="392BRS0253"/>
    <n v="0"/>
    <x v="349"/>
    <s v="0253"/>
    <n v="-53.793105780407402"/>
    <n v="-29.7018171997039"/>
    <n v="-53.775751089840803"/>
    <n v="-29.695249340184802"/>
    <s v="392"/>
    <s v="RS"/>
    <s v="Eixo Principal"/>
    <s v="Coinc"/>
    <s v="392BRS0253"/>
    <s v="ENTR BR-287(B) (P/CAMOBÍ)"/>
    <s v="ENTR RS-509 (P/SANTA MARIA)"/>
    <n v="355"/>
    <n v="357.1"/>
    <n v="2.1"/>
    <x v="2"/>
    <m/>
    <s v="158BRS1315"/>
    <s v="Federal"/>
    <m/>
    <m/>
    <m/>
    <s v="Federal"/>
    <s v="PAV"/>
    <s v="Santa Maria"/>
  </r>
  <r>
    <x v="0"/>
    <s v="392BRS0270"/>
    <n v="0"/>
    <x v="349"/>
    <s v="0270"/>
    <n v="-53.775751089840803"/>
    <n v="-29.695249340184802"/>
    <n v="-53.6837243201212"/>
    <n v="-29.489730450299898"/>
    <s v="392"/>
    <s v="RS"/>
    <s v="Eixo Principal"/>
    <s v="Coinc"/>
    <s v="392BRS0270"/>
    <s v="ENTR RS-509 (P/SANTA MARIA)"/>
    <s v="ENTR RS-348 (VAL DE SERRA)"/>
    <n v="357.1"/>
    <n v="386.3"/>
    <n v="29.2"/>
    <x v="2"/>
    <m/>
    <s v="158BRS1310"/>
    <s v="Federal"/>
    <m/>
    <m/>
    <m/>
    <s v="Federal"/>
    <s v="PAV"/>
    <s v="Santa Maria"/>
  </r>
  <r>
    <x v="0"/>
    <s v="392BRS0290"/>
    <n v="0"/>
    <x v="349"/>
    <s v="0290"/>
    <n v="-53.6837243201212"/>
    <n v="-29.489730450299898"/>
    <n v="-53.666101150447602"/>
    <n v="-29.233875730280602"/>
    <s v="392"/>
    <s v="RS"/>
    <s v="Eixo Principal"/>
    <s v="Coinc"/>
    <s v="392BRS0290"/>
    <s v="ENTR RS-348 (VAL DE SERRA)"/>
    <s v="ENTR RS-527 (P/JÚLIO DE CASTILHOS)"/>
    <n v="386.3"/>
    <n v="415.6"/>
    <n v="29.3"/>
    <x v="2"/>
    <m/>
    <s v="158BRS1290"/>
    <s v="Federal"/>
    <m/>
    <m/>
    <m/>
    <s v="Federal"/>
    <s v="PAV"/>
    <s v="Santa Maria"/>
  </r>
  <r>
    <x v="0"/>
    <s v="392BRS0310"/>
    <n v="0"/>
    <x v="349"/>
    <s v="0310"/>
    <n v="-53.666101150447602"/>
    <n v="-29.233875730280602"/>
    <n v="-53.645472389838801"/>
    <n v="-29.0366628699953"/>
    <s v="392"/>
    <s v="RS"/>
    <s v="Eixo Principal"/>
    <s v="Coinc"/>
    <s v="392BRS0310"/>
    <s v="ENTR RS-527 (P/JÚLIO DE CASTILHOS)"/>
    <s v="ENTR BR-158(B) (P/CRUZ ALTA)"/>
    <n v="415.6"/>
    <n v="438.8"/>
    <n v="23.2"/>
    <x v="2"/>
    <m/>
    <s v="158BRS1270"/>
    <s v="Federal"/>
    <m/>
    <m/>
    <m/>
    <s v="Federal"/>
    <s v="PAV"/>
    <s v="Cruz Alta"/>
  </r>
  <r>
    <x v="0"/>
    <s v="392BRS0330"/>
    <n v="0"/>
    <x v="349"/>
    <s v="0330"/>
    <n v="-53.645472389838801"/>
    <n v="-29.0366628699953"/>
    <n v="-53.856446450343299"/>
    <n v="-29.076791959681099"/>
    <s v="392"/>
    <s v="RS"/>
    <s v="Eixo Principal"/>
    <s v="-"/>
    <s v="392BRS0330"/>
    <s v="ENTR BR-158(B) (P/CRUZ ALTA)"/>
    <s v="ENTR RS-527 (TUPANCIRETÃ)"/>
    <n v="438.8"/>
    <n v="460.3"/>
    <n v="21.5"/>
    <x v="1"/>
    <m/>
    <m/>
    <s v="Estadual"/>
    <m/>
    <s v="RST-392"/>
    <s v="PAV"/>
    <s v="Estadual"/>
    <s v="PLA"/>
    <s v="Santa Maria"/>
  </r>
  <r>
    <x v="0"/>
    <s v="392BRS0350"/>
    <n v="0"/>
    <x v="349"/>
    <s v="0350"/>
    <n v="-53.856446450343299"/>
    <n v="-29.076791959681099"/>
    <n v="-54.134795699561799"/>
    <n v="-28.882559190054501"/>
    <s v="392"/>
    <s v="RS"/>
    <s v="Eixo Principal"/>
    <s v="-"/>
    <s v="392BRS0350"/>
    <s v="ENTR RS-527 (TUPANCIRETÃ)"/>
    <s v="ENTR BR-377 (SANTA TECLA)"/>
    <n v="460.3"/>
    <n v="501.9"/>
    <n v="41.6"/>
    <x v="1"/>
    <m/>
    <m/>
    <s v="Federal"/>
    <m/>
    <m/>
    <m/>
    <s v="Federal"/>
    <s v="PLA"/>
    <s v="Santa Maria"/>
  </r>
  <r>
    <x v="0"/>
    <s v="392BRS0370"/>
    <n v="0"/>
    <x v="349"/>
    <s v="0370"/>
    <n v="-54.134795699561799"/>
    <n v="-28.882559190054501"/>
    <n v="-54.120510000336097"/>
    <n v="-28.628144510360801"/>
    <s v="392"/>
    <s v="RS"/>
    <s v="Eixo Principal"/>
    <s v="-"/>
    <s v="392BRS0370"/>
    <s v="ENTR BR-377 (SANTA TECLA)"/>
    <s v="ENTR RS-522 (JÓIA)"/>
    <n v="501.9"/>
    <n v="536.6"/>
    <n v="34.700000000000003"/>
    <x v="1"/>
    <m/>
    <m/>
    <s v="Federal"/>
    <m/>
    <m/>
    <m/>
    <s v="Federal"/>
    <s v="PLA"/>
    <s v="Cruz Alta"/>
  </r>
  <r>
    <x v="0"/>
    <s v="392BRS0390"/>
    <n v="0"/>
    <x v="349"/>
    <s v="0390"/>
    <n v="-54.120510000336097"/>
    <n v="-28.628144510360801"/>
    <n v="-54.261929859775101"/>
    <n v="-28.377612769613499"/>
    <s v="392"/>
    <s v="RS"/>
    <s v="Eixo Principal"/>
    <s v="-"/>
    <s v="392BRS0390"/>
    <s v="ENTR RS-522 (JÓIA)"/>
    <s v="ENTR BR-285/RS-344(A) (P/ENTRE IJUÍS)"/>
    <n v="536.6"/>
    <n v="595.9"/>
    <n v="59.3"/>
    <x v="1"/>
    <m/>
    <m/>
    <s v="Federal"/>
    <m/>
    <m/>
    <m/>
    <s v="Federal"/>
    <s v="PLA"/>
    <s v="Cruz Alta"/>
  </r>
  <r>
    <x v="0"/>
    <s v="392BRS0410"/>
    <n v="0"/>
    <x v="349"/>
    <s v="0410"/>
    <n v="-54.261929859775101"/>
    <n v="-28.377612769613499"/>
    <n v="-54.281144990448901"/>
    <n v="-28.297379190297299"/>
    <s v="392"/>
    <s v="RS"/>
    <s v="Eixo Principal"/>
    <s v="-"/>
    <s v="392BRS0410"/>
    <s v="ENTR BR-285/RS-344(A) (P/ENTRE IJUÍS)"/>
    <s v="ENTR RS-218 (SANTO ÂNGELO)"/>
    <n v="595.9"/>
    <n v="605.1"/>
    <n v="9.1999999999999993"/>
    <x v="1"/>
    <m/>
    <m/>
    <s v="Estadual"/>
    <m/>
    <s v="RST-392"/>
    <s v="PAV"/>
    <s v="Estadual"/>
    <s v="PLA"/>
    <s v="Cruz Alta"/>
  </r>
  <r>
    <x v="0"/>
    <s v="392BRS0417"/>
    <n v="0"/>
    <x v="349"/>
    <s v="0417"/>
    <n v="-54.281144990448901"/>
    <n v="-28.297379190297299"/>
    <n v="-54.323178649974601"/>
    <n v="-28.196594639930598"/>
    <s v="392"/>
    <s v="RS"/>
    <s v="Eixo Principal"/>
    <s v="-"/>
    <s v="392BRS0417"/>
    <s v="ENTR RS-218 (SANTO ÂNGELO)"/>
    <s v="ENTR RS-344(B) (P/SANTA ROSA)"/>
    <n v="605.1"/>
    <n v="617.5"/>
    <n v="12.4"/>
    <x v="1"/>
    <m/>
    <m/>
    <s v="Estadual"/>
    <m/>
    <s v="RST-392"/>
    <s v="PAV"/>
    <s v="Estadual"/>
    <s v="PLA"/>
    <s v="Cruz Alta"/>
  </r>
  <r>
    <x v="0"/>
    <s v="392BRS0430"/>
    <n v="0"/>
    <x v="349"/>
    <s v="0430"/>
    <n v="-54.323178649974601"/>
    <n v="-28.196594639930598"/>
    <n v="-54.551132479979898"/>
    <n v="-28.154541469613001"/>
    <s v="392"/>
    <s v="RS"/>
    <s v="Eixo Principal"/>
    <s v="-"/>
    <s v="392BRS0430"/>
    <s v="ENTR RS-344(B) (P/SANTA ROSA)"/>
    <s v="ENTR RS-162 (GUARANI DAS MISSÕES)"/>
    <n v="617.5"/>
    <n v="642.1"/>
    <n v="24.6"/>
    <x v="2"/>
    <m/>
    <m/>
    <s v="Federal"/>
    <m/>
    <m/>
    <m/>
    <s v="Federal"/>
    <s v="PAV"/>
    <s v="Cruz Alta"/>
  </r>
  <r>
    <x v="0"/>
    <s v="392BRS0440"/>
    <n v="0"/>
    <x v="349"/>
    <s v="0440"/>
    <n v="-54.551132479979898"/>
    <n v="-28.154541469613001"/>
    <n v="-54.754642410318901"/>
    <n v="-28.124297680193699"/>
    <s v="392"/>
    <s v="RS"/>
    <s v="Eixo Principal"/>
    <s v="-"/>
    <s v="392BRS0440"/>
    <s v="ENTR RS-162 (GUARANI DAS MISSÕES)"/>
    <s v="ENTR RS-165 (CERRO LARGO)"/>
    <n v="642.1"/>
    <n v="663.9"/>
    <n v="21.8"/>
    <x v="2"/>
    <m/>
    <m/>
    <s v="Federal"/>
    <m/>
    <m/>
    <m/>
    <s v="Federal"/>
    <s v="PAV"/>
    <s v="Cruz Alta"/>
  </r>
  <r>
    <x v="0"/>
    <s v="392BRS0450"/>
    <n v="0"/>
    <x v="349"/>
    <s v="0450"/>
    <n v="-54.754642410318901"/>
    <n v="-28.124297680193699"/>
    <n v="-54.938078500422399"/>
    <n v="-28.122355019568399"/>
    <s v="392"/>
    <s v="RS"/>
    <s v="Eixo Principal"/>
    <s v="-"/>
    <s v="392BRS0450"/>
    <s v="ENTR RS-165 (CERRO LARGO)"/>
    <s v="ENTR RS-168 (P/SÃO PAULO DAS MISSÕES)"/>
    <n v="663.9"/>
    <n v="681.9"/>
    <n v="18"/>
    <x v="2"/>
    <m/>
    <m/>
    <s v="Federal"/>
    <m/>
    <m/>
    <m/>
    <s v="Federal"/>
    <s v="PAV"/>
    <s v="Cruz Alta"/>
  </r>
  <r>
    <x v="0"/>
    <s v="392BRS0470"/>
    <n v="0"/>
    <x v="349"/>
    <s v="0470"/>
    <n v="-54.938078500422399"/>
    <n v="-28.122355019568399"/>
    <n v="-55.137706070078998"/>
    <n v="-27.914091530099899"/>
    <s v="392"/>
    <s v="RS"/>
    <s v="Eixo Principal"/>
    <s v="-"/>
    <s v="392BRS0470"/>
    <s v="ENTR RS-168 (P/SÃO PAULO DAS MISSÕES)"/>
    <s v="ENTR BR-472 (FRONT BRASIL/ARGENTINA) (PORTO XAVIER)"/>
    <n v="681.9"/>
    <n v="720.3"/>
    <n v="38.4"/>
    <x v="2"/>
    <m/>
    <m/>
    <s v="Federal"/>
    <m/>
    <m/>
    <m/>
    <s v="Federal"/>
    <s v="PAV"/>
    <s v="Cruz Alta"/>
  </r>
  <r>
    <x v="0"/>
    <s v="393ARJ1005"/>
    <n v="0"/>
    <x v="350"/>
    <s v="1005"/>
    <n v="-44.063334259668203"/>
    <n v="-22.487726510370099"/>
    <n v="-44.068175439744699"/>
    <n v="-22.552665690169398"/>
    <s v="393"/>
    <s v="RJ"/>
    <s v="Acesso"/>
    <s v="-"/>
    <s v="393ARJ1005"/>
    <s v="ENTR BR-393 (KM 282,9 - BAIRRO BRASILÂNDIA)"/>
    <s v="ENTR C/ RODOVIA MUNICIPAL VR-001"/>
    <n v="0"/>
    <n v="9.3000000000000007"/>
    <n v="9.3000000000000007"/>
    <x v="5"/>
    <s v="EOP"/>
    <m/>
    <s v="Federal"/>
    <m/>
    <m/>
    <m/>
    <s v="Federal"/>
    <s v="N_PAV"/>
    <s v="Seropédica"/>
  </r>
  <r>
    <x v="0"/>
    <s v="393ARJ1010"/>
    <n v="0"/>
    <x v="350"/>
    <s v="1010"/>
    <n v="-44.068175439744699"/>
    <n v="-22.552665690169398"/>
    <n v="-44.0817736000715"/>
    <n v="-22.5898379600537"/>
    <s v="393"/>
    <s v="RJ"/>
    <s v="Acesso"/>
    <s v="-"/>
    <s v="393ARJ1010"/>
    <s v="ENTR C/ RODOVIA MUNICIPAL VR-001"/>
    <s v="ENTR BR-116 *TRECHO MUNICIPAL*"/>
    <n v="9.3000000000000007"/>
    <n v="12.6"/>
    <n v="3.3"/>
    <x v="2"/>
    <m/>
    <m/>
    <s v="Federal"/>
    <m/>
    <m/>
    <m/>
    <s v="Federal"/>
    <s v="PAV"/>
    <s v="Seropédica"/>
  </r>
  <r>
    <x v="0"/>
    <s v="393BES0010"/>
    <n v="0"/>
    <x v="351"/>
    <s v="0010"/>
    <n v="-41.159272230129197"/>
    <n v="-20.841355449893999"/>
    <n v="-41.177635600302601"/>
    <n v="-20.8328194303723"/>
    <s v="393"/>
    <s v="ES"/>
    <s v="Eixo Principal"/>
    <s v="-"/>
    <s v="393BES0010"/>
    <s v="CACHOEIRO DO ITAPEMIRIM"/>
    <s v="ENTR ES-489 (P/ATÍLIO VIVACQUA)"/>
    <n v="0"/>
    <n v="2.2999999999999998"/>
    <n v="2.2999999999999998"/>
    <x v="2"/>
    <m/>
    <m/>
    <s v="Federal"/>
    <m/>
    <m/>
    <m/>
    <s v="Federal"/>
    <s v="PAV"/>
    <s v="Santa Isabel"/>
  </r>
  <r>
    <x v="0"/>
    <s v="393BES0030"/>
    <n v="0"/>
    <x v="351"/>
    <s v="0030"/>
    <n v="-41.177635600302601"/>
    <n v="-20.8328194303723"/>
    <n v="-41.353336480294203"/>
    <n v="-20.955323799753501"/>
    <s v="393"/>
    <s v="ES"/>
    <s v="Eixo Principal"/>
    <s v="-"/>
    <s v="393BES0030"/>
    <s v="ENTR ES-489 (P/ATÍLIO VIVACQUA)"/>
    <s v="ENTR ES-177 (MUQUI)"/>
    <n v="2.2999999999999998"/>
    <n v="25.5"/>
    <n v="23.2"/>
    <x v="2"/>
    <m/>
    <m/>
    <s v="Federal"/>
    <m/>
    <m/>
    <m/>
    <s v="Federal"/>
    <s v="PAV"/>
    <s v="Santa Isabel"/>
  </r>
  <r>
    <x v="0"/>
    <s v="393BES0050"/>
    <n v="0"/>
    <x v="351"/>
    <s v="0050"/>
    <n v="-41.353336480294203"/>
    <n v="-20.955323799753501"/>
    <n v="-41.505110970095103"/>
    <n v="-20.9689989699264"/>
    <s v="393"/>
    <s v="ES"/>
    <s v="Eixo Principal"/>
    <s v="-"/>
    <s v="393BES0050"/>
    <s v="ENTR ES-177 (MUQUI)"/>
    <s v="ENTR ES-391 (CONCEIÇÃO DO MUQUI)"/>
    <n v="25.5"/>
    <n v="48"/>
    <n v="22.5"/>
    <x v="3"/>
    <m/>
    <m/>
    <s v="Federal"/>
    <m/>
    <m/>
    <m/>
    <s v="Federal"/>
    <s v="N_PAV"/>
    <s v="Santa Isabel"/>
  </r>
  <r>
    <x v="0"/>
    <s v="393BES0055"/>
    <n v="0"/>
    <x v="351"/>
    <s v="0055"/>
    <n v="-41.505110970095103"/>
    <n v="-20.9689989699264"/>
    <n v="-41.6641050599005"/>
    <n v="-21.123134049696599"/>
    <s v="393"/>
    <s v="ES"/>
    <s v="Eixo Principal"/>
    <s v="-"/>
    <s v="393BES0055"/>
    <s v="ENTR ES-391 (CONCEIÇÃO DO MUQUI)"/>
    <s v="ENTR BR-484(A) (BOM JESUS DO NORTE)"/>
    <n v="48"/>
    <n v="75"/>
    <n v="27"/>
    <x v="1"/>
    <m/>
    <m/>
    <s v="Federal"/>
    <m/>
    <m/>
    <m/>
    <s v="Federal"/>
    <s v="PLA"/>
    <s v="Santa Isabel"/>
  </r>
  <r>
    <x v="0"/>
    <s v="393BES0060"/>
    <n v="0"/>
    <x v="351"/>
    <s v="0060"/>
    <n v="-41.6641050599005"/>
    <n v="-21.123134049696599"/>
    <n v="-41.655960949638001"/>
    <n v="-21.1311086998065"/>
    <s v="393"/>
    <s v="ES"/>
    <s v="Eixo Principal"/>
    <s v="-"/>
    <s v="393BES0060"/>
    <s v="ENTR BR-484(A) (BOM JESUS DO NORTE)"/>
    <s v="ENTR ES-297(B)"/>
    <n v="75"/>
    <n v="76.3"/>
    <n v="1.3"/>
    <x v="1"/>
    <m/>
    <s v="484BES0155"/>
    <s v="Estadual"/>
    <m/>
    <s v="ES-297"/>
    <s v="PAV"/>
    <s v="Estadual"/>
    <s v="PLA"/>
    <s v="Santa Isabel"/>
  </r>
  <r>
    <x v="0"/>
    <s v="393BES0070"/>
    <n v="0"/>
    <x v="351"/>
    <s v="0070"/>
    <n v="-41.655960949638001"/>
    <n v="-21.1311086998065"/>
    <n v="-41.6615893296837"/>
    <n v="-21.135253679613498"/>
    <s v="393"/>
    <s v="ES"/>
    <s v="Eixo Principal"/>
    <s v="-"/>
    <s v="393BES0070"/>
    <s v="ENTR ES-297(B)"/>
    <s v="ENTR BR-484(B) (DIV ES/RJ) (BOM JESUS DO ITABAPOANA)"/>
    <n v="76.3"/>
    <n v="77.2"/>
    <n v="0.9"/>
    <x v="1"/>
    <m/>
    <s v="484BES0159"/>
    <s v="Estadual"/>
    <m/>
    <s v="ES-393"/>
    <s v="PAV"/>
    <s v="Estadual"/>
    <s v="PLA"/>
    <s v="Santa Isabel"/>
  </r>
  <r>
    <x v="0"/>
    <s v="393BMG0230"/>
    <n v="0"/>
    <x v="352"/>
    <s v="0230"/>
    <n v="-42.343107930186697"/>
    <n v="-21.6583271499779"/>
    <n v="-42.534235150131998"/>
    <n v="-21.774585109914799"/>
    <s v="393"/>
    <s v="MG"/>
    <s v="Eixo Principal"/>
    <s v="-"/>
    <s v="393BMG0230"/>
    <s v="DIV RJ/MG (PIRAPETINGA)"/>
    <s v="ENTR BR-120 (VOLTA GRANDE)"/>
    <n v="0"/>
    <n v="27.4"/>
    <n v="27.4"/>
    <x v="1"/>
    <m/>
    <m/>
    <s v="Estadual"/>
    <m/>
    <s v="MG-393"/>
    <s v="PAV"/>
    <s v="Estadual"/>
    <s v="PLA"/>
    <s v="Leopoldina"/>
  </r>
  <r>
    <x v="0"/>
    <s v="393BMG0250"/>
    <n v="0"/>
    <x v="352"/>
    <s v="0250"/>
    <n v="-42.534235150131998"/>
    <n v="-21.774585109914799"/>
    <n v="-42.663635580317703"/>
    <n v="-21.8597617400122"/>
    <s v="393"/>
    <s v="MG"/>
    <s v="Eixo Principal"/>
    <s v="-"/>
    <s v="393BMG0250"/>
    <s v="ENTR BR-120 (VOLTA GRANDE)"/>
    <s v="ENTR BR-116(A)"/>
    <n v="27.4"/>
    <n v="46.1"/>
    <n v="18.7"/>
    <x v="1"/>
    <m/>
    <m/>
    <s v="Estadual"/>
    <m/>
    <s v="MG-393"/>
    <s v="PAV"/>
    <s v="Estadual"/>
    <s v="PLA"/>
    <s v="Leopoldina"/>
  </r>
  <r>
    <x v="0"/>
    <s v="393BMG0260"/>
    <n v="0"/>
    <x v="352"/>
    <s v="0260"/>
    <n v="-42.663635580317703"/>
    <n v="-21.8597617400122"/>
    <n v="-42.668228400020602"/>
    <n v="-21.871666990439198"/>
    <s v="393"/>
    <s v="MG"/>
    <s v="Eixo Principal"/>
    <s v="Coinc"/>
    <s v="393BMG0260"/>
    <s v="ENTR BR-116(A)"/>
    <s v="DIV MG/RJ (ALÉM PARAÍBA)"/>
    <n v="46.1"/>
    <n v="48.2"/>
    <n v="2.1"/>
    <x v="2"/>
    <m/>
    <s v="116BMG1465"/>
    <s v="Federal"/>
    <m/>
    <m/>
    <m/>
    <s v="Federal"/>
    <s v="PAV"/>
    <s v="Leopoldina"/>
  </r>
  <r>
    <x v="0"/>
    <s v="393BRJ0090"/>
    <n v="0"/>
    <x v="353"/>
    <s v="0090"/>
    <n v="-41.6615893296837"/>
    <n v="-21.135253679613498"/>
    <n v="-41.661897410437099"/>
    <n v="-21.1353855004404"/>
    <s v="393"/>
    <s v="RJ"/>
    <s v="Eixo Principal"/>
    <s v="-"/>
    <s v="393BRJ0090"/>
    <s v="ENTR BR-484(A) (DIV ES/RJ) (BOM JESUS DO ITABAPOANA)"/>
    <s v="ENTR RJ-230(A)"/>
    <n v="0"/>
    <n v="1"/>
    <n v="1"/>
    <x v="1"/>
    <m/>
    <s v="484BRJ0170"/>
    <s v="Estadual"/>
    <m/>
    <s v="RJT-393"/>
    <s v="PAV"/>
    <s v="Estadual"/>
    <s v="PLA"/>
    <s v="Campos"/>
  </r>
  <r>
    <x v="0"/>
    <s v="393BRJ0092"/>
    <n v="0"/>
    <x v="353"/>
    <s v="0092"/>
    <n v="-41.661897410437099"/>
    <n v="-21.1353855004404"/>
    <n v="-41.769656769843998"/>
    <n v="-21.258934249815699"/>
    <s v="393"/>
    <s v="RJ"/>
    <s v="Eixo Principal"/>
    <s v="-"/>
    <s v="393BRJ0092"/>
    <s v="ENTR RJ-230(A)"/>
    <s v="ENTR BR-356/484(B)"/>
    <n v="1"/>
    <n v="21.4"/>
    <n v="20.399999999999999"/>
    <x v="1"/>
    <m/>
    <s v="484BRJ0174"/>
    <s v="Estadual"/>
    <m/>
    <s v="RJ-230"/>
    <s v="PAV"/>
    <s v="Estadual"/>
    <s v="PLA"/>
    <s v="Campos"/>
  </r>
  <r>
    <x v="0"/>
    <s v="393BRJ0110"/>
    <n v="0"/>
    <x v="353"/>
    <s v="0110"/>
    <n v="-41.769656769843998"/>
    <n v="-21.258934249815699"/>
    <n v="-41.865663130449001"/>
    <n v="-21.317480550287101"/>
    <s v="393"/>
    <s v="RJ"/>
    <s v="Eixo Principal"/>
    <s v="-"/>
    <s v="393BRJ0110"/>
    <s v="ENTR BR-356/484(B)"/>
    <s v="ENTR RJ-198(A)"/>
    <n v="21.4"/>
    <n v="34"/>
    <n v="12.6"/>
    <x v="1"/>
    <m/>
    <m/>
    <s v="Estadual"/>
    <m/>
    <s v="RJ-186"/>
    <s v="PAV"/>
    <s v="Estadual"/>
    <s v="PLA"/>
    <s v="Campos"/>
  </r>
  <r>
    <x v="0"/>
    <s v="393BRJ0130"/>
    <n v="0"/>
    <x v="353"/>
    <s v="0130"/>
    <n v="-41.865663130449001"/>
    <n v="-21.317480550287101"/>
    <n v="-41.907873889868"/>
    <n v="-21.348190050030698"/>
    <s v="393"/>
    <s v="RJ"/>
    <s v="Eixo Principal"/>
    <s v="-"/>
    <s v="393BRJ0130"/>
    <s v="ENTR RJ-198(A)"/>
    <s v="ENTR RJ-198(B)"/>
    <n v="34"/>
    <n v="39.700000000000003"/>
    <n v="5.7"/>
    <x v="1"/>
    <m/>
    <m/>
    <s v="Estadual"/>
    <m/>
    <s v="RJ-186"/>
    <s v="PAV"/>
    <s v="Estadual"/>
    <s v="PLA"/>
    <s v="Campos"/>
  </r>
  <r>
    <x v="0"/>
    <s v="393BRJ0170"/>
    <n v="0"/>
    <x v="353"/>
    <s v="0170"/>
    <n v="-41.907873889868"/>
    <n v="-21.348190050030698"/>
    <n v="-42.034255459621697"/>
    <n v="-21.462692039605798"/>
    <s v="393"/>
    <s v="RJ"/>
    <s v="Eixo Principal"/>
    <s v="-"/>
    <s v="393BRJ0170"/>
    <s v="ENTR RJ-198(B)"/>
    <s v="ENTR RJ-200 (MONTE ALEGRE)"/>
    <n v="39.700000000000003"/>
    <n v="60.2"/>
    <n v="20.5"/>
    <x v="1"/>
    <m/>
    <m/>
    <s v="Estadual"/>
    <m/>
    <s v="RJ-186"/>
    <s v="PAV"/>
    <s v="Estadual"/>
    <s v="PLA"/>
    <s v="Campos"/>
  </r>
  <r>
    <x v="0"/>
    <s v="393BRJ0190"/>
    <n v="0"/>
    <x v="353"/>
    <s v="0190"/>
    <n v="-42.034255459621697"/>
    <n v="-21.462692039605798"/>
    <n v="-42.173733160257001"/>
    <n v="-21.5474829001157"/>
    <s v="393"/>
    <s v="RJ"/>
    <s v="Eixo Principal"/>
    <s v="-"/>
    <s v="393BRJ0190"/>
    <s v="ENTR RJ-200 (MONTE ALEGRE)"/>
    <s v="ENTR RJ-116(A) (SANTO ANTÔNIO DE PÁDUA)"/>
    <n v="60.2"/>
    <n v="79.5"/>
    <n v="19.3"/>
    <x v="1"/>
    <m/>
    <m/>
    <s v="Estadual"/>
    <m/>
    <s v="RJ-186"/>
    <s v="PAV"/>
    <s v="Estadual"/>
    <s v="PLA"/>
    <s v="Campos"/>
  </r>
  <r>
    <x v="0"/>
    <s v="393BRJ0195"/>
    <n v="0"/>
    <x v="353"/>
    <s v="0195"/>
    <n v="-42.173733160257001"/>
    <n v="-21.5474829001157"/>
    <n v="-42.178425210255199"/>
    <n v="-21.552919989865501"/>
    <s v="393"/>
    <s v="RJ"/>
    <s v="Eixo Principal"/>
    <s v="-"/>
    <s v="393BRJ0195"/>
    <s v="ENTR RJ-116(A) (SANTO ANTÔNIO DE PÁDUA)"/>
    <s v="ENTR RJ-116(B) (P/ITAOCARA)"/>
    <n v="79.5"/>
    <n v="80.400000000000006"/>
    <n v="0.9"/>
    <x v="1"/>
    <m/>
    <m/>
    <s v="Estadual"/>
    <m/>
    <s v="RJ-186"/>
    <s v="PAV"/>
    <s v="Estadual"/>
    <s v="PLA"/>
    <s v="Campos"/>
  </r>
  <r>
    <x v="0"/>
    <s v="393BRJ0210"/>
    <n v="0"/>
    <x v="353"/>
    <s v="0210"/>
    <n v="-42.178425210255199"/>
    <n v="-21.552919989865501"/>
    <n v="-42.343107930186697"/>
    <n v="-21.6583271499779"/>
    <s v="393"/>
    <s v="RJ"/>
    <s v="Eixo Principal"/>
    <s v="-"/>
    <s v="393BRJ0210"/>
    <s v="ENTR RJ-116(B) (P/ITAOCARA)"/>
    <s v="DIV RJ/MG"/>
    <n v="80.400000000000006"/>
    <n v="105.3"/>
    <n v="24.9"/>
    <x v="1"/>
    <m/>
    <m/>
    <s v="Estadual"/>
    <m/>
    <s v="RJ-186"/>
    <s v="PAV"/>
    <s v="Estadual"/>
    <s v="PLA"/>
    <s v="Campos"/>
  </r>
  <r>
    <x v="0"/>
    <s v="393BRJ0270"/>
    <n v="0"/>
    <x v="353"/>
    <s v="0270"/>
    <n v="-42.668228400020602"/>
    <n v="-21.871666990439198"/>
    <n v="-42.681754350182999"/>
    <n v="-21.879651710258202"/>
    <s v="393"/>
    <s v="RJ"/>
    <s v="Eixo Principal"/>
    <s v="Coinc"/>
    <s v="393BRJ0270"/>
    <s v="DIV MG/RJ (ALÉM PARAÍBA)"/>
    <s v="ENTR BR-116(B)"/>
    <n v="105.3"/>
    <n v="107.4"/>
    <n v="2.1"/>
    <x v="2"/>
    <m/>
    <s v="116BRJ1470"/>
    <s v="Concessão Federal"/>
    <m/>
    <m/>
    <m/>
    <s v="Federal"/>
    <s v="PAV"/>
    <s v="Seropédica"/>
  </r>
  <r>
    <x v="0"/>
    <s v="393BRJ0275"/>
    <n v="0"/>
    <x v="353"/>
    <s v="0275"/>
    <n v="-42.681754350182999"/>
    <n v="-21.879651710258202"/>
    <n v="-42.850083269727001"/>
    <n v="-21.958732519689899"/>
    <s v="393"/>
    <s v="RJ"/>
    <s v="Eixo Principal"/>
    <s v="-"/>
    <s v="393BRJ0275"/>
    <s v="ENTR BR-116(B)"/>
    <s v="ENTR RJ-154"/>
    <n v="107.4"/>
    <n v="127.8"/>
    <n v="20.399999999999999"/>
    <x v="2"/>
    <m/>
    <m/>
    <s v="Concessão Federal"/>
    <m/>
    <m/>
    <m/>
    <s v="Federal"/>
    <s v="PAV"/>
    <s v="Seropédica"/>
  </r>
  <r>
    <x v="0"/>
    <s v="393BRJ0290"/>
    <n v="0"/>
    <x v="353"/>
    <s v="0290"/>
    <n v="-42.850083269727001"/>
    <n v="-21.958732519689899"/>
    <n v="-42.909177609858702"/>
    <n v="-21.992162189833099"/>
    <s v="393"/>
    <s v="RJ"/>
    <s v="Eixo Principal"/>
    <s v="-"/>
    <s v="393BRJ0290"/>
    <s v="ENTR RJ-154"/>
    <s v="SAPUCAIA"/>
    <n v="127.8"/>
    <n v="135.5"/>
    <n v="7.7"/>
    <x v="2"/>
    <m/>
    <m/>
    <s v="Concessão Federal"/>
    <m/>
    <m/>
    <m/>
    <s v="Federal"/>
    <s v="PAV"/>
    <s v="Seropédica"/>
  </r>
  <r>
    <x v="0"/>
    <s v="393BRJ0330"/>
    <n v="0"/>
    <x v="353"/>
    <s v="0330"/>
    <n v="-42.909177609858702"/>
    <n v="-21.992162189833099"/>
    <n v="-43.155578670019501"/>
    <n v="-22.125845679934098"/>
    <s v="393"/>
    <s v="RJ"/>
    <s v="Eixo Principal"/>
    <s v="-"/>
    <s v="393BRJ0330"/>
    <s v="SAPUCAIA"/>
    <s v="ENTR BR-040(A)"/>
    <n v="135.5"/>
    <n v="168.9"/>
    <n v="33.4"/>
    <x v="2"/>
    <m/>
    <m/>
    <s v="Concessão Federal"/>
    <m/>
    <m/>
    <m/>
    <s v="Federal"/>
    <s v="PAV"/>
    <s v="Seropédica"/>
  </r>
  <r>
    <x v="0"/>
    <s v="393BRJ0340"/>
    <n v="0"/>
    <x v="353"/>
    <s v="0340"/>
    <n v="-43.155578670019501"/>
    <n v="-22.125845679934098"/>
    <n v="-43.157571449862402"/>
    <n v="-22.120398620300001"/>
    <s v="393"/>
    <s v="RJ"/>
    <s v="Eixo Principal"/>
    <s v="Coinc"/>
    <s v="393BRJ0340"/>
    <s v="ENTR BR-040(A)"/>
    <s v="ENTR BR-040(B)"/>
    <n v="168.9"/>
    <n v="169.7"/>
    <n v="0.8"/>
    <x v="0"/>
    <m/>
    <s v="040BRJ0710"/>
    <s v="Concessão Federal"/>
    <m/>
    <m/>
    <m/>
    <s v="Federal"/>
    <s v="PAV"/>
    <s v="Seropédica"/>
  </r>
  <r>
    <x v="0"/>
    <s v="393BRJ0350"/>
    <n v="0"/>
    <x v="353"/>
    <s v="0350"/>
    <n v="-43.157571449862402"/>
    <n v="-22.120398620300001"/>
    <n v="-43.227689229973898"/>
    <n v="-22.127063680344499"/>
    <s v="393"/>
    <s v="RJ"/>
    <s v="Eixo Principal"/>
    <s v="-"/>
    <s v="393BRJ0350"/>
    <s v="ENTR BR-040(B)"/>
    <s v="ENTR RJ-131"/>
    <n v="169.7"/>
    <n v="177.9"/>
    <n v="8.1999999999999993"/>
    <x v="2"/>
    <m/>
    <m/>
    <s v="Concessão Federal"/>
    <m/>
    <m/>
    <m/>
    <s v="Federal"/>
    <s v="PAV"/>
    <s v="Seropédica"/>
  </r>
  <r>
    <x v="0"/>
    <s v="393BRJ0370"/>
    <n v="0"/>
    <x v="353"/>
    <s v="0370"/>
    <n v="-43.227689229973898"/>
    <n v="-22.127063680344499"/>
    <n v="-43.2314092801141"/>
    <n v="-22.124230430090201"/>
    <s v="393"/>
    <s v="RJ"/>
    <s v="Eixo Principal"/>
    <s v="-"/>
    <s v="393BRJ0370"/>
    <s v="ENTR RJ-131"/>
    <s v="ACESSO TRÊS RIOS"/>
    <n v="177.9"/>
    <n v="178.5"/>
    <n v="0.6"/>
    <x v="2"/>
    <m/>
    <m/>
    <s v="Concessão Federal"/>
    <m/>
    <m/>
    <m/>
    <s v="Federal"/>
    <s v="PAV"/>
    <s v="Seropédica"/>
  </r>
  <r>
    <x v="0"/>
    <s v="393BRJ0390"/>
    <n v="0"/>
    <x v="353"/>
    <s v="0390"/>
    <n v="-43.2314092801141"/>
    <n v="-22.124230430090201"/>
    <n v="-43.286733600175403"/>
    <n v="-22.143426889938901"/>
    <s v="393"/>
    <s v="RJ"/>
    <s v="Eixo Principal"/>
    <s v="-"/>
    <s v="393BRJ0390"/>
    <s v="ACESSO TRÊS RIOS"/>
    <s v="ACESSO PARAÍBA DO SUL"/>
    <n v="178.5"/>
    <n v="185.3"/>
    <n v="6.8"/>
    <x v="2"/>
    <m/>
    <m/>
    <s v="Concessão Federal"/>
    <m/>
    <m/>
    <m/>
    <s v="Federal"/>
    <s v="PAV"/>
    <s v="Seropédica"/>
  </r>
  <r>
    <x v="0"/>
    <s v="393BRJ0410"/>
    <n v="0"/>
    <x v="353"/>
    <s v="0410"/>
    <n v="-43.286733600175403"/>
    <n v="-22.143426889938901"/>
    <n v="-43.4181045501848"/>
    <n v="-22.238353369812099"/>
    <s v="393"/>
    <s v="RJ"/>
    <s v="Eixo Principal"/>
    <s v="-"/>
    <s v="393BRJ0410"/>
    <s v="ACESSO PARAÍBA DO SUL"/>
    <s v="ENTR RJ-135 (ANDRADE PINTO)"/>
    <n v="185.3"/>
    <n v="204.7"/>
    <n v="19.399999999999999"/>
    <x v="2"/>
    <m/>
    <m/>
    <s v="Concessão Federal"/>
    <m/>
    <m/>
    <m/>
    <s v="Federal"/>
    <s v="PAV"/>
    <s v="Seropédica"/>
  </r>
  <r>
    <x v="0"/>
    <s v="393BRJ0430"/>
    <n v="0"/>
    <x v="353"/>
    <s v="0430"/>
    <n v="-43.4181045501848"/>
    <n v="-22.238353369812099"/>
    <n v="-43.434633639730599"/>
    <n v="-22.2523297903874"/>
    <s v="393"/>
    <s v="RJ"/>
    <s v="Eixo Principal"/>
    <s v="-"/>
    <s v="393BRJ0430"/>
    <s v="ENTR RJ-135 (ANDRADE PINTO)"/>
    <s v="ENTR RJ-125 (UBÁ)"/>
    <n v="204.7"/>
    <n v="208.3"/>
    <n v="3.6"/>
    <x v="2"/>
    <m/>
    <m/>
    <s v="Concessão Federal"/>
    <m/>
    <m/>
    <m/>
    <s v="Federal"/>
    <s v="PAV"/>
    <s v="Seropédica"/>
  </r>
  <r>
    <x v="0"/>
    <s v="393BRJ0450"/>
    <n v="0"/>
    <x v="353"/>
    <s v="0450"/>
    <n v="-43.434633639730599"/>
    <n v="-22.2523297903874"/>
    <n v="-43.5350781195595"/>
    <n v="-22.325311299676599"/>
    <s v="393"/>
    <s v="RJ"/>
    <s v="Eixo Principal"/>
    <s v="-"/>
    <s v="393BRJ0450"/>
    <s v="ENTR RJ-125 (UBÁ)"/>
    <s v="ENTR BR-492 (MACAMBARA)"/>
    <n v="208.3"/>
    <n v="221.8"/>
    <n v="13.5"/>
    <x v="2"/>
    <m/>
    <m/>
    <s v="Concessão Federal"/>
    <m/>
    <m/>
    <m/>
    <s v="Federal"/>
    <s v="PAV"/>
    <s v="Seropédica"/>
  </r>
  <r>
    <x v="0"/>
    <s v="393BRJ0470"/>
    <n v="0"/>
    <x v="353"/>
    <s v="0470"/>
    <n v="-43.5350781195595"/>
    <n v="-22.325311299676599"/>
    <n v="-43.665674759582402"/>
    <n v="-22.402320570238"/>
    <s v="393"/>
    <s v="RJ"/>
    <s v="Eixo Principal"/>
    <s v="-"/>
    <s v="393BRJ0470"/>
    <s v="ENTR BR-492 (MACAMBARA)"/>
    <s v="ENTR RJ-115 (VASSOURAS)"/>
    <n v="221.8"/>
    <n v="238.2"/>
    <n v="16.399999999999999"/>
    <x v="2"/>
    <m/>
    <m/>
    <s v="Concessão Federal"/>
    <m/>
    <m/>
    <m/>
    <s v="Federal"/>
    <s v="PAV"/>
    <s v="Seropédica"/>
  </r>
  <r>
    <x v="0"/>
    <s v="393BRJ0490"/>
    <n v="0"/>
    <x v="353"/>
    <s v="0490"/>
    <n v="-43.665674759582402"/>
    <n v="-22.402320570238"/>
    <n v="-43.697213640197198"/>
    <n v="-22.4293372198367"/>
    <s v="393"/>
    <s v="RJ"/>
    <s v="Eixo Principal"/>
    <s v="-"/>
    <s v="393BRJ0490"/>
    <s v="ENTR RJ-115 (VASSOURAS)"/>
    <s v="ENTR RJ-127"/>
    <n v="238.2"/>
    <n v="242.7"/>
    <n v="4.5"/>
    <x v="2"/>
    <m/>
    <m/>
    <s v="Concessão Federal"/>
    <m/>
    <m/>
    <m/>
    <s v="Federal"/>
    <s v="PAV"/>
    <s v="Seropédica"/>
  </r>
  <r>
    <x v="0"/>
    <s v="393BRJ0510"/>
    <n v="0"/>
    <x v="353"/>
    <s v="0510"/>
    <n v="-43.697213640197198"/>
    <n v="-22.4293372198367"/>
    <n v="-43.839227439794399"/>
    <n v="-22.4566601704304"/>
    <s v="393"/>
    <s v="RJ"/>
    <s v="Eixo Principal"/>
    <s v="-"/>
    <s v="393BRJ0510"/>
    <s v="ENTR RJ-127"/>
    <s v="ENTR RJ-145 (P/BARRA DO PIRAÍ)"/>
    <n v="242.7"/>
    <n v="259.7"/>
    <n v="17"/>
    <x v="2"/>
    <m/>
    <m/>
    <s v="Concessão Federal"/>
    <m/>
    <m/>
    <m/>
    <s v="Federal"/>
    <s v="PAV"/>
    <s v="Seropédica"/>
  </r>
  <r>
    <x v="0"/>
    <s v="393BRJ0530"/>
    <n v="0"/>
    <x v="353"/>
    <s v="0530"/>
    <n v="-43.839227439794399"/>
    <n v="-22.4566601704304"/>
    <n v="-43.943962860297702"/>
    <n v="-22.476755189700199"/>
    <s v="393"/>
    <s v="RJ"/>
    <s v="Eixo Principal"/>
    <s v="-"/>
    <s v="393BRJ0530"/>
    <s v="ENTR RJ-145 (P/BARRA DO PIRAÍ)"/>
    <s v="ENTR RJ-141 (P/DORÂNDIA)"/>
    <n v="259.7"/>
    <n v="272.3"/>
    <n v="12.6"/>
    <x v="2"/>
    <m/>
    <m/>
    <s v="Concessão Federal"/>
    <m/>
    <m/>
    <m/>
    <s v="Federal"/>
    <s v="PAV"/>
    <s v="Seropédica"/>
  </r>
  <r>
    <x v="0"/>
    <s v="393BRJ0550"/>
    <n v="0"/>
    <x v="353"/>
    <s v="0550"/>
    <n v="-43.943962860297702"/>
    <n v="-22.476755189700199"/>
    <n v="-44.081954819758998"/>
    <n v="-22.5095137299746"/>
    <s v="393"/>
    <s v="RJ"/>
    <s v="Eixo Principal"/>
    <s v="-"/>
    <s v="393BRJ0550"/>
    <s v="ENTR RJ-141 (P/DORÂNDIA)"/>
    <s v="FIM DA CONCESSÃO"/>
    <n v="272.3"/>
    <n v="288.60000000000002"/>
    <n v="16.3"/>
    <x v="2"/>
    <m/>
    <m/>
    <s v="Concessão Federal"/>
    <m/>
    <m/>
    <m/>
    <s v="Federal"/>
    <s v="PAV"/>
    <s v="Seropédica"/>
  </r>
  <r>
    <x v="0"/>
    <s v="393BRJ0560"/>
    <n v="0"/>
    <x v="353"/>
    <s v="0560"/>
    <n v="-44.081954819758998"/>
    <n v="-22.5095137299746"/>
    <n v="-44.0953831404195"/>
    <n v="-22.512517280348099"/>
    <s v="393"/>
    <s v="RJ"/>
    <s v="Eixo Principal"/>
    <s v="-"/>
    <s v="393BRJ0560"/>
    <s v="FIM DA CONCESSÃO"/>
    <s v="ENTR BR-494/RJ-153 (P/NOSSA SENHORA DO AMPARO)"/>
    <n v="288.60000000000002"/>
    <n v="290.2"/>
    <n v="1.6"/>
    <x v="2"/>
    <m/>
    <m/>
    <s v="Federal"/>
    <m/>
    <m/>
    <m/>
    <s v="Federal"/>
    <s v="PAV"/>
    <s v="Seropédica"/>
  </r>
  <r>
    <x v="0"/>
    <s v="393BRJ0570"/>
    <n v="0"/>
    <x v="353"/>
    <s v="0570"/>
    <n v="-44.0953831404195"/>
    <n v="-22.512517280348099"/>
    <n v="-44.101519909915801"/>
    <n v="-22.5141781896716"/>
    <s v="393"/>
    <s v="RJ"/>
    <s v="Eixo Principal"/>
    <s v="-"/>
    <s v="393BRJ0570"/>
    <s v="ENTR BR-494/RJ-153 (P/NOSSA SENHORA DO AMPARO)"/>
    <s v="INÍCIO DUPLICAÇÃO"/>
    <n v="290.2"/>
    <n v="291.10000000000002"/>
    <n v="0.9"/>
    <x v="2"/>
    <m/>
    <s v="494BRJ0280"/>
    <s v="Federal"/>
    <m/>
    <m/>
    <m/>
    <s v="Federal"/>
    <s v="PAV"/>
    <s v="Seropédica"/>
  </r>
  <r>
    <x v="0"/>
    <s v="393BRJ0590"/>
    <n v="0"/>
    <x v="353"/>
    <s v="0590"/>
    <n v="-44.101519909915801"/>
    <n v="-22.5141781896716"/>
    <n v="-44.116327320249503"/>
    <n v="-22.534393090368699"/>
    <s v="393"/>
    <s v="RJ"/>
    <s v="Eixo Principal"/>
    <s v="-"/>
    <s v="393BRJ0590"/>
    <s v="INÍCIO DUPLICAÇÃO"/>
    <s v="FIM DUPLICAÇÃO *TRECHO URBANO*"/>
    <n v="291.10000000000002"/>
    <n v="294.5"/>
    <n v="3.4"/>
    <x v="0"/>
    <m/>
    <s v="494BRJ0290"/>
    <s v="Federal"/>
    <m/>
    <m/>
    <m/>
    <s v="Federal"/>
    <s v="PAV"/>
    <s v="Seropédica"/>
  </r>
  <r>
    <x v="0"/>
    <s v="393BRJ0610"/>
    <n v="0"/>
    <x v="353"/>
    <s v="0610"/>
    <n v="-44.116327320249503"/>
    <n v="-22.534393090368699"/>
    <n v="-44.122239859981498"/>
    <n v="-22.560881710222699"/>
    <s v="393"/>
    <s v="RJ"/>
    <s v="Eixo Principal"/>
    <s v="-"/>
    <s v="393BRJ0610"/>
    <s v="LIMITE MUNIC VOLTA REDONDA/BARRA MANSA"/>
    <s v="ENTR BR-116 *TRECHO URBANO*"/>
    <n v="294.5"/>
    <n v="298.2"/>
    <n v="3.7"/>
    <x v="2"/>
    <m/>
    <s v="494BRJ0310"/>
    <s v="Federal"/>
    <m/>
    <m/>
    <m/>
    <s v="Federal"/>
    <s v="PAV"/>
    <s v="Seropédica"/>
  </r>
  <r>
    <x v="0"/>
    <s v="393VRJ1005"/>
    <n v="0"/>
    <x v="354"/>
    <s v="1005"/>
    <n v="-43.406130220133399"/>
    <n v="-22.214537509898001"/>
    <n v="-43.413409580088"/>
    <n v="-22.2180874397834"/>
    <s v="393"/>
    <s v="RJ"/>
    <s v="Variante"/>
    <s v="-"/>
    <s v="393VRJ1005"/>
    <s v="ENTR BR-393 (I)"/>
    <s v="ENTR BR-393 (II) (VARIANTE MADALENA - TRECHO 1)"/>
    <n v="0"/>
    <n v="0.9"/>
    <n v="0.9"/>
    <x v="2"/>
    <m/>
    <m/>
    <s v="Concessão Federal"/>
    <m/>
    <m/>
    <m/>
    <s v="Federal"/>
    <s v="PAV"/>
    <s v="Seropédica"/>
  </r>
  <r>
    <x v="0"/>
    <s v="393VRJ1010"/>
    <n v="0"/>
    <x v="354"/>
    <s v="1010"/>
    <n v="-43.413409560302902"/>
    <n v="-22.218087349851199"/>
    <n v="-43.420590670223099"/>
    <n v="-22.2237764701079"/>
    <s v="393"/>
    <s v="RJ"/>
    <s v="Variante"/>
    <s v="-"/>
    <s v="393VRJ1010"/>
    <s v="ENTR BR-393 (II) (VARIANTE MADALENA - TRECHO 1)"/>
    <s v="ENTR BR-393 (III) (VARIANTE MADALENA - TRECHO 2)"/>
    <n v="0.9"/>
    <n v="1.9"/>
    <n v="1"/>
    <x v="2"/>
    <m/>
    <m/>
    <s v="Concessão Federal"/>
    <m/>
    <m/>
    <m/>
    <s v="Federal"/>
    <s v="PAV"/>
    <s v="Seropédica"/>
  </r>
  <r>
    <x v="0"/>
    <s v="401ARR1005"/>
    <n v="0"/>
    <x v="355"/>
    <s v="1005"/>
    <n v="-59.946949369817503"/>
    <n v="3.3105709297046801"/>
    <n v="-59.904001490076602"/>
    <n v="3.3557041503263401"/>
    <s v="401"/>
    <s v="RR"/>
    <s v="Acesso"/>
    <s v="-"/>
    <s v="401ARR1005"/>
    <s v="ENTR BR-401 (KM 106,9)"/>
    <s v="IGARAPÉ ARRAIA"/>
    <n v="0"/>
    <n v="7.1"/>
    <n v="7.1"/>
    <x v="2"/>
    <m/>
    <m/>
    <s v="Federal"/>
    <m/>
    <m/>
    <m/>
    <s v="Federal"/>
    <s v="PAV"/>
    <s v="Boa Vista"/>
  </r>
  <r>
    <x v="0"/>
    <s v="401ARR1010"/>
    <n v="0"/>
    <x v="355"/>
    <s v="1010"/>
    <n v="-59.904001490076602"/>
    <n v="3.3557041503263401"/>
    <n v="-59.811797550316598"/>
    <n v="3.3805715398446998"/>
    <s v="401"/>
    <s v="RR"/>
    <s v="Acesso"/>
    <s v="-"/>
    <s v="401ARR1010"/>
    <s v="IGARAPÉ ARRAIA"/>
    <s v="FRONT BRASIL/GUIANA (PONTE INTERNACIONAL SOBRE O RIO TACUTU)"/>
    <n v="7.1"/>
    <n v="17.899999999999999"/>
    <n v="10.8"/>
    <x v="2"/>
    <m/>
    <m/>
    <s v="Federal"/>
    <m/>
    <m/>
    <m/>
    <s v="Federal"/>
    <s v="PAV"/>
    <s v="Boa Vista"/>
  </r>
  <r>
    <x v="0"/>
    <s v="401BRR0010"/>
    <n v="0"/>
    <x v="356"/>
    <s v="0010"/>
    <n v="-60.690132320150397"/>
    <n v="2.8064423203568301"/>
    <n v="-60.676157580407903"/>
    <n v="2.79894036020948"/>
    <s v="401"/>
    <s v="RR"/>
    <s v="Eixo Principal"/>
    <s v="-"/>
    <s v="401BRR0010"/>
    <s v="ENTR BR-174 (BOA VISTA)"/>
    <s v="RIO BRANCO (INÍCIO DA PONTE DOS MACUXIS)"/>
    <n v="0"/>
    <n v="1.8"/>
    <n v="1.8"/>
    <x v="0"/>
    <m/>
    <m/>
    <s v="Convênio de Administração"/>
    <m/>
    <m/>
    <m/>
    <s v="Federal"/>
    <s v="PAV"/>
    <s v="Boa Vista"/>
  </r>
  <r>
    <x v="0"/>
    <s v="401BRR0014"/>
    <n v="0"/>
    <x v="356"/>
    <s v="0014"/>
    <n v="-60.676157580407903"/>
    <n v="2.79894036020948"/>
    <n v="-60.666549239855399"/>
    <n v="2.7938003201286898"/>
    <s v="401"/>
    <s v="RR"/>
    <s v="Eixo Principal"/>
    <s v="-"/>
    <s v="401BRR0014"/>
    <s v="RIO BRANCO (INÍCIO DA PONTE DOS MACUXIS)"/>
    <s v="RIO BRANCO (FIM DA PONTE DOS MACUXIS)"/>
    <n v="1.8"/>
    <n v="3"/>
    <n v="1.2"/>
    <x v="2"/>
    <m/>
    <m/>
    <s v="Federal"/>
    <m/>
    <m/>
    <m/>
    <s v="Federal"/>
    <s v="PAV"/>
    <s v="Boa Vista"/>
  </r>
  <r>
    <x v="0"/>
    <s v="401BRR0018"/>
    <n v="0"/>
    <x v="356"/>
    <s v="0018"/>
    <n v="-60.666549239855399"/>
    <n v="2.7938003201286898"/>
    <n v="-60.6099099499841"/>
    <n v="2.8118132397892102"/>
    <s v="401"/>
    <s v="RR"/>
    <s v="Eixo Principal"/>
    <s v="-"/>
    <s v="401BRR0018"/>
    <s v="RIO BRANCO (FIM DA PONTE DOS MACUXIS)"/>
    <s v="ENTR BR-432 (SÃO BENTO DO SURRÃO)"/>
    <n v="3"/>
    <n v="10.4"/>
    <n v="7.4"/>
    <x v="2"/>
    <s v="EOD"/>
    <m/>
    <s v="Federal"/>
    <m/>
    <m/>
    <m/>
    <s v="Federal"/>
    <s v="PAV"/>
    <s v="Boa Vista"/>
  </r>
  <r>
    <x v="0"/>
    <s v="401BRR0030"/>
    <n v="0"/>
    <x v="356"/>
    <s v="0030"/>
    <n v="-60.6099099499841"/>
    <n v="2.8118132397892102"/>
    <n v="-60.592983670359999"/>
    <n v="2.8259196699568698"/>
    <s v="401"/>
    <s v="RR"/>
    <s v="Eixo Principal"/>
    <s v="-"/>
    <s v="401BRR0030"/>
    <s v="ENTR BR-432 (SÃO BENTO DO SURRÃO)"/>
    <s v="IGARAPÉ AZUL"/>
    <n v="10.4"/>
    <n v="12.9"/>
    <n v="2.5"/>
    <x v="2"/>
    <m/>
    <m/>
    <s v="Federal"/>
    <m/>
    <m/>
    <m/>
    <s v="Federal"/>
    <s v="PAV"/>
    <s v="Boa Vista"/>
  </r>
  <r>
    <x v="0"/>
    <s v="401BRR0035"/>
    <n v="0"/>
    <x v="356"/>
    <s v="0035"/>
    <n v="-60.592983670359999"/>
    <n v="2.8259196699568698"/>
    <n v="-60.559151909732797"/>
    <n v="2.8624940399679901"/>
    <s v="401"/>
    <s v="RR"/>
    <s v="Eixo Principal"/>
    <s v="-"/>
    <s v="401BRR0035"/>
    <s v="IGARAPÉ AZUL"/>
    <s v="IGARAPÉ SURRÃO"/>
    <n v="12.9"/>
    <n v="18.399999999999999"/>
    <n v="5.5"/>
    <x v="2"/>
    <m/>
    <m/>
    <s v="Federal"/>
    <m/>
    <m/>
    <m/>
    <s v="Federal"/>
    <s v="PAV"/>
    <s v="Boa Vista"/>
  </r>
  <r>
    <x v="0"/>
    <s v="401BRR0040"/>
    <n v="0"/>
    <x v="356"/>
    <s v="0040"/>
    <n v="-60.559151909732797"/>
    <n v="2.8624940399679901"/>
    <n v="-60.483154909771201"/>
    <n v="2.90927387968582"/>
    <s v="401"/>
    <s v="RR"/>
    <s v="Eixo Principal"/>
    <s v="-"/>
    <s v="401BRR0040"/>
    <s v="IGARAPÉ SURRÃO"/>
    <s v="ENTR RR-206"/>
    <n v="18.399999999999999"/>
    <n v="28.7"/>
    <n v="10.3"/>
    <x v="2"/>
    <m/>
    <m/>
    <s v="Federal"/>
    <m/>
    <m/>
    <m/>
    <s v="Federal"/>
    <s v="PAV"/>
    <s v="Boa Vista"/>
  </r>
  <r>
    <x v="0"/>
    <s v="401BRR0050"/>
    <n v="0"/>
    <x v="356"/>
    <s v="0050"/>
    <n v="-60.483154909771201"/>
    <n v="2.90927387968582"/>
    <n v="-60.454262029768799"/>
    <n v="2.9672697698840098"/>
    <s v="401"/>
    <s v="RR"/>
    <s v="Eixo Principal"/>
    <s v="-"/>
    <s v="401BRR0050"/>
    <s v="ENTR RR-206"/>
    <s v="IGARAPÉ JUARI"/>
    <n v="28.7"/>
    <n v="35.9"/>
    <n v="7.2"/>
    <x v="2"/>
    <m/>
    <m/>
    <s v="Federal"/>
    <m/>
    <m/>
    <m/>
    <s v="Federal"/>
    <s v="PAV"/>
    <s v="Boa Vista"/>
  </r>
  <r>
    <x v="0"/>
    <s v="401BRR0060"/>
    <n v="0"/>
    <x v="356"/>
    <s v="0060"/>
    <n v="-60.454262029768799"/>
    <n v="2.9672697698840098"/>
    <n v="-60.275924899614303"/>
    <n v="3.1379749797615601"/>
    <s v="401"/>
    <s v="RR"/>
    <s v="Eixo Principal"/>
    <s v="-"/>
    <s v="401BRR0060"/>
    <s v="IGARAPÉ JUARI"/>
    <s v="IGARAPÉ GARRAFA"/>
    <n v="35.9"/>
    <n v="64.099999999999994"/>
    <n v="28.2"/>
    <x v="2"/>
    <m/>
    <m/>
    <s v="Federal"/>
    <m/>
    <m/>
    <m/>
    <s v="Federal"/>
    <s v="PAV"/>
    <s v="Boa Vista"/>
  </r>
  <r>
    <x v="0"/>
    <s v="401BRR0070"/>
    <n v="0"/>
    <x v="356"/>
    <s v="0070"/>
    <n v="-60.275924899614303"/>
    <n v="3.1379749797615601"/>
    <n v="-59.946949369817503"/>
    <n v="3.3105709297046801"/>
    <s v="401"/>
    <s v="RR"/>
    <s v="Eixo Principal"/>
    <s v="-"/>
    <s v="401BRR0070"/>
    <s v="IGARAPÉ GARRAFA"/>
    <s v="ACESSO BONFIM"/>
    <n v="64.099999999999994"/>
    <n v="107"/>
    <n v="42.9"/>
    <x v="2"/>
    <m/>
    <m/>
    <s v="Federal"/>
    <m/>
    <m/>
    <m/>
    <s v="Federal"/>
    <s v="PAV"/>
    <s v="Boa Vista"/>
  </r>
  <r>
    <x v="0"/>
    <s v="401BRR0080"/>
    <n v="0"/>
    <x v="356"/>
    <s v="0080"/>
    <n v="-59.946949369817503"/>
    <n v="3.3105709297046801"/>
    <n v="-59.889865890398397"/>
    <n v="3.5679572895973002"/>
    <s v="401"/>
    <s v="RR"/>
    <s v="Eixo Principal"/>
    <s v="-"/>
    <s v="401BRR0080"/>
    <s v="ACESSO BONFIM"/>
    <s v="RIO ITACUTÚ (CONCEIÇÃO DO MÁU)"/>
    <n v="107"/>
    <n v="137.5"/>
    <n v="30.5"/>
    <x v="5"/>
    <m/>
    <m/>
    <s v="Federal"/>
    <m/>
    <m/>
    <m/>
    <s v="Federal"/>
    <s v="N_PAV"/>
    <s v="Boa Vista"/>
  </r>
  <r>
    <x v="0"/>
    <s v="401BRR0090"/>
    <n v="0"/>
    <x v="356"/>
    <s v="0090"/>
    <n v="-59.889865890398397"/>
    <n v="3.5679572895973002"/>
    <n v="-59.737285719560198"/>
    <n v="3.80136157957326"/>
    <s v="401"/>
    <s v="RR"/>
    <s v="Eixo Principal"/>
    <s v="-"/>
    <s v="401BRR0090"/>
    <s v="RIO ITACUTÚ (CONCEIÇÃO DO MÁU)"/>
    <s v="ENTR BR-433"/>
    <n v="137.5"/>
    <n v="169.8"/>
    <n v="32.299999999999997"/>
    <x v="5"/>
    <m/>
    <m/>
    <s v="Federal"/>
    <m/>
    <m/>
    <m/>
    <s v="Federal"/>
    <s v="N_PAV"/>
    <s v="Boa Vista"/>
  </r>
  <r>
    <x v="0"/>
    <s v="401BRR0100"/>
    <n v="0"/>
    <x v="356"/>
    <s v="0100"/>
    <n v="-59.737285719560198"/>
    <n v="3.80136157957326"/>
    <n v="-59.684197990045099"/>
    <n v="3.8465932300935601"/>
    <s v="401"/>
    <s v="RR"/>
    <s v="Eixo Principal"/>
    <s v="-"/>
    <s v="401BRR0100"/>
    <s v="ENTR BR-433"/>
    <s v="INÍCIO DA PAVIMENTAÇÃO"/>
    <n v="169.8"/>
    <n v="177.5"/>
    <n v="7.7"/>
    <x v="5"/>
    <m/>
    <m/>
    <s v="Federal"/>
    <m/>
    <m/>
    <m/>
    <s v="Federal"/>
    <s v="N_PAV"/>
    <s v="Boa Vista"/>
  </r>
  <r>
    <x v="0"/>
    <s v="401BRR0110"/>
    <n v="0"/>
    <x v="356"/>
    <s v="0110"/>
    <n v="-59.684197990045099"/>
    <n v="3.8465932300935601"/>
    <n v="-59.626258429782602"/>
    <n v="3.8834232998454401"/>
    <s v="401"/>
    <s v="RR"/>
    <s v="Eixo Principal"/>
    <s v="-"/>
    <s v="401BRR0110"/>
    <s v="INÍCIO DA PAVIMENTAÇÃO"/>
    <s v="ENTR AV.MAURÍCIO HABERT (NORMANDIA)"/>
    <n v="177.5"/>
    <n v="185.2"/>
    <n v="7.7"/>
    <x v="2"/>
    <m/>
    <m/>
    <s v="Federal"/>
    <m/>
    <m/>
    <m/>
    <s v="Federal"/>
    <s v="PAV"/>
    <s v="Boa Vista"/>
  </r>
  <r>
    <x v="0"/>
    <s v="401BRR0120"/>
    <n v="0"/>
    <x v="356"/>
    <s v="0120"/>
    <n v="-59.626258429782602"/>
    <n v="3.8834232998454401"/>
    <n v="-59.59447333008"/>
    <n v="3.8801174603525501"/>
    <s v="401"/>
    <s v="RR"/>
    <s v="Eixo Principal"/>
    <s v="-"/>
    <s v="401BRR0120"/>
    <s v="ENTR AV.MAURÍCIO HABERT (NORMANDIA)"/>
    <s v="FRONT BRASIL/GUIANA (NORMANDIA)"/>
    <n v="185.2"/>
    <n v="187"/>
    <n v="1.8"/>
    <x v="1"/>
    <m/>
    <m/>
    <s v="Federal"/>
    <m/>
    <m/>
    <m/>
    <s v="Federal"/>
    <s v="PLA"/>
    <m/>
  </r>
  <r>
    <x v="0"/>
    <s v="402BCE0220"/>
    <n v="0"/>
    <x v="357"/>
    <s v="0220"/>
    <n v="-41.2552591500896"/>
    <n v="-3.0785199699206398"/>
    <n v="-41.2437124701543"/>
    <n v="-3.0417369500002001"/>
    <s v="402"/>
    <s v="CE"/>
    <s v="Eixo Principal"/>
    <s v="-"/>
    <s v="402BCE0220"/>
    <s v="ENTR CE-085(A) (DIV PI/CE)"/>
    <s v="CHAVAL"/>
    <n v="0"/>
    <n v="4.4000000000000004"/>
    <n v="4.4000000000000004"/>
    <x v="1"/>
    <m/>
    <m/>
    <s v="Estadual"/>
    <m/>
    <s v="CE-085"/>
    <s v="PAV"/>
    <s v="Estadual"/>
    <s v="PLA"/>
    <s v="Sobral"/>
  </r>
  <r>
    <x v="0"/>
    <s v="402BCE0230"/>
    <n v="0"/>
    <x v="357"/>
    <s v="0230"/>
    <n v="-41.2437124701543"/>
    <n v="-3.0417369500002001"/>
    <n v="-41.137924859944199"/>
    <n v="-3.0194699196010699"/>
    <s v="402"/>
    <s v="CE"/>
    <s v="Eixo Principal"/>
    <s v="-"/>
    <s v="402BCE0230"/>
    <s v="CHAVAL"/>
    <s v="ENTR CE-187 (BARROQUINHA)"/>
    <n v="4.4000000000000004"/>
    <n v="17.600000000000001"/>
    <n v="13.2"/>
    <x v="1"/>
    <m/>
    <m/>
    <s v="Estadual"/>
    <m/>
    <s v="CE-085"/>
    <s v="PAV"/>
    <s v="Estadual"/>
    <s v="PLA"/>
    <s v="Sobral"/>
  </r>
  <r>
    <x v="0"/>
    <s v="402BCE0240"/>
    <n v="0"/>
    <x v="357"/>
    <s v="0240"/>
    <n v="-41.137924859944199"/>
    <n v="-3.0194699196010699"/>
    <n v="-40.855552939616402"/>
    <n v="-2.9280912103410501"/>
    <s v="402"/>
    <s v="CE"/>
    <s v="Eixo Principal"/>
    <s v="-"/>
    <s v="402BCE0240"/>
    <s v="ENTR CE-187 (BARROQUINHA)"/>
    <s v="CAMOCIM"/>
    <n v="17.600000000000001"/>
    <n v="52.3"/>
    <n v="34.700000000000003"/>
    <x v="1"/>
    <m/>
    <m/>
    <s v="Estadual"/>
    <m/>
    <s v="CE-085"/>
    <s v="PAV"/>
    <s v="Estadual"/>
    <s v="PLA"/>
    <s v="Sobral"/>
  </r>
  <r>
    <x v="0"/>
    <s v="402BCE0250"/>
    <n v="0"/>
    <x v="357"/>
    <s v="0250"/>
    <n v="-40.855552939616402"/>
    <n v="-2.9280912103410501"/>
    <n v="-40.834260650208797"/>
    <n v="-3.1294255700339502"/>
    <s v="402"/>
    <s v="CE"/>
    <s v="Eixo Principal"/>
    <s v="-"/>
    <s v="402BCE0250"/>
    <s v="CAMOCIM"/>
    <s v="ENTR CE-311/362/364 (GRANJA)"/>
    <n v="52.3"/>
    <n v="75.099999999999994"/>
    <n v="22.8"/>
    <x v="1"/>
    <m/>
    <m/>
    <s v="Estadual"/>
    <m/>
    <s v="CE-085"/>
    <s v="PAV"/>
    <s v="Estadual"/>
    <s v="PLA"/>
    <s v="Sobral"/>
  </r>
  <r>
    <x v="0"/>
    <s v="402BCE0270"/>
    <n v="0"/>
    <x v="357"/>
    <s v="0270"/>
    <n v="-40.834260650208797"/>
    <n v="-3.1294255700339502"/>
    <n v="-40.669165690044501"/>
    <n v="-3.0376085303093898"/>
    <s v="402"/>
    <s v="CE"/>
    <s v="Eixo Principal"/>
    <s v="-"/>
    <s v="402BCE0270"/>
    <s v="ENTR CE-311/362/364 (GRANJA)"/>
    <s v="ENTR CE-085(B)/313 (PARAZINHO)"/>
    <n v="75.099999999999994"/>
    <n v="94.6"/>
    <n v="19.5"/>
    <x v="5"/>
    <m/>
    <m/>
    <s v="Federal"/>
    <m/>
    <m/>
    <m/>
    <s v="Federal"/>
    <s v="N_PAV"/>
    <s v="Sobral"/>
  </r>
  <r>
    <x v="0"/>
    <s v="402BCE0280"/>
    <n v="0"/>
    <x v="357"/>
    <s v="0280"/>
    <n v="-40.669165690044501"/>
    <n v="-3.0376085303093898"/>
    <n v="-40.1510952399532"/>
    <n v="-3.1254726899126699"/>
    <s v="402"/>
    <s v="CE"/>
    <s v="Eixo Principal"/>
    <s v="-"/>
    <s v="402BCE0280"/>
    <s v="ENTR CE-085(B)/313 (PARAZINHO)"/>
    <s v="ENTR CE-179/319 (MARCO)"/>
    <n v="94.6"/>
    <n v="175.5"/>
    <n v="80.900000000000006"/>
    <x v="3"/>
    <s v="EOI"/>
    <m/>
    <s v="Federal"/>
    <m/>
    <m/>
    <m/>
    <s v="Federal"/>
    <s v="N_PAV"/>
    <s v="Sobral"/>
  </r>
  <r>
    <x v="0"/>
    <s v="402BCE0290"/>
    <n v="0"/>
    <x v="357"/>
    <s v="0290"/>
    <n v="-40.1510952399532"/>
    <n v="-3.1254726899126699"/>
    <n v="-40.084232320365203"/>
    <n v="-3.12394227041937"/>
    <s v="402"/>
    <s v="CE"/>
    <s v="Eixo Principal"/>
    <s v="-"/>
    <s v="402BCE0290"/>
    <s v="ENTR CE-179/319 (MARCO)"/>
    <s v="ENTR BR-403(A)"/>
    <n v="175.5"/>
    <n v="183"/>
    <n v="7.5"/>
    <x v="2"/>
    <m/>
    <m/>
    <s v="Federal"/>
    <m/>
    <m/>
    <m/>
    <s v="Federal"/>
    <s v="PAV"/>
    <s v="Fortaleza"/>
  </r>
  <r>
    <x v="0"/>
    <s v="402BCE0310"/>
    <n v="0"/>
    <x v="357"/>
    <s v="0310"/>
    <n v="-40.084232320365203"/>
    <n v="-3.12394227041937"/>
    <n v="-40.087737960438403"/>
    <n v="-3.22366275013575"/>
    <s v="402"/>
    <s v="CE"/>
    <s v="Eixo Principal"/>
    <s v="-"/>
    <s v="402BCE0310"/>
    <s v="ENTR BR-403(A)"/>
    <s v="ENTR BR-403(B) (P/MORRINHOS)"/>
    <n v="183"/>
    <n v="193.9"/>
    <n v="10.9"/>
    <x v="2"/>
    <m/>
    <s v="403BCE0040"/>
    <s v="Federal"/>
    <m/>
    <m/>
    <m/>
    <s v="Federal"/>
    <s v="PAV"/>
    <s v="Sobral"/>
  </r>
  <r>
    <x v="0"/>
    <s v="402BCE0330"/>
    <n v="0"/>
    <x v="357"/>
    <s v="0330"/>
    <n v="-40.087737960438403"/>
    <n v="-3.22366275013575"/>
    <n v="-39.914128540199897"/>
    <n v="-3.27091869993802"/>
    <s v="402"/>
    <s v="CE"/>
    <s v="Eixo Principal"/>
    <s v="-"/>
    <s v="402BCE0330"/>
    <s v="ENTR BR-403(B) (P/MORRINHOS)"/>
    <s v="ENTR CE-434 (NASCENTE)"/>
    <n v="193.9"/>
    <n v="214.7"/>
    <n v="20.8"/>
    <x v="2"/>
    <m/>
    <m/>
    <s v="Federal"/>
    <m/>
    <m/>
    <m/>
    <s v="Federal"/>
    <s v="PAV"/>
    <s v="Sobral"/>
  </r>
  <r>
    <x v="0"/>
    <s v="402BCE0340"/>
    <n v="0"/>
    <x v="357"/>
    <s v="0340"/>
    <n v="-39.914128540199897"/>
    <n v="-3.27091869993802"/>
    <n v="-39.831954750011597"/>
    <n v="-3.3663321698936599"/>
    <s v="402"/>
    <s v="CE"/>
    <s v="Eixo Principal"/>
    <s v="-"/>
    <s v="402BCE0340"/>
    <s v="ENTR CE-434 (NASCENTE)"/>
    <s v="ENTR CE-176 (AMONTADA)"/>
    <n v="214.7"/>
    <n v="229.5"/>
    <n v="14.8"/>
    <x v="2"/>
    <m/>
    <m/>
    <s v="Federal"/>
    <m/>
    <m/>
    <m/>
    <s v="Federal"/>
    <s v="PAV"/>
    <s v="Sobral"/>
  </r>
  <r>
    <x v="0"/>
    <s v="402BCE0345"/>
    <n v="0"/>
    <x v="357"/>
    <s v="0345"/>
    <n v="-39.831954750011597"/>
    <n v="-3.3663321698936599"/>
    <n v="-39.613880819843899"/>
    <n v="-3.48550083959202"/>
    <s v="402"/>
    <s v="CE"/>
    <s v="Eixo Principal"/>
    <s v="-"/>
    <s v="402BCE0345"/>
    <s v="ENTR CE-176 (AMONTADA)"/>
    <s v="INÍCIO DA DUPLICAÇÃO"/>
    <n v="229.5"/>
    <n v="258.5"/>
    <n v="29"/>
    <x v="2"/>
    <m/>
    <m/>
    <s v="Federal"/>
    <m/>
    <m/>
    <m/>
    <s v="Federal"/>
    <s v="PAV"/>
    <s v="Sobral"/>
  </r>
  <r>
    <x v="0"/>
    <s v="402BCE0348"/>
    <n v="0"/>
    <x v="357"/>
    <s v="0348"/>
    <n v="-39.613880819843899"/>
    <n v="-3.48550083959202"/>
    <n v="-39.590900059589998"/>
    <n v="-3.4971574598488302"/>
    <s v="402"/>
    <s v="CE"/>
    <s v="Eixo Principal"/>
    <s v="-"/>
    <s v="402BCE0348"/>
    <s v="INÍCIO DA DUPLICAÇÃO"/>
    <s v="ENTR CE-168 (ITAPIPOCA - FIM DA DUPLICAÇÃO)"/>
    <n v="258.5"/>
    <n v="261.39999999999998"/>
    <n v="2.9"/>
    <x v="0"/>
    <m/>
    <m/>
    <s v="Federal"/>
    <m/>
    <m/>
    <m/>
    <s v="Federal"/>
    <s v="PAV"/>
    <s v="Sobral"/>
  </r>
  <r>
    <x v="0"/>
    <s v="402BCE0350"/>
    <n v="0"/>
    <x v="357"/>
    <s v="0350"/>
    <n v="-39.590900059589998"/>
    <n v="-3.4971574598488302"/>
    <n v="-39.575759310144001"/>
    <n v="-3.4920707702498199"/>
    <s v="402"/>
    <s v="CE"/>
    <s v="Eixo Principal"/>
    <s v="-"/>
    <s v="402BCE0350"/>
    <s v="ENTR CE-168 (ITAPIPOCA - FIM DA DUPLICAÇÃO)"/>
    <s v="FIM DO TRECHO URBANO"/>
    <n v="261.39999999999998"/>
    <n v="263.8"/>
    <n v="2.4"/>
    <x v="2"/>
    <m/>
    <m/>
    <s v="Federal"/>
    <m/>
    <m/>
    <m/>
    <s v="Federal"/>
    <s v="PAV"/>
    <s v="Sobral"/>
  </r>
  <r>
    <x v="0"/>
    <s v="402BCE0355"/>
    <n v="0"/>
    <x v="357"/>
    <s v="0355"/>
    <n v="-39.575759310144001"/>
    <n v="-3.4920707702498199"/>
    <n v="-39.426298499875799"/>
    <n v="-3.6557800496095698"/>
    <s v="402"/>
    <s v="CE"/>
    <s v="Eixo Principal"/>
    <s v="-"/>
    <s v="402BCE0355"/>
    <s v="FIM DO TRECHO URBANO"/>
    <s v="ENTR CE-243 (VARJOTA)"/>
    <n v="263.8"/>
    <n v="292.8"/>
    <n v="29"/>
    <x v="2"/>
    <m/>
    <m/>
    <s v="Federal"/>
    <m/>
    <m/>
    <m/>
    <s v="Federal"/>
    <s v="PAV"/>
    <s v="Sobral"/>
  </r>
  <r>
    <x v="0"/>
    <s v="402BCE0360"/>
    <n v="0"/>
    <x v="357"/>
    <s v="0360"/>
    <n v="-39.426298499875799"/>
    <n v="-3.6557800496095698"/>
    <n v="-39.355987209941702"/>
    <n v="-3.6807394703502001"/>
    <s v="402"/>
    <s v="CE"/>
    <s v="Eixo Principal"/>
    <s v="-"/>
    <s v="402BCE0360"/>
    <s v="ENTR CE-243 (VARJOTA)"/>
    <s v="ENTR BR-222 (UMIRIM)"/>
    <n v="292.8"/>
    <n v="301.5"/>
    <n v="8.6999999999999993"/>
    <x v="2"/>
    <m/>
    <m/>
    <s v="Federal"/>
    <m/>
    <m/>
    <m/>
    <s v="Federal"/>
    <s v="PAV"/>
    <s v="Sobral"/>
  </r>
  <r>
    <x v="0"/>
    <s v="402BMA0010"/>
    <n v="0"/>
    <x v="358"/>
    <s v="0010"/>
    <n v="-44.317270959586999"/>
    <n v="-2.9721078803743199"/>
    <n v="-44.251831059755503"/>
    <n v="-2.93872484997177"/>
    <s v="402"/>
    <s v="MA"/>
    <s v="Eixo Principal"/>
    <s v="-"/>
    <s v="402BMA0010"/>
    <s v="ENTR BR-135/MA-110(A) (BACABEIRA)"/>
    <s v="ROSÁRIO"/>
    <n v="0"/>
    <n v="9.1999999999999993"/>
    <n v="9.1999999999999993"/>
    <x v="1"/>
    <m/>
    <m/>
    <s v="Estadual"/>
    <m/>
    <s v="MA-110"/>
    <s v="PAV"/>
    <s v="Estadual"/>
    <s v="PLA"/>
    <s v="Pedrinhas"/>
  </r>
  <r>
    <x v="0"/>
    <s v="402BMA0020"/>
    <n v="0"/>
    <x v="358"/>
    <s v="0020"/>
    <n v="-44.251831059755503"/>
    <n v="-2.93872484997177"/>
    <n v="-44.0640685696087"/>
    <n v="-2.8472325896122399"/>
    <s v="402"/>
    <s v="MA"/>
    <s v="Eixo Principal"/>
    <s v="-"/>
    <s v="402BMA0020"/>
    <s v="ROSÁRIO"/>
    <s v="P/AXIXÁ"/>
    <n v="9.1999999999999993"/>
    <n v="35.6"/>
    <n v="26.4"/>
    <x v="1"/>
    <m/>
    <m/>
    <s v="Estadual"/>
    <m/>
    <s v="MA-110"/>
    <s v="PAV"/>
    <s v="Estadual"/>
    <s v="PLA"/>
    <s v="Pedrinhas"/>
  </r>
  <r>
    <x v="0"/>
    <s v="402BMA0030"/>
    <n v="0"/>
    <x v="358"/>
    <s v="0030"/>
    <n v="-44.0640685696087"/>
    <n v="-2.8472325896122399"/>
    <n v="-44.048247609839201"/>
    <n v="-2.8573919798559402"/>
    <s v="402"/>
    <s v="MA"/>
    <s v="Eixo Principal"/>
    <s v="-"/>
    <s v="402BMA0030"/>
    <s v="P/AXIXÁ"/>
    <s v="ENTR MA-110(B)/309 (P/MORROS)"/>
    <n v="35.6"/>
    <n v="38.200000000000003"/>
    <n v="2.6"/>
    <x v="1"/>
    <m/>
    <m/>
    <s v="Estadual"/>
    <m/>
    <s v="MA-110"/>
    <s v="PAV"/>
    <s v="Estadual"/>
    <s v="PLA"/>
    <s v="Pedrinhas"/>
  </r>
  <r>
    <x v="0"/>
    <s v="402BMA0072"/>
    <n v="0"/>
    <x v="358"/>
    <s v="0072"/>
    <n v="-44.048247609839201"/>
    <n v="-2.8573919798559402"/>
    <n v="-43.528265870173698"/>
    <n v="-2.7297548396140798"/>
    <s v="402"/>
    <s v="MA"/>
    <s v="Eixo Principal"/>
    <s v="-"/>
    <s v="402BMA0072"/>
    <s v="ENTR MA-110(B)/309 (P/MORROS)"/>
    <s v="ENTR MA-311 (P/HUMBERTO DE CAMPOS)"/>
    <n v="38.200000000000003"/>
    <n v="103.2"/>
    <n v="65"/>
    <x v="1"/>
    <m/>
    <m/>
    <s v="Estadual"/>
    <m/>
    <s v="MAT-402"/>
    <s v="PAV"/>
    <s v="Estadual"/>
    <s v="PLA"/>
    <s v="Pedrinhas"/>
  </r>
  <r>
    <x v="0"/>
    <s v="402BMA0080"/>
    <n v="0"/>
    <x v="358"/>
    <s v="0080"/>
    <n v="-43.528265870173698"/>
    <n v="-2.7297548396140798"/>
    <n v="-42.9132058702546"/>
    <n v="-2.85776408964096"/>
    <s v="402"/>
    <s v="MA"/>
    <s v="Eixo Principal"/>
    <s v="-"/>
    <s v="402BMA0080"/>
    <s v="ENTR MA-311 (P/HUMBERTO DE CAMPOS)"/>
    <s v="ENTR MA-225 (SOBRADINHO)"/>
    <n v="103.2"/>
    <n v="179.9"/>
    <n v="76.7"/>
    <x v="2"/>
    <m/>
    <m/>
    <s v="Federal"/>
    <m/>
    <m/>
    <m/>
    <s v="Federal"/>
    <s v="PAV"/>
    <s v="Pedrinhas"/>
  </r>
  <r>
    <x v="0"/>
    <s v="402BMA0090"/>
    <n v="0"/>
    <x v="358"/>
    <s v="0090"/>
    <n v="-42.9132058702546"/>
    <n v="-2.85776408964096"/>
    <n v="-42.3053345300644"/>
    <n v="-2.9040318697749399"/>
    <s v="402"/>
    <s v="MA"/>
    <s v="Eixo Principal"/>
    <s v="-"/>
    <s v="402BMA0090"/>
    <s v="ENTR MA-225 (SOBRADINHO)"/>
    <s v="ENTR MA-034 (BARRO DURO)"/>
    <n v="179.9"/>
    <n v="253.7"/>
    <n v="73.8"/>
    <x v="1"/>
    <m/>
    <m/>
    <s v="Federal"/>
    <m/>
    <m/>
    <m/>
    <s v="Federal"/>
    <s v="PLA"/>
    <s v="Pedrinhas"/>
  </r>
  <r>
    <x v="0"/>
    <s v="402BMA0130"/>
    <n v="0"/>
    <x v="358"/>
    <s v="0130"/>
    <n v="-42.3053345300644"/>
    <n v="-2.9040318697749399"/>
    <n v="-42.064032269773399"/>
    <n v="-3.0256295201861501"/>
    <s v="402"/>
    <s v="MA"/>
    <s v="Eixo Principal"/>
    <s v="-"/>
    <s v="402BMA0130"/>
    <s v="ENTR MA-034 (BARRO DURO)"/>
    <s v="ENTR MA-345 (JANDIRA)"/>
    <n v="253.7"/>
    <n v="294.8"/>
    <n v="41.1"/>
    <x v="1"/>
    <m/>
    <m/>
    <s v="Federal"/>
    <m/>
    <m/>
    <m/>
    <s v="Federal"/>
    <s v="PLA"/>
    <s v="Pedrinhas"/>
  </r>
  <r>
    <x v="0"/>
    <s v="402BMA0140"/>
    <n v="0"/>
    <x v="358"/>
    <s v="0140"/>
    <n v="-42.064032269773399"/>
    <n v="-3.0256295201861501"/>
    <n v="-42.012640870279803"/>
    <n v="-3.0557032298201499"/>
    <s v="402"/>
    <s v="MA"/>
    <s v="Eixo Principal"/>
    <s v="-"/>
    <s v="402BMA0140"/>
    <s v="ENTR MA-345 (JANDIRA)"/>
    <s v="ENTR MA-346"/>
    <n v="294.8"/>
    <n v="302"/>
    <n v="7.2"/>
    <x v="1"/>
    <m/>
    <m/>
    <s v="Estadual"/>
    <m/>
    <s v="MA-345"/>
    <s v="PAV"/>
    <s v="Estadual"/>
    <s v="PLA"/>
    <s v="Pedrinhas"/>
  </r>
  <r>
    <x v="0"/>
    <s v="402BMA0150"/>
    <n v="0"/>
    <x v="358"/>
    <s v="0150"/>
    <n v="-42.012640870279803"/>
    <n v="-3.0557032298201499"/>
    <n v="-41.901180529957401"/>
    <n v="-3.0938893099436702"/>
    <s v="402"/>
    <s v="MA"/>
    <s v="Eixo Principal"/>
    <s v="-"/>
    <s v="402BMA0150"/>
    <s v="ENTR MA-346"/>
    <s v="DIV MA/PI (PONTE DO JANDIRA - RIO PARANAÍBA)"/>
    <n v="302"/>
    <n v="316"/>
    <n v="14"/>
    <x v="1"/>
    <m/>
    <m/>
    <s v="Estadual"/>
    <m/>
    <s v="MA-346"/>
    <s v="PAV"/>
    <s v="Estadual"/>
    <s v="PLA"/>
    <s v="Pedrinhas"/>
  </r>
  <r>
    <x v="0"/>
    <s v="402BPI0170"/>
    <n v="0"/>
    <x v="359"/>
    <s v="0170"/>
    <n v="-41.901180529957401"/>
    <n v="-3.0938893099436702"/>
    <n v="-41.780067890220799"/>
    <n v="-3.1006380204282702"/>
    <s v="402"/>
    <s v="PI"/>
    <s v="Eixo Principal"/>
    <s v="-"/>
    <s v="402BPI0170"/>
    <s v="DIV MA/PI (PONTE DO JANDIRA)"/>
    <s v="ENTR BR-343(A)"/>
    <n v="0"/>
    <n v="14.1"/>
    <n v="14.1"/>
    <x v="2"/>
    <m/>
    <m/>
    <s v="Federal"/>
    <m/>
    <m/>
    <m/>
    <s v="Federal"/>
    <s v="PAV"/>
    <s v="Piripiri"/>
  </r>
  <r>
    <x v="0"/>
    <s v="402BPI0175"/>
    <n v="0"/>
    <x v="359"/>
    <s v="0175"/>
    <n v="-41.780067890220799"/>
    <n v="-3.1006380204282702"/>
    <n v="-41.755385330268702"/>
    <n v="-2.9391936701517198"/>
    <s v="402"/>
    <s v="PI"/>
    <s v="Eixo Principal"/>
    <s v="Coinc"/>
    <s v="402BPI0175"/>
    <s v="ENTR BR-343(A)"/>
    <s v="INÍCIO PISTA DUPLA"/>
    <n v="14.1"/>
    <n v="32.200000000000003"/>
    <n v="18.100000000000001"/>
    <x v="2"/>
    <m/>
    <s v="343BPI0030"/>
    <s v="Federal"/>
    <m/>
    <m/>
    <m/>
    <s v="Federal"/>
    <s v="PAV"/>
    <s v="Piripiri"/>
  </r>
  <r>
    <x v="0"/>
    <s v="402BPI0180"/>
    <n v="0"/>
    <x v="359"/>
    <s v="0180"/>
    <n v="-41.755385330268702"/>
    <n v="-2.9391936701517198"/>
    <n v="-41.7535057696754"/>
    <n v="-2.92878488981074"/>
    <s v="402"/>
    <s v="PI"/>
    <s v="Eixo Principal"/>
    <s v="Coinc"/>
    <s v="402BPI0180"/>
    <s v="INÍCIO PISTA DUPLA"/>
    <s v="ENTR BR-343(B)/PI-116/210(A) (PARNAÍBA)"/>
    <n v="32.200000000000003"/>
    <n v="33.4"/>
    <n v="1.2"/>
    <x v="0"/>
    <m/>
    <s v="343BPI0028"/>
    <s v="Federal"/>
    <m/>
    <m/>
    <m/>
    <s v="Federal"/>
    <s v="PAV"/>
    <s v="Piripiri"/>
  </r>
  <r>
    <x v="0"/>
    <s v="402BPI0190"/>
    <n v="0"/>
    <x v="359"/>
    <s v="0190"/>
    <n v="-41.7535057696754"/>
    <n v="-2.92878488981074"/>
    <n v="-41.444980709891801"/>
    <n v="-3.08055558986853"/>
    <s v="402"/>
    <s v="PI"/>
    <s v="Eixo Principal"/>
    <s v="-"/>
    <s v="402BPI0190"/>
    <s v="ENTR BR-343(B)/PI-116/210(A) (PARNAÍBA)"/>
    <s v="ENTR PI-116 (CAMURUPIM DE CIMA)"/>
    <n v="33.4"/>
    <n v="76.900000000000006"/>
    <n v="43.5"/>
    <x v="2"/>
    <m/>
    <m/>
    <s v="Federal"/>
    <m/>
    <m/>
    <m/>
    <s v="Federal"/>
    <s v="PAV"/>
    <s v="Piripiri"/>
  </r>
  <r>
    <x v="0"/>
    <s v="402BPI0210"/>
    <n v="0"/>
    <x v="359"/>
    <s v="0210"/>
    <n v="-41.444980709891801"/>
    <n v="-3.08055558986853"/>
    <n v="-41.2552591500896"/>
    <n v="-3.0785199699206398"/>
    <s v="402"/>
    <s v="PI"/>
    <s v="Eixo Principal"/>
    <s v="-"/>
    <s v="402BPI0210"/>
    <s v="ENTR PI-116 (CAMURUPIM DE CIMA)"/>
    <s v="ENTR PI-210(B) (DIV PI/CE) (P/CHAVAL)"/>
    <n v="76.900000000000006"/>
    <n v="99.6"/>
    <n v="22.7"/>
    <x v="2"/>
    <m/>
    <m/>
    <s v="Federal"/>
    <m/>
    <m/>
    <m/>
    <s v="Federal"/>
    <s v="PAV"/>
    <s v="Piripiri"/>
  </r>
  <r>
    <x v="0"/>
    <s v="403ACE1005"/>
    <n v="0"/>
    <x v="360"/>
    <s v="1005"/>
    <n v="-40.1184532104472"/>
    <n v="-2.9074230801110099"/>
    <n v="-40.169574090272"/>
    <n v="-2.9174600402486099"/>
    <s v="403"/>
    <s v="CE"/>
    <s v="Acesso"/>
    <s v="-"/>
    <s v="403ACE1005"/>
    <s v="ENTR BR-403 (ACARAÚ)"/>
    <s v="CRUZ"/>
    <n v="0"/>
    <n v="6.7"/>
    <n v="6.7"/>
    <x v="2"/>
    <m/>
    <m/>
    <s v="Federal"/>
    <m/>
    <m/>
    <m/>
    <s v="Federal"/>
    <s v="PAV"/>
    <s v="Sobral"/>
  </r>
  <r>
    <x v="0"/>
    <s v="403BCE0010"/>
    <n v="0"/>
    <x v="361"/>
    <s v="0010"/>
    <n v="-40.119534379907599"/>
    <n v="-2.8838988199744899"/>
    <n v="-40.084232320365203"/>
    <n v="-3.12394227041937"/>
    <s v="403"/>
    <s v="CE"/>
    <s v="Eixo Principal"/>
    <s v="-"/>
    <s v="403BCE0010"/>
    <s v="ENTR CE-085 (ACARAÚ)"/>
    <s v="ENTR BR-402(A) (P/MARCO)"/>
    <n v="0"/>
    <n v="28.2"/>
    <n v="28.2"/>
    <x v="2"/>
    <m/>
    <m/>
    <s v="Federal"/>
    <m/>
    <m/>
    <m/>
    <s v="Federal"/>
    <s v="PAV"/>
    <s v="Sobral"/>
  </r>
  <r>
    <x v="0"/>
    <s v="403BCE0040"/>
    <n v="0"/>
    <x v="361"/>
    <s v="0040"/>
    <n v="-40.084232320365203"/>
    <n v="-3.12394227041937"/>
    <n v="-40.087737960438403"/>
    <n v="-3.22366275013575"/>
    <s v="403"/>
    <s v="CE"/>
    <s v="Eixo Principal"/>
    <s v="Coinc"/>
    <s v="403BCE0040"/>
    <s v="ENTR BR-402(A) (P/MARCO)"/>
    <s v="ENTR BR-402(B)/CE-178(A)/354(A)"/>
    <n v="28.2"/>
    <n v="39.1"/>
    <n v="10.9"/>
    <x v="2"/>
    <m/>
    <s v="402BCE0310"/>
    <s v="Federal"/>
    <m/>
    <m/>
    <m/>
    <s v="Federal"/>
    <s v="PAV"/>
    <s v="Sobral"/>
  </r>
  <r>
    <x v="0"/>
    <s v="403BCE0045"/>
    <n v="0"/>
    <x v="361"/>
    <s v="0045"/>
    <n v="-40.087737960438403"/>
    <n v="-3.22366275013575"/>
    <n v="-40.122356799626502"/>
    <n v="-3.2268137596472499"/>
    <s v="403"/>
    <s v="CE"/>
    <s v="Eixo Principal"/>
    <s v="-"/>
    <s v="403BCE0045"/>
    <s v="ENTR BR-402(B)/CE-178(A)/354(A)"/>
    <s v="ENTR CE-354(B) (MORRINHOS)"/>
    <n v="39.1"/>
    <n v="42.9"/>
    <n v="3.8"/>
    <x v="1"/>
    <m/>
    <m/>
    <s v="Estadual"/>
    <m/>
    <s v="CE-178"/>
    <s v="PAV"/>
    <s v="Estadual"/>
    <s v="PLA"/>
    <s v="Sobral"/>
  </r>
  <r>
    <x v="0"/>
    <s v="403BCE0050"/>
    <n v="0"/>
    <x v="361"/>
    <s v="0050"/>
    <n v="-40.122356799626502"/>
    <n v="-3.2268137596472499"/>
    <n v="-40.203207179867398"/>
    <n v="-3.4574258102529098"/>
    <s v="403"/>
    <s v="CE"/>
    <s v="Eixo Principal"/>
    <s v="-"/>
    <s v="403BCE0050"/>
    <s v="ENTR CE-354(B) (MORRINHOS)"/>
    <s v="ENTR CE-232 (SANTANA DO ACARAÚ)"/>
    <n v="42.9"/>
    <n v="72"/>
    <n v="29.1"/>
    <x v="1"/>
    <m/>
    <m/>
    <s v="Estadual"/>
    <m/>
    <s v="CE-178"/>
    <s v="PAV"/>
    <s v="Estadual"/>
    <s v="PLA"/>
    <s v="Sobral"/>
  </r>
  <r>
    <x v="0"/>
    <s v="403BCE0055"/>
    <n v="0"/>
    <x v="361"/>
    <s v="0055"/>
    <n v="-40.203207179867398"/>
    <n v="-3.4574258102529098"/>
    <n v="-40.262210040061198"/>
    <n v="-3.6060802802806502"/>
    <s v="403"/>
    <s v="CE"/>
    <s v="Eixo Principal"/>
    <s v="-"/>
    <s v="403BCE0055"/>
    <s v="ENTR CE-232 (SANTANA DO ACARAÚ)"/>
    <s v="ENTR CE-240 (P/PATRIARCA)"/>
    <n v="72"/>
    <n v="90.4"/>
    <n v="18.399999999999999"/>
    <x v="1"/>
    <m/>
    <m/>
    <s v="Estadual"/>
    <m/>
    <s v="CE-178"/>
    <s v="PAV"/>
    <s v="Estadual"/>
    <s v="PLA"/>
    <s v="Sobral"/>
  </r>
  <r>
    <x v="0"/>
    <s v="403BCE0057"/>
    <n v="0"/>
    <x v="361"/>
    <s v="0057"/>
    <n v="-40.262210040061198"/>
    <n v="-3.6060802802806502"/>
    <n v="-40.323031830354601"/>
    <n v="-3.7253867099286699"/>
    <s v="403"/>
    <s v="CE"/>
    <s v="Eixo Principal"/>
    <s v="-"/>
    <s v="403BCE0057"/>
    <s v="ENTR CE-240 (P/PATRIARCA)"/>
    <s v="ENTR BR-222(A)/CE-362(A)"/>
    <n v="90.4"/>
    <n v="105.2"/>
    <n v="14.8"/>
    <x v="1"/>
    <m/>
    <m/>
    <s v="Estadual"/>
    <m/>
    <s v="CE-178"/>
    <s v="PAV"/>
    <s v="Estadual"/>
    <s v="PLA"/>
    <s v="Sobral"/>
  </r>
  <r>
    <x v="0"/>
    <s v="403BCE0060"/>
    <n v="0"/>
    <x v="361"/>
    <s v="0060"/>
    <n v="-40.323031830354601"/>
    <n v="-3.7253867099286699"/>
    <n v="-40.334302930135998"/>
    <n v="-3.7169909100024299"/>
    <s v="403"/>
    <s v="CE"/>
    <s v="Eixo Principal"/>
    <s v="Coinc"/>
    <s v="403BCE0060"/>
    <s v="ENTR BR-222(A)/CE-362(A)"/>
    <s v="ACESSO LESTE SOBRAL"/>
    <n v="105.2"/>
    <n v="106.8"/>
    <n v="1.6"/>
    <x v="2"/>
    <m/>
    <s v="222BCE0160"/>
    <s v="Federal"/>
    <m/>
    <m/>
    <m/>
    <s v="Federal"/>
    <s v="PAV"/>
    <s v="Sobral"/>
  </r>
  <r>
    <x v="0"/>
    <s v="403BCE0065"/>
    <n v="0"/>
    <x v="361"/>
    <s v="0065"/>
    <n v="-40.334302930135998"/>
    <n v="-3.7169909100024299"/>
    <n v="-40.381080900163298"/>
    <n v="-3.6953880298336799"/>
    <s v="403"/>
    <s v="CE"/>
    <s v="Eixo Principal"/>
    <s v="Coinc"/>
    <s v="403BCE0065"/>
    <s v="ACESSO LESTE SOBRAL"/>
    <s v="ACESSO OESTE SOBRAL"/>
    <n v="106.8"/>
    <n v="112.6"/>
    <n v="5.8"/>
    <x v="2"/>
    <m/>
    <s v="222BCE0170"/>
    <s v="Federal"/>
    <m/>
    <m/>
    <m/>
    <s v="Federal"/>
    <s v="PAV"/>
    <s v="Sobral"/>
  </r>
  <r>
    <x v="0"/>
    <s v="403BCE0070"/>
    <n v="0"/>
    <x v="361"/>
    <s v="0070"/>
    <n v="-40.381080900163298"/>
    <n v="-3.6953880298336799"/>
    <n v="-40.481585860299099"/>
    <n v="-3.7336625996492199"/>
    <s v="403"/>
    <s v="CE"/>
    <s v="Eixo Principal"/>
    <s v="Coinc"/>
    <s v="403BCE0070"/>
    <s v="ACESSO OESTE SOBRAL"/>
    <s v="ENTR BR-222(B)/CE-183"/>
    <n v="112.6"/>
    <n v="124.6"/>
    <n v="12"/>
    <x v="2"/>
    <m/>
    <s v="222BCE0190"/>
    <s v="Federal"/>
    <m/>
    <m/>
    <m/>
    <s v="Federal"/>
    <s v="PAV"/>
    <s v="Sobral"/>
  </r>
  <r>
    <x v="0"/>
    <s v="403BCE0075"/>
    <n v="0"/>
    <x v="361"/>
    <s v="0075"/>
    <n v="-40.481585860299099"/>
    <n v="-3.7336625996492199"/>
    <n v="-40.482364130000498"/>
    <n v="-3.94585923001938"/>
    <s v="403"/>
    <s v="CE"/>
    <s v="Eixo Principal"/>
    <s v="-"/>
    <s v="403BCE0075"/>
    <s v="ENTR BR-222(B)/CE-183"/>
    <s v="ENTR CE-253 (CARIRÉ)"/>
    <n v="124.6"/>
    <n v="149.4"/>
    <n v="24.8"/>
    <x v="2"/>
    <m/>
    <m/>
    <s v="Federal"/>
    <m/>
    <m/>
    <m/>
    <s v="Federal"/>
    <s v="PAV"/>
    <s v="Sobral"/>
  </r>
  <r>
    <x v="0"/>
    <s v="403BCE0090"/>
    <n v="0"/>
    <x v="361"/>
    <s v="0090"/>
    <n v="-40.482364130000498"/>
    <n v="-3.94585923001938"/>
    <n v="-40.473682610064301"/>
    <n v="-4.1959677003490503"/>
    <s v="403"/>
    <s v="CE"/>
    <s v="Eixo Principal"/>
    <s v="-"/>
    <s v="403BCE0090"/>
    <s v="ENTR CE-253 (CARIRÉ)"/>
    <s v="ENTR CE-366(A) (VARJOTA)"/>
    <n v="149.4"/>
    <n v="177.8"/>
    <n v="28.4"/>
    <x v="1"/>
    <m/>
    <m/>
    <s v="Estadual"/>
    <m/>
    <s v="CE-183"/>
    <s v="PAV"/>
    <s v="Estadual"/>
    <s v="PLA"/>
    <s v="Sobral"/>
  </r>
  <r>
    <x v="0"/>
    <s v="403BCE0091"/>
    <n v="0"/>
    <x v="361"/>
    <s v="0091"/>
    <n v="-40.473682610064301"/>
    <n v="-4.1959677003490503"/>
    <n v="-40.512030290265599"/>
    <n v="-4.1842603898051003"/>
    <s v="403"/>
    <s v="CE"/>
    <s v="Eixo Principal"/>
    <s v="-"/>
    <s v="403BCE0091"/>
    <s v="ENTR CE-366(A) (VARJOTA)"/>
    <s v="ENTR CE-366(B)"/>
    <n v="177.8"/>
    <n v="182.6"/>
    <n v="4.8"/>
    <x v="1"/>
    <m/>
    <m/>
    <s v="Estadual"/>
    <m/>
    <s v="CE-366"/>
    <s v="PAV"/>
    <s v="Estadual"/>
    <s v="PLA"/>
    <s v="Sobral"/>
  </r>
  <r>
    <x v="0"/>
    <s v="403BCE0110"/>
    <n v="0"/>
    <x v="361"/>
    <s v="0110"/>
    <n v="-40.512030290265599"/>
    <n v="-4.1842603898051003"/>
    <n v="-40.712247520206802"/>
    <n v="-4.3290700197655303"/>
    <s v="403"/>
    <s v="CE"/>
    <s v="Eixo Principal"/>
    <s v="-"/>
    <s v="403BCE0110"/>
    <s v="ENTR CE-366(B)"/>
    <s v="ENTR CE-187(A)/329(B) (IPÚ)"/>
    <n v="182.6"/>
    <n v="211.2"/>
    <n v="28.6"/>
    <x v="1"/>
    <m/>
    <m/>
    <s v="Estadual"/>
    <m/>
    <s v="CE-329"/>
    <s v="PAV"/>
    <s v="Estadual"/>
    <s v="PLA"/>
    <s v="Sobral"/>
  </r>
  <r>
    <x v="0"/>
    <s v="403BCE0130"/>
    <n v="0"/>
    <x v="361"/>
    <s v="0130"/>
    <n v="-40.712247520206802"/>
    <n v="-4.3290700197655303"/>
    <n v="-40.713228179636701"/>
    <n v="-4.3995042299362099"/>
    <s v="403"/>
    <s v="CE"/>
    <s v="Eixo Principal"/>
    <s v="-"/>
    <s v="403BCE0130"/>
    <s v="ENTR CE-187(A)/329(B) (IPÚ)"/>
    <s v="ENTR CE-257(A) (P/HIDROLÂNDIA)"/>
    <n v="211.2"/>
    <n v="219"/>
    <n v="7.8"/>
    <x v="1"/>
    <m/>
    <m/>
    <s v="Estadual"/>
    <m/>
    <s v="CE-187"/>
    <s v="PAV"/>
    <s v="Estadual"/>
    <s v="PLA"/>
    <s v="Sobral"/>
  </r>
  <r>
    <x v="0"/>
    <s v="403BCE0135"/>
    <n v="0"/>
    <x v="361"/>
    <s v="0135"/>
    <n v="-40.713228179636701"/>
    <n v="-4.3995042299362099"/>
    <n v="-40.723304049842"/>
    <n v="-4.5406120300211201"/>
    <s v="403"/>
    <s v="CE"/>
    <s v="Eixo Principal"/>
    <s v="-"/>
    <s v="403BCE0135"/>
    <s v="ENTR CE-257(A) (P/HIDROLÂNDIA)"/>
    <s v="ENTR CE-189/257(B) (IPUEIRAS)"/>
    <n v="219"/>
    <n v="236.4"/>
    <n v="17.399999999999999"/>
    <x v="1"/>
    <m/>
    <m/>
    <s v="Estadual"/>
    <m/>
    <s v="CE-187"/>
    <s v="PAV"/>
    <s v="Estadual"/>
    <s v="PLA"/>
    <s v="Sobral"/>
  </r>
  <r>
    <x v="0"/>
    <s v="403BCE0150"/>
    <n v="0"/>
    <x v="361"/>
    <s v="0150"/>
    <n v="-40.723304049842"/>
    <n v="-4.5406120300211201"/>
    <n v="-40.560200519638201"/>
    <n v="-4.7065354996135502"/>
    <s v="403"/>
    <s v="CE"/>
    <s v="Eixo Principal"/>
    <s v="-"/>
    <s v="403BCE0150"/>
    <s v="ENTR CE-189/257(B) (IPUEIRAS)"/>
    <s v="ENTR CE-265 (NOVA RUSSAS)"/>
    <n v="236.4"/>
    <n v="267.3"/>
    <n v="30.9"/>
    <x v="1"/>
    <m/>
    <m/>
    <s v="Estadual"/>
    <m/>
    <s v="CE-187"/>
    <s v="PAV"/>
    <s v="Estadual"/>
    <s v="PLA"/>
    <s v="Sobral"/>
  </r>
  <r>
    <x v="0"/>
    <s v="403BCE0170"/>
    <n v="0"/>
    <x v="361"/>
    <s v="0170"/>
    <n v="-40.560200519638201"/>
    <n v="-4.7065354996135502"/>
    <n v="-40.536202240340998"/>
    <n v="-4.9400292298650399"/>
    <s v="403"/>
    <s v="CE"/>
    <s v="Eixo Principal"/>
    <s v="-"/>
    <s v="403BCE0170"/>
    <s v="ENTR CE-265 (NOVA RUSSAS)"/>
    <s v="ENTR CE-266 (SUCESSO)"/>
    <n v="267.3"/>
    <n v="294"/>
    <n v="26.7"/>
    <x v="1"/>
    <m/>
    <m/>
    <s v="Estadual"/>
    <m/>
    <s v="CE-187"/>
    <s v="PAV"/>
    <s v="Estadual"/>
    <s v="PLA"/>
    <s v="Sobral"/>
  </r>
  <r>
    <x v="0"/>
    <s v="403BCE0190"/>
    <n v="0"/>
    <x v="361"/>
    <s v="0190"/>
    <n v="-40.536202240340998"/>
    <n v="-4.9400292298650399"/>
    <n v="-40.657638660295902"/>
    <n v="-5.1651303797631796"/>
    <s v="403"/>
    <s v="CE"/>
    <s v="Eixo Principal"/>
    <s v="-"/>
    <s v="403BCE0190"/>
    <s v="ENTR CE-266 (SUCESSO)"/>
    <s v="ENTR BR-404"/>
    <n v="294"/>
    <n v="327.5"/>
    <n v="33.5"/>
    <x v="1"/>
    <m/>
    <m/>
    <s v="Estadual"/>
    <m/>
    <s v="CE-187"/>
    <s v="PAV"/>
    <s v="Estadual"/>
    <s v="PLA"/>
    <s v="Sobral"/>
  </r>
  <r>
    <x v="0"/>
    <s v="403BCE0200"/>
    <n v="0"/>
    <x v="361"/>
    <s v="0200"/>
    <n v="-40.657638660295902"/>
    <n v="-5.1651303797631796"/>
    <n v="-40.650126019799899"/>
    <n v="-5.1851357797923399"/>
    <s v="403"/>
    <s v="CE"/>
    <s v="Eixo Principal"/>
    <s v="-"/>
    <s v="403BCE0200"/>
    <s v="ENTR BR-404 "/>
    <s v="ENTR BR-226 (CRATEÚS)"/>
    <n v="327.5"/>
    <n v="329.9"/>
    <n v="2.4"/>
    <x v="2"/>
    <m/>
    <s v="404BCE0100"/>
    <s v="Federal"/>
    <m/>
    <m/>
    <m/>
    <s v="Federal"/>
    <s v="PAV"/>
    <s v="Boa Viagem"/>
  </r>
  <r>
    <x v="0"/>
    <s v="404BCE0050"/>
    <n v="0"/>
    <x v="362"/>
    <s v="0050"/>
    <n v="-41.220795489819899"/>
    <n v="-4.5675957599363501"/>
    <n v="-40.926712749793502"/>
    <n v="-4.7387891299143803"/>
    <s v="404"/>
    <s v="CE"/>
    <s v="Eixo Principal"/>
    <s v="-"/>
    <s v="404BCE0050"/>
    <s v="DIV PI/CE"/>
    <s v="ENTR CE-192/265 (PORANGA)"/>
    <n v="0"/>
    <n v="35"/>
    <n v="35"/>
    <x v="5"/>
    <m/>
    <m/>
    <s v="Federal"/>
    <m/>
    <m/>
    <m/>
    <s v="Federal"/>
    <s v="N_PAV"/>
    <s v="Boa Viagem"/>
  </r>
  <r>
    <x v="0"/>
    <s v="404BCE0070"/>
    <n v="0"/>
    <x v="362"/>
    <s v="0070"/>
    <n v="-40.926712749793502"/>
    <n v="-4.7387891299143803"/>
    <n v="-40.767064330354501"/>
    <n v="-4.9010318902095298"/>
    <s v="404"/>
    <s v="CE"/>
    <s v="Eixo Principal"/>
    <s v="-"/>
    <s v="404BCE0070"/>
    <s v="ENTR CE-192/265 (PORANGA)"/>
    <s v="ENTR AV. RAIMUNDO EVARISTO (IPAPORANGA)"/>
    <n v="35"/>
    <n v="55"/>
    <n v="20"/>
    <x v="3"/>
    <m/>
    <m/>
    <s v="Federal"/>
    <m/>
    <m/>
    <m/>
    <s v="Federal"/>
    <s v="N_PAV"/>
    <s v="Boa Viagem"/>
  </r>
  <r>
    <x v="0"/>
    <s v="404BCE0090"/>
    <n v="0"/>
    <x v="362"/>
    <s v="0090"/>
    <n v="-40.767064330354501"/>
    <n v="-4.9010318902095298"/>
    <n v="-40.657638660295902"/>
    <n v="-5.1651303797631796"/>
    <s v="404"/>
    <s v="CE"/>
    <s v="Eixo Principal"/>
    <s v="-"/>
    <s v="404BCE0090"/>
    <s v="ENTR AV. RAIMUNDO EVARISTO (IPAPORANGA)"/>
    <s v="ENTR BR-403"/>
    <n v="55"/>
    <n v="88.5"/>
    <n v="33.5"/>
    <x v="2"/>
    <m/>
    <m/>
    <s v="Federal"/>
    <m/>
    <m/>
    <m/>
    <s v="Federal"/>
    <s v="PAV"/>
    <s v="Boa Viagem"/>
  </r>
  <r>
    <x v="0"/>
    <s v="404BCE0100"/>
    <n v="0"/>
    <x v="362"/>
    <s v="0100"/>
    <n v="-40.657638660295902"/>
    <n v="-5.1651303797631796"/>
    <n v="-40.650126019799899"/>
    <n v="-5.1851357797923399"/>
    <s v="404"/>
    <s v="CE"/>
    <s v="Eixo Principal"/>
    <s v="Coinc"/>
    <s v="404BCE0100"/>
    <s v="ENTR BR-403"/>
    <s v="ENTR BR-226 (CRATEÚS)"/>
    <n v="88.5"/>
    <n v="90.9"/>
    <n v="2.4"/>
    <x v="2"/>
    <m/>
    <s v="403BCE0200"/>
    <s v="Federal"/>
    <m/>
    <m/>
    <m/>
    <s v="Federal"/>
    <s v="PAV"/>
    <s v="Boa Viagem"/>
  </r>
  <r>
    <x v="0"/>
    <s v="404BCE0110"/>
    <n v="0"/>
    <x v="362"/>
    <s v="0110"/>
    <n v="-40.650126019799899"/>
    <n v="-5.1851357797923399"/>
    <n v="-40.771716320052001"/>
    <n v="-5.5374831499273602"/>
    <s v="404"/>
    <s v="CE"/>
    <s v="Eixo Principal"/>
    <s v="-"/>
    <s v="404BCE0110"/>
    <s v="ENTR BR-226 (CRATEÚS)"/>
    <s v="NOVO ORIENTE"/>
    <n v="90.9"/>
    <n v="138"/>
    <n v="47.1"/>
    <x v="1"/>
    <m/>
    <m/>
    <s v="Estadual"/>
    <m/>
    <s v="CE-187"/>
    <s v="PAV"/>
    <s v="Estadual"/>
    <s v="PLA"/>
    <s v="Boa Viagem"/>
  </r>
  <r>
    <x v="0"/>
    <s v="404BCE0120"/>
    <n v="0"/>
    <x v="362"/>
    <s v="0120"/>
    <n v="-40.771716320052001"/>
    <n v="-5.5374831499273602"/>
    <n v="-40.679843419837901"/>
    <n v="-5.7720551897951404"/>
    <s v="404"/>
    <s v="CE"/>
    <s v="Eixo Principal"/>
    <s v="-"/>
    <s v="404BCE0120"/>
    <s v="NOVO ORIENTE"/>
    <s v="ENTR CE-351 (P/QUITERIANÓPOLIS)"/>
    <n v="138"/>
    <n v="170.3"/>
    <n v="32.299999999999997"/>
    <x v="1"/>
    <m/>
    <m/>
    <s v="Estadual"/>
    <m/>
    <s v="CE-187"/>
    <s v="PAV"/>
    <s v="Estadual"/>
    <s v="PLA"/>
    <s v="Boa Viagem"/>
  </r>
  <r>
    <x v="0"/>
    <s v="404BCE0125"/>
    <n v="0"/>
    <x v="362"/>
    <s v="0125"/>
    <n v="-40.679843419837901"/>
    <n v="-5.7720551897951404"/>
    <n v="-40.286127699633496"/>
    <n v="-6.0070235896668498"/>
    <s v="404"/>
    <s v="CE"/>
    <s v="Eixo Principal"/>
    <s v="-"/>
    <s v="404BCE0125"/>
    <s v="ENTR CE-351 (P/QUITERIANÓPOLIS)"/>
    <s v="ENTR BR-020/CE-176/363 (TAUÁ)"/>
    <n v="170.3"/>
    <n v="228.3"/>
    <n v="58"/>
    <x v="1"/>
    <m/>
    <m/>
    <s v="Estadual"/>
    <m/>
    <s v="CE-187"/>
    <s v="PAV"/>
    <s v="Estadual"/>
    <s v="PLA"/>
    <s v="Boa Viagem"/>
  </r>
  <r>
    <x v="0"/>
    <s v="404BCE0130"/>
    <n v="0"/>
    <x v="362"/>
    <s v="0130"/>
    <n v="-40.286127699633496"/>
    <n v="-6.0070235896668498"/>
    <n v="-39.8781081399786"/>
    <n v="-6.1332289903256196"/>
    <s v="404"/>
    <s v="CE"/>
    <s v="Eixo Principal"/>
    <s v="-"/>
    <s v="404BCE0130"/>
    <s v="ENTR BR-020/CE-176/363 (TAUÁ)"/>
    <s v="ENTR CE-169/277 (CATARINA)"/>
    <n v="228.3"/>
    <n v="278.3"/>
    <n v="50"/>
    <x v="1"/>
    <m/>
    <m/>
    <s v="Federal"/>
    <m/>
    <m/>
    <m/>
    <s v="Federal"/>
    <s v="PLA"/>
    <s v="Boa Viagem"/>
  </r>
  <r>
    <x v="0"/>
    <s v="404BCE0140"/>
    <n v="0"/>
    <x v="362"/>
    <s v="0140"/>
    <n v="-39.8781081399786"/>
    <n v="-6.1332289903256196"/>
    <n v="-39.306328859788998"/>
    <n v="-6.3734858004293002"/>
    <s v="404"/>
    <s v="CE"/>
    <s v="Eixo Principal"/>
    <s v="-"/>
    <s v="404BCE0140"/>
    <s v="ENTR CE-169/277 (CATARINA)"/>
    <s v="ENTR BR-122(A)/CE-375 (IGUATÚ)"/>
    <n v="278.3"/>
    <n v="353.3"/>
    <n v="75"/>
    <x v="1"/>
    <m/>
    <m/>
    <s v="Federal"/>
    <m/>
    <m/>
    <m/>
    <s v="Federal"/>
    <s v="PLA"/>
    <s v="Icó"/>
  </r>
  <r>
    <x v="0"/>
    <s v="404BCE0145"/>
    <n v="0"/>
    <x v="362"/>
    <s v="0145"/>
    <n v="-39.306328859788998"/>
    <n v="-6.3734858004293002"/>
    <n v="-39.2687611795847"/>
    <n v="-6.37384837020607"/>
    <s v="404"/>
    <s v="CE"/>
    <s v="Eixo Principal"/>
    <s v="Coinc"/>
    <s v="404BCE0145"/>
    <s v="ENTR BR-122(A)/CE-375 (IGUATÚ)"/>
    <s v="ENTR BR-122(B)"/>
    <n v="353.3"/>
    <n v="357.4"/>
    <n v="4.0999999999999996"/>
    <x v="1"/>
    <m/>
    <s v="122BCE0150"/>
    <s v="Estadual"/>
    <m/>
    <s v="CE-060"/>
    <s v="PAV"/>
    <s v="Estadual"/>
    <s v="PLA"/>
    <s v="Icó"/>
  </r>
  <r>
    <x v="0"/>
    <s v="404BCE0150"/>
    <n v="0"/>
    <x v="362"/>
    <s v="0150"/>
    <n v="-39.2687611795847"/>
    <n v="-6.37384837020607"/>
    <n v="-39.037359380331097"/>
    <n v="-6.414117620132"/>
    <s v="404"/>
    <s v="CE"/>
    <s v="Eixo Principal"/>
    <s v="-"/>
    <s v="404BCE0150"/>
    <s v="ENTR BR-122(B)"/>
    <s v="ENTR CE-153(A)/282 (CASCUDO)"/>
    <n v="357.4"/>
    <n v="389"/>
    <n v="31.6"/>
    <x v="1"/>
    <m/>
    <m/>
    <s v="Estadual"/>
    <m/>
    <s v="CE-282"/>
    <s v="PAV"/>
    <s v="Estadual"/>
    <s v="PLA"/>
    <s v="Icó"/>
  </r>
  <r>
    <x v="0"/>
    <s v="404BCE0151"/>
    <n v="0"/>
    <x v="362"/>
    <s v="0151"/>
    <n v="-39.037359380331097"/>
    <n v="-6.414117620132"/>
    <n v="-38.949742160172399"/>
    <n v="-6.4097641603876196"/>
    <s v="404"/>
    <s v="CE"/>
    <s v="Eixo Principal"/>
    <s v="-"/>
    <s v="404BCE0151"/>
    <s v="ENTR CE-153(A)/282 (CASCUDO)"/>
    <s v="ENTR CE-153(B) (LIMA CAMPOS)"/>
    <n v="389"/>
    <n v="399.1"/>
    <n v="10.1"/>
    <x v="1"/>
    <m/>
    <m/>
    <s v="Estadual"/>
    <m/>
    <s v="CE-282"/>
    <s v="PAV"/>
    <s v="Estadual"/>
    <s v="PLA"/>
    <s v="Icó"/>
  </r>
  <r>
    <x v="0"/>
    <s v="404BCE0170"/>
    <n v="0"/>
    <x v="362"/>
    <s v="0170"/>
    <n v="-38.949742160172399"/>
    <n v="-6.4097641603876196"/>
    <n v="-38.845731339629502"/>
    <n v="-6.4053861401582104"/>
    <s v="404"/>
    <s v="CE"/>
    <s v="Eixo Principal"/>
    <s v="-"/>
    <s v="404BCE0170"/>
    <s v="ENTR CE-153(B) (LIMA CAMPOS)"/>
    <s v="ENTR BR-116 (ICÓ)"/>
    <n v="399.1"/>
    <n v="411.8"/>
    <n v="12.7"/>
    <x v="1"/>
    <m/>
    <m/>
    <s v="Estadual"/>
    <m/>
    <s v="CE-282"/>
    <s v="PAV"/>
    <s v="Estadual"/>
    <s v="PLA"/>
    <s v="Icó"/>
  </r>
  <r>
    <x v="0"/>
    <s v="404BPI0010"/>
    <n v="0"/>
    <x v="363"/>
    <s v="0010"/>
    <n v="-41.777432780398399"/>
    <n v="-4.2814383700846799"/>
    <n v="-41.770481369919203"/>
    <n v="-4.3072300603190001"/>
    <s v="404"/>
    <s v="PI"/>
    <s v="Eixo Principal"/>
    <s v="-"/>
    <s v="404BPI0010"/>
    <s v="ENTR BR-222/407(A)/PI-111/117 (PIRIPIRI)"/>
    <s v="ENTR BR-343(A)"/>
    <n v="0"/>
    <n v="3"/>
    <n v="3"/>
    <x v="2"/>
    <m/>
    <s v="407BPI0010"/>
    <m/>
    <s v="MP082/2003"/>
    <m/>
    <m/>
    <m/>
    <s v="PAV"/>
    <s v="Piripiri"/>
  </r>
  <r>
    <x v="0"/>
    <s v="404BPI0013"/>
    <n v="0"/>
    <x v="363"/>
    <s v="0013"/>
    <n v="-41.770481369919203"/>
    <n v="-4.3072300603190001"/>
    <n v="-41.777407350268902"/>
    <n v="-4.3149371297446901"/>
    <s v="404"/>
    <s v="PI"/>
    <s v="Eixo Principal"/>
    <s v="Coinc"/>
    <s v="404BPI0013"/>
    <s v="ENTR BR-343(A)"/>
    <s v="ENTR BR-343(B)"/>
    <n v="3"/>
    <n v="4.2"/>
    <n v="1.2"/>
    <x v="2"/>
    <m/>
    <s v="407BPI0013;343BPI0123"/>
    <s v="Federal"/>
    <m/>
    <m/>
    <m/>
    <s v="Federal"/>
    <s v="PAV"/>
    <s v="Piripiri"/>
  </r>
  <r>
    <x v="0"/>
    <s v="404BPI0015"/>
    <n v="0"/>
    <x v="363"/>
    <s v="0015"/>
    <n v="-41.777407350268902"/>
    <n v="-4.3149371297446901"/>
    <n v="-41.453581799860103"/>
    <n v="-4.4308520396898503"/>
    <s v="404"/>
    <s v="PI"/>
    <s v="Eixo Principal"/>
    <s v="-"/>
    <s v="404BPI0015"/>
    <s v="ENTR BR-343(B)"/>
    <s v="PEDRO II"/>
    <n v="4.2"/>
    <n v="51.6"/>
    <n v="47.4"/>
    <x v="2"/>
    <m/>
    <s v="407BPI0015"/>
    <m/>
    <s v="MP082/2003"/>
    <m/>
    <m/>
    <m/>
    <s v="PAV"/>
    <s v="Piripiri"/>
  </r>
  <r>
    <x v="0"/>
    <s v="404BPI0020"/>
    <n v="0"/>
    <x v="363"/>
    <s v="0020"/>
    <n v="-41.453581799860103"/>
    <n v="-4.4308520396898503"/>
    <n v="-41.410434029606698"/>
    <n v="-4.4851869301326701"/>
    <s v="404"/>
    <s v="PI"/>
    <s v="Eixo Principal"/>
    <s v="-"/>
    <s v="404BPI0020"/>
    <s v="PEDRO II"/>
    <s v="ENTR BR-407(B)/PI-216(A)"/>
    <n v="51.6"/>
    <n v="58.2"/>
    <n v="6.6"/>
    <x v="2"/>
    <m/>
    <s v="407BPI0020"/>
    <m/>
    <s v="MP082/2003"/>
    <m/>
    <m/>
    <m/>
    <s v="PAV"/>
    <s v="Piripiri"/>
  </r>
  <r>
    <x v="0"/>
    <s v="404BPI0025"/>
    <n v="0"/>
    <x v="363"/>
    <s v="0025"/>
    <n v="-41.410434029606698"/>
    <n v="-4.4851869301326701"/>
    <n v="-41.352946779770001"/>
    <n v="-4.5395021299192901"/>
    <s v="404"/>
    <s v="PI"/>
    <s v="Eixo Principal"/>
    <s v="-"/>
    <s v="404BPI0025"/>
    <s v="ENTR BR-407(B)/PI-216(A)"/>
    <s v="ENTR PI-216(B)"/>
    <n v="58.2"/>
    <n v="68.5"/>
    <n v="10.3"/>
    <x v="2"/>
    <m/>
    <m/>
    <m/>
    <s v="MP082/2003"/>
    <m/>
    <m/>
    <m/>
    <s v="PAV"/>
    <s v="Piripiri"/>
  </r>
  <r>
    <x v="0"/>
    <s v="404BPI0030"/>
    <n v="0"/>
    <x v="363"/>
    <s v="0030"/>
    <n v="-41.352946779770001"/>
    <n v="-4.5395021299192901"/>
    <n v="-41.220795489819899"/>
    <n v="-4.5675957599363501"/>
    <s v="404"/>
    <s v="PI"/>
    <s v="Eixo Principal"/>
    <s v="-"/>
    <s v="404BPI0030"/>
    <s v="ENTR PI-216(B)"/>
    <s v="DIV PI/CE"/>
    <n v="68.5"/>
    <n v="83.6"/>
    <n v="15.1"/>
    <x v="2"/>
    <m/>
    <m/>
    <m/>
    <s v="MP082/2003"/>
    <m/>
    <m/>
    <m/>
    <s v="PAV"/>
    <s v="Piripiri"/>
  </r>
  <r>
    <x v="0"/>
    <s v="405BPB0170"/>
    <n v="0"/>
    <x v="364"/>
    <s v="0170"/>
    <n v="-38.3736286099723"/>
    <n v="-6.4563366002538398"/>
    <n v="-38.415526620257197"/>
    <n v="-6.5149487895549196"/>
    <s v="405"/>
    <s v="PB"/>
    <s v="Eixo Principal"/>
    <s v="-"/>
    <s v="405BPB0170"/>
    <s v="DIV RN/PB"/>
    <s v="ENTR BR-434/PB-391 (UIRAÚNA)"/>
    <n v="0"/>
    <n v="8.1999999999999993"/>
    <n v="8.1999999999999993"/>
    <x v="2"/>
    <m/>
    <m/>
    <s v="Federal"/>
    <m/>
    <m/>
    <m/>
    <s v="Federal"/>
    <s v="PAV"/>
    <s v="Patos"/>
  </r>
  <r>
    <x v="0"/>
    <s v="405BPB0190"/>
    <n v="0"/>
    <x v="364"/>
    <s v="0190"/>
    <n v="-38.415526620257197"/>
    <n v="-6.5149487895549196"/>
    <n v="-38.448758120290897"/>
    <n v="-6.7260372896891401"/>
    <s v="405"/>
    <s v="PB"/>
    <s v="Eixo Principal"/>
    <s v="-"/>
    <s v="405BPB0190"/>
    <s v="ENTR BR-434/PB-391 (UIRAÚNA)"/>
    <s v="ENTR PB-393 (P/ CAJAZEIRAS)"/>
    <n v="8.1999999999999993"/>
    <n v="34"/>
    <n v="25.8"/>
    <x v="2"/>
    <m/>
    <m/>
    <s v="Federal"/>
    <m/>
    <m/>
    <m/>
    <s v="Federal"/>
    <s v="PAV"/>
    <s v="Patos"/>
  </r>
  <r>
    <x v="0"/>
    <s v="405BPB0210"/>
    <n v="0"/>
    <x v="364"/>
    <s v="0210"/>
    <n v="-38.448758120290897"/>
    <n v="-6.7260372896891401"/>
    <n v="-38.357931590270603"/>
    <n v="-6.8476722601666298"/>
    <s v="405"/>
    <s v="PB"/>
    <s v="Eixo Principal"/>
    <s v="-"/>
    <s v="405BPB0210"/>
    <s v="ENTR PB-393 (P/ CAJAZEIRAS)"/>
    <s v="ENTR BR-230 (MARIZÓPOLIS)"/>
    <n v="34"/>
    <n v="52"/>
    <n v="18"/>
    <x v="2"/>
    <m/>
    <m/>
    <s v="Federal"/>
    <m/>
    <m/>
    <m/>
    <s v="Federal"/>
    <s v="PAV"/>
    <s v="Patos"/>
  </r>
  <r>
    <x v="0"/>
    <s v="405BRN0010"/>
    <n v="0"/>
    <x v="365"/>
    <s v="0010"/>
    <n v="-37.351875170002998"/>
    <n v="-5.1914728498920804"/>
    <n v="-37.3778929201221"/>
    <n v="-5.1935737804055799"/>
    <s v="405"/>
    <s v="RN"/>
    <s v="Eixo Principal"/>
    <s v="-"/>
    <s v="405BRN0010"/>
    <s v="MOSSORÓ (IGREJA SÃO JOÃO) INÍCIO DUPLICAÇÃO *TRECHO URBANO*"/>
    <s v="FIM DUPLICAÇÃO *TRECHO URBANO*"/>
    <n v="0"/>
    <n v="2.7"/>
    <n v="2.7"/>
    <x v="0"/>
    <m/>
    <m/>
    <s v="Federal"/>
    <m/>
    <m/>
    <m/>
    <s v="Federal"/>
    <s v="PAV"/>
    <s v="Mossoró"/>
  </r>
  <r>
    <x v="0"/>
    <s v="405BRN0030"/>
    <n v="0"/>
    <x v="365"/>
    <s v="0030"/>
    <n v="-37.3778929201221"/>
    <n v="-5.1935737804055799"/>
    <n v="-37.497469509710001"/>
    <n v="-5.2150944103786898"/>
    <s v="405"/>
    <s v="RN"/>
    <s v="Eixo Principal"/>
    <s v="-"/>
    <s v="405BRN0030"/>
    <s v="FIM DUPLICAÇÃO *TRECHO URBANO*"/>
    <s v="ENTR BR-437 (JUCURÍ)"/>
    <n v="2.7"/>
    <n v="16.5"/>
    <n v="13.8"/>
    <x v="2"/>
    <m/>
    <m/>
    <s v="Federal"/>
    <m/>
    <m/>
    <m/>
    <s v="Federal"/>
    <s v="PAV"/>
    <s v="Mossoró"/>
  </r>
  <r>
    <x v="0"/>
    <s v="405BRN0050"/>
    <n v="0"/>
    <x v="365"/>
    <s v="0050"/>
    <n v="-37.497469509710001"/>
    <n v="-5.2150944103786898"/>
    <n v="-37.750479409696901"/>
    <n v="-5.56478918966934"/>
    <s v="405"/>
    <s v="RN"/>
    <s v="Eixo Principal"/>
    <s v="-"/>
    <s v="405BRN0050"/>
    <s v="ENTR BR-437 (JUCURÍ)"/>
    <s v="ENTR RN-032 (P/FELIPE GUERRA)"/>
    <n v="16.5"/>
    <n v="64.2"/>
    <n v="47.7"/>
    <x v="2"/>
    <m/>
    <m/>
    <s v="Federal"/>
    <m/>
    <m/>
    <m/>
    <s v="Federal"/>
    <s v="PAV"/>
    <s v="Pau dos Ferros"/>
  </r>
  <r>
    <x v="0"/>
    <s v="405BRN0055"/>
    <n v="0"/>
    <x v="365"/>
    <s v="0055"/>
    <n v="-37.750479409696901"/>
    <n v="-5.56478918966934"/>
    <n v="-37.800021189726003"/>
    <n v="-5.6420749900686902"/>
    <s v="405"/>
    <s v="RN"/>
    <s v="Eixo Principal"/>
    <s v="-"/>
    <s v="405BRN0055"/>
    <s v="ENTR RN-032 (P/FELIPE GUERRA)"/>
    <s v="INÍCIO TRECHO DUP (APODI)*TRECHO URBANO*"/>
    <n v="64.2"/>
    <n v="74.8"/>
    <n v="10.6"/>
    <x v="2"/>
    <m/>
    <m/>
    <s v="Federal"/>
    <m/>
    <m/>
    <m/>
    <s v="Federal"/>
    <s v="PAV"/>
    <s v="Pau dos Ferros"/>
  </r>
  <r>
    <x v="0"/>
    <s v="405BRN0060"/>
    <n v="0"/>
    <x v="365"/>
    <s v="0060"/>
    <n v="-37.800021189726003"/>
    <n v="-5.6420749900686902"/>
    <n v="-37.798993100051398"/>
    <n v="-5.6608873800485"/>
    <s v="405"/>
    <s v="RN"/>
    <s v="Eixo Principal"/>
    <s v="-"/>
    <s v="405BRN0060"/>
    <s v="INÍCIO TRECHO DUP (APODI)*TRECHO URBANO*"/>
    <s v="FIM TRECHO DUP (APODI)*TRECHO URBANO*"/>
    <n v="74.8"/>
    <n v="76.8"/>
    <n v="2"/>
    <x v="0"/>
    <m/>
    <m/>
    <s v="Federal"/>
    <m/>
    <m/>
    <m/>
    <s v="Federal"/>
    <s v="PAV"/>
    <s v="Pau dos Ferros"/>
  </r>
  <r>
    <x v="0"/>
    <s v="405BRN0065"/>
    <n v="0"/>
    <x v="365"/>
    <s v="0065"/>
    <n v="-37.798993100051398"/>
    <n v="-5.6608873800485"/>
    <n v="-37.804848049897501"/>
    <n v="-5.7041247101871502"/>
    <s v="405"/>
    <s v="RN"/>
    <s v="Eixo Principal"/>
    <s v="-"/>
    <s v="405BRN0065"/>
    <s v="FIM TRECHO DUP (APODI)*TRECHO URBANO*"/>
    <s v="ENTR RN-233 (P/CARAÚBAS)"/>
    <n v="76.8"/>
    <n v="82.7"/>
    <n v="5.9"/>
    <x v="2"/>
    <m/>
    <m/>
    <s v="Federal"/>
    <m/>
    <m/>
    <m/>
    <s v="Federal"/>
    <s v="PAV"/>
    <s v="Pau dos Ferros"/>
  </r>
  <r>
    <x v="0"/>
    <s v="405BRN0070"/>
    <n v="0"/>
    <x v="365"/>
    <s v="0070"/>
    <n v="-37.804848049897501"/>
    <n v="-5.7041247101871502"/>
    <n v="-37.935574859592002"/>
    <n v="-5.8028049701732103"/>
    <s v="405"/>
    <s v="RN"/>
    <s v="Eixo Principal"/>
    <s v="-"/>
    <s v="405BRN0070"/>
    <s v="ENTR RN-233 (P/CARAÚBAS)"/>
    <s v="ACESSO SEVERIANO MELO"/>
    <n v="82.7"/>
    <n v="101.7"/>
    <n v="19"/>
    <x v="2"/>
    <m/>
    <m/>
    <s v="Federal"/>
    <m/>
    <m/>
    <m/>
    <s v="Federal"/>
    <s v="PAV"/>
    <s v="Pau dos Ferros"/>
  </r>
  <r>
    <x v="0"/>
    <s v="405BRN0075"/>
    <n v="0"/>
    <x v="365"/>
    <s v="0075"/>
    <n v="-37.935574859592002"/>
    <n v="-5.8028049701732103"/>
    <n v="-37.9755994300696"/>
    <n v="-5.8268734604417798"/>
    <s v="405"/>
    <s v="RN"/>
    <s v="Eixo Principal"/>
    <s v="-"/>
    <s v="405BRN0075"/>
    <s v="ACESSO A SEVERIANO MELO "/>
    <s v="ENTR RN-177(A) (P/ RODOLFO FERNANDES)"/>
    <n v="101.7"/>
    <n v="107"/>
    <n v="5.3"/>
    <x v="2"/>
    <m/>
    <m/>
    <s v="Federal"/>
    <m/>
    <m/>
    <m/>
    <s v="Federal"/>
    <s v="PAV"/>
    <s v="Pau dos Ferros"/>
  </r>
  <r>
    <x v="0"/>
    <s v="405BRN0080"/>
    <n v="0"/>
    <x v="365"/>
    <s v="0080"/>
    <n v="-37.9755994300696"/>
    <n v="-5.8268734604417798"/>
    <n v="-38.000020180287002"/>
    <n v="-5.8535737699135098"/>
    <s v="405"/>
    <s v="RN"/>
    <s v="Eixo Principal"/>
    <s v="-"/>
    <s v="405BRN0080"/>
    <s v="ENTR RN-177(A) (P/ RODOLFO FERNANDES)"/>
    <s v="ENTR RN-177(B) (ITAÚ) (P/ UMARIZAL)"/>
    <n v="107"/>
    <n v="111.1"/>
    <n v="4.0999999999999996"/>
    <x v="2"/>
    <m/>
    <m/>
    <s v="Federal"/>
    <m/>
    <m/>
    <m/>
    <s v="Federal"/>
    <s v="PAV"/>
    <s v="Pau dos Ferros"/>
  </r>
  <r>
    <x v="0"/>
    <s v="405BRN0090"/>
    <n v="0"/>
    <x v="365"/>
    <s v="0090"/>
    <n v="-38.000020180287002"/>
    <n v="-5.8535737699135098"/>
    <n v="-38.055140740052998"/>
    <n v="-5.9005364903666697"/>
    <s v="405"/>
    <s v="RN"/>
    <s v="Eixo Principal"/>
    <s v="-"/>
    <s v="405BRN0090"/>
    <s v="ENTR RN-177(B) (ITAÚ) (P/ UMARIZAL)"/>
    <s v="ENTR RN-071 (P/TABULEIRO GRANDE)"/>
    <n v="111.1"/>
    <n v="119.1"/>
    <n v="8"/>
    <x v="2"/>
    <m/>
    <m/>
    <s v="Federal"/>
    <m/>
    <m/>
    <m/>
    <s v="Federal"/>
    <s v="PAV"/>
    <s v="Pau dos Ferros"/>
  </r>
  <r>
    <x v="0"/>
    <s v="405BRN0095"/>
    <n v="0"/>
    <x v="365"/>
    <s v="0095"/>
    <n v="-38.055140740052998"/>
    <n v="-5.9005364903666697"/>
    <n v="-38.2088281903686"/>
    <n v="-6.0828286698072098"/>
    <s v="405"/>
    <s v="RN"/>
    <s v="Eixo Principal"/>
    <s v="-"/>
    <s v="405BRN0095"/>
    <s v="ENTR RN-071 (P/TABULEIRO GRANDE)"/>
    <s v="ENTR BR-226 (INIC. TRAVESSIA URBANA PAU DOS FERROS)"/>
    <n v="119.1"/>
    <n v="147.30000000000001"/>
    <n v="28.2"/>
    <x v="2"/>
    <m/>
    <m/>
    <s v="Federal"/>
    <m/>
    <m/>
    <m/>
    <s v="Federal"/>
    <s v="PAV"/>
    <s v="Pau dos Ferros"/>
  </r>
  <r>
    <x v="0"/>
    <s v="405BRN0100"/>
    <n v="0"/>
    <x v="365"/>
    <s v="0100"/>
    <n v="-38.2088281903686"/>
    <n v="-6.0828286698072098"/>
    <n v="-38.206052459852998"/>
    <n v="-6.1102137797420797"/>
    <s v="405"/>
    <s v="RN"/>
    <s v="Eixo Principal"/>
    <s v="-"/>
    <s v="405BRN0100"/>
    <s v="ENTR BR-226 (INIC. TRAVESSIA URBANA PAU DOS FERROS)"/>
    <s v="INIC. TRECHO DUP(PAU DOS FERROS)*TRECHO URBANO*"/>
    <n v="147.30000000000001"/>
    <n v="150.30000000000001"/>
    <n v="3"/>
    <x v="2"/>
    <m/>
    <m/>
    <s v="Federal"/>
    <m/>
    <m/>
    <m/>
    <s v="Federal"/>
    <s v="PAV"/>
    <s v="Pau dos Ferros"/>
  </r>
  <r>
    <x v="0"/>
    <s v="405BRN0105"/>
    <n v="0"/>
    <x v="365"/>
    <s v="0105"/>
    <n v="-38.206052459852998"/>
    <n v="-6.1102137797420797"/>
    <n v="-38.206678280078499"/>
    <n v="-6.1186392501012303"/>
    <s v="405"/>
    <s v="RN"/>
    <s v="Eixo Principal"/>
    <s v="-"/>
    <s v="405BRN0105"/>
    <s v="INIC. TRECHO DUP(PAU DOS FERROS)*TRECHO URBANO*"/>
    <s v="FIM TRECHO DUP(PAU DOS FERROS)*TRECHO URBANO*"/>
    <n v="150.30000000000001"/>
    <n v="151.19999999999999"/>
    <n v="0.9"/>
    <x v="0"/>
    <m/>
    <m/>
    <s v="Federal"/>
    <m/>
    <m/>
    <m/>
    <s v="Federal"/>
    <s v="PAV"/>
    <s v="Pau dos Ferros"/>
  </r>
  <r>
    <x v="0"/>
    <s v="405BRN0110"/>
    <n v="0"/>
    <x v="365"/>
    <s v="0110"/>
    <n v="-38.206678280078499"/>
    <n v="-6.1186392501012303"/>
    <n v="-38.206240849835197"/>
    <n v="-6.1514292801371004"/>
    <s v="405"/>
    <s v="RN"/>
    <s v="Eixo Principal"/>
    <s v="-"/>
    <s v="405BRN0110"/>
    <s v="FIM TRECHO DUP(PAU DOS FERROS)*TRECHO URBANO*"/>
    <s v="FIM TRAVESSIA DE PAU DOS FERROS *TRECHO URBANO* (ACESSO AEROPORTO)"/>
    <n v="151.19999999999999"/>
    <n v="155"/>
    <n v="3.8"/>
    <x v="2"/>
    <m/>
    <m/>
    <s v="Federal"/>
    <m/>
    <m/>
    <m/>
    <s v="Federal"/>
    <s v="PAV"/>
    <s v="Pau dos Ferros"/>
  </r>
  <r>
    <x v="0"/>
    <s v="405BRN0115"/>
    <n v="0"/>
    <x v="365"/>
    <s v="0115"/>
    <n v="-38.206240849835197"/>
    <n v="-6.1514292801371004"/>
    <n v="-38.2240100001613"/>
    <n v="-6.1892456498667903"/>
    <s v="405"/>
    <s v="RN"/>
    <s v="Eixo Principal"/>
    <s v="-"/>
    <s v="405BRN0115"/>
    <s v="FIM DA TRAVESSIA DE PAU DOS FERROS (ACESSO AEROPORTO)"/>
    <s v="ENTR RN-079(A) (RAFAEL FERNANDES)(P/ÁGUA NOVA)"/>
    <n v="155"/>
    <n v="159.69999999999999"/>
    <n v="4.7"/>
    <x v="2"/>
    <m/>
    <m/>
    <s v="Federal"/>
    <m/>
    <m/>
    <m/>
    <s v="Federal"/>
    <s v="PAV"/>
    <s v="Pau dos Ferros"/>
  </r>
  <r>
    <x v="0"/>
    <s v="405BRN0120"/>
    <n v="0"/>
    <x v="365"/>
    <s v="0120"/>
    <n v="-38.2240100001613"/>
    <n v="-6.1892456498667903"/>
    <n v="-38.236754370217902"/>
    <n v="-6.2203238599581097"/>
    <s v="405"/>
    <s v="RN"/>
    <s v="Eixo Principal"/>
    <s v="-"/>
    <s v="405BRN0120"/>
    <s v="ENTR RN-079(A) (RAFAEL FERNANDES) (P/ÁGUA NOVA)"/>
    <s v="ENTR RN-079(B) (P/ ALEXANDRIA)"/>
    <n v="159.69999999999999"/>
    <n v="163.6"/>
    <n v="3.9"/>
    <x v="2"/>
    <m/>
    <m/>
    <s v="Federal"/>
    <m/>
    <m/>
    <m/>
    <s v="Federal"/>
    <s v="PAV"/>
    <s v="Pau dos Ferros"/>
  </r>
  <r>
    <x v="0"/>
    <s v="405BRN0130"/>
    <n v="0"/>
    <x v="365"/>
    <s v="0130"/>
    <n v="-38.236754370217902"/>
    <n v="-6.2203238599581097"/>
    <n v="-38.260676330348304"/>
    <n v="-6.2791084600873397"/>
    <s v="405"/>
    <s v="RN"/>
    <s v="Eixo Principal"/>
    <s v="-"/>
    <s v="405BRN0130"/>
    <s v="ENTR RN-079(B) (P/ ALEXANDRIA)"/>
    <s v="ENTR RN-073 (P/RIACHO DE SANTANA)"/>
    <n v="163.6"/>
    <n v="170.9"/>
    <n v="7.3"/>
    <x v="2"/>
    <m/>
    <m/>
    <s v="Federal"/>
    <m/>
    <m/>
    <m/>
    <s v="Federal"/>
    <s v="PAV"/>
    <s v="Pau dos Ferros"/>
  </r>
  <r>
    <x v="0"/>
    <s v="405BRN0140"/>
    <n v="0"/>
    <x v="365"/>
    <s v="0140"/>
    <n v="-38.260676330348304"/>
    <n v="-6.2791084600873397"/>
    <n v="-38.336772440095999"/>
    <n v="-6.4332591601820397"/>
    <s v="405"/>
    <s v="RN"/>
    <s v="Eixo Principal"/>
    <s v="-"/>
    <s v="405BRN0140"/>
    <s v="ENTR RN-073 (P/RIACHO DE SANTANA)"/>
    <s v="ENTR RN-117"/>
    <n v="170.9"/>
    <n v="190.5"/>
    <n v="19.600000000000001"/>
    <x v="2"/>
    <m/>
    <m/>
    <s v="Federal"/>
    <m/>
    <m/>
    <m/>
    <s v="Federal"/>
    <s v="PAV"/>
    <s v="Pau dos Ferros"/>
  </r>
  <r>
    <x v="0"/>
    <s v="405BRN0150"/>
    <n v="0"/>
    <x v="365"/>
    <s v="0150"/>
    <n v="-38.336772440095999"/>
    <n v="-6.4332591601820397"/>
    <n v="-38.3736286099723"/>
    <n v="-6.4563366002538398"/>
    <s v="405"/>
    <s v="RN"/>
    <s v="Eixo Principal"/>
    <s v="-"/>
    <s v="405BRN0150"/>
    <s v="ENTR RN-117"/>
    <s v="ENTR RN-117(C) (P/LUIS GOMES) (DIV RN/PB)"/>
    <n v="190.5"/>
    <n v="195.4"/>
    <n v="4.9000000000000004"/>
    <x v="2"/>
    <m/>
    <m/>
    <s v="Federal"/>
    <m/>
    <m/>
    <m/>
    <s v="Federal"/>
    <s v="PAV"/>
    <s v="Pau dos Ferros"/>
  </r>
  <r>
    <x v="0"/>
    <s v="405CPB1005"/>
    <n v="0"/>
    <x v="366"/>
    <s v="1005"/>
    <n v="-38.448675549936603"/>
    <n v="-6.7129956703138802"/>
    <n v="-38.444853170437298"/>
    <n v="-6.7391861001583404"/>
    <s v="405"/>
    <s v="PB"/>
    <s v="Contorno"/>
    <s v="-"/>
    <s v="405CPB1005"/>
    <s v="ENTR BR-405 (KM 31,0)"/>
    <s v="ENTR BR-405/PB-393(CONTORNO DE SÃO JOÃO DO RIO DO PEIXE)"/>
    <n v="0"/>
    <n v="4.8"/>
    <n v="4.8"/>
    <x v="1"/>
    <m/>
    <m/>
    <s v="Federal"/>
    <m/>
    <m/>
    <m/>
    <s v="Federal"/>
    <s v="PLA"/>
    <s v="Patos"/>
  </r>
  <r>
    <x v="0"/>
    <s v="406BRN0010"/>
    <n v="0"/>
    <x v="367"/>
    <s v="0010"/>
    <n v="-36.630272880289098"/>
    <n v="-5.1184675103672799"/>
    <n v="-36.5956991501955"/>
    <n v="-5.1506125502289697"/>
    <s v="406"/>
    <s v="RN"/>
    <s v="Eixo Principal"/>
    <s v="Coinc"/>
    <s v="406BRN0010"/>
    <s v="ENTR BR-104(A)/RN-118(A)/221(A) (MACAU)"/>
    <s v="ENTR BR-104(B)/RN-118(B) (P/PENDÊNCIAS)"/>
    <n v="0"/>
    <n v="5.5"/>
    <n v="5.5"/>
    <x v="2"/>
    <m/>
    <s v="104BRN0010"/>
    <s v="Federal"/>
    <m/>
    <m/>
    <m/>
    <s v="Federal"/>
    <s v="PAV"/>
    <s v="Macaíba"/>
  </r>
  <r>
    <x v="0"/>
    <s v="406BRN0015"/>
    <n v="0"/>
    <x v="367"/>
    <s v="0015"/>
    <n v="-36.5956991501955"/>
    <n v="-5.1506125502289697"/>
    <n v="-36.583023060265901"/>
    <n v="-5.1561830004450799"/>
    <s v="406"/>
    <s v="RN"/>
    <s v="Eixo Principal"/>
    <s v="-"/>
    <s v="406BRN0015"/>
    <s v="ENTR BR-104(B)/RN-118(B) (P/PENDÊNCIAS)"/>
    <s v="ENTR RN-221(B)"/>
    <n v="5.5"/>
    <n v="7.1"/>
    <n v="1.6"/>
    <x v="2"/>
    <m/>
    <m/>
    <s v="Federal"/>
    <m/>
    <m/>
    <m/>
    <s v="Federal"/>
    <s v="PAV"/>
    <s v="Macaíba"/>
  </r>
  <r>
    <x v="0"/>
    <s v="406BRN0025"/>
    <n v="0"/>
    <x v="367"/>
    <s v="0025"/>
    <n v="-36.583023060265901"/>
    <n v="-5.1561830004450799"/>
    <n v="-36.458277500306302"/>
    <n v="-5.2120158799288498"/>
    <s v="406"/>
    <s v="RN"/>
    <s v="Eixo Principal"/>
    <s v="-"/>
    <s v="406BRN0025"/>
    <s v="ENTR RN-221(B)"/>
    <s v="ENTR ESTRADA DO ÓLEO (P/PETROBRÁS)"/>
    <n v="7.1"/>
    <n v="22.2"/>
    <n v="15.1"/>
    <x v="2"/>
    <m/>
    <m/>
    <s v="Federal"/>
    <m/>
    <m/>
    <m/>
    <s v="Federal"/>
    <s v="PAV"/>
    <s v="Macaíba"/>
  </r>
  <r>
    <x v="0"/>
    <s v="406BRN0030"/>
    <n v="0"/>
    <x v="367"/>
    <s v="0030"/>
    <n v="-36.458277500306302"/>
    <n v="-5.2120158799288498"/>
    <n v="-36.383847390044899"/>
    <n v="-5.2442964098513496"/>
    <s v="406"/>
    <s v="RN"/>
    <s v="Eixo Principal"/>
    <s v="-"/>
    <s v="406BRN0030"/>
    <s v="ENTR ESTRADA DO ÓLEO (P/PETROBRÁS)"/>
    <s v="ENTR RN-401 (P/GUAMARÉ)"/>
    <n v="22.2"/>
    <n v="31.2"/>
    <n v="9"/>
    <x v="2"/>
    <m/>
    <m/>
    <s v="Federal"/>
    <m/>
    <m/>
    <m/>
    <s v="Federal"/>
    <s v="PAV"/>
    <s v="Macaíba"/>
  </r>
  <r>
    <x v="0"/>
    <s v="406BRN0035"/>
    <n v="0"/>
    <x v="367"/>
    <s v="0035"/>
    <n v="-36.383847390044899"/>
    <n v="-5.2442964098513496"/>
    <n v="-36.258258989960297"/>
    <n v="-5.2974145697265804"/>
    <s v="406"/>
    <s v="RN"/>
    <s v="Eixo Principal"/>
    <s v="-"/>
    <s v="406BRN0035"/>
    <s v="ENTR RN-401 (P/GUAMARÉ)"/>
    <s v="ENTR RN-402 (P/GALINHOS)"/>
    <n v="31.2"/>
    <n v="46.3"/>
    <n v="15.1"/>
    <x v="2"/>
    <m/>
    <m/>
    <s v="Federal"/>
    <m/>
    <m/>
    <m/>
    <s v="Federal"/>
    <s v="PAV"/>
    <s v="Macaíba"/>
  </r>
  <r>
    <x v="0"/>
    <s v="406BRN0040"/>
    <n v="0"/>
    <x v="367"/>
    <s v="0040"/>
    <n v="-36.258258989960297"/>
    <n v="-5.2974145697265804"/>
    <n v="-35.857188839792997"/>
    <n v="-5.5119647501730302"/>
    <s v="406"/>
    <s v="RN"/>
    <s v="Eixo Principal"/>
    <s v="-"/>
    <s v="406BRN0040"/>
    <s v="ENTR RN-402 (P/GALINHOS)"/>
    <s v="ENTR RN-263(A)"/>
    <n v="46.3"/>
    <n v="97.1"/>
    <n v="50.8"/>
    <x v="2"/>
    <m/>
    <m/>
    <s v="Federal"/>
    <m/>
    <m/>
    <m/>
    <s v="Federal"/>
    <s v="PAV"/>
    <s v="Macaíba"/>
  </r>
  <r>
    <x v="0"/>
    <s v="406BRN0050"/>
    <n v="0"/>
    <x v="367"/>
    <s v="0050"/>
    <n v="-35.857188839792997"/>
    <n v="-5.5119647501730302"/>
    <n v="-35.851538939870103"/>
    <n v="-5.5136080399790304"/>
    <s v="406"/>
    <s v="RN"/>
    <s v="Eixo Principal"/>
    <s v="-"/>
    <s v="406BRN0050"/>
    <s v="ENTR RN-263(A)"/>
    <s v="ENTR RN-120(A) (P/PARAZINHO) "/>
    <n v="97.1"/>
    <n v="97.7"/>
    <n v="0.6"/>
    <x v="2"/>
    <m/>
    <m/>
    <s v="Federal"/>
    <m/>
    <m/>
    <m/>
    <s v="Federal"/>
    <s v="PAV"/>
    <s v="Macaíba"/>
  </r>
  <r>
    <x v="0"/>
    <s v="406BRN0060"/>
    <n v="0"/>
    <x v="367"/>
    <s v="0060"/>
    <n v="-35.851538939870103"/>
    <n v="-5.5136080399790304"/>
    <n v="-35.8150140802355"/>
    <n v="-5.5347757696859503"/>
    <s v="406"/>
    <s v="RN"/>
    <s v="Eixo Principal"/>
    <s v="-"/>
    <s v="406BRN0060"/>
    <s v="ENTR RN-120(A) (P/PARAZINHO)"/>
    <s v="ENTR RN-263(B)/RN-023 (JOÃO CÂMARA)"/>
    <n v="97.7"/>
    <n v="102.7"/>
    <n v="5"/>
    <x v="2"/>
    <m/>
    <m/>
    <s v="Federal"/>
    <m/>
    <m/>
    <m/>
    <s v="Federal"/>
    <s v="PAV"/>
    <s v="Macaíba"/>
  </r>
  <r>
    <x v="0"/>
    <s v="406BRN0070"/>
    <n v="0"/>
    <x v="367"/>
    <s v="0070"/>
    <n v="-35.8150140802355"/>
    <n v="-5.5347757696859503"/>
    <n v="-35.802935560127899"/>
    <n v="-5.5414544301777298"/>
    <s v="406"/>
    <s v="RN"/>
    <s v="Eixo Principal"/>
    <s v="-"/>
    <s v="406BRN0070"/>
    <s v="ENTR RN-263(B)/RN-023 (JOÃO CÂMARA)"/>
    <s v="ENTR RN-120(B) (JOÃO CÂMARA)"/>
    <n v="102.7"/>
    <n v="104.3"/>
    <n v="1.6"/>
    <x v="2"/>
    <m/>
    <m/>
    <s v="Federal"/>
    <m/>
    <m/>
    <m/>
    <s v="Federal"/>
    <s v="PAV"/>
    <s v="Macaíba"/>
  </r>
  <r>
    <x v="0"/>
    <s v="406BRN0090"/>
    <n v="0"/>
    <x v="367"/>
    <s v="0090"/>
    <n v="-35.802935560127899"/>
    <n v="-5.5414544301777298"/>
    <n v="-35.617016619921003"/>
    <n v="-5.6000633504432296"/>
    <s v="406"/>
    <s v="RN"/>
    <s v="Eixo Principal"/>
    <s v="-"/>
    <s v="406BRN0090"/>
    <s v="ENTR RN-120(B)/263(B) (JOÃO CÂMARA)"/>
    <s v="ENTR RN-051 (P/POÇO BRANCO)"/>
    <n v="104.3"/>
    <n v="125.9"/>
    <n v="21.6"/>
    <x v="2"/>
    <m/>
    <m/>
    <s v="Federal"/>
    <m/>
    <m/>
    <m/>
    <s v="Federal"/>
    <s v="PAV"/>
    <s v="Macaíba"/>
  </r>
  <r>
    <x v="0"/>
    <s v="406BRN0100"/>
    <n v="0"/>
    <x v="367"/>
    <s v="0100"/>
    <n v="-35.617016619921003"/>
    <n v="-5.6000633504432296"/>
    <n v="-35.5986476703536"/>
    <n v="-5.6271092199145301"/>
    <s v="406"/>
    <s v="RN"/>
    <s v="Eixo Principal"/>
    <s v="-"/>
    <s v="406BRN0100"/>
    <s v="ENTR RN-051 (P/POÇO BRANCO)"/>
    <s v="ACESSO TAIPÚ"/>
    <n v="125.9"/>
    <n v="130"/>
    <n v="4.0999999999999996"/>
    <x v="2"/>
    <m/>
    <m/>
    <s v="Federal"/>
    <m/>
    <m/>
    <m/>
    <s v="Federal"/>
    <s v="PAV"/>
    <s v="Macaíba"/>
  </r>
  <r>
    <x v="0"/>
    <s v="406BRN0110"/>
    <n v="0"/>
    <x v="367"/>
    <s v="0110"/>
    <n v="-35.5986476703536"/>
    <n v="-5.6271092199145301"/>
    <n v="-35.426103679641002"/>
    <n v="-5.6505800396370702"/>
    <s v="406"/>
    <s v="RN"/>
    <s v="Eixo Principal"/>
    <s v="-"/>
    <s v="406BRN0110"/>
    <s v="ACESSO TAIPÚ"/>
    <s v="ENTR RN-064 (P/CEARÁ MIRIM)"/>
    <n v="130"/>
    <n v="150.69999999999999"/>
    <n v="20.7"/>
    <x v="2"/>
    <m/>
    <m/>
    <s v="Federal"/>
    <m/>
    <m/>
    <m/>
    <s v="Federal"/>
    <s v="PAV"/>
    <s v="Macaíba"/>
  </r>
  <r>
    <x v="0"/>
    <s v="406BRN0130"/>
    <n v="0"/>
    <x v="367"/>
    <s v="0130"/>
    <n v="-35.426103679641002"/>
    <n v="-5.6505800396370702"/>
    <n v="-35.334726250116297"/>
    <n v="-5.7454883603994604"/>
    <s v="406"/>
    <s v="RN"/>
    <s v="Eixo Principal"/>
    <s v="-"/>
    <s v="406BRN0130"/>
    <s v="ENTR RN-064 (P/CEARÁ MIRIM)"/>
    <s v="ACESSO NORTE AEROPORTO"/>
    <n v="150.69999999999999"/>
    <n v="165.6"/>
    <n v="14.9"/>
    <x v="2"/>
    <m/>
    <m/>
    <s v="Federal"/>
    <m/>
    <m/>
    <m/>
    <s v="Federal"/>
    <s v="PAV"/>
    <s v="Macaíba"/>
  </r>
  <r>
    <x v="0"/>
    <s v="406BRN0140"/>
    <n v="0"/>
    <x v="367"/>
    <s v="0140"/>
    <n v="-35.334726250116297"/>
    <n v="-5.7454883603994604"/>
    <n v="-35.287044980341499"/>
    <n v="-5.7628808296864804"/>
    <s v="406"/>
    <s v="RN"/>
    <s v="Eixo Principal"/>
    <s v="-"/>
    <s v="406BRN0140"/>
    <s v="ACESSO NORTE AEROPORTO"/>
    <s v="ENTR BR-101(A)/RN-160(A) (P/EXTREMOZ)"/>
    <n v="165.6"/>
    <n v="171.5"/>
    <n v="5.9"/>
    <x v="0"/>
    <m/>
    <m/>
    <s v="Federal"/>
    <m/>
    <m/>
    <m/>
    <s v="Federal"/>
    <s v="PAV"/>
    <s v="Macaíba"/>
  </r>
  <r>
    <x v="0"/>
    <s v="406BRN0150"/>
    <n v="0"/>
    <x v="367"/>
    <s v="0150"/>
    <n v="-35.287044980341499"/>
    <n v="-5.7628808296864804"/>
    <n v="-35.267815039632303"/>
    <n v="-5.7704022502635999"/>
    <s v="406"/>
    <s v="RN"/>
    <s v="Eixo Principal"/>
    <s v="Coinc"/>
    <s v="406BRN0150"/>
    <s v="ENTR BR-101(A)/RN-160(A) (P/EXTREMOZ)*TRECHO URBANO*"/>
    <s v="ENTR RN-160(B) (P/SÃO GONÇALO DO AMARANTE)*TRECHO URBANO*"/>
    <n v="171.5"/>
    <n v="173.8"/>
    <n v="2.2999999999999998"/>
    <x v="0"/>
    <m/>
    <s v="101BRN0075"/>
    <s v="Federal"/>
    <m/>
    <m/>
    <m/>
    <s v="Federal"/>
    <s v="PAV"/>
    <s v="Macaíba"/>
  </r>
  <r>
    <x v="0"/>
    <s v="406BRN0160"/>
    <n v="0"/>
    <x v="367"/>
    <s v="0160"/>
    <n v="-35.267815039632303"/>
    <n v="-5.7704022502635999"/>
    <n v="-35.2537206702726"/>
    <n v="-5.7755672501284598"/>
    <s v="406"/>
    <s v="RN"/>
    <s v="Eixo Principal"/>
    <s v="Coinc"/>
    <s v="406BRN0160"/>
    <s v="ENTR RN-160(B) (P/SÃO GONÇALO DO AMARANTE)*TRECHO URBANO*"/>
    <s v="ENTR RN-302 ACESSO REDINHA (P/PONTE NEWTON NAVARRO)*TRECHO URBANO*"/>
    <n v="173.8"/>
    <n v="175.4"/>
    <n v="1.6"/>
    <x v="0"/>
    <m/>
    <s v="101BRN0080"/>
    <s v="Federal"/>
    <m/>
    <m/>
    <m/>
    <s v="Federal"/>
    <s v="PAV"/>
    <s v="Macaíba"/>
  </r>
  <r>
    <x v="0"/>
    <s v="406BRN0170"/>
    <n v="0"/>
    <x v="367"/>
    <s v="0170"/>
    <n v="-35.2537206702726"/>
    <n v="-5.7755672501284598"/>
    <n v="-35.248492330256703"/>
    <n v="-5.7793281097044602"/>
    <s v="406"/>
    <s v="RN"/>
    <s v="Eixo Principal"/>
    <s v="Coinc"/>
    <s v="406BRN0170"/>
    <s v="ENTR RN-302 ACESSO REDINHA (P/PONTE NEWTON NAVARRO)*TRECHO URBANO*"/>
    <s v="ENTR BR-101(B) (PONTE PRESIDENTE COSTA E SILVA)*TRECHO URBANO*"/>
    <n v="175.4"/>
    <n v="176.3"/>
    <n v="0.9"/>
    <x v="0"/>
    <m/>
    <s v="101BRN0085"/>
    <s v="Federal"/>
    <m/>
    <m/>
    <m/>
    <s v="Federal"/>
    <s v="PAV"/>
    <s v="Macaíba"/>
  </r>
  <r>
    <x v="0"/>
    <s v="407BBA0280"/>
    <n v="0"/>
    <x v="368"/>
    <s v="0280"/>
    <n v="-40.505335540003102"/>
    <n v="-9.4095459896556601"/>
    <n v="-40.505673230035399"/>
    <n v="-9.4249740500123291"/>
    <s v="407"/>
    <s v="BA"/>
    <s v="Eixo Principal"/>
    <s v="Coinc"/>
    <s v="407BBA0280"/>
    <s v="ENTR BR-122(A)/235(A) (DIV PE/BA) (INÍCIO PONTE S/RIO S FRANCISCO - JUAZEIRO)"/>
    <s v="ENTR BR-122(B)/235(B) (JUAZEIRO)"/>
    <n v="0"/>
    <n v="1.8"/>
    <n v="1.8"/>
    <x v="2"/>
    <m/>
    <s v="235BBA0267;122BBA0381"/>
    <s v="Federal"/>
    <m/>
    <m/>
    <m/>
    <s v="Federal"/>
    <s v="PAV"/>
    <s v="Senhor do Bonfim"/>
  </r>
  <r>
    <x v="0"/>
    <s v="407BBA0283"/>
    <n v="0"/>
    <x v="368"/>
    <s v="0283"/>
    <n v="-40.505673230035399"/>
    <n v="-9.4249740500123291"/>
    <n v="-40.492775049828602"/>
    <n v="-9.4433415498725708"/>
    <s v="407"/>
    <s v="BA"/>
    <s v="Eixo Principal"/>
    <s v="Coinc"/>
    <s v="407BBA0283"/>
    <s v="ENTR BR-122(B)/235(B) (JUAZEIRO)"/>
    <s v="ENTR BR-122(C)/235(C) (MERCADO DO PRODUTOR/JUAZEIRO)"/>
    <n v="1.8"/>
    <n v="4.4000000000000004"/>
    <n v="2.6"/>
    <x v="2"/>
    <m/>
    <s v="122BBA0382"/>
    <s v="Federal"/>
    <m/>
    <m/>
    <m/>
    <s v="Federal"/>
    <s v="PAV"/>
    <s v="Senhor do Bonfim"/>
  </r>
  <r>
    <x v="0"/>
    <s v="407BBA0285"/>
    <n v="0"/>
    <x v="368"/>
    <s v="0285"/>
    <n v="-40.492775049828602"/>
    <n v="-9.4433415498725708"/>
    <n v="-40.490012769573603"/>
    <n v="-9.4486721203220405"/>
    <s v="407"/>
    <s v="BA"/>
    <s v="Eixo Principal"/>
    <s v="Coinc"/>
    <s v="407BBA0285"/>
    <s v="ENTR BR-122(C)/235(C) (MERCADO DO PRODUTOR/JUAZEIRO)"/>
    <s v="ENTR BR-122(D) (JUAZEIRO)"/>
    <n v="4.4000000000000004"/>
    <n v="5.0999999999999996"/>
    <n v="0.7"/>
    <x v="2"/>
    <m/>
    <s v="122BBA0383"/>
    <s v="Federal"/>
    <m/>
    <m/>
    <m/>
    <s v="Federal"/>
    <s v="PAV"/>
    <s v="Senhor do Bonfim"/>
  </r>
  <r>
    <x v="0"/>
    <s v="407BBA0291"/>
    <n v="0"/>
    <x v="368"/>
    <s v="0291"/>
    <n v="-40.490012769573603"/>
    <n v="-9.4486721203220405"/>
    <n v="-40.354652720146802"/>
    <n v="-9.7294545896575606"/>
    <s v="407"/>
    <s v="BA"/>
    <s v="Eixo Principal"/>
    <s v="-"/>
    <s v="407BBA0291"/>
    <s v="ENTR BR-122(D) (JUAZEIRO)"/>
    <s v="PONTE S/ RIO JUREMAL"/>
    <n v="5.0999999999999996"/>
    <n v="39.9"/>
    <n v="34.799999999999997"/>
    <x v="2"/>
    <m/>
    <m/>
    <s v="Federal"/>
    <m/>
    <m/>
    <m/>
    <s v="Federal"/>
    <s v="PAV"/>
    <s v="Senhor do Bonfim"/>
  </r>
  <r>
    <x v="0"/>
    <s v="407BBA0292"/>
    <n v="0"/>
    <x v="368"/>
    <s v="0292"/>
    <n v="-40.354652720146802"/>
    <n v="-9.7294545896575606"/>
    <n v="-40.284868510273398"/>
    <n v="-9.8763083696355203"/>
    <s v="407"/>
    <s v="BA"/>
    <s v="Eixo Principal"/>
    <s v="-"/>
    <s v="407BBA0292"/>
    <s v="PONTE S/ RIO JUREMAL"/>
    <s v="MAÇAROCA"/>
    <n v="39.9"/>
    <n v="57.5"/>
    <n v="17.600000000000001"/>
    <x v="2"/>
    <m/>
    <m/>
    <s v="Federal"/>
    <m/>
    <m/>
    <m/>
    <s v="Federal"/>
    <s v="PAV"/>
    <s v="Senhor do Bonfim"/>
  </r>
  <r>
    <x v="0"/>
    <s v="407BBA0294"/>
    <n v="0"/>
    <x v="368"/>
    <s v="0294"/>
    <n v="-40.284868510273398"/>
    <n v="-9.8763083696355203"/>
    <n v="-40.240155690332799"/>
    <n v="-9.9884946903775909"/>
    <s v="407"/>
    <s v="BA"/>
    <s v="Eixo Principal"/>
    <s v="-"/>
    <s v="407BBA0294"/>
    <s v="MAÇAROCA"/>
    <s v="ENTR BA-314"/>
    <n v="57.5"/>
    <n v="71.7"/>
    <n v="14.2"/>
    <x v="2"/>
    <m/>
    <m/>
    <s v="Federal"/>
    <m/>
    <m/>
    <m/>
    <s v="Federal"/>
    <s v="PAV"/>
    <s v="Senhor do Bonfim"/>
  </r>
  <r>
    <x v="0"/>
    <s v="407BBA0296"/>
    <n v="0"/>
    <x v="368"/>
    <s v="0296"/>
    <n v="-40.240155690332799"/>
    <n v="-9.9884946903775909"/>
    <n v="-40.191747690103703"/>
    <n v="-10.2561335203456"/>
    <s v="407"/>
    <s v="BA"/>
    <s v="Eixo Principal"/>
    <s v="-"/>
    <s v="407BBA0296"/>
    <s v="ENTR BA-314"/>
    <s v="JAGUARARI"/>
    <n v="71.7"/>
    <n v="102.6"/>
    <n v="30.9"/>
    <x v="2"/>
    <m/>
    <m/>
    <s v="Federal"/>
    <m/>
    <m/>
    <m/>
    <s v="Federal"/>
    <s v="PAV"/>
    <s v="Senhor do Bonfim"/>
  </r>
  <r>
    <x v="0"/>
    <s v="407BBA0300"/>
    <n v="0"/>
    <x v="368"/>
    <s v="0300"/>
    <n v="-40.191747690103703"/>
    <n v="-10.2561335203456"/>
    <n v="-40.167508129896198"/>
    <n v="-10.480598620229999"/>
    <s v="407"/>
    <s v="BA"/>
    <s v="Eixo Principal"/>
    <s v="-"/>
    <s v="407BBA0300"/>
    <s v="JAGUARARI"/>
    <s v="ENTR BA-131 (SENHOR DO BONFIM)"/>
    <n v="102.6"/>
    <n v="129.19999999999999"/>
    <n v="26.6"/>
    <x v="2"/>
    <m/>
    <m/>
    <s v="Federal"/>
    <m/>
    <m/>
    <m/>
    <s v="Federal"/>
    <s v="PAV"/>
    <s v="Senhor do Bonfim"/>
  </r>
  <r>
    <x v="0"/>
    <s v="407BBA0310"/>
    <n v="0"/>
    <x v="368"/>
    <s v="0310"/>
    <n v="-40.167508129896198"/>
    <n v="-10.480598620229999"/>
    <n v="-40.1218562198885"/>
    <n v="-10.7360007798121"/>
    <s v="407"/>
    <s v="BA"/>
    <s v="Eixo Principal"/>
    <s v="-"/>
    <s v="407BBA0310"/>
    <s v="ENTR BA-131 (SENHOR DO BONFIM)"/>
    <s v="ENTR BA-381(A) (FILADÉLFIA)"/>
    <n v="129.19999999999999"/>
    <n v="158.5"/>
    <n v="29.3"/>
    <x v="2"/>
    <m/>
    <m/>
    <s v="Federal"/>
    <m/>
    <m/>
    <m/>
    <s v="Federal"/>
    <s v="PAV"/>
    <s v="Senhor do Bonfim"/>
  </r>
  <r>
    <x v="0"/>
    <s v="407BBA0320"/>
    <n v="0"/>
    <x v="368"/>
    <s v="0320"/>
    <n v="-40.1218562198885"/>
    <n v="-10.7360007798121"/>
    <n v="-40.1115429502469"/>
    <n v="-10.8633639901559"/>
    <s v="407"/>
    <s v="BA"/>
    <s v="Eixo Principal"/>
    <s v="-"/>
    <s v="407BBA0320"/>
    <s v="ENTR BA-381(A) (FILADÉLFIA)"/>
    <s v="ENTR BA-375 (PONTO NOVO)"/>
    <n v="158.5"/>
    <n v="172.7"/>
    <n v="14.2"/>
    <x v="2"/>
    <m/>
    <m/>
    <s v="Federal"/>
    <m/>
    <m/>
    <m/>
    <s v="Federal"/>
    <s v="PAV"/>
    <s v="Senhor do Bonfim"/>
  </r>
  <r>
    <x v="0"/>
    <s v="407BBA0324"/>
    <n v="0"/>
    <x v="368"/>
    <s v="0324"/>
    <n v="-40.1115429502469"/>
    <n v="-10.8633639901559"/>
    <n v="-40.047167309923303"/>
    <n v="-11.182550570352401"/>
    <s v="407"/>
    <s v="BA"/>
    <s v="Eixo Principal"/>
    <s v="-"/>
    <s v="407BBA0324"/>
    <s v="ENTR BA-375 (PONTO NOVO)"/>
    <s v="PONTE S/ RIO ITAPECURU MIRIM"/>
    <n v="172.7"/>
    <n v="209.2"/>
    <n v="36.5"/>
    <x v="2"/>
    <m/>
    <m/>
    <s v="Federal"/>
    <m/>
    <m/>
    <m/>
    <s v="Federal"/>
    <s v="PAV"/>
    <s v="Senhor do Bonfim"/>
  </r>
  <r>
    <x v="0"/>
    <s v="407BBA0326"/>
    <n v="0"/>
    <x v="368"/>
    <s v="0326"/>
    <n v="-40.047167309923303"/>
    <n v="-11.182550570352401"/>
    <n v="-40.012242390074199"/>
    <n v="-11.372896489881001"/>
    <s v="407"/>
    <s v="BA"/>
    <s v="Eixo Principal"/>
    <s v="-"/>
    <s v="407BBA0326"/>
    <s v="PONTE S/ RIO ITAPECURU MIRIM"/>
    <s v="ENTR BR-324(A)/BA-130(A) (CAPIM GROSSO)"/>
    <n v="209.2"/>
    <n v="232"/>
    <n v="22.8"/>
    <x v="2"/>
    <m/>
    <m/>
    <s v="Federal"/>
    <m/>
    <m/>
    <m/>
    <s v="Federal"/>
    <s v="PAV"/>
    <s v="Senhor do Bonfim"/>
  </r>
  <r>
    <x v="0"/>
    <s v="407BBA0328"/>
    <n v="0"/>
    <x v="368"/>
    <s v="0328"/>
    <n v="-40.012242390074199"/>
    <n v="-11.372896489881001"/>
    <n v="-40.004615149869203"/>
    <n v="-11.382105769765399"/>
    <s v="407"/>
    <s v="BA"/>
    <s v="Eixo Principal"/>
    <s v="Coinc"/>
    <s v="407BBA0328"/>
    <s v="ENTR BR-324(A)/BA-130(A) (CAPIM GROSSO)"/>
    <s v="ENTR BR-324(B)"/>
    <n v="232"/>
    <n v="233.7"/>
    <n v="1.7"/>
    <x v="2"/>
    <m/>
    <s v="324BBA0260"/>
    <s v="Federal"/>
    <m/>
    <m/>
    <m/>
    <s v="Federal"/>
    <s v="PAV"/>
    <s v="Feira de Santana"/>
  </r>
  <r>
    <x v="0"/>
    <s v="407BBA0330"/>
    <n v="0"/>
    <x v="368"/>
    <s v="0330"/>
    <n v="-40.004615149869203"/>
    <n v="-11.382105769765399"/>
    <n v="-40.1367202101695"/>
    <n v="-11.611419979948"/>
    <s v="407"/>
    <s v="BA"/>
    <s v="Eixo Principal"/>
    <s v="-"/>
    <s v="407BBA0330"/>
    <s v="ENTR BR-324(B)"/>
    <s v="ENTR BA-417"/>
    <n v="233.7"/>
    <n v="266"/>
    <n v="32.299999999999997"/>
    <x v="1"/>
    <m/>
    <m/>
    <s v="Estadual"/>
    <m/>
    <s v="BA-130"/>
    <s v="PAV"/>
    <s v="Estadual"/>
    <s v="PLA"/>
    <s v="Feira de Santana"/>
  </r>
  <r>
    <x v="0"/>
    <s v="407BBA0332"/>
    <n v="0"/>
    <x v="368"/>
    <s v="0332"/>
    <n v="-40.1367202101695"/>
    <n v="-11.611419979948"/>
    <n v="-40.155840209657903"/>
    <n v="-11.7125599801589"/>
    <s v="407"/>
    <s v="BA"/>
    <s v="Eixo Principal"/>
    <s v="-"/>
    <s v="407BBA0332"/>
    <s v="ENTR BA-417"/>
    <s v="MAIRI"/>
    <n v="266"/>
    <n v="278.39999999999998"/>
    <n v="12.4"/>
    <x v="1"/>
    <m/>
    <m/>
    <s v="Estadual"/>
    <m/>
    <s v="BA-130"/>
    <s v="PAV"/>
    <s v="Estadual"/>
    <s v="PLA"/>
    <s v="Feira de Santana"/>
  </r>
  <r>
    <x v="0"/>
    <s v="407BBA0334"/>
    <n v="0"/>
    <x v="368"/>
    <s v="0334"/>
    <n v="-40.155840209657903"/>
    <n v="-11.7125599801589"/>
    <n v="-40.188030200333401"/>
    <n v="-11.883779979962"/>
    <s v="407"/>
    <s v="BA"/>
    <s v="Eixo Principal"/>
    <s v="-"/>
    <s v="407BBA0334"/>
    <s v="MAIRI"/>
    <s v="ENTR BR-349"/>
    <n v="278.39999999999998"/>
    <n v="301"/>
    <n v="22.6"/>
    <x v="1"/>
    <m/>
    <m/>
    <s v="Estadual"/>
    <m/>
    <s v="BA-130"/>
    <s v="PAV"/>
    <s v="Estadual"/>
    <s v="PLA"/>
    <s v="Feira de Santana"/>
  </r>
  <r>
    <x v="0"/>
    <s v="407BBA0350"/>
    <n v="0"/>
    <x v="368"/>
    <s v="0350"/>
    <n v="-40.188030200333401"/>
    <n v="-11.883779979962"/>
    <n v="-40.185320200366903"/>
    <n v="-11.9583499797677"/>
    <s v="407"/>
    <s v="BA"/>
    <s v="Eixo Principal"/>
    <s v="-"/>
    <s v="407BBA0350"/>
    <s v="ENTR BR-349"/>
    <s v="ENTR BA-052(A) (P/BAIXA GRANDE)"/>
    <n v="301"/>
    <n v="309.5"/>
    <n v="8.5"/>
    <x v="1"/>
    <m/>
    <m/>
    <s v="Estadual"/>
    <m/>
    <s v="BA-130"/>
    <s v="PAV"/>
    <s v="Estadual"/>
    <s v="PLA"/>
    <s v="Feira de Santana"/>
  </r>
  <r>
    <x v="0"/>
    <s v="407BBA0370"/>
    <n v="0"/>
    <x v="368"/>
    <s v="0370"/>
    <n v="-40.185320200366903"/>
    <n v="-11.9583499797677"/>
    <n v="-40.192840200015098"/>
    <n v="-11.957359979979"/>
    <s v="407"/>
    <s v="BA"/>
    <s v="Eixo Principal"/>
    <s v="-"/>
    <s v="407BBA0370"/>
    <s v="ENTR BA-052(A) (P/BAIXA GRANDE)"/>
    <s v="ENTR BA-052(B)"/>
    <n v="309.5"/>
    <n v="310.60000000000002"/>
    <n v="1.1000000000000001"/>
    <x v="1"/>
    <m/>
    <m/>
    <s v="Estadual"/>
    <m/>
    <s v="BA-130"/>
    <s v="PAV"/>
    <s v="Estadual"/>
    <s v="PLA"/>
    <s v="Feira de Santana"/>
  </r>
  <r>
    <x v="0"/>
    <s v="407BBA0372"/>
    <n v="0"/>
    <x v="368"/>
    <s v="0372"/>
    <n v="-40.192840200015098"/>
    <n v="-11.957359979979"/>
    <n v="-40.360870169622601"/>
    <n v="-12.138879979926999"/>
    <s v="407"/>
    <s v="BA"/>
    <s v="Eixo Principal"/>
    <s v="-"/>
    <s v="407BBA0372"/>
    <s v="ENTR BA-052(B)"/>
    <s v="MACAJÚBA"/>
    <n v="310.60000000000002"/>
    <n v="336.5"/>
    <n v="25.9"/>
    <x v="1"/>
    <m/>
    <m/>
    <s v="Estadual"/>
    <m/>
    <s v="BA-130"/>
    <s v="PAV"/>
    <s v="Estadual"/>
    <s v="PLA"/>
    <s v="Feira de Santana"/>
  </r>
  <r>
    <x v="0"/>
    <s v="407BBA0374"/>
    <n v="0"/>
    <x v="368"/>
    <s v="0374"/>
    <n v="-40.360870169622601"/>
    <n v="-12.138879979926999"/>
    <n v="-40.460020989976599"/>
    <n v="-12.1872031300204"/>
    <s v="407"/>
    <s v="BA"/>
    <s v="Eixo Principal"/>
    <s v="-"/>
    <s v="407BBA0374"/>
    <s v="MACAJÚBA"/>
    <s v="ENTR BA-421"/>
    <n v="336.5"/>
    <n v="350.3"/>
    <n v="13.8"/>
    <x v="1"/>
    <m/>
    <m/>
    <s v="Estadual"/>
    <m/>
    <s v="BA-130"/>
    <s v="PAV"/>
    <s v="Estadual"/>
    <s v="PLA"/>
    <s v="Feira de Santana"/>
  </r>
  <r>
    <x v="0"/>
    <s v="407BBA0390"/>
    <n v="0"/>
    <x v="368"/>
    <s v="0390"/>
    <n v="-40.460020989976599"/>
    <n v="-12.1872031300204"/>
    <n v="-40.491675000001102"/>
    <n v="-12.2836584600698"/>
    <s v="407"/>
    <s v="BA"/>
    <s v="Eixo Principal"/>
    <s v="-"/>
    <s v="407BBA0390"/>
    <s v="ENTR BA-421"/>
    <s v="ENTR BA-046 (RUY BARBOSA)"/>
    <n v="350.3"/>
    <n v="367.2"/>
    <n v="16.899999999999999"/>
    <x v="1"/>
    <m/>
    <m/>
    <s v="Estadual"/>
    <m/>
    <s v="BA-130"/>
    <s v="PAV"/>
    <s v="Estadual"/>
    <s v="PLA"/>
    <s v="Feira de Santana"/>
  </r>
  <r>
    <x v="0"/>
    <s v="407BBA0410"/>
    <n v="0"/>
    <x v="368"/>
    <s v="0410"/>
    <n v="-40.491675000001102"/>
    <n v="-12.2836584600698"/>
    <n v="-40.619481639965599"/>
    <n v="-12.451691730189101"/>
    <s v="407"/>
    <s v="BA"/>
    <s v="Eixo Principal"/>
    <s v="-"/>
    <s v="407BBA0410"/>
    <s v="ENTR BA-046 (RUY BARBOSA)"/>
    <s v="ENTR BR-242(A)/BA-130(B)"/>
    <n v="367.2"/>
    <n v="389"/>
    <n v="21.8"/>
    <x v="1"/>
    <m/>
    <m/>
    <s v="Estadual"/>
    <m/>
    <s v="BA-130"/>
    <s v="PAV"/>
    <s v="Estadual"/>
    <s v="PLA"/>
    <s v="Feira de Santana"/>
  </r>
  <r>
    <x v="0"/>
    <s v="407BBA0430"/>
    <n v="0"/>
    <x v="368"/>
    <s v="0430"/>
    <n v="-40.619481639965599"/>
    <n v="-12.451691730189101"/>
    <n v="-40.875650940138698"/>
    <n v="-12.445041529642801"/>
    <s v="407"/>
    <s v="BA"/>
    <s v="Eixo Principal"/>
    <s v="Coinc"/>
    <s v="407BBA0430"/>
    <s v="ENTR BR-242(A)/BA-130(B)"/>
    <s v="ENTR BA-484"/>
    <n v="389"/>
    <n v="418.1"/>
    <n v="29.1"/>
    <x v="2"/>
    <m/>
    <s v="242BBA0114"/>
    <s v="Federal"/>
    <m/>
    <m/>
    <m/>
    <s v="Federal"/>
    <s v="PAV"/>
    <s v="Feira de Santana"/>
  </r>
  <r>
    <x v="0"/>
    <s v="407BBA0432"/>
    <n v="0"/>
    <x v="368"/>
    <s v="0432"/>
    <n v="-40.875650940138698"/>
    <n v="-12.445041529642801"/>
    <n v="-40.895656520032297"/>
    <n v="-12.461609600302699"/>
    <s v="407"/>
    <s v="BA"/>
    <s v="Eixo Principal"/>
    <s v="Coinc"/>
    <s v="407BBA0432"/>
    <s v="ENTR BA-484"/>
    <s v="ENTR BR-242(B) (SÃO PAULO)"/>
    <n v="418.1"/>
    <n v="421"/>
    <n v="2.9"/>
    <x v="2"/>
    <m/>
    <s v="242BBA0130"/>
    <s v="Federal"/>
    <m/>
    <m/>
    <m/>
    <s v="Federal"/>
    <s v="PAV"/>
    <s v="Feira de Santana"/>
  </r>
  <r>
    <x v="0"/>
    <s v="407BBA0450"/>
    <n v="0"/>
    <x v="368"/>
    <s v="0450"/>
    <n v="-40.895656520032297"/>
    <n v="-12.461609600302699"/>
    <n v="-40.9335401095883"/>
    <n v="-12.6496199903702"/>
    <s v="407"/>
    <s v="BA"/>
    <s v="Eixo Principal"/>
    <s v="-"/>
    <s v="407BBA0450"/>
    <s v="ENTR BR-242(B) (SÃO PAULO)"/>
    <s v="IBIQUERA"/>
    <n v="421"/>
    <n v="445.5"/>
    <n v="24.5"/>
    <x v="1"/>
    <m/>
    <m/>
    <s v="Estadual"/>
    <m/>
    <s v="BA-131"/>
    <s v="IMP"/>
    <s v="Estadual"/>
    <s v="PLA"/>
    <s v="Jequié"/>
  </r>
  <r>
    <x v="0"/>
    <s v="407BBA0452"/>
    <n v="0"/>
    <x v="368"/>
    <s v="0452"/>
    <n v="-40.9335401095883"/>
    <n v="-12.6496199903702"/>
    <n v="-40.964000099624798"/>
    <n v="-12.986909989903999"/>
    <s v="407"/>
    <s v="BA"/>
    <s v="Eixo Principal"/>
    <s v="-"/>
    <s v="407BBA0452"/>
    <s v="IBIQUERA"/>
    <s v="ENTR BA-245(A) (ITAETÉ)"/>
    <n v="445.5"/>
    <n v="495.4"/>
    <n v="49.9"/>
    <x v="1"/>
    <m/>
    <m/>
    <s v="Estadual"/>
    <m/>
    <s v="BAT-407"/>
    <s v="IMP"/>
    <s v="Estadual"/>
    <s v="PLA"/>
    <s v="Jequié"/>
  </r>
  <r>
    <x v="0"/>
    <s v="407BBA0470"/>
    <n v="0"/>
    <x v="368"/>
    <s v="0470"/>
    <n v="-40.964000099624798"/>
    <n v="-12.986909989903999"/>
    <n v="-40.9301055897011"/>
    <n v="-13.059549510401499"/>
    <s v="407"/>
    <s v="BA"/>
    <s v="Eixo Principal"/>
    <s v="-"/>
    <s v="407BBA0470"/>
    <s v="ENTR BA-245(A) (ITAETÉ)"/>
    <s v="ENTR BA-245(B) (P/MARCIONÍLIO SOUZA)"/>
    <n v="495.4"/>
    <n v="505.5"/>
    <n v="10.1"/>
    <x v="1"/>
    <m/>
    <m/>
    <s v="Estadual"/>
    <m/>
    <s v="BAT-407"/>
    <s v="IMP"/>
    <s v="Estadual"/>
    <s v="PLA"/>
    <s v="Jequié"/>
  </r>
  <r>
    <x v="0"/>
    <s v="407BBA0490"/>
    <n v="0"/>
    <x v="368"/>
    <s v="0490"/>
    <n v="-40.9301055897011"/>
    <n v="-13.059549510401499"/>
    <n v="-40.959089509872904"/>
    <n v="-13.292358879958201"/>
    <s v="407"/>
    <s v="BA"/>
    <s v="Eixo Principal"/>
    <s v="-"/>
    <s v="407BBA0490"/>
    <s v="ENTR BA-245(B) (P/MARCIONÍLIO SOUZA)"/>
    <s v="ENTR BR-330 (IRAMAIA)"/>
    <n v="505.5"/>
    <n v="534.5"/>
    <n v="29"/>
    <x v="1"/>
    <m/>
    <m/>
    <s v="Estadual"/>
    <m/>
    <s v="BAT-407"/>
    <s v="IMP"/>
    <s v="Estadual"/>
    <s v="PLA"/>
    <s v="Jequié"/>
  </r>
  <r>
    <x v="0"/>
    <s v="407BBA0492"/>
    <n v="0"/>
    <x v="368"/>
    <s v="0492"/>
    <n v="-40.959089509872904"/>
    <n v="-13.292358879958201"/>
    <n v="-41.043910950030202"/>
    <n v="-13.760836400179601"/>
    <s v="407"/>
    <s v="BA"/>
    <s v="Eixo Principal"/>
    <s v="-"/>
    <s v="407BBA0492"/>
    <s v="ENTR BR-330 (IRAMAIA)"/>
    <s v="ENTR BA-026"/>
    <n v="534.5"/>
    <n v="604.79999999999995"/>
    <n v="70.3"/>
    <x v="1"/>
    <m/>
    <m/>
    <s v="Estadual"/>
    <m/>
    <s v="BAT-407"/>
    <s v="LEN"/>
    <s v="Estadual"/>
    <s v="PLA"/>
    <s v="Jequié"/>
  </r>
  <r>
    <x v="0"/>
    <s v="407BBA0510"/>
    <n v="0"/>
    <x v="368"/>
    <s v="0510"/>
    <n v="-41.043910950030202"/>
    <n v="-13.760836400179601"/>
    <n v="-41.066199750318098"/>
    <n v="-13.797674609695401"/>
    <s v="407"/>
    <s v="BA"/>
    <s v="Eixo Principal"/>
    <s v="-"/>
    <s v="407BBA0510"/>
    <s v="ENTR BA-026"/>
    <s v="ENTR BA-026(A) (COTENDAS DO SINCORÁ)"/>
    <n v="604.79999999999995"/>
    <n v="623"/>
    <n v="18.2"/>
    <x v="1"/>
    <m/>
    <m/>
    <s v="Estadual"/>
    <m/>
    <s v="BAT-407"/>
    <s v="LEN"/>
    <s v="Estadual"/>
    <s v="PLA"/>
    <s v="Jequié"/>
  </r>
  <r>
    <x v="0"/>
    <s v="407BBA0530"/>
    <n v="0"/>
    <x v="368"/>
    <s v="0530"/>
    <n v="-41.066199750318098"/>
    <n v="-13.797674609695401"/>
    <n v="-41.186872639560598"/>
    <n v="-14.0802587700261"/>
    <s v="407"/>
    <s v="BA"/>
    <s v="Eixo Principal"/>
    <s v="-"/>
    <s v="407BBA0530"/>
    <s v="ENTR BA-026(A) (COTENDAS DO SINCORÁ)"/>
    <s v="ENTR BA-142(A) (P/TANHAÇÚ)"/>
    <n v="623"/>
    <n v="670"/>
    <n v="47"/>
    <x v="1"/>
    <m/>
    <m/>
    <s v="Estadual"/>
    <m/>
    <s v="BA-026"/>
    <s v="PAV"/>
    <s v="Estadual"/>
    <s v="PLA"/>
    <s v="Jequié"/>
  </r>
  <r>
    <x v="0"/>
    <s v="407BBA0535"/>
    <n v="0"/>
    <x v="368"/>
    <s v="0535"/>
    <n v="-41.186872639560598"/>
    <n v="-14.0802587700261"/>
    <n v="-41.200836160260501"/>
    <n v="-14.1544783004331"/>
    <s v="407"/>
    <s v="BA"/>
    <s v="Eixo Principal"/>
    <s v="-"/>
    <s v="407BBA0535"/>
    <s v="ENTR BA-142(A) (P/TANHAÇÚ)"/>
    <s v="ENTR BR-030(A)"/>
    <n v="670"/>
    <n v="678.7"/>
    <n v="8.6999999999999993"/>
    <x v="1"/>
    <m/>
    <m/>
    <s v="Estadual"/>
    <m/>
    <s v="BA-026"/>
    <s v="PAV"/>
    <s v="Estadual"/>
    <s v="PLA"/>
    <s v="Jequié"/>
  </r>
  <r>
    <x v="0"/>
    <s v="407BBA0540"/>
    <n v="0"/>
    <x v="368"/>
    <s v="0540"/>
    <n v="-41.200836160260501"/>
    <n v="-14.1544783004331"/>
    <n v="-41.205544559933401"/>
    <n v="-14.162793340340301"/>
    <s v="407"/>
    <s v="BA"/>
    <s v="Eixo Principal"/>
    <s v="Coinc"/>
    <s v="407BBA0540"/>
    <s v="ENTR BR-030(A)"/>
    <s v="ENTR BR-030(B) (SUSSUARANA)"/>
    <n v="678.7"/>
    <n v="679.8"/>
    <n v="1.1000000000000001"/>
    <x v="1"/>
    <m/>
    <s v="030BBA0350"/>
    <s v="Estadual"/>
    <m/>
    <s v="BA-026"/>
    <s v="PAV"/>
    <s v="Estadual"/>
    <s v="PLA"/>
    <s v="Vitória da Conquista"/>
  </r>
  <r>
    <x v="0"/>
    <s v="407BBA0545"/>
    <n v="0"/>
    <x v="368"/>
    <s v="0545"/>
    <n v="-41.205544559933401"/>
    <n v="-14.162793340340301"/>
    <n v="-41.162833459996101"/>
    <n v="-14.600922899971801"/>
    <s v="407"/>
    <s v="BA"/>
    <s v="Eixo Principal"/>
    <s v="-"/>
    <s v="407BBA0545"/>
    <s v="ENTR BR-030(B) (SUSSUARANA)"/>
    <s v="ENTR BA-142(B)/262(A)"/>
    <n v="679.8"/>
    <n v="732.5"/>
    <n v="52.7"/>
    <x v="1"/>
    <m/>
    <m/>
    <s v="Estadual"/>
    <m/>
    <s v="BA-142"/>
    <s v="PAV"/>
    <s v="Estadual"/>
    <s v="PLA"/>
    <s v="Vitória da Conquista"/>
  </r>
  <r>
    <x v="0"/>
    <s v="407BBA0550"/>
    <n v="0"/>
    <x v="368"/>
    <s v="0550"/>
    <n v="-41.162833459996101"/>
    <n v="-14.600922899971801"/>
    <n v="-41.139666180349799"/>
    <n v="-14.615604360252901"/>
    <s v="407"/>
    <s v="BA"/>
    <s v="Eixo Principal"/>
    <s v="-"/>
    <s v="407BBA0550"/>
    <s v="ENTR BA-142(B)/262(A)"/>
    <s v="ANAGÉ"/>
    <n v="732.5"/>
    <n v="735.6"/>
    <n v="3.1"/>
    <x v="1"/>
    <m/>
    <m/>
    <s v="Estadual"/>
    <m/>
    <s v="BA-142"/>
    <s v="PAV"/>
    <s v="Estadual"/>
    <s v="PLA"/>
    <s v="Vitória da Conquista"/>
  </r>
  <r>
    <x v="0"/>
    <s v="407BBA0570"/>
    <n v="0"/>
    <x v="368"/>
    <s v="0570"/>
    <n v="-41.139666180349799"/>
    <n v="-14.615604360252901"/>
    <n v="-40.848717709854299"/>
    <n v="-14.8509305598973"/>
    <s v="407"/>
    <s v="BA"/>
    <s v="Eixo Principal"/>
    <s v="-"/>
    <s v="407BBA0570"/>
    <s v="ANAGÉ"/>
    <s v="ENTR BR-116/262(B) (VITÓRIA DA CONQUISTA)"/>
    <n v="735.6"/>
    <n v="788.1"/>
    <n v="52.5"/>
    <x v="1"/>
    <m/>
    <m/>
    <s v="Estadual"/>
    <m/>
    <s v="BA-262"/>
    <s v="PAV"/>
    <s v="Estadual"/>
    <s v="PLA"/>
    <s v="Vitória da Conquista"/>
  </r>
  <r>
    <x v="0"/>
    <s v="407BPE0210"/>
    <n v="0"/>
    <x v="369"/>
    <s v="0210"/>
    <n v="-41.049385640434899"/>
    <n v="-8.4473477204209004"/>
    <n v="-41.008133579900701"/>
    <n v="-8.5165073097644992"/>
    <s v="407"/>
    <s v="PE"/>
    <s v="Eixo Principal"/>
    <s v="-"/>
    <s v="407BPE0210"/>
    <s v="DIV PI/PE"/>
    <s v="ENTR PE-635 (AFRÂNIO)"/>
    <n v="0"/>
    <n v="10.8"/>
    <n v="10.8"/>
    <x v="2"/>
    <m/>
    <m/>
    <s v="Federal"/>
    <m/>
    <m/>
    <m/>
    <s v="Federal"/>
    <s v="PAV"/>
    <s v="Petrolina"/>
  </r>
  <r>
    <x v="0"/>
    <s v="407BPE0230"/>
    <n v="0"/>
    <x v="369"/>
    <s v="0230"/>
    <n v="-41.008133579900701"/>
    <n v="-8.5165073097644992"/>
    <n v="-40.899481869992201"/>
    <n v="-8.7486295801909293"/>
    <s v="407"/>
    <s v="PE"/>
    <s v="Eixo Principal"/>
    <s v="-"/>
    <s v="407BPE0230"/>
    <s v="ENTR PE-635 (AFRÂNIO)"/>
    <s v="ENTR PE-630"/>
    <n v="10.8"/>
    <n v="41.1"/>
    <n v="30.3"/>
    <x v="2"/>
    <m/>
    <m/>
    <s v="Federal"/>
    <m/>
    <m/>
    <m/>
    <s v="Federal"/>
    <s v="PAV"/>
    <s v="Petrolina"/>
  </r>
  <r>
    <x v="0"/>
    <s v="407BPE0240"/>
    <n v="0"/>
    <x v="369"/>
    <s v="0240"/>
    <n v="-40.899481869992201"/>
    <n v="-8.7486295801909293"/>
    <n v="-40.831172280276398"/>
    <n v="-8.8118585696172396"/>
    <s v="407"/>
    <s v="PE"/>
    <s v="Eixo Principal"/>
    <s v="-"/>
    <s v="407BPE0240"/>
    <s v="ENTR PE-630"/>
    <s v="RAJADA"/>
    <n v="41.1"/>
    <n v="52.6"/>
    <n v="11.5"/>
    <x v="2"/>
    <m/>
    <m/>
    <s v="Federal"/>
    <m/>
    <m/>
    <m/>
    <s v="Federal"/>
    <s v="PAV"/>
    <s v="Petrolina"/>
  </r>
  <r>
    <x v="0"/>
    <s v="407BPE0250"/>
    <n v="0"/>
    <x v="369"/>
    <s v="0250"/>
    <n v="-40.831172280276398"/>
    <n v="-8.8118585696172396"/>
    <n v="-40.538520269894398"/>
    <n v="-9.3739130101771995"/>
    <s v="407"/>
    <s v="PE"/>
    <s v="Eixo Principal"/>
    <s v="-"/>
    <s v="407BPE0250"/>
    <s v="RAJADA"/>
    <s v="ENTR BR-235(A)"/>
    <n v="52.6"/>
    <n v="124.6"/>
    <n v="72"/>
    <x v="2"/>
    <m/>
    <m/>
    <s v="Federal"/>
    <m/>
    <m/>
    <m/>
    <s v="Federal"/>
    <s v="PAV"/>
    <s v="Petrolina"/>
  </r>
  <r>
    <x v="0"/>
    <s v="407BPE0255"/>
    <n v="0"/>
    <x v="369"/>
    <s v="0255"/>
    <n v="-40.538520269894398"/>
    <n v="-9.3739130101771995"/>
    <n v="-40.525928649687302"/>
    <n v="-9.3873367496911992"/>
    <s v="407"/>
    <s v="PE"/>
    <s v="Eixo Principal"/>
    <s v="Coinc"/>
    <s v="407BPE0255"/>
    <s v="ENTR BR-235(A)"/>
    <s v="ENTR BR-122(A)/428(A) (PETROLINA)"/>
    <n v="124.6"/>
    <n v="126.3"/>
    <n v="1.7"/>
    <x v="2"/>
    <m/>
    <s v="235BPE0280"/>
    <s v="Federal"/>
    <m/>
    <m/>
    <m/>
    <s v="Federal"/>
    <s v="PAV"/>
    <s v="Petrolina"/>
  </r>
  <r>
    <x v="0"/>
    <s v="407BPE0260"/>
    <n v="0"/>
    <x v="369"/>
    <s v="0260"/>
    <n v="-40.525928649687302"/>
    <n v="-9.3873367496911992"/>
    <n v="-40.503592699743201"/>
    <n v="-9.4021686000008309"/>
    <s v="407"/>
    <s v="PE"/>
    <s v="Eixo Principal"/>
    <s v="Coinc"/>
    <s v="407BPE0260"/>
    <s v="ENTR BR-122(A)/428(A) (PETROLINA)"/>
    <s v="INÍCIO PONTE S/RIO SÃO FRANCISCO (PETROLINA)"/>
    <n v="126.3"/>
    <n v="129.30000000000001"/>
    <n v="3"/>
    <x v="2"/>
    <m/>
    <s v="428BPE0065;235BPE0275;122BPE0365"/>
    <s v="Federal"/>
    <m/>
    <m/>
    <m/>
    <s v="Federal"/>
    <s v="PAV"/>
    <s v="Petrolina"/>
  </r>
  <r>
    <x v="0"/>
    <s v="407BPE0270"/>
    <n v="0"/>
    <x v="369"/>
    <s v="0270"/>
    <n v="-40.503592699743201"/>
    <n v="-9.4021686000008309"/>
    <n v="-40.505335540003102"/>
    <n v="-9.4095459896556601"/>
    <s v="407"/>
    <s v="PE"/>
    <s v="Eixo Principal"/>
    <s v="Coinc"/>
    <s v="407BPE0270"/>
    <s v="INÍCIO PONTE S/RIO SÃO FRANCISCO (PETROLINA)"/>
    <s v="ENTR BR-122(B)/235(B)/428(B) (DIV PE/BA) (FIM PONTE S/RIO S FRANCISCO)"/>
    <n v="129.30000000000001"/>
    <n v="130.1"/>
    <n v="0.8"/>
    <x v="2"/>
    <m/>
    <s v="122BPE0370;235BPE0270;428BPE0070"/>
    <s v="Federal"/>
    <m/>
    <m/>
    <m/>
    <s v="Federal"/>
    <s v="PAV"/>
    <s v="Petrolina"/>
  </r>
  <r>
    <x v="0"/>
    <s v="407BPI0010"/>
    <n v="0"/>
    <x v="370"/>
    <s v="0010"/>
    <n v="-41.777432780398399"/>
    <n v="-4.2814383700846799"/>
    <n v="-41.770481369919203"/>
    <n v="-4.3072300603190001"/>
    <s v="407"/>
    <s v="PI"/>
    <s v="Eixo Principal"/>
    <s v="Coinc"/>
    <s v="407BPI0010"/>
    <s v="ENTR BR-222/404(A)/PI-111/117 (PIRIPIRI)"/>
    <s v="ENTR BR-343(A)"/>
    <n v="0"/>
    <n v="3"/>
    <n v="3"/>
    <x v="2"/>
    <m/>
    <s v="404BPI0010"/>
    <m/>
    <s v="MP082/2003"/>
    <m/>
    <m/>
    <m/>
    <s v="PAV"/>
    <s v="Piripiri"/>
  </r>
  <r>
    <x v="0"/>
    <s v="407BPI0013"/>
    <n v="0"/>
    <x v="370"/>
    <s v="0013"/>
    <n v="-41.770481369919203"/>
    <n v="-4.3072300603190001"/>
    <n v="-41.777407350268902"/>
    <n v="-4.3149371297446901"/>
    <s v="407"/>
    <s v="PI"/>
    <s v="Eixo Principal"/>
    <s v="Coinc"/>
    <s v="407BPI0013"/>
    <s v="ENTR BR-343(A)"/>
    <s v="ENTR BR-343(B)"/>
    <n v="3"/>
    <n v="4.2"/>
    <n v="1.2"/>
    <x v="2"/>
    <m/>
    <s v="404BPI0013;343BPI0123"/>
    <s v="Federal"/>
    <m/>
    <m/>
    <m/>
    <s v="Federal"/>
    <s v="PAV"/>
    <s v="Piripiri"/>
  </r>
  <r>
    <x v="0"/>
    <s v="407BPI0015"/>
    <n v="0"/>
    <x v="370"/>
    <s v="0015"/>
    <n v="-41.777407350268902"/>
    <n v="-4.3149371297446901"/>
    <n v="-41.453581799860103"/>
    <n v="-4.4308520396898503"/>
    <s v="407"/>
    <s v="PI"/>
    <s v="Eixo Principal"/>
    <s v="Coinc"/>
    <s v="407BPI0015"/>
    <s v="ENTR BR-343(B)"/>
    <s v="PEDRO II"/>
    <n v="4.2"/>
    <n v="51.6"/>
    <n v="47.4"/>
    <x v="2"/>
    <m/>
    <s v="404BPI0015"/>
    <m/>
    <s v="MP082/2003"/>
    <m/>
    <m/>
    <m/>
    <s v="PAV"/>
    <s v="Piripiri"/>
  </r>
  <r>
    <x v="0"/>
    <s v="407BPI0020"/>
    <n v="0"/>
    <x v="370"/>
    <s v="0020"/>
    <n v="-41.453581799860103"/>
    <n v="-4.4308520396898503"/>
    <n v="-41.410434029606698"/>
    <n v="-4.4851869301326701"/>
    <s v="407"/>
    <s v="PI"/>
    <s v="Eixo Principal"/>
    <s v="Coinc"/>
    <s v="407BPI0020"/>
    <s v="PEDRO II"/>
    <s v="ENTR BR-404(B)"/>
    <n v="51.6"/>
    <n v="58.2"/>
    <n v="6.6"/>
    <x v="2"/>
    <m/>
    <s v="404BPI0020"/>
    <m/>
    <s v="MP082/2003"/>
    <m/>
    <m/>
    <m/>
    <s v="PAV"/>
    <s v="Piripiri"/>
  </r>
  <r>
    <x v="0"/>
    <s v="407BPI0025"/>
    <n v="0"/>
    <x v="370"/>
    <s v="0025"/>
    <n v="-41.410434029606698"/>
    <n v="-4.4851869301326701"/>
    <n v="-41.443446159812297"/>
    <n v="-4.6989553200319198"/>
    <s v="407"/>
    <s v="PI"/>
    <s v="Eixo Principal"/>
    <s v="-"/>
    <s v="407BPI0025"/>
    <s v="ENTR BR-404(B)"/>
    <s v="MILTON BRANDÃO"/>
    <n v="58.2"/>
    <n v="82.4"/>
    <n v="24.2"/>
    <x v="1"/>
    <m/>
    <m/>
    <s v="Estadual"/>
    <m/>
    <s v="PI-216"/>
    <s v="PAV"/>
    <s v="Estadual"/>
    <s v="PLA"/>
    <s v="Piripiri"/>
  </r>
  <r>
    <x v="0"/>
    <s v="407BPI0030"/>
    <n v="0"/>
    <x v="370"/>
    <s v="0030"/>
    <n v="-41.443446159812297"/>
    <n v="-4.6989553200319198"/>
    <n v="-41.7120784195833"/>
    <n v="-5.1820115098232602"/>
    <s v="407"/>
    <s v="PI"/>
    <s v="Eixo Principal"/>
    <s v="-"/>
    <s v="407BPI0030"/>
    <s v="MILTON BRANDÃO"/>
    <s v="ENTR BR-226(A)/PI-115(A) (JUAZEIRO DO PIAUÍ)"/>
    <n v="82.4"/>
    <n v="148.69999999999999"/>
    <n v="66.3"/>
    <x v="1"/>
    <m/>
    <m/>
    <s v="Estadual"/>
    <m/>
    <s v="PI-216"/>
    <s v="LEN"/>
    <s v="Estadual"/>
    <s v="PLA"/>
    <s v="Piripiri"/>
  </r>
  <r>
    <x v="0"/>
    <s v="407BPI0050"/>
    <n v="0"/>
    <x v="370"/>
    <s v="0050"/>
    <n v="-41.7120784195833"/>
    <n v="-5.1820115098232602"/>
    <n v="-41.544178419997998"/>
    <n v="-5.3248115102429603"/>
    <s v="407"/>
    <s v="PI"/>
    <s v="Eixo Principal"/>
    <s v="Coinc"/>
    <s v="407BPI0050"/>
    <s v="ENTR BR-226(A)/PI-115(A) (JUAZEIRO DO PIAUÍ)"/>
    <s v="CASTELO DO PIAUÍ"/>
    <n v="148.69999999999999"/>
    <n v="169.5"/>
    <n v="20.8"/>
    <x v="1"/>
    <m/>
    <s v="226BPI0735"/>
    <s v="Estadual"/>
    <m/>
    <s v="PI-115"/>
    <s v="PAV"/>
    <s v="Estadual"/>
    <s v="PLA"/>
    <s v="Piripiri"/>
  </r>
  <r>
    <x v="0"/>
    <s v="407BPI0053"/>
    <n v="0"/>
    <x v="370"/>
    <s v="0053"/>
    <n v="-41.544178419997998"/>
    <n v="-5.3248115102429603"/>
    <n v="-41.406378419928103"/>
    <n v="-5.3907115104278196"/>
    <s v="407"/>
    <s v="PI"/>
    <s v="Eixo Principal"/>
    <s v="Coinc"/>
    <s v="407BPI0053"/>
    <s v="CASTELO DO PIAUÍ"/>
    <s v="ENTR BR-226(B)/PI-322"/>
    <n v="169.5"/>
    <n v="195.6"/>
    <n v="26.1"/>
    <x v="1"/>
    <m/>
    <s v="226BPI0730"/>
    <s v="Estadual"/>
    <m/>
    <s v="PI-115"/>
    <s v="PAV"/>
    <s v="Estadual"/>
    <s v="PLA"/>
    <s v="Piripiri"/>
  </r>
  <r>
    <x v="0"/>
    <s v="407BPI0055"/>
    <n v="0"/>
    <x v="370"/>
    <s v="0055"/>
    <n v="-41.406378419928103"/>
    <n v="-5.3907115104278196"/>
    <n v="-41.320078419683199"/>
    <n v="-5.5025115102978903"/>
    <s v="407"/>
    <s v="PI"/>
    <s v="Eixo Principal"/>
    <s v="-"/>
    <s v="407BPI0055"/>
    <s v="ENTR BR-226(B)/PI-322"/>
    <s v="ENTR PI-120(A)/321 (SÃO MIGUEL DO TAPUIO)"/>
    <n v="195.6"/>
    <n v="210.3"/>
    <n v="14.7"/>
    <x v="1"/>
    <m/>
    <m/>
    <s v="Estadual"/>
    <m/>
    <s v="PI-115"/>
    <s v="PAV"/>
    <s v="Estadual"/>
    <s v="PLA"/>
    <s v="Piripiri"/>
  </r>
  <r>
    <x v="0"/>
    <s v="407BPI0060"/>
    <n v="0"/>
    <x v="370"/>
    <s v="0060"/>
    <n v="-41.320078419683199"/>
    <n v="-5.5025115102978903"/>
    <n v="-41.256578419558302"/>
    <n v="-5.5649115100580904"/>
    <s v="407"/>
    <s v="PI"/>
    <s v="Eixo Principal"/>
    <s v="-"/>
    <s v="407BPI0060"/>
    <s v="ENTR PI-120(A)/321 (SÃO MIGUEL DO TAPUIO)"/>
    <s v="ENTR PI-115(B)"/>
    <n v="210.3"/>
    <n v="223.9"/>
    <n v="13.6"/>
    <x v="1"/>
    <m/>
    <m/>
    <s v="Estadual"/>
    <m/>
    <s v="PI-115"/>
    <s v="PAV"/>
    <s v="Estadual"/>
    <s v="PLA"/>
    <s v="Piripiri"/>
  </r>
  <r>
    <x v="0"/>
    <s v="407BPI0065"/>
    <n v="0"/>
    <x v="370"/>
    <s v="0065"/>
    <n v="-41.256578419558302"/>
    <n v="-5.5649115100580904"/>
    <n v="-41.319578420008"/>
    <n v="-5.7106115102129698"/>
    <s v="407"/>
    <s v="PI"/>
    <s v="Eixo Principal"/>
    <s v="-"/>
    <s v="407BPI0065"/>
    <s v="ENTR PI-115(B)"/>
    <s v="ENTR PI-453"/>
    <n v="223.9"/>
    <n v="241.6"/>
    <n v="17.7"/>
    <x v="1"/>
    <m/>
    <m/>
    <s v="Estadual"/>
    <m/>
    <s v="PI-120"/>
    <s v="IMP"/>
    <s v="Estadual"/>
    <s v="PLA"/>
    <s v="Piripiri"/>
  </r>
  <r>
    <x v="0"/>
    <s v="407BPI0075"/>
    <n v="0"/>
    <x v="370"/>
    <s v="0075"/>
    <n v="-41.319578420008"/>
    <n v="-5.7106115102129698"/>
    <n v="-41.419678419923102"/>
    <n v="-6.2382115103528601"/>
    <s v="407"/>
    <s v="PI"/>
    <s v="Eixo Principal"/>
    <s v="-"/>
    <s v="407BPI0075"/>
    <s v="ENTR PI-453"/>
    <s v="ENTR PI-120(B) (PIMENTEIRAS)"/>
    <n v="241.6"/>
    <n v="301.10000000000002"/>
    <n v="59.5"/>
    <x v="1"/>
    <m/>
    <m/>
    <s v="Estadual"/>
    <m/>
    <s v="PI-120"/>
    <s v="IMP"/>
    <s v="Estadual"/>
    <s v="PLA"/>
    <s v="Piripiri"/>
  </r>
  <r>
    <x v="0"/>
    <s v="407BPI0080"/>
    <n v="0"/>
    <x v="370"/>
    <s v="0080"/>
    <n v="-41.419678419923102"/>
    <n v="-6.2382115103528601"/>
    <n v="-41.345778420437597"/>
    <n v="-6.8183115096683702"/>
    <s v="407"/>
    <s v="PI"/>
    <s v="Eixo Principal"/>
    <s v="-"/>
    <s v="407BPI0080"/>
    <s v="ENTR PI-120(B) (PIMENTEIRAS)"/>
    <s v="SÃO JOÃO DA CANABRAVA"/>
    <n v="301.10000000000002"/>
    <n v="382.2"/>
    <n v="81.099999999999994"/>
    <x v="1"/>
    <m/>
    <m/>
    <s v="Federal"/>
    <m/>
    <m/>
    <m/>
    <s v="Federal"/>
    <s v="PLA"/>
    <s v="Picos"/>
  </r>
  <r>
    <x v="0"/>
    <s v="407BPI0090"/>
    <n v="0"/>
    <x v="370"/>
    <s v="0090"/>
    <n v="-41.345778420437597"/>
    <n v="-6.8183115096683702"/>
    <n v="-41.322278420412701"/>
    <n v="-6.9435115096484301"/>
    <s v="407"/>
    <s v="PI"/>
    <s v="Eixo Principal"/>
    <s v="-"/>
    <s v="407BPI0090"/>
    <s v="SÃO JOÃO DA CANABRAVA"/>
    <s v="ENTR PI-227/238(A) (BOCAINA)"/>
    <n v="382.2"/>
    <n v="397.3"/>
    <n v="15.1"/>
    <x v="1"/>
    <m/>
    <m/>
    <s v="Federal"/>
    <m/>
    <m/>
    <m/>
    <s v="Federal"/>
    <s v="PLA"/>
    <s v="Picos"/>
  </r>
  <r>
    <x v="0"/>
    <s v="407BPI0110"/>
    <n v="0"/>
    <x v="370"/>
    <s v="0110"/>
    <n v="-41.322278420412701"/>
    <n v="-6.9435115096484301"/>
    <n v="-41.403578420307703"/>
    <n v="-7.02721150960343"/>
    <s v="407"/>
    <s v="PI"/>
    <s v="Eixo Principal"/>
    <s v="-"/>
    <s v="407BPI0110"/>
    <s v="ENTR PI-227/238(A) (BOCAINA)"/>
    <s v="ENTR PI-245(A) (SUSSUAPARÁ)"/>
    <n v="397.3"/>
    <n v="410.9"/>
    <n v="13.6"/>
    <x v="1"/>
    <m/>
    <m/>
    <s v="Estadual"/>
    <m/>
    <s v="PI-238"/>
    <s v="PAV"/>
    <s v="Estadual"/>
    <s v="PLA"/>
    <s v="Picos"/>
  </r>
  <r>
    <x v="0"/>
    <s v="407BPI0115"/>
    <n v="0"/>
    <x v="370"/>
    <s v="0115"/>
    <n v="-41.403578420307703"/>
    <n v="-7.02721150960343"/>
    <n v="-41.467607079702901"/>
    <n v="-7.07566095958554"/>
    <s v="407"/>
    <s v="PI"/>
    <s v="Eixo Principal"/>
    <s v="-"/>
    <s v="407BPI0115"/>
    <s v="ENTR PI-245(A) (SUSSUAPARÁ)"/>
    <s v="ENTR BR-230(A)/316(A)/PI-238(B) (PICOS)"/>
    <n v="410.9"/>
    <n v="418.9"/>
    <n v="8"/>
    <x v="1"/>
    <m/>
    <m/>
    <s v="Estadual"/>
    <m/>
    <s v="PI-238"/>
    <s v="PAV"/>
    <s v="Estadual"/>
    <s v="PLA"/>
    <s v="Picos"/>
  </r>
  <r>
    <x v="0"/>
    <s v="407BPI0130"/>
    <n v="0"/>
    <x v="370"/>
    <s v="0130"/>
    <n v="-41.467607079702901"/>
    <n v="-7.07566095958554"/>
    <n v="-41.433255510033703"/>
    <n v="-7.0793327799837504"/>
    <s v="407"/>
    <s v="PI"/>
    <s v="Eixo Principal"/>
    <s v="Coinc"/>
    <s v="407BPI0130"/>
    <s v="ENTR BR-230(A)/316(A)/PI-238(B) (PICOS)"/>
    <s v="ENTR BR-230(B)/316(B)"/>
    <n v="418.9"/>
    <n v="423"/>
    <n v="4.0999999999999996"/>
    <x v="2"/>
    <m/>
    <s v="316BPI0490;230BPI0810"/>
    <s v="Federal"/>
    <m/>
    <m/>
    <m/>
    <s v="Federal"/>
    <s v="PAV"/>
    <s v="Picos"/>
  </r>
  <r>
    <x v="0"/>
    <s v="407BPI0150"/>
    <n v="0"/>
    <x v="370"/>
    <s v="0150"/>
    <n v="-41.433255510033703"/>
    <n v="-7.0793327799837504"/>
    <n v="-41.400007010115303"/>
    <n v="-7.1235770297560599"/>
    <s v="407"/>
    <s v="PI"/>
    <s v="Eixo Principal"/>
    <s v="-"/>
    <s v="407BPI0150"/>
    <s v="ENTR BR-230(B)/316(B)"/>
    <s v="ENTR PI-245(B)"/>
    <n v="423"/>
    <n v="429.1"/>
    <n v="6.1"/>
    <x v="2"/>
    <m/>
    <m/>
    <s v="Federal"/>
    <m/>
    <m/>
    <m/>
    <s v="Federal"/>
    <s v="PAV"/>
    <s v="Picos"/>
  </r>
  <r>
    <x v="0"/>
    <s v="407BPI0170"/>
    <n v="0"/>
    <x v="370"/>
    <s v="0170"/>
    <n v="-41.400007010115303"/>
    <n v="-7.1235770297560599"/>
    <n v="-41.361653770305203"/>
    <n v="-7.1568239603574204"/>
    <s v="407"/>
    <s v="PI"/>
    <s v="Eixo Principal"/>
    <s v="-"/>
    <s v="407BPI0170"/>
    <s v="ENTR PI-245(B)"/>
    <s v="GEMINIANO"/>
    <n v="429.1"/>
    <n v="434.8"/>
    <n v="5.7"/>
    <x v="2"/>
    <m/>
    <m/>
    <s v="Federal"/>
    <m/>
    <m/>
    <m/>
    <s v="Federal"/>
    <s v="PAV"/>
    <s v="Picos"/>
  </r>
  <r>
    <x v="0"/>
    <s v="407BPI0172"/>
    <n v="0"/>
    <x v="370"/>
    <s v="0172"/>
    <n v="-41.361653770305203"/>
    <n v="-7.1568239603574204"/>
    <n v="-41.329405800337298"/>
    <n v="-7.1816939696009801"/>
    <s v="407"/>
    <s v="PI"/>
    <s v="Eixo Principal"/>
    <s v="-"/>
    <s v="407BPI0172"/>
    <s v="GEMINIANO"/>
    <s v="ENTR BR-020"/>
    <n v="434.8"/>
    <n v="439.1"/>
    <n v="4.3"/>
    <x v="2"/>
    <m/>
    <m/>
    <s v="Federal"/>
    <m/>
    <m/>
    <m/>
    <s v="Federal"/>
    <s v="PAV"/>
    <s v="Picos"/>
  </r>
  <r>
    <x v="0"/>
    <s v="407BPI0173"/>
    <n v="0"/>
    <x v="370"/>
    <s v="0173"/>
    <n v="-41.329405800337298"/>
    <n v="-7.1816939696009801"/>
    <n v="-41.145391220428401"/>
    <n v="-7.3619716901413303"/>
    <s v="407"/>
    <s v="PI"/>
    <s v="Eixo Principal"/>
    <s v="-"/>
    <s v="407BPI0173"/>
    <s v="ENTR BR-020"/>
    <s v="ENTR PI-229/243/461 (JAICÓS)"/>
    <n v="439.1"/>
    <n v="468.7"/>
    <n v="29.6"/>
    <x v="2"/>
    <m/>
    <m/>
    <s v="Federal"/>
    <m/>
    <m/>
    <m/>
    <s v="Federal"/>
    <s v="PAV"/>
    <s v="Picos"/>
  </r>
  <r>
    <x v="0"/>
    <s v="407BPI0175"/>
    <n v="0"/>
    <x v="370"/>
    <s v="0175"/>
    <n v="-41.145391220428401"/>
    <n v="-7.3619716901413303"/>
    <n v="-41.296978269931103"/>
    <n v="-7.5504809602280698"/>
    <s v="407"/>
    <s v="PI"/>
    <s v="Eixo Principal"/>
    <s v="-"/>
    <s v="407BPI0175"/>
    <s v="ENTR PI-229/243/461 (JAICÓS)"/>
    <s v="ENTR PI-379"/>
    <n v="468.7"/>
    <n v="496.1"/>
    <n v="27.4"/>
    <x v="2"/>
    <m/>
    <m/>
    <s v="Federal"/>
    <m/>
    <m/>
    <m/>
    <s v="Federal"/>
    <s v="PAV"/>
    <s v="Picos"/>
  </r>
  <r>
    <x v="0"/>
    <s v="407BPI0177"/>
    <n v="0"/>
    <x v="370"/>
    <s v="0177"/>
    <n v="-41.296978269931103"/>
    <n v="-7.5504809602280698"/>
    <n v="-41.245282799761299"/>
    <n v="-7.6801350199152099"/>
    <s v="407"/>
    <s v="PI"/>
    <s v="Eixo Principal"/>
    <s v="-"/>
    <s v="407BPI0177"/>
    <s v="ENTR PI-379"/>
    <s v="PATOS DO PIAUÍ"/>
    <n v="496.1"/>
    <n v="514"/>
    <n v="17.899999999999999"/>
    <x v="2"/>
    <m/>
    <m/>
    <s v="Federal"/>
    <m/>
    <m/>
    <m/>
    <s v="Federal"/>
    <s v="PAV"/>
    <s v="Picos"/>
  </r>
  <r>
    <x v="0"/>
    <s v="407BPI0180"/>
    <n v="0"/>
    <x v="370"/>
    <s v="0180"/>
    <n v="-41.245282799761299"/>
    <n v="-7.6801350199152099"/>
    <n v="-41.215290979694899"/>
    <n v="-7.8167762804009699"/>
    <s v="407"/>
    <s v="PI"/>
    <s v="Eixo Principal"/>
    <s v="-"/>
    <s v="407BPI0180"/>
    <s v="PATOS DO PIAUÍ"/>
    <s v="ENTR PI-457"/>
    <n v="514"/>
    <n v="536.70000000000005"/>
    <n v="22.7"/>
    <x v="2"/>
    <m/>
    <m/>
    <s v="Federal"/>
    <m/>
    <m/>
    <m/>
    <s v="Federal"/>
    <s v="PAV"/>
    <s v="Picos"/>
  </r>
  <r>
    <x v="0"/>
    <s v="407BPI0183"/>
    <n v="0"/>
    <x v="370"/>
    <s v="0183"/>
    <n v="-41.215290979694899"/>
    <n v="-7.8167762804009699"/>
    <n v="-41.194658830440602"/>
    <n v="-7.9307020797371504"/>
    <s v="407"/>
    <s v="PI"/>
    <s v="Eixo Principal"/>
    <s v="-"/>
    <s v="407BPI0183"/>
    <s v="ENTR PI-457"/>
    <s v="ENTR PI-143 (JACOBINA DO PIAUÍ)"/>
    <n v="536.70000000000005"/>
    <n v="549.5"/>
    <n v="12.8"/>
    <x v="2"/>
    <m/>
    <m/>
    <s v="Federal"/>
    <m/>
    <m/>
    <m/>
    <s v="Federal"/>
    <s v="PAV"/>
    <s v="Picos"/>
  </r>
  <r>
    <x v="0"/>
    <s v="407BPI0185"/>
    <n v="0"/>
    <x v="370"/>
    <s v="0185"/>
    <n v="-41.194658830440602"/>
    <n v="-7.9307020797371504"/>
    <n v="-41.1435927696905"/>
    <n v="-8.1355571701272407"/>
    <s v="407"/>
    <s v="PI"/>
    <s v="Eixo Principal"/>
    <s v="-"/>
    <s v="407BPI0185"/>
    <s v="ENTR PI-143 (JACOBINA DO PIAUÍ)"/>
    <s v="ENTR PI-459 (PAULISTANA)"/>
    <n v="549.5"/>
    <n v="573.20000000000005"/>
    <n v="23.7"/>
    <x v="2"/>
    <m/>
    <m/>
    <s v="Federal"/>
    <m/>
    <m/>
    <m/>
    <s v="Federal"/>
    <s v="PAV"/>
    <s v="Picos"/>
  </r>
  <r>
    <x v="0"/>
    <s v="407BPI0187"/>
    <n v="0"/>
    <x v="370"/>
    <s v="0187"/>
    <n v="-41.1435927696905"/>
    <n v="-8.1355571701272407"/>
    <n v="-41.078195659601903"/>
    <n v="-8.21818736985119"/>
    <s v="407"/>
    <s v="PI"/>
    <s v="Eixo Principal"/>
    <s v="-"/>
    <s v="407BPI0187"/>
    <s v="ENTR PI-459 (PAULISTANA)"/>
    <s v="ACAUÃ"/>
    <n v="573.20000000000005"/>
    <n v="585.70000000000005"/>
    <n v="12.5"/>
    <x v="2"/>
    <m/>
    <m/>
    <s v="Federal"/>
    <m/>
    <m/>
    <m/>
    <s v="Federal"/>
    <s v="PAV"/>
    <s v="Picos"/>
  </r>
  <r>
    <x v="0"/>
    <s v="407BPI0190"/>
    <n v="0"/>
    <x v="370"/>
    <s v="0190"/>
    <n v="-41.078195659601903"/>
    <n v="-8.21818736985119"/>
    <n v="-41.049385640434899"/>
    <n v="-8.4473477204209004"/>
    <s v="407"/>
    <s v="PI"/>
    <s v="Eixo Principal"/>
    <s v="-"/>
    <s v="407BPI0190"/>
    <s v="ACAUÃ"/>
    <s v="DIV PI/PE"/>
    <n v="585.70000000000005"/>
    <n v="617.4"/>
    <n v="31.7"/>
    <x v="2"/>
    <m/>
    <m/>
    <s v="Federal"/>
    <m/>
    <m/>
    <m/>
    <s v="Federal"/>
    <s v="PAV"/>
    <s v="Picos"/>
  </r>
  <r>
    <x v="0"/>
    <s v="408BPB0010"/>
    <n v="0"/>
    <x v="371"/>
    <s v="0010"/>
    <n v="-35.867801959592697"/>
    <n v="-7.2371725503728603"/>
    <n v="-35.770154210348402"/>
    <n v="-7.2811585796047202"/>
    <s v="408"/>
    <s v="PB"/>
    <s v="Eixo Principal"/>
    <s v="Coinc"/>
    <s v="408BPB0010"/>
    <s v="ENTR BR-104/230(A)/PB-095 (CAMPINA GRANDE)"/>
    <s v="ENTR PB-100"/>
    <n v="0"/>
    <n v="12.3"/>
    <n v="12.3"/>
    <x v="0"/>
    <m/>
    <s v="230BPB0215"/>
    <s v="Federal"/>
    <m/>
    <m/>
    <m/>
    <s v="Federal"/>
    <s v="PAV"/>
    <s v="Campina Grande"/>
  </r>
  <r>
    <x v="0"/>
    <s v="408BPB0020"/>
    <n v="0"/>
    <x v="371"/>
    <s v="0020"/>
    <n v="-35.770154210348402"/>
    <n v="-7.2811585796047202"/>
    <n v="-35.622349780417998"/>
    <n v="-7.24103375990006"/>
    <s v="408"/>
    <s v="PB"/>
    <s v="Eixo Principal"/>
    <s v="Coinc"/>
    <s v="408BPB0020"/>
    <s v="ENTR PB-100"/>
    <s v="ENTR BR-230(B)/PB-095"/>
    <n v="12.3"/>
    <n v="30.9"/>
    <n v="18.600000000000001"/>
    <x v="0"/>
    <m/>
    <s v="230BPB0210"/>
    <s v="Federal"/>
    <m/>
    <m/>
    <m/>
    <s v="Federal"/>
    <s v="PAV"/>
    <s v="Campina Grande"/>
  </r>
  <r>
    <x v="0"/>
    <s v="408BPB0030"/>
    <n v="0"/>
    <x v="371"/>
    <s v="0030"/>
    <n v="-35.622349780417998"/>
    <n v="-7.24103375990006"/>
    <n v="-35.609476999763601"/>
    <n v="-7.2888499999274901"/>
    <s v="408"/>
    <s v="PB"/>
    <s v="Eixo Principal"/>
    <s v="-"/>
    <s v="408BPB0030"/>
    <s v="ENTR BR-230(B)/PB-095"/>
    <s v="ENTR PB-090 (INGÁ)"/>
    <n v="30.9"/>
    <n v="36.5"/>
    <n v="5.6"/>
    <x v="1"/>
    <m/>
    <m/>
    <s v="Estadual"/>
    <m/>
    <s v="PB-066"/>
    <s v="PAV"/>
    <s v="Estadual"/>
    <s v="PLA"/>
    <s v="Campina Grande"/>
  </r>
  <r>
    <x v="0"/>
    <s v="408BPB0035"/>
    <n v="0"/>
    <x v="371"/>
    <s v="0035"/>
    <n v="-35.609476999763601"/>
    <n v="-7.2888499999274901"/>
    <n v="-35.593077999849697"/>
    <n v="-7.3104749998213299"/>
    <s v="408"/>
    <s v="PB"/>
    <s v="Eixo Principal"/>
    <s v="-"/>
    <s v="408BPB0035"/>
    <s v="ENTR PB-090 (INGÁ)"/>
    <s v="ACESSO ITACOATIARA"/>
    <n v="36.5"/>
    <n v="40.4"/>
    <n v="3.9"/>
    <x v="1"/>
    <m/>
    <m/>
    <s v="Estadual"/>
    <m/>
    <s v="PB-066"/>
    <s v="PAV"/>
    <s v="Estadual"/>
    <s v="PLA"/>
    <s v="Campina Grande"/>
  </r>
  <r>
    <x v="0"/>
    <s v="408BPB0050"/>
    <n v="0"/>
    <x v="371"/>
    <s v="0050"/>
    <n v="-35.593077999849697"/>
    <n v="-7.3104749998213299"/>
    <n v="-35.475364999794799"/>
    <n v="-7.3084089998753798"/>
    <s v="408"/>
    <s v="PB"/>
    <s v="Eixo Principal"/>
    <s v="-"/>
    <s v="408BPB0050"/>
    <s v="ACESSO ITACOATIARA"/>
    <s v="MOGEIRO"/>
    <n v="40.4"/>
    <n v="53.7"/>
    <n v="13.3"/>
    <x v="1"/>
    <m/>
    <m/>
    <s v="Estadual"/>
    <m/>
    <s v="PB-066"/>
    <s v="PAV"/>
    <s v="Estadual"/>
    <s v="PLA"/>
    <s v="Campina Grande"/>
  </r>
  <r>
    <x v="0"/>
    <s v="408BPB0060"/>
    <n v="0"/>
    <x v="371"/>
    <s v="0060"/>
    <n v="-35.475364999794799"/>
    <n v="-7.3084089998753798"/>
    <n v="-35.337535289721799"/>
    <n v="-7.3254243996162796"/>
    <s v="408"/>
    <s v="PB"/>
    <s v="Eixo Principal"/>
    <s v="-"/>
    <s v="408BPB0060"/>
    <s v="MOGEIRO"/>
    <s v="ENTR PB-054/082 (ITABAIANA)"/>
    <n v="53.7"/>
    <n v="70.7"/>
    <n v="17"/>
    <x v="1"/>
    <m/>
    <m/>
    <s v="Estadual"/>
    <m/>
    <s v="PB-066"/>
    <s v="PAV"/>
    <s v="Estadual"/>
    <s v="PLA"/>
    <s v="Campina Grande"/>
  </r>
  <r>
    <x v="0"/>
    <s v="408BPB0070"/>
    <n v="0"/>
    <x v="371"/>
    <s v="0070"/>
    <n v="-35.337535289721799"/>
    <n v="-7.3254243996162796"/>
    <n v="-35.239821999685397"/>
    <n v="-7.3741439996458098"/>
    <s v="408"/>
    <s v="PB"/>
    <s v="Eixo Principal"/>
    <s v="-"/>
    <s v="408BPB0070"/>
    <s v="ENTR PB-054/082 (ITABAIANA)"/>
    <s v="DIV PB/PE (JURIPIRANGA)"/>
    <n v="70.7"/>
    <n v="83.8"/>
    <n v="13.1"/>
    <x v="1"/>
    <m/>
    <m/>
    <s v="Estadual"/>
    <m/>
    <s v="PB-066"/>
    <s v="PAV"/>
    <s v="Estadual"/>
    <s v="PLA"/>
    <s v="Campina Grande"/>
  </r>
  <r>
    <x v="0"/>
    <s v="408BPE0090"/>
    <n v="0"/>
    <x v="372"/>
    <s v="0090"/>
    <n v="-35.239821999685397"/>
    <n v="-7.3741439996458098"/>
    <n v="-35.305542979924503"/>
    <n v="-7.5211110995975297"/>
    <s v="408"/>
    <s v="PE"/>
    <s v="Eixo Principal"/>
    <s v="-"/>
    <s v="408BPE0090"/>
    <s v="DIV PB/PE (IBIRANGA)"/>
    <s v="ENTR PE-089 (TIMBAÚBA)"/>
    <n v="0"/>
    <n v="20.3"/>
    <n v="20.3"/>
    <x v="1"/>
    <m/>
    <m/>
    <s v="Estadual"/>
    <m/>
    <s v="PE-082"/>
    <s v="PAV"/>
    <s v="Estadual"/>
    <s v="PLA"/>
    <s v="Recife"/>
  </r>
  <r>
    <x v="0"/>
    <s v="408BPE0110"/>
    <n v="0"/>
    <x v="372"/>
    <s v="0110"/>
    <n v="-35.305542979924503"/>
    <n v="-7.5211110995975297"/>
    <n v="-35.242690669738501"/>
    <n v="-7.5989647598157699"/>
    <s v="408"/>
    <s v="PE"/>
    <s v="Eixo Principal"/>
    <s v="-"/>
    <s v="408BPE0110"/>
    <s v="ENTR PE-089 (TIMBAÚBA)"/>
    <s v="ENTR PE-062 (P/ALIANÇA)"/>
    <n v="20.3"/>
    <n v="33.6"/>
    <n v="13.3"/>
    <x v="2"/>
    <m/>
    <m/>
    <s v="Federal"/>
    <m/>
    <m/>
    <m/>
    <s v="Federal"/>
    <s v="PAV"/>
    <s v="Recife"/>
  </r>
  <r>
    <x v="0"/>
    <s v="408BPE0130"/>
    <n v="0"/>
    <x v="372"/>
    <s v="0130"/>
    <n v="-35.242690669738501"/>
    <n v="-7.5989647598157699"/>
    <n v="-35.250617279863498"/>
    <n v="-7.65356683973783"/>
    <s v="408"/>
    <s v="PE"/>
    <s v="Eixo Principal"/>
    <s v="-"/>
    <s v="408BPE0130"/>
    <s v="ENTR PE-062 (P/ALIANÇA)"/>
    <s v="ENTR PE-074"/>
    <n v="33.6"/>
    <n v="40.5"/>
    <n v="6.9"/>
    <x v="2"/>
    <m/>
    <m/>
    <s v="Federal"/>
    <m/>
    <m/>
    <m/>
    <s v="Federal"/>
    <s v="PAV"/>
    <s v="Recife"/>
  </r>
  <r>
    <x v="0"/>
    <s v="408BPE0150"/>
    <n v="0"/>
    <x v="372"/>
    <s v="0150"/>
    <n v="-35.250617279863498"/>
    <n v="-7.65356683973783"/>
    <n v="-35.240046660225097"/>
    <n v="-7.7270016100362096"/>
    <s v="408"/>
    <s v="PE"/>
    <s v="Eixo Principal"/>
    <s v="-"/>
    <s v="408BPE0150"/>
    <s v="ENTR PE-074"/>
    <s v="ENTR PE-059 (P/BUENOS AIRES)"/>
    <n v="40.5"/>
    <n v="49.7"/>
    <n v="9.1999999999999993"/>
    <x v="2"/>
    <m/>
    <m/>
    <s v="Federal"/>
    <m/>
    <m/>
    <m/>
    <s v="Federal"/>
    <s v="PAV"/>
    <s v="Recife"/>
  </r>
  <r>
    <x v="0"/>
    <s v="408BPE0160"/>
    <n v="0"/>
    <x v="372"/>
    <s v="0160"/>
    <n v="-35.240046660225097"/>
    <n v="-7.7270016100362096"/>
    <n v="-35.238860199938202"/>
    <n v="-7.7791112395919901"/>
    <s v="408"/>
    <s v="PE"/>
    <s v="Eixo Principal"/>
    <s v="-"/>
    <s v="408BPE0160"/>
    <s v="ENTR PE-059 (P/BUENOS AIRES)"/>
    <s v="ENTR PE-052 (NAZARÉ DA MATA)"/>
    <n v="49.7"/>
    <n v="55.9"/>
    <n v="6.2"/>
    <x v="2"/>
    <m/>
    <m/>
    <s v="Federal"/>
    <m/>
    <m/>
    <m/>
    <s v="Federal"/>
    <s v="PAV"/>
    <s v="Recife"/>
  </r>
  <r>
    <x v="0"/>
    <s v="408BPE0170"/>
    <n v="0"/>
    <x v="372"/>
    <s v="0170"/>
    <n v="-35.238860199938202"/>
    <n v="-7.7791112395919901"/>
    <n v="-35.240290860334802"/>
    <n v="-7.8465113404259901"/>
    <s v="408"/>
    <s v="PE"/>
    <s v="Eixo Principal"/>
    <s v="-"/>
    <s v="408BPE0170"/>
    <s v="ENTR PE-052 (NAZARÉ DA MATA)"/>
    <s v="ENTR PE-090 (CARPINA)"/>
    <n v="55.9"/>
    <n v="64"/>
    <n v="8.1"/>
    <x v="2"/>
    <m/>
    <m/>
    <s v="Federal"/>
    <m/>
    <m/>
    <m/>
    <s v="Federal"/>
    <s v="PAV"/>
    <s v="Recife"/>
  </r>
  <r>
    <x v="0"/>
    <s v="408BPE0190"/>
    <n v="0"/>
    <x v="372"/>
    <s v="0190"/>
    <n v="-35.240290860334802"/>
    <n v="-7.8465113404259901"/>
    <n v="-35.224462330072399"/>
    <n v="-7.8542133601583801"/>
    <s v="408"/>
    <s v="PE"/>
    <s v="Eixo Principal"/>
    <s v="-"/>
    <s v="408BPE0190"/>
    <s v="ENTR PE-090 (CARPINA)"/>
    <s v="ENTR PE-041 (P/ARAÇOIABA)"/>
    <n v="64"/>
    <n v="65.900000000000006"/>
    <n v="1.9"/>
    <x v="0"/>
    <m/>
    <m/>
    <s v="Federal"/>
    <m/>
    <m/>
    <m/>
    <s v="Federal"/>
    <s v="PAV"/>
    <s v="Recife"/>
  </r>
  <r>
    <x v="0"/>
    <s v="408BPE0200"/>
    <n v="0"/>
    <x v="372"/>
    <s v="0200"/>
    <n v="-35.224462330072399"/>
    <n v="-7.8542133601583801"/>
    <n v="-35.166394770202402"/>
    <n v="-7.9173234502169896"/>
    <s v="408"/>
    <s v="PE"/>
    <s v="Eixo Principal"/>
    <s v="-"/>
    <s v="408BPE0200"/>
    <s v="ENTR PE-041 (P/ARAÇOIABA)"/>
    <s v="ENTR PE-040 (PAUDALHO)"/>
    <n v="65.900000000000006"/>
    <n v="76.599999999999994"/>
    <n v="10.7"/>
    <x v="0"/>
    <m/>
    <m/>
    <s v="Federal"/>
    <m/>
    <m/>
    <m/>
    <s v="Federal"/>
    <s v="PAV"/>
    <s v="Recife"/>
  </r>
  <r>
    <x v="0"/>
    <s v="408BPE0220"/>
    <n v="0"/>
    <x v="372"/>
    <s v="0220"/>
    <n v="-35.166394770202402"/>
    <n v="-7.9173234502169896"/>
    <n v="-35.094809610375101"/>
    <n v="-7.9606502503087304"/>
    <s v="408"/>
    <s v="PE"/>
    <s v="Eixo Principal"/>
    <s v="-"/>
    <s v="408BPE0220"/>
    <s v="ENTR PE-040 (PAUDALHO)"/>
    <s v="ENTR PE-005 (BICOPEBA)"/>
    <n v="76.599999999999994"/>
    <n v="86.1"/>
    <n v="9.5"/>
    <x v="0"/>
    <m/>
    <m/>
    <s v="Federal"/>
    <m/>
    <m/>
    <m/>
    <s v="Federal"/>
    <s v="PAV"/>
    <s v="Recife"/>
  </r>
  <r>
    <x v="0"/>
    <s v="408BPE0240"/>
    <n v="0"/>
    <x v="372"/>
    <s v="0240"/>
    <n v="-35.094809610375101"/>
    <n v="-7.9606502503087304"/>
    <n v="-35.044420650092803"/>
    <n v="-8.0061175402922196"/>
    <s v="408"/>
    <s v="PE"/>
    <s v="Eixo Principal"/>
    <s v="-"/>
    <s v="408BPE0240"/>
    <s v="ENTR PE-005 (BICOPEBA)"/>
    <s v="ACESSO SÃO LOURENÇO DA MATA"/>
    <n v="86.1"/>
    <n v="94.3"/>
    <n v="8.1999999999999993"/>
    <x v="0"/>
    <m/>
    <m/>
    <s v="Federal"/>
    <m/>
    <m/>
    <m/>
    <s v="Federal"/>
    <s v="PAV"/>
    <s v="Recife"/>
  </r>
  <r>
    <x v="0"/>
    <s v="408BPE0260"/>
    <n v="0"/>
    <x v="372"/>
    <s v="0260"/>
    <n v="-35.044420650092803"/>
    <n v="-8.0061175402922196"/>
    <n v="-34.990616449589403"/>
    <n v="-8.0797355600479897"/>
    <s v="408"/>
    <s v="PE"/>
    <s v="Eixo Principal"/>
    <s v="-"/>
    <s v="408BPE0260"/>
    <s v="ACESSO SÃO LOURENÇO DA MATA"/>
    <s v="ENTR BR-232"/>
    <n v="94.3"/>
    <n v="105.8"/>
    <n v="11.5"/>
    <x v="0"/>
    <m/>
    <m/>
    <s v="Federal"/>
    <m/>
    <m/>
    <m/>
    <s v="Federal"/>
    <s v="PAV"/>
    <s v="Recife"/>
  </r>
  <r>
    <x v="0"/>
    <s v="409BAC0010"/>
    <n v="0"/>
    <x v="373"/>
    <s v="0010"/>
    <n v="-70.357165539557897"/>
    <n v="-8.1841619995765793"/>
    <n v="-70.3905621128511"/>
    <n v="-8.4463065528051402"/>
    <s v="409"/>
    <s v="AC"/>
    <s v="Eixo Principal"/>
    <s v="-"/>
    <s v="409BAC0010"/>
    <s v="ENTR BR-364 (FEIJÓ)"/>
    <s v="IGARAPÉ CONSULTA"/>
    <n v="0"/>
    <n v="32"/>
    <n v="32"/>
    <x v="1"/>
    <m/>
    <m/>
    <s v="Federal"/>
    <m/>
    <m/>
    <m/>
    <s v="Federal"/>
    <s v="PLA"/>
    <s v="Rio Branco"/>
  </r>
  <r>
    <x v="0"/>
    <s v="409BAC0030"/>
    <n v="0"/>
    <x v="373"/>
    <s v="0030"/>
    <n v="-70.3905621128511"/>
    <n v="-8.4463065528051402"/>
    <n v="-70.463392449701701"/>
    <n v="-9.1858017656389208"/>
    <s v="409"/>
    <s v="AC"/>
    <s v="Eixo Principal"/>
    <s v="-"/>
    <s v="409BAC0030"/>
    <s v="IGARAPÉ CONSULTA"/>
    <s v="ENTR AC-329"/>
    <n v="32"/>
    <n v="122"/>
    <n v="90"/>
    <x v="1"/>
    <m/>
    <m/>
    <s v="Federal"/>
    <m/>
    <m/>
    <m/>
    <s v="Federal"/>
    <s v="PLA"/>
    <s v="Rio Branco"/>
  </r>
  <r>
    <x v="0"/>
    <s v="409BAC0050"/>
    <n v="0"/>
    <x v="373"/>
    <s v="0050"/>
    <n v="-70.463392449701701"/>
    <n v="-9.1858017656389208"/>
    <n v="-70.476573599791706"/>
    <n v="-9.4332155100876705"/>
    <s v="409"/>
    <s v="AC"/>
    <s v="Eixo Principal"/>
    <s v="-"/>
    <s v="409BAC0050"/>
    <s v="ENTR AC-329"/>
    <s v="ENTR AC-090 (SANTA ROSA)"/>
    <n v="122"/>
    <n v="152"/>
    <n v="30"/>
    <x v="1"/>
    <m/>
    <m/>
    <s v="Federal"/>
    <m/>
    <m/>
    <m/>
    <s v="Federal"/>
    <s v="PLA"/>
    <s v="Rio Branco"/>
  </r>
  <r>
    <x v="0"/>
    <s v="410BBA0010"/>
    <n v="0"/>
    <x v="374"/>
    <s v="0010"/>
    <n v="-38.529609809944702"/>
    <n v="-10.815191749899199"/>
    <n v="-38.780261530145403"/>
    <n v="-10.9785012599251"/>
    <s v="410"/>
    <s v="BA"/>
    <s v="Eixo Principal"/>
    <s v="-"/>
    <s v="410BBA0010"/>
    <s v="ENTR BR-110 (RIBEIRA DO POMBAL)"/>
    <s v="ENTR BA-395"/>
    <n v="0"/>
    <n v="33.1"/>
    <n v="33.1"/>
    <x v="2"/>
    <m/>
    <m/>
    <m/>
    <s v="MP082/2003"/>
    <m/>
    <m/>
    <m/>
    <s v="PAV"/>
    <s v="Euclides da Cunha"/>
  </r>
  <r>
    <x v="0"/>
    <s v="410BBA0020"/>
    <n v="0"/>
    <x v="374"/>
    <s v="0020"/>
    <n v="-38.780261530145403"/>
    <n v="-10.9785012599251"/>
    <n v="-38.800603370149297"/>
    <n v="-10.9868341100061"/>
    <s v="410"/>
    <s v="BA"/>
    <s v="Eixo Principal"/>
    <s v="-"/>
    <s v="410BBA0020"/>
    <s v="ENTR BA-395"/>
    <s v="ENTR BR-116 (P/TUCANO)"/>
    <n v="33.1"/>
    <n v="35.799999999999997"/>
    <n v="2.7"/>
    <x v="2"/>
    <m/>
    <m/>
    <m/>
    <s v="MP082/2003"/>
    <m/>
    <m/>
    <m/>
    <s v="PAV"/>
    <s v="Euclides da Cunha"/>
  </r>
  <r>
    <x v="0"/>
    <s v="411BAM0010"/>
    <n v="0"/>
    <x v="375"/>
    <s v="0010"/>
    <n v="-72.413465790014101"/>
    <n v="-5.6352014303017199"/>
    <n v="-72.832213079969605"/>
    <n v="-5.2024675700222902"/>
    <s v="411"/>
    <s v="AM"/>
    <s v="Eixo Principal"/>
    <s v="-"/>
    <s v="411BAM0010"/>
    <s v="ENTR BR-307"/>
    <s v="FRONT BRASIL/PERU (ELVIRA)"/>
    <n v="0"/>
    <n v="85"/>
    <n v="85"/>
    <x v="1"/>
    <m/>
    <m/>
    <s v="Federal"/>
    <m/>
    <m/>
    <m/>
    <s v="Federal"/>
    <s v="PLA"/>
    <s v="Humaitá"/>
  </r>
  <r>
    <x v="0"/>
    <s v="412BPB0010"/>
    <n v="0"/>
    <x v="376"/>
    <s v="0010"/>
    <n v="-36.108207659655697"/>
    <n v="-7.15192620033383"/>
    <n v="-36.244678690169302"/>
    <n v="-7.2730624697571198"/>
    <s v="412"/>
    <s v="PB"/>
    <s v="Eixo Principal"/>
    <s v="-"/>
    <s v="412BPB0010"/>
    <s v="ENTR BR-230 (FARINHA)"/>
    <s v="ENTR PB-160 (BOA VISTA)"/>
    <n v="0"/>
    <n v="21"/>
    <n v="21"/>
    <x v="2"/>
    <m/>
    <m/>
    <s v="Federal"/>
    <m/>
    <m/>
    <m/>
    <s v="Federal"/>
    <s v="PAV"/>
    <s v="Campina Grande"/>
  </r>
  <r>
    <x v="0"/>
    <s v="412BPB0030"/>
    <n v="0"/>
    <x v="376"/>
    <s v="0030"/>
    <n v="-36.244678690169302"/>
    <n v="-7.2730624697571198"/>
    <n v="-36.491091029627199"/>
    <n v="-7.3573955402718996"/>
    <s v="412"/>
    <s v="PB"/>
    <s v="Eixo Principal"/>
    <s v="-"/>
    <s v="412BPB0030"/>
    <s v="ENTR PB-160 (BOA VISTA)"/>
    <s v="ENTR PB-176"/>
    <n v="21"/>
    <n v="50.4"/>
    <n v="29.4"/>
    <x v="2"/>
    <m/>
    <m/>
    <s v="Federal"/>
    <m/>
    <m/>
    <m/>
    <s v="Federal"/>
    <s v="PAV"/>
    <s v="Campina Grande"/>
  </r>
  <r>
    <x v="0"/>
    <s v="412BPB0040"/>
    <n v="0"/>
    <x v="376"/>
    <s v="0040"/>
    <n v="-36.491091029627199"/>
    <n v="-7.3573955402718996"/>
    <n v="-36.535000299923801"/>
    <n v="-7.4059812501345101"/>
    <s v="412"/>
    <s v="PB"/>
    <s v="Eixo Principal"/>
    <s v="-"/>
    <s v="412BPB0040"/>
    <s v="ENTR PB-176"/>
    <s v="ENTR PB-148/216 (SÃO JOÃO DO CARIRI)"/>
    <n v="50.4"/>
    <n v="58.1"/>
    <n v="7.7"/>
    <x v="2"/>
    <m/>
    <m/>
    <s v="Federal"/>
    <m/>
    <m/>
    <m/>
    <s v="Federal"/>
    <s v="PAV"/>
    <s v="Campina Grande"/>
  </r>
  <r>
    <x v="0"/>
    <s v="412BPB0050"/>
    <n v="0"/>
    <x v="376"/>
    <s v="0050"/>
    <n v="-36.535000299923801"/>
    <n v="-7.4059812501345101"/>
    <n v="-36.605223789945903"/>
    <n v="-7.4582794504362298"/>
    <s v="412"/>
    <s v="PB"/>
    <s v="Eixo Principal"/>
    <s v="-"/>
    <s v="412BPB0050"/>
    <s v="ENTR PB-148/216 (SÃO JOÃO DO CARIRI)"/>
    <s v="RIACHO DO CABOCLO"/>
    <n v="58.1"/>
    <n v="67.900000000000006"/>
    <n v="9.8000000000000007"/>
    <x v="2"/>
    <m/>
    <m/>
    <s v="Federal"/>
    <m/>
    <m/>
    <m/>
    <s v="Federal"/>
    <s v="PAV"/>
    <s v="Campina Grande"/>
  </r>
  <r>
    <x v="0"/>
    <s v="412BPB0055"/>
    <n v="0"/>
    <x v="376"/>
    <s v="0055"/>
    <n v="-36.605223789945903"/>
    <n v="-7.4582794504362298"/>
    <n v="-36.8841764896532"/>
    <n v="-7.6759780800243202"/>
    <s v="412"/>
    <s v="PB"/>
    <s v="Eixo Principal"/>
    <s v="-"/>
    <s v="412BPB0055"/>
    <s v="RIACHO DO CABOCLO"/>
    <s v="ENTR PB-214 (SUMÉ)"/>
    <n v="67.900000000000006"/>
    <n v="109"/>
    <n v="41.1"/>
    <x v="2"/>
    <m/>
    <m/>
    <s v="Federal"/>
    <m/>
    <m/>
    <m/>
    <s v="Federal"/>
    <s v="PAV"/>
    <s v="Campina Grande"/>
  </r>
  <r>
    <x v="0"/>
    <s v="412BPB0070"/>
    <n v="0"/>
    <x v="376"/>
    <s v="0070"/>
    <n v="-36.8841764896532"/>
    <n v="-7.6759780800243202"/>
    <n v="-37.0184825902992"/>
    <n v="-7.7935823097757204"/>
    <s v="412"/>
    <s v="PB"/>
    <s v="Eixo Principal"/>
    <s v="-"/>
    <s v="412BPB0070"/>
    <s v="ENTR PB-214 (SUMÉ)"/>
    <s v="ENTR BR-110(A)"/>
    <n v="109"/>
    <n v="129"/>
    <n v="20"/>
    <x v="2"/>
    <m/>
    <m/>
    <s v="Federal"/>
    <m/>
    <m/>
    <m/>
    <s v="Federal"/>
    <s v="PAV"/>
    <s v="Campina Grande"/>
  </r>
  <r>
    <x v="0"/>
    <s v="412BPB0090"/>
    <n v="0"/>
    <x v="376"/>
    <s v="0090"/>
    <n v="-37.0184825902992"/>
    <n v="-7.7935823097757204"/>
    <n v="-37.121369279868297"/>
    <n v="-7.9031041497366896"/>
    <s v="412"/>
    <s v="PB"/>
    <s v="Eixo Principal"/>
    <s v="Coinc"/>
    <s v="412BPB0090"/>
    <s v="ENTR BR-110(A)"/>
    <s v="ENTR BR-110(B)/PB-242/264 (MONTEIRO)"/>
    <n v="129"/>
    <n v="145.69999999999999"/>
    <n v="16.7"/>
    <x v="2"/>
    <m/>
    <s v="110BPB0330"/>
    <s v="Federal"/>
    <m/>
    <m/>
    <m/>
    <s v="Federal"/>
    <s v="PAV"/>
    <s v="Campina Grande"/>
  </r>
  <r>
    <x v="0"/>
    <s v="413BAM0010"/>
    <n v="0"/>
    <x v="377"/>
    <s v="0010"/>
    <n v="-71.205272099827397"/>
    <n v="-4.6856332003118801"/>
    <n v="-71.273505489986306"/>
    <n v="-4.4940978203580899"/>
    <s v="413"/>
    <s v="AM"/>
    <s v="Eixo Principal"/>
    <s v="-"/>
    <s v="413BAM0010"/>
    <s v="ENTR BR-307"/>
    <s v="FRONT BRASIL/PERU (CAXIAS)"/>
    <n v="0"/>
    <n v="40"/>
    <n v="40"/>
    <x v="1"/>
    <m/>
    <m/>
    <s v="Federal"/>
    <m/>
    <m/>
    <m/>
    <s v="Federal"/>
    <s v="PLA"/>
    <s v="Humaitá"/>
  </r>
  <r>
    <x v="0"/>
    <s v="414BGO0010"/>
    <n v="0"/>
    <x v="378"/>
    <s v="0010"/>
    <n v="-49.132729349879497"/>
    <n v="-13.441010050373499"/>
    <n v="-49.021032649736902"/>
    <n v="-13.7143794701364"/>
    <s v="414"/>
    <s v="GO"/>
    <s v="Eixo Principal"/>
    <s v="Coinc"/>
    <s v="414BGO0010"/>
    <s v="ENTR BR-153(A)/GO-244/151 (PORANGATU)"/>
    <s v="ENTR BR-153(B)/GO-241(A) (SANTA TEREZA DE GOIÁS)"/>
    <n v="0"/>
    <n v="38.6"/>
    <n v="38.6"/>
    <x v="2"/>
    <m/>
    <s v="153BGO0350"/>
    <s v="Federal"/>
    <m/>
    <m/>
    <m/>
    <s v="Federal"/>
    <s v="PAV"/>
    <s v="Uruaçu"/>
  </r>
  <r>
    <x v="0"/>
    <s v="414BGO0030"/>
    <n v="0"/>
    <x v="378"/>
    <s v="0030"/>
    <n v="-49.021032649736902"/>
    <n v="-13.7143794701364"/>
    <n v="-48.887624690327101"/>
    <n v="-13.6557009198615"/>
    <s v="414"/>
    <s v="GO"/>
    <s v="Eixo Principal"/>
    <s v="-"/>
    <s v="414BGO0030"/>
    <s v="ENTR BR-153(B)/GO-241(A) (SANTA TEREZA DE GOIÁS)"/>
    <s v="FORMOSO"/>
    <n v="38.6"/>
    <n v="56.8"/>
    <n v="18.2"/>
    <x v="1"/>
    <m/>
    <m/>
    <s v="Estadual"/>
    <m/>
    <s v="GO-241"/>
    <s v="PAV"/>
    <s v="Estadual"/>
    <s v="PLA"/>
    <s v="Anápolis"/>
  </r>
  <r>
    <x v="0"/>
    <s v="414BGO0040"/>
    <n v="0"/>
    <x v="378"/>
    <s v="0040"/>
    <n v="-48.887624690327101"/>
    <n v="-13.6557009198615"/>
    <n v="-48.847506420384903"/>
    <n v="-13.6481376898025"/>
    <s v="414"/>
    <s v="GO"/>
    <s v="Eixo Principal"/>
    <s v="-"/>
    <s v="414BGO0040"/>
    <s v="FORMOSO"/>
    <s v="ENTR GO-142 (P/TROMBAS)"/>
    <n v="56.8"/>
    <n v="59.3"/>
    <n v="2.5"/>
    <x v="1"/>
    <m/>
    <m/>
    <s v="Estadual"/>
    <m/>
    <s v="GO-241"/>
    <s v="PAV"/>
    <s v="Estadual"/>
    <s v="PLA"/>
    <s v="Anápolis"/>
  </r>
  <r>
    <x v="0"/>
    <s v="414BGO0050"/>
    <n v="0"/>
    <x v="378"/>
    <s v="0050"/>
    <n v="-48.847506420384903"/>
    <n v="-13.6481376898025"/>
    <n v="-48.567426360238301"/>
    <n v="-13.7870947702074"/>
    <s v="414"/>
    <s v="GO"/>
    <s v="Eixo Principal"/>
    <s v="-"/>
    <s v="414BGO0050"/>
    <s v="ENTR GO-142 (P/TROMBAS)"/>
    <s v="ENTR GO-241(B)/442 (CAMPINAÇU)"/>
    <n v="59.3"/>
    <n v="107.4"/>
    <n v="48.1"/>
    <x v="1"/>
    <m/>
    <m/>
    <s v="Estadual"/>
    <m/>
    <s v="GO-241"/>
    <s v="PAV"/>
    <s v="Estadual"/>
    <s v="PLA"/>
    <s v="Anápolis"/>
  </r>
  <r>
    <x v="0"/>
    <s v="414BGO0070"/>
    <n v="0"/>
    <x v="378"/>
    <s v="0070"/>
    <n v="-48.567426360238301"/>
    <n v="-13.7870947702074"/>
    <n v="-48.461287140289201"/>
    <n v="-14.4596110401173"/>
    <s v="414"/>
    <s v="GO"/>
    <s v="Eixo Principal"/>
    <s v="-"/>
    <s v="414BGO0070"/>
    <s v="ENTR GO-241(B)/442 (CAMPINAÇU)"/>
    <s v="ENTR GO-237(A) (NIQUELÂNDIA)"/>
    <n v="107.4"/>
    <n v="201.7"/>
    <n v="94.3"/>
    <x v="1"/>
    <m/>
    <m/>
    <s v="Federal"/>
    <m/>
    <m/>
    <m/>
    <s v="Federal"/>
    <s v="PLA"/>
    <s v="Anápolis"/>
  </r>
  <r>
    <x v="0"/>
    <s v="414BGO0080"/>
    <n v="0"/>
    <x v="378"/>
    <s v="0080"/>
    <n v="-48.461287140289201"/>
    <n v="-14.4596110401173"/>
    <n v="-48.481480370023"/>
    <n v="-14.466892699638301"/>
    <s v="414"/>
    <s v="GO"/>
    <s v="Eixo Principal"/>
    <s v="-"/>
    <s v="414BGO0080"/>
    <s v="ENTR GO-237(A) (NIQUELÂNDIA)"/>
    <s v="ENTR GO-237(B)"/>
    <n v="201.7"/>
    <n v="203.5"/>
    <n v="1.8"/>
    <x v="2"/>
    <m/>
    <m/>
    <m/>
    <s v="MP082/2004"/>
    <m/>
    <m/>
    <m/>
    <s v="PAV"/>
    <s v="Anápolis"/>
  </r>
  <r>
    <x v="0"/>
    <s v="414BGO0083"/>
    <n v="0"/>
    <x v="378"/>
    <s v="0083"/>
    <n v="-48.481480370023"/>
    <n v="-14.466892699638301"/>
    <n v="-48.669479809945202"/>
    <n v="-14.9724133003334"/>
    <s v="414"/>
    <s v="GO"/>
    <s v="Eixo Principal"/>
    <s v="-"/>
    <s v="414BGO0083"/>
    <s v="ENTR GO-237(B)"/>
    <s v="QUEBRA LINHA"/>
    <n v="203.5"/>
    <n v="267.3"/>
    <n v="63.8"/>
    <x v="2"/>
    <m/>
    <m/>
    <m/>
    <s v="MP082/2004"/>
    <m/>
    <m/>
    <m/>
    <s v="PAV"/>
    <s v="Anápolis"/>
  </r>
  <r>
    <x v="0"/>
    <s v="414BGO0090"/>
    <n v="0"/>
    <x v="378"/>
    <s v="0090"/>
    <n v="-48.669479809945202"/>
    <n v="-14.9724133003334"/>
    <n v="-48.7492516296589"/>
    <n v="-15.102086750303201"/>
    <s v="414"/>
    <s v="GO"/>
    <s v="Eixo Principal"/>
    <s v="-"/>
    <s v="414BGO0090"/>
    <s v="QUEBRA LINHA"/>
    <s v="TREVO DE ACESSO BR-080"/>
    <n v="267.3"/>
    <n v="284.5"/>
    <n v="17.2"/>
    <x v="2"/>
    <m/>
    <m/>
    <m/>
    <s v="MP082/2005"/>
    <m/>
    <m/>
    <m/>
    <s v="PAV"/>
    <s v="Anápolis"/>
  </r>
  <r>
    <x v="0"/>
    <s v="414BGO0100"/>
    <n v="0"/>
    <x v="378"/>
    <s v="0100"/>
    <n v="-48.7492516296589"/>
    <n v="-15.102086750303201"/>
    <n v="-48.6997950702862"/>
    <n v="-15.2082902897649"/>
    <s v="414"/>
    <s v="GO"/>
    <s v="Eixo Principal"/>
    <s v="-"/>
    <s v="414BGO0100"/>
    <s v="TREVO DE ACESSO BR-080"/>
    <s v="ENTR BR-080/GO-230(A)/324 (DOIS IRMAOS)"/>
    <n v="284.5"/>
    <n v="300"/>
    <n v="15.5"/>
    <x v="2"/>
    <m/>
    <m/>
    <m/>
    <s v="MP082/2006"/>
    <m/>
    <m/>
    <m/>
    <s v="PAV"/>
    <s v="Anápolis"/>
  </r>
  <r>
    <x v="0"/>
    <s v="414BGO0110"/>
    <n v="0"/>
    <x v="378"/>
    <s v="0110"/>
    <n v="-48.6997950702862"/>
    <n v="-15.2082902897649"/>
    <n v="-48.646556949843301"/>
    <n v="-15.3574326303116"/>
    <s v="414"/>
    <s v="GO"/>
    <s v="Eixo Principal"/>
    <s v="-"/>
    <s v="414BGO0110"/>
    <s v="ENTR BR-080/GO-230(A)/324 (DOIS IRMAOS)"/>
    <s v="ENTR GO-230(B)"/>
    <n v="300"/>
    <n v="317"/>
    <n v="17"/>
    <x v="2"/>
    <m/>
    <m/>
    <m/>
    <s v="MP082/2006"/>
    <m/>
    <m/>
    <m/>
    <s v="PAV"/>
    <s v="Anápolis"/>
  </r>
  <r>
    <x v="0"/>
    <s v="414BGO0111"/>
    <n v="0"/>
    <x v="378"/>
    <s v="0111"/>
    <n v="-48.646556949843301"/>
    <n v="-15.3574326303116"/>
    <n v="-48.618589580144899"/>
    <n v="-15.486740770270201"/>
    <s v="414"/>
    <s v="GO"/>
    <s v="Eixo Principal"/>
    <s v="-"/>
    <s v="414BGO0111"/>
    <s v="ENTR GO-230(B)"/>
    <s v="ENTR BR-251(A)"/>
    <n v="317"/>
    <n v="332"/>
    <n v="15"/>
    <x v="2"/>
    <m/>
    <m/>
    <m/>
    <s v="MP082/2004"/>
    <m/>
    <m/>
    <m/>
    <s v="PAV"/>
    <s v="Anápolis"/>
  </r>
  <r>
    <x v="0"/>
    <s v="414BGO0112"/>
    <n v="0"/>
    <x v="378"/>
    <s v="0112"/>
    <n v="-48.618589580144899"/>
    <n v="-15.486740770270201"/>
    <n v="-48.628646769632603"/>
    <n v="-15.5809741201594"/>
    <s v="414"/>
    <s v="GO"/>
    <s v="Eixo Principal"/>
    <s v="Coinc"/>
    <s v="414BGO0112"/>
    <s v="ENTR BR-251(A)"/>
    <s v="ENTR BR-251(B)/GO-435"/>
    <n v="332"/>
    <n v="342.5"/>
    <n v="10.5"/>
    <x v="2"/>
    <m/>
    <s v="251BGO0792"/>
    <m/>
    <s v="MP082/2004"/>
    <m/>
    <m/>
    <m/>
    <s v="PAV"/>
    <s v="Anápolis"/>
  </r>
  <r>
    <x v="0"/>
    <s v="414BGO0115"/>
    <n v="0"/>
    <x v="378"/>
    <s v="0115"/>
    <n v="-48.628646769632603"/>
    <n v="-15.5809741201594"/>
    <n v="-48.750609819987098"/>
    <n v="-15.754426409950799"/>
    <s v="414"/>
    <s v="GO"/>
    <s v="Eixo Principal"/>
    <s v="-"/>
    <s v="414BGO0115"/>
    <s v="ENTR BR-251(B)/GO-435"/>
    <s v="ENTR BR-070(A)"/>
    <n v="342.5"/>
    <n v="370.4"/>
    <n v="27.9"/>
    <x v="2"/>
    <m/>
    <m/>
    <m/>
    <s v="MP082/2004"/>
    <m/>
    <m/>
    <m/>
    <s v="PAV"/>
    <s v="Anápolis"/>
  </r>
  <r>
    <x v="0"/>
    <s v="414BGO0120"/>
    <n v="0"/>
    <x v="378"/>
    <s v="0120"/>
    <n v="-48.750609819987098"/>
    <n v="-15.754426409950799"/>
    <n v="-48.772651109760801"/>
    <n v="-15.7908510302507"/>
    <s v="414"/>
    <s v="GO"/>
    <s v="Eixo Principal"/>
    <s v="Coinc"/>
    <s v="414BGO0120"/>
    <s v="ENTR BR-070(A)"/>
    <s v="ENTR BR-070(B) (COCALZINHO DE GOIÁS)"/>
    <n v="370.4"/>
    <n v="372.2"/>
    <n v="1.8"/>
    <x v="2"/>
    <m/>
    <s v="070BGO0080"/>
    <s v="Federal"/>
    <m/>
    <m/>
    <m/>
    <s v="Federal"/>
    <s v="PAV"/>
    <s v="Anápolis"/>
  </r>
  <r>
    <x v="0"/>
    <s v="414BGO0130"/>
    <n v="0"/>
    <x v="378"/>
    <s v="0130"/>
    <n v="-48.772651109760801"/>
    <n v="-15.7908510302507"/>
    <n v="-48.808994970041702"/>
    <n v="-15.918328940128401"/>
    <s v="414"/>
    <s v="GO"/>
    <s v="Eixo Principal"/>
    <s v="-"/>
    <s v="414BGO0130"/>
    <s v="ENTR BR-070(B) (COCALZINHO DE GOIÁS)"/>
    <s v="ENTR GO-225 (CORUMBÁ DE GOIÁS)"/>
    <n v="372.2"/>
    <n v="392.9"/>
    <n v="20.7"/>
    <x v="2"/>
    <m/>
    <m/>
    <m/>
    <s v="MP082/2005"/>
    <m/>
    <m/>
    <m/>
    <s v="PAV"/>
    <s v="Anápolis"/>
  </r>
  <r>
    <x v="0"/>
    <s v="414BGO0132"/>
    <n v="0"/>
    <x v="378"/>
    <s v="0132"/>
    <n v="-48.808994970041702"/>
    <n v="-15.918328940128401"/>
    <n v="-48.853316619965902"/>
    <n v="-16.0522781196394"/>
    <s v="414"/>
    <s v="GO"/>
    <s v="Eixo Principal"/>
    <s v="-"/>
    <s v="414BGO0132"/>
    <s v="ENTR GO-225 (CORUMBÁ DE GOIÁS)"/>
    <s v="ENTR GO-338 (PLANALMIRA)"/>
    <n v="392.9"/>
    <n v="409.3"/>
    <n v="16.399999999999999"/>
    <x v="2"/>
    <m/>
    <m/>
    <m/>
    <s v="MP082/2005"/>
    <m/>
    <m/>
    <m/>
    <s v="PAV"/>
    <s v="Anápolis"/>
  </r>
  <r>
    <x v="0"/>
    <s v="414BGO0134"/>
    <n v="0"/>
    <x v="378"/>
    <s v="0134"/>
    <n v="-48.853316619965902"/>
    <n v="-16.0522781196394"/>
    <n v="-48.943903999569798"/>
    <n v="-16.286578139769201"/>
    <s v="414"/>
    <s v="GO"/>
    <s v="Eixo Principal"/>
    <s v="-"/>
    <s v="414BGO0134"/>
    <s v="ENTR GO-338 (PLANALMIRA)"/>
    <s v="ENTR BR-153/GO-222/330 (ANÁPOLIS)"/>
    <n v="409.3"/>
    <n v="439.6"/>
    <n v="30.3"/>
    <x v="2"/>
    <m/>
    <m/>
    <m/>
    <s v="MP082/2006"/>
    <m/>
    <m/>
    <m/>
    <s v="PAV"/>
    <s v="Anápolis"/>
  </r>
  <r>
    <x v="0"/>
    <s v="415BBA0010"/>
    <n v="0"/>
    <x v="379"/>
    <s v="0010"/>
    <n v="-39.0322634403054"/>
    <n v="-14.785130989703299"/>
    <n v="-39.113110820407897"/>
    <n v="-14.7452053797244"/>
    <s v="415"/>
    <s v="BA"/>
    <s v="Eixo Principal"/>
    <s v="-"/>
    <s v="415BBA0010"/>
    <s v="ENTR BA-262(A) (ILHÉUS)"/>
    <s v="ENTR BA-262(B)"/>
    <n v="0"/>
    <n v="10.8"/>
    <n v="10.8"/>
    <x v="1"/>
    <m/>
    <m/>
    <s v="Estadual"/>
    <m/>
    <s v="BA-262"/>
    <s v="PAV"/>
    <s v="Estadual"/>
    <s v="PLA"/>
    <s v="Itabuna"/>
  </r>
  <r>
    <x v="0"/>
    <s v="415BBA0015"/>
    <n v="0"/>
    <x v="379"/>
    <s v="0015"/>
    <n v="-39.113110820407897"/>
    <n v="-14.7452053797244"/>
    <n v="-39.116671929765602"/>
    <n v="-14.795387819691999"/>
    <s v="415"/>
    <s v="BA"/>
    <s v="Eixo Principal"/>
    <s v="-"/>
    <s v="415BBA0015"/>
    <s v="ENTR BA-262(B)"/>
    <s v="ENTR BA-415(A) (P/ ILHÉUS)"/>
    <n v="10.8"/>
    <n v="17"/>
    <n v="6.2"/>
    <x v="1"/>
    <m/>
    <m/>
    <s v="Federal"/>
    <m/>
    <m/>
    <m/>
    <s v="Federal"/>
    <s v="PLA"/>
    <s v="Itabuna"/>
  </r>
  <r>
    <x v="0"/>
    <s v="415BBA0020"/>
    <n v="0"/>
    <x v="379"/>
    <s v="0020"/>
    <n v="-39.116671929765602"/>
    <n v="-14.795387819691999"/>
    <n v="-39.245190519826501"/>
    <n v="-14.785301340184599"/>
    <s v="415"/>
    <s v="BA"/>
    <s v="Eixo Principal"/>
    <s v="-"/>
    <s v="415BBA0020"/>
    <s v="ENTR BA-415(A) (P/ ILHÉUS)"/>
    <s v="ENTR BA-415(B) (P/ ITABUNA)"/>
    <n v="17"/>
    <n v="32.299999999999997"/>
    <n v="15.3"/>
    <x v="2"/>
    <m/>
    <m/>
    <s v="Federal"/>
    <m/>
    <m/>
    <m/>
    <s v="Federal"/>
    <s v="PAV"/>
    <s v="Itabuna"/>
  </r>
  <r>
    <x v="0"/>
    <s v="415BBA0025"/>
    <n v="0"/>
    <x v="379"/>
    <s v="0025"/>
    <n v="-39.245190519826501"/>
    <n v="-14.785301340184599"/>
    <n v="-39.281952789689399"/>
    <n v="-14.8483117098174"/>
    <s v="415"/>
    <s v="BA"/>
    <s v="Eixo Principal"/>
    <s v="-"/>
    <s v="415BBA0025"/>
    <s v="ENTR BA-415(B) (P/ ITABUNA)"/>
    <s v="ENTR BR-101(A)"/>
    <n v="32.299999999999997"/>
    <n v="42.4"/>
    <n v="10.1"/>
    <x v="1"/>
    <m/>
    <m/>
    <s v="Federal"/>
    <m/>
    <m/>
    <m/>
    <s v="Federal"/>
    <s v="PLA"/>
    <s v="Itabuna"/>
  </r>
  <r>
    <x v="0"/>
    <s v="415BBA0030"/>
    <n v="0"/>
    <x v="379"/>
    <s v="0030"/>
    <n v="-39.281952789689399"/>
    <n v="-14.8483117098174"/>
    <n v="-39.2971688096927"/>
    <n v="-14.8136507400895"/>
    <s v="415"/>
    <s v="BA"/>
    <s v="Eixo Principal"/>
    <s v="Coinc"/>
    <s v="415BBA0030"/>
    <s v="ENTR BR-101(A)"/>
    <s v="ENTR BR-101(B)/BA-120(A) (ITABUNA)"/>
    <n v="42.4"/>
    <n v="47.3"/>
    <n v="4.9000000000000004"/>
    <x v="2"/>
    <m/>
    <s v="101BBA1820"/>
    <s v="Federal"/>
    <m/>
    <m/>
    <m/>
    <s v="Federal"/>
    <s v="PAV"/>
    <s v="Itabuna"/>
  </r>
  <r>
    <x v="0"/>
    <s v="415BBA0035"/>
    <n v="0"/>
    <x v="379"/>
    <s v="0035"/>
    <n v="-39.2971688096927"/>
    <n v="-14.8136507400895"/>
    <n v="-39.330997900232802"/>
    <n v="-14.841475950354701"/>
    <s v="415"/>
    <s v="BA"/>
    <s v="Eixo Principal"/>
    <s v="-"/>
    <s v="415BBA0035"/>
    <s v="ENTR BR-101(B)/BA-120(A) (ITABUNA)"/>
    <s v="FERRADAS"/>
    <n v="47.3"/>
    <n v="52.3"/>
    <n v="5"/>
    <x v="2"/>
    <m/>
    <m/>
    <s v="Federal"/>
    <m/>
    <m/>
    <m/>
    <s v="Federal"/>
    <s v="PAV"/>
    <s v="Itabuna"/>
  </r>
  <r>
    <x v="0"/>
    <s v="415BBA0040"/>
    <n v="0"/>
    <x v="379"/>
    <s v="0040"/>
    <n v="-39.330997900232802"/>
    <n v="-14.841475950354701"/>
    <n v="-39.417188200275099"/>
    <n v="-14.857467769621801"/>
    <s v="415"/>
    <s v="BA"/>
    <s v="Eixo Principal"/>
    <s v="-"/>
    <s v="415BBA0040"/>
    <s v="FERRADAS"/>
    <s v="ENTR BA-120(B) (P/BARRO PRETO)"/>
    <n v="52.3"/>
    <n v="62.8"/>
    <n v="10.5"/>
    <x v="2"/>
    <m/>
    <m/>
    <s v="Federal"/>
    <m/>
    <m/>
    <m/>
    <s v="Federal"/>
    <s v="PAV"/>
    <s v="Itabuna"/>
  </r>
  <r>
    <x v="0"/>
    <s v="415BBA0045"/>
    <n v="0"/>
    <x v="379"/>
    <s v="0045"/>
    <n v="-39.417188200275099"/>
    <n v="-14.857467769621801"/>
    <n v="-39.424178840081296"/>
    <n v="-14.863537679919901"/>
    <s v="415"/>
    <s v="BA"/>
    <s v="Eixo Principal"/>
    <s v="-"/>
    <s v="415BBA0045"/>
    <s v="ENTR BA-120(B) (P/BARRO PRETO)"/>
    <s v="ENTR BA-971 (P/ITAPÉ)"/>
    <n v="62.8"/>
    <n v="63.7"/>
    <n v="0.9"/>
    <x v="1"/>
    <m/>
    <m/>
    <s v="Estadual"/>
    <m/>
    <s v="BAT-415"/>
    <s v="PAV"/>
    <s v="Estadual"/>
    <s v="PLA"/>
    <s v="Itabuna"/>
  </r>
  <r>
    <x v="0"/>
    <s v="415BBA0050"/>
    <n v="0"/>
    <x v="379"/>
    <s v="0050"/>
    <n v="-39.424178840081296"/>
    <n v="-14.863537679919901"/>
    <n v="-39.585505899877298"/>
    <n v="-14.857999189810601"/>
    <s v="415"/>
    <s v="BA"/>
    <s v="Eixo Principal"/>
    <s v="-"/>
    <s v="415BBA0050"/>
    <s v="ENTR BA-971 (P/ITAPÉ)"/>
    <s v="IBICARAÍ"/>
    <n v="63.7"/>
    <n v="83.4"/>
    <n v="19.7"/>
    <x v="1"/>
    <m/>
    <m/>
    <s v="Estadual"/>
    <m/>
    <s v="BAT-415"/>
    <s v="PAV"/>
    <s v="Estadual"/>
    <s v="PLA"/>
    <s v="Itabuna"/>
  </r>
  <r>
    <x v="0"/>
    <s v="415BBA0052"/>
    <n v="0"/>
    <x v="379"/>
    <s v="0052"/>
    <n v="-39.585505899877298"/>
    <n v="-14.857999189810601"/>
    <n v="-39.660668739970298"/>
    <n v="-14.8549879097641"/>
    <s v="415"/>
    <s v="BA"/>
    <s v="Eixo Principal"/>
    <s v="-"/>
    <s v="415BBA0052"/>
    <s v="IBICARAÍ"/>
    <s v="ENTR BA-262(A)/263 (FLORESTA AZUL)"/>
    <n v="83.4"/>
    <n v="91.9"/>
    <n v="8.5"/>
    <x v="1"/>
    <m/>
    <m/>
    <s v="Estadual"/>
    <m/>
    <s v="BAT-415"/>
    <s v="PAV"/>
    <s v="Estadual"/>
    <s v="PLA"/>
    <s v="Itabuna"/>
  </r>
  <r>
    <x v="0"/>
    <s v="415BBA0070"/>
    <n v="0"/>
    <x v="379"/>
    <s v="0070"/>
    <n v="-39.660668739970298"/>
    <n v="-14.8549879097641"/>
    <n v="-39.993108540126897"/>
    <n v="-14.831888369752299"/>
    <s v="415"/>
    <s v="BA"/>
    <s v="Eixo Principal"/>
    <s v="-"/>
    <s v="415BBA0070"/>
    <s v="ENTR BA-262(A)/263 (FLORESTA AZUL)"/>
    <s v="ENTR BA-130/262(B) (IBICUÍ)"/>
    <n v="91.9"/>
    <n v="113.1"/>
    <n v="21.2"/>
    <x v="1"/>
    <m/>
    <m/>
    <s v="Federal"/>
    <m/>
    <m/>
    <m/>
    <s v="Federal"/>
    <s v="PLA"/>
    <s v="Itabuna"/>
  </r>
  <r>
    <x v="0"/>
    <s v="415BBA0090"/>
    <n v="0"/>
    <x v="379"/>
    <s v="0090"/>
    <n v="-39.993108540126897"/>
    <n v="-14.831888369752299"/>
    <n v="-40.148552319633701"/>
    <n v="-14.840698919919101"/>
    <s v="415"/>
    <s v="BA"/>
    <s v="Eixo Principal"/>
    <s v="-"/>
    <s v="415BBA0090"/>
    <s v="ENTR BA-130/262(B) (IBICUÍ)"/>
    <s v="ENTR BA-645"/>
    <n v="113.1"/>
    <n v="128.1"/>
    <n v="15"/>
    <x v="1"/>
    <m/>
    <m/>
    <s v="Federal"/>
    <m/>
    <m/>
    <m/>
    <s v="Federal"/>
    <s v="PLA"/>
    <s v="Vitória da Conquista"/>
  </r>
  <r>
    <x v="0"/>
    <s v="415BBA0092"/>
    <n v="0"/>
    <x v="379"/>
    <s v="0092"/>
    <n v="-40.148552319633701"/>
    <n v="-14.840698919919101"/>
    <n v="-40.579020050235101"/>
    <n v="-14.865897740188499"/>
    <s v="415"/>
    <s v="BA"/>
    <s v="Eixo Principal"/>
    <s v="-"/>
    <s v="415BBA0092"/>
    <s v="ENTR BA-645"/>
    <s v="ENTR BA-265(A)/641 (BARRA DO CHOÇA)"/>
    <n v="128.1"/>
    <n v="183.4"/>
    <n v="55.3"/>
    <x v="1"/>
    <m/>
    <m/>
    <s v="Federal"/>
    <m/>
    <m/>
    <m/>
    <s v="Federal"/>
    <s v="PLA"/>
    <s v="Vitória da Conquista"/>
  </r>
  <r>
    <x v="0"/>
    <s v="415BBA0110"/>
    <n v="0"/>
    <x v="379"/>
    <s v="0110"/>
    <n v="-40.579020050235101"/>
    <n v="-14.865897740188499"/>
    <n v="-40.851603360006997"/>
    <n v="-14.873058559604701"/>
    <s v="415"/>
    <s v="BA"/>
    <s v="Eixo Principal"/>
    <s v="-"/>
    <s v="415BBA0110"/>
    <s v="ENTR BA-265(A)/641 (BARRA DO CHOÇA)"/>
    <s v="ENTR BR-116/BA-265(A) (VITÓRIA DA CONQUISTA)"/>
    <n v="183.4"/>
    <n v="212.8"/>
    <n v="29.4"/>
    <x v="1"/>
    <m/>
    <m/>
    <s v="Estadual"/>
    <m/>
    <s v="BAT-415"/>
    <s v="PAV"/>
    <s v="Estadual"/>
    <s v="PLA"/>
    <s v="Vitória da Conquista"/>
  </r>
  <r>
    <x v="0"/>
    <s v="416BAL0010"/>
    <n v="0"/>
    <x v="380"/>
    <s v="0010"/>
    <n v="-35.6683521796093"/>
    <n v="-8.9499139798462508"/>
    <n v="-35.655192589865997"/>
    <n v="-8.9376455301170896"/>
    <s v="416"/>
    <s v="AL"/>
    <s v="Eixo Principal"/>
    <s v="Coinc"/>
    <s v="416BAL0010"/>
    <s v="ENTR BR-101(A) (NOVO LINO)"/>
    <s v="TRAVESSIA URBANA (NOVO LINO)"/>
    <n v="0"/>
    <n v="2.2000000000000002"/>
    <n v="2.2000000000000002"/>
    <x v="0"/>
    <m/>
    <s v="101BAL0617"/>
    <s v="Federal"/>
    <m/>
    <m/>
    <m/>
    <s v="Federal"/>
    <s v="PAV"/>
    <s v="Maceió"/>
  </r>
  <r>
    <x v="0"/>
    <s v="416BAL0015"/>
    <n v="0"/>
    <x v="380"/>
    <s v="0015"/>
    <n v="-35.635726739897102"/>
    <n v="-8.9202813103341292"/>
    <n v="-35.655192589865997"/>
    <n v="-8.9376455301170896"/>
    <s v="416"/>
    <s v="AL"/>
    <s v="Eixo Principal"/>
    <s v="Coinc"/>
    <s v="416BAL0015"/>
    <s v="TRAVESSIA URBANA (NOVO LINO) "/>
    <s v="ENTR AL-480 (P/JUNDIÁ)"/>
    <n v="2.2000000000000002"/>
    <n v="5"/>
    <n v="2.8"/>
    <x v="0"/>
    <m/>
    <s v="101BAL0615"/>
    <s v="Federal"/>
    <m/>
    <m/>
    <m/>
    <s v="Federal"/>
    <s v="PAV"/>
    <s v="Maceió"/>
  </r>
  <r>
    <x v="0"/>
    <s v="416BAL0020"/>
    <n v="0"/>
    <x v="380"/>
    <s v="0020"/>
    <n v="-35.635726739897102"/>
    <n v="-8.9202813103341292"/>
    <n v="-35.636590300401998"/>
    <n v="-8.90172663997242"/>
    <s v="416"/>
    <s v="AL"/>
    <s v="Eixo Principal"/>
    <s v="Coinc"/>
    <s v="416BAL0020"/>
    <s v="ENTR AL-480 (P/JUNDIÁ)"/>
    <s v="ENTR BR-101(B)/AL-110(A)"/>
    <n v="5"/>
    <n v="7.7"/>
    <n v="2.7"/>
    <x v="0"/>
    <m/>
    <s v="101BAL0610"/>
    <s v="Federal"/>
    <m/>
    <m/>
    <m/>
    <s v="Federal"/>
    <s v="PAV"/>
    <s v="Maceió"/>
  </r>
  <r>
    <x v="0"/>
    <s v="416BAL0030"/>
    <n v="0"/>
    <x v="380"/>
    <s v="0030"/>
    <n v="-35.636590300401998"/>
    <n v="-8.90172663997242"/>
    <n v="-35.715955479961302"/>
    <n v="-8.9132644202167608"/>
    <s v="416"/>
    <s v="AL"/>
    <s v="Eixo Principal"/>
    <s v="-"/>
    <s v="416BAL0030"/>
    <s v="ENTR BR-101(B)/AL-110(A)"/>
    <s v="ENTR R. SEVERINO FERREIRA DE LIMA (COLÔNIA LEOPOLDINA)"/>
    <n v="7.7"/>
    <n v="16.7"/>
    <n v="9"/>
    <x v="2"/>
    <m/>
    <m/>
    <s v="Federal"/>
    <m/>
    <m/>
    <m/>
    <s v="Federal"/>
    <s v="PAV"/>
    <s v="Maceió"/>
  </r>
  <r>
    <x v="0"/>
    <s v="416BAL0035"/>
    <n v="0"/>
    <x v="380"/>
    <s v="0035"/>
    <n v="-35.715955479961302"/>
    <n v="-8.9132644202167608"/>
    <n v="-35.786012650263501"/>
    <n v="-8.9328704897812301"/>
    <s v="416"/>
    <s v="AL"/>
    <s v="Eixo Principal"/>
    <s v="-"/>
    <s v="416BAL0035"/>
    <s v="ENTR R. SEVERINO FERREIRA DE LIMA (COLÔNIA LEOPOLDINA)"/>
    <s v="FIM DA PAVIMENTAÇÃO"/>
    <n v="16.7"/>
    <n v="25.3"/>
    <n v="8.6"/>
    <x v="2"/>
    <m/>
    <m/>
    <s v="Federal"/>
    <m/>
    <m/>
    <m/>
    <s v="Federal"/>
    <s v="PAV"/>
    <s v="Maceió"/>
  </r>
  <r>
    <x v="0"/>
    <s v="416BAL0040"/>
    <n v="0"/>
    <x v="380"/>
    <s v="0040"/>
    <n v="-35.786012650263501"/>
    <n v="-8.9328704897812301"/>
    <n v="-35.800837639645202"/>
    <n v="-8.9526577799325597"/>
    <s v="416"/>
    <s v="AL"/>
    <s v="Eixo Principal"/>
    <s v="-"/>
    <s v="416BAL0040"/>
    <s v="FIM DA PAVIMENTAÇÃO"/>
    <s v="INÍCIO DA PAVIMENTAÇÃO"/>
    <n v="25.3"/>
    <n v="29.7"/>
    <n v="4.4000000000000004"/>
    <x v="5"/>
    <s v="EOP"/>
    <m/>
    <s v="Federal"/>
    <m/>
    <m/>
    <m/>
    <s v="Federal"/>
    <s v="N_PAV"/>
    <s v="Maceió"/>
  </r>
  <r>
    <x v="0"/>
    <s v="416BAL0045"/>
    <n v="0"/>
    <x v="380"/>
    <s v="0045"/>
    <n v="-35.800837639645202"/>
    <n v="-8.9526577799325597"/>
    <n v="-35.920927559559097"/>
    <n v="-8.96488955980527"/>
    <s v="416"/>
    <s v="AL"/>
    <s v="Eixo Principal"/>
    <s v="-"/>
    <s v="416BAL0045"/>
    <s v="INÍCIO DA PAVIMENTAÇÃO"/>
    <s v="IBATEGUARA"/>
    <n v="29.7"/>
    <n v="45.7"/>
    <n v="16"/>
    <x v="2"/>
    <m/>
    <m/>
    <s v="Federal"/>
    <m/>
    <m/>
    <m/>
    <s v="Federal"/>
    <s v="PAV"/>
    <s v="Maceió"/>
  </r>
  <r>
    <x v="0"/>
    <s v="416BAL0050"/>
    <n v="0"/>
    <x v="380"/>
    <s v="0050"/>
    <n v="-35.920927559559097"/>
    <n v="-8.96488955980527"/>
    <n v="-36.017855229734998"/>
    <n v="-8.9702010601307602"/>
    <s v="416"/>
    <s v="AL"/>
    <s v="Eixo Principal"/>
    <s v="-"/>
    <s v="416BAL0050"/>
    <s v="IBATEGUARA"/>
    <s v="ENTR BR-104(A)/AL-110(B)"/>
    <n v="45.7"/>
    <n v="57.1"/>
    <n v="11.4"/>
    <x v="2"/>
    <m/>
    <m/>
    <s v="Federal"/>
    <m/>
    <m/>
    <m/>
    <s v="Federal"/>
    <s v="PAV"/>
    <s v="Maceió"/>
  </r>
  <r>
    <x v="0"/>
    <s v="416BAL0060"/>
    <n v="0"/>
    <x v="380"/>
    <s v="0060"/>
    <n v="-36.017855229734998"/>
    <n v="-8.9702010601307602"/>
    <n v="-36.038732980242699"/>
    <n v="-9.0283847701409705"/>
    <s v="416"/>
    <s v="AL"/>
    <s v="Eixo Principal"/>
    <s v="Coinc"/>
    <s v="416BAL0060"/>
    <s v="ENTR BR-104(A)/AL-110(B)"/>
    <s v="ENTR BR-104(B) (SÃO JOSÉ DA LAGE)"/>
    <n v="57.1"/>
    <n v="64.7"/>
    <n v="7.6"/>
    <x v="2"/>
    <m/>
    <s v="104BAL0580"/>
    <s v="Federal"/>
    <m/>
    <m/>
    <m/>
    <s v="Federal"/>
    <s v="PAV"/>
    <s v="Maceió"/>
  </r>
  <r>
    <x v="0"/>
    <s v="417BPA0010"/>
    <n v="0"/>
    <x v="381"/>
    <s v="0010"/>
    <n v="-50.391535169812101"/>
    <n v="-0.16830577988775999"/>
    <n v="-50.204080775707197"/>
    <n v="-0.52404310040873303"/>
    <s v="417"/>
    <s v="PA"/>
    <s v="Eixo Principal"/>
    <s v="-"/>
    <s v="417BPA0010"/>
    <s v="AFUÁ"/>
    <s v="ENTR PA-159(A)"/>
    <n v="0"/>
    <n v="45"/>
    <n v="45"/>
    <x v="1"/>
    <m/>
    <m/>
    <s v="Federal"/>
    <m/>
    <m/>
    <m/>
    <s v="Federal"/>
    <s v="PLA"/>
    <s v="Capanema"/>
  </r>
  <r>
    <x v="0"/>
    <s v="417BPA0030"/>
    <n v="0"/>
    <x v="381"/>
    <s v="0030"/>
    <n v="-50.204080775707197"/>
    <n v="-0.52404310040873303"/>
    <n v="-49.9613339622924"/>
    <n v="-0.98194574180251903"/>
    <s v="417"/>
    <s v="PA"/>
    <s v="Eixo Principal"/>
    <s v="-"/>
    <s v="417BPA0030"/>
    <s v="ENTR PA-159(A)"/>
    <s v="ENTR PA-159(B) (ANAJÁS)"/>
    <n v="45"/>
    <n v="103"/>
    <n v="58"/>
    <x v="1"/>
    <m/>
    <m/>
    <s v="Federal"/>
    <m/>
    <m/>
    <m/>
    <s v="Federal"/>
    <s v="PLA"/>
    <s v="Capanema"/>
  </r>
  <r>
    <x v="0"/>
    <s v="417BPA0050"/>
    <n v="0"/>
    <x v="381"/>
    <s v="0050"/>
    <n v="-49.9613339622924"/>
    <n v="-0.98194574180251903"/>
    <n v="-49.583384747008402"/>
    <n v="-1.1417456718252199"/>
    <s v="417"/>
    <s v="PA"/>
    <s v="Eixo Principal"/>
    <s v="-"/>
    <s v="417BPA0050"/>
    <s v="ENTR PA-159(B) (ANAJÁS)"/>
    <s v="ENTR PA-157"/>
    <n v="103"/>
    <n v="150"/>
    <n v="47"/>
    <x v="1"/>
    <m/>
    <m/>
    <s v="Federal"/>
    <m/>
    <m/>
    <m/>
    <s v="Federal"/>
    <s v="PLA"/>
    <s v="Capanema"/>
  </r>
  <r>
    <x v="0"/>
    <s v="417BPA0070"/>
    <n v="0"/>
    <x v="381"/>
    <s v="0070"/>
    <n v="-49.583384747008402"/>
    <n v="-1.1417456718252199"/>
    <n v="-49.203633596113498"/>
    <n v="-1.2739454397301899"/>
    <s v="417"/>
    <s v="PA"/>
    <s v="Eixo Principal"/>
    <s v="-"/>
    <s v="417BPA0070"/>
    <s v="ENTR PA-157"/>
    <s v="ENTR PA-154 (P/BRILHANTINA)"/>
    <n v="150"/>
    <n v="195"/>
    <n v="45"/>
    <x v="1"/>
    <m/>
    <m/>
    <s v="Federal"/>
    <m/>
    <m/>
    <m/>
    <s v="Federal"/>
    <s v="PLA"/>
    <s v="Capanema"/>
  </r>
  <r>
    <x v="0"/>
    <s v="417BPA0090"/>
    <n v="0"/>
    <x v="381"/>
    <s v="0090"/>
    <n v="-49.203633596113498"/>
    <n v="-1.2739454397301899"/>
    <n v="-48.866273489929497"/>
    <n v="-1.39202147001475"/>
    <s v="417"/>
    <s v="PA"/>
    <s v="Eixo Principal"/>
    <s v="-"/>
    <s v="417BPA0090"/>
    <s v="ENTR PA-154 (P/BRILHANTINA)"/>
    <s v="ENTR PA-396 (PONTA DE PEDRA)"/>
    <n v="195"/>
    <n v="235"/>
    <n v="40"/>
    <x v="1"/>
    <m/>
    <m/>
    <s v="Federal"/>
    <m/>
    <m/>
    <m/>
    <s v="Federal"/>
    <s v="PLA"/>
    <s v="Capanema"/>
  </r>
  <r>
    <x v="0"/>
    <s v="418BBA0010"/>
    <n v="0"/>
    <x v="382"/>
    <s v="0010"/>
    <n v="-39.242696240239198"/>
    <n v="-17.742596069952601"/>
    <n v="-39.2254910502717"/>
    <n v="-17.6693039600096"/>
    <s v="418"/>
    <s v="BA"/>
    <s v="Eixo Principal"/>
    <s v="-"/>
    <s v="418BBA0010"/>
    <s v="ENTR BA-001(A) (CARAVELAS)"/>
    <s v="ENTR BA-001(B) (P/ PRADO)"/>
    <n v="0"/>
    <n v="8.4"/>
    <n v="8.4"/>
    <x v="2"/>
    <m/>
    <m/>
    <s v="Federal"/>
    <m/>
    <m/>
    <m/>
    <s v="Federal"/>
    <s v="PAV"/>
    <s v="Eunápolis"/>
  </r>
  <r>
    <x v="0"/>
    <s v="418BBA0012"/>
    <n v="0"/>
    <x v="382"/>
    <s v="0012"/>
    <n v="-39.2254910502717"/>
    <n v="-17.6693039600096"/>
    <n v="-39.3216465301632"/>
    <n v="-17.626536649746502"/>
    <s v="418"/>
    <s v="BA"/>
    <s v="Eixo Principal"/>
    <s v="-"/>
    <s v="418BBA0012"/>
    <s v="ENTR BA-001(B) (P/ PRADO)"/>
    <s v="ENTR BA-696 (APARAJÚ)"/>
    <n v="8.4"/>
    <n v="22.4"/>
    <n v="14"/>
    <x v="2"/>
    <m/>
    <m/>
    <s v="Federal"/>
    <m/>
    <m/>
    <m/>
    <s v="Federal"/>
    <s v="PAV"/>
    <s v="Eunápolis"/>
  </r>
  <r>
    <x v="0"/>
    <s v="418BBA0014"/>
    <n v="0"/>
    <x v="382"/>
    <s v="0014"/>
    <n v="-39.3216465301632"/>
    <n v="-17.626536649746502"/>
    <n v="-39.658383780287103"/>
    <n v="-17.8191441897525"/>
    <s v="418"/>
    <s v="BA"/>
    <s v="Eixo Principal"/>
    <s v="-"/>
    <s v="418BBA0014"/>
    <s v="ENTR BA-696 (APARAJÚ)"/>
    <s v="HELVÉCIA"/>
    <n v="22.4"/>
    <n v="67.400000000000006"/>
    <n v="45"/>
    <x v="2"/>
    <m/>
    <m/>
    <s v="Federal"/>
    <m/>
    <m/>
    <m/>
    <s v="Federal"/>
    <s v="PAV"/>
    <s v="Eunápolis"/>
  </r>
  <r>
    <x v="0"/>
    <s v="418BBA0016"/>
    <n v="0"/>
    <x v="382"/>
    <s v="0016"/>
    <n v="-39.658383780287103"/>
    <n v="-17.8191441897525"/>
    <n v="-39.734539909888802"/>
    <n v="-17.8576232096433"/>
    <s v="418"/>
    <s v="BA"/>
    <s v="Eixo Principal"/>
    <s v="-"/>
    <s v="418BBA0016"/>
    <s v="HELVÉCIA"/>
    <s v="ENTR BA-697 (P/ BOM JARDIM)"/>
    <n v="67.400000000000006"/>
    <n v="76.900000000000006"/>
    <n v="9.5"/>
    <x v="2"/>
    <m/>
    <m/>
    <s v="Federal"/>
    <m/>
    <m/>
    <m/>
    <s v="Federal"/>
    <s v="PAV"/>
    <s v="Eunápolis"/>
  </r>
  <r>
    <x v="0"/>
    <s v="418BBA0030"/>
    <n v="0"/>
    <x v="382"/>
    <s v="0030"/>
    <n v="-39.734539909888802"/>
    <n v="-17.8576232096433"/>
    <n v="-39.8179637999893"/>
    <n v="-17.891500809614602"/>
    <s v="418"/>
    <s v="BA"/>
    <s v="Eixo Principal"/>
    <s v="-"/>
    <s v="418BBA0030"/>
    <s v="ENTR BA-697 (P/ BOM JARDIM)"/>
    <s v="ENTR BR-101"/>
    <n v="76.900000000000006"/>
    <n v="87.2"/>
    <n v="10.3"/>
    <x v="2"/>
    <m/>
    <m/>
    <s v="Federal"/>
    <m/>
    <m/>
    <m/>
    <s v="Federal"/>
    <s v="PAV"/>
    <s v="Eunápolis"/>
  </r>
  <r>
    <x v="0"/>
    <s v="418BBA0050"/>
    <n v="0"/>
    <x v="382"/>
    <s v="0050"/>
    <n v="-39.8179637999893"/>
    <n v="-17.891500809614602"/>
    <n v="-39.862482660446403"/>
    <n v="-17.881844789705202"/>
    <s v="418"/>
    <s v="BA"/>
    <s v="Eixo Principal"/>
    <s v="-"/>
    <s v="418BBA0050"/>
    <s v="ENTR BR-101"/>
    <s v="POSTO DA MATA"/>
    <n v="87.2"/>
    <n v="93.3"/>
    <n v="6.1"/>
    <x v="2"/>
    <m/>
    <m/>
    <m/>
    <s v="MP082/2004"/>
    <m/>
    <m/>
    <m/>
    <s v="PAV"/>
    <s v="Eunápolis"/>
  </r>
  <r>
    <x v="0"/>
    <s v="418BBA0052"/>
    <n v="0"/>
    <x v="382"/>
    <s v="0052"/>
    <n v="-39.862482660446403"/>
    <n v="-17.881844789705202"/>
    <n v="-40.025632819598897"/>
    <n v="-17.896903279962299"/>
    <s v="418"/>
    <s v="BA"/>
    <s v="Eixo Principal"/>
    <s v="-"/>
    <s v="418BBA0052"/>
    <s v="POSTO DA MATA"/>
    <s v="ENTR BA-693 (ARGOLO)"/>
    <n v="93.3"/>
    <n v="106.8"/>
    <n v="13.5"/>
    <x v="2"/>
    <m/>
    <m/>
    <m/>
    <s v="MP082/2004"/>
    <m/>
    <m/>
    <m/>
    <s v="PAV"/>
    <s v="Eunápolis"/>
  </r>
  <r>
    <x v="0"/>
    <s v="418BBA0054"/>
    <n v="0"/>
    <x v="382"/>
    <s v="0054"/>
    <n v="-40.025632819598897"/>
    <n v="-17.896903279962299"/>
    <n v="-40.170727079591003"/>
    <n v="-17.856023560338901"/>
    <s v="418"/>
    <s v="BA"/>
    <s v="Eixo Principal"/>
    <s v="-"/>
    <s v="418BBA0054"/>
    <s v="ENTR BA-693 (ARGOLO)"/>
    <s v="DIV BA/MG"/>
    <n v="106.8"/>
    <n v="123.9"/>
    <n v="17.100000000000001"/>
    <x v="2"/>
    <m/>
    <m/>
    <m/>
    <s v="MP082/2004"/>
    <m/>
    <m/>
    <m/>
    <s v="PAV"/>
    <s v="Eunápolis"/>
  </r>
  <r>
    <x v="0"/>
    <s v="418BMG0070"/>
    <n v="0"/>
    <x v="383"/>
    <s v="0070"/>
    <n v="-40.170727079591003"/>
    <n v="-17.856023560338901"/>
    <n v="-40.266510240155398"/>
    <n v="-17.823626050201899"/>
    <s v="418"/>
    <s v="MG"/>
    <s v="Eixo Principal"/>
    <s v="-"/>
    <s v="418BMG0070"/>
    <s v="DIV BA/MG"/>
    <s v="ACESSO SERRA DOS AIMORÉS"/>
    <n v="0"/>
    <n v="11.8"/>
    <n v="11.8"/>
    <x v="1"/>
    <m/>
    <m/>
    <s v="Estadual"/>
    <m/>
    <s v="MGT-418"/>
    <s v="PAV"/>
    <s v="Estadual"/>
    <s v="PLA"/>
    <s v="Teófilo Otoni"/>
  </r>
  <r>
    <x v="0"/>
    <s v="418BMG0083"/>
    <n v="0"/>
    <x v="383"/>
    <s v="0083"/>
    <n v="-40.266510240155398"/>
    <n v="-17.823626050201899"/>
    <n v="-40.315326189951598"/>
    <n v="-17.819580920323101"/>
    <s v="418"/>
    <s v="MG"/>
    <s v="Eixo Principal"/>
    <s v="-"/>
    <s v="418BMG0083"/>
    <s v="ACESSO SERRA DOS AIMORÉS"/>
    <s v="ENTR BR-439 (ACESSO NANUQUE)"/>
    <n v="11.8"/>
    <n v="17.2"/>
    <n v="5.4"/>
    <x v="1"/>
    <m/>
    <m/>
    <s v="Estadual"/>
    <m/>
    <s v="MGT-418"/>
    <s v="PAV"/>
    <s v="Estadual"/>
    <s v="PLA"/>
    <s v="Teófilo Otoni"/>
  </r>
  <r>
    <x v="0"/>
    <s v="418BMG0090"/>
    <n v="0"/>
    <x v="383"/>
    <s v="0090"/>
    <n v="-40.315326189951598"/>
    <n v="-17.819580920323101"/>
    <n v="-40.761103509619197"/>
    <n v="-17.720656269571101"/>
    <s v="418"/>
    <s v="MG"/>
    <s v="Eixo Principal"/>
    <s v="-"/>
    <s v="418BMG0090"/>
    <s v="ENTR BR-439 (ACESSO NANUQUE)"/>
    <s v="ACESSO CARLOS CHAGAS"/>
    <n v="17.2"/>
    <n v="73.599999999999994"/>
    <n v="56.4"/>
    <x v="1"/>
    <m/>
    <m/>
    <s v="Estadual"/>
    <m/>
    <s v="MGT-418"/>
    <s v="PAV"/>
    <s v="Estadual"/>
    <s v="PLA"/>
    <s v="Teófilo Otoni"/>
  </r>
  <r>
    <x v="0"/>
    <s v="418BMG0110"/>
    <n v="0"/>
    <x v="383"/>
    <s v="0110"/>
    <n v="-40.761103509619197"/>
    <n v="-17.720656269571101"/>
    <n v="-41.134857480188501"/>
    <n v="-17.905922110416999"/>
    <s v="418"/>
    <s v="MG"/>
    <s v="Eixo Principal"/>
    <s v="-"/>
    <s v="418BMG0110"/>
    <s v="ACESSO CARLOS CHAGAS"/>
    <s v="ENTR MG-412"/>
    <n v="73.599999999999994"/>
    <n v="126.7"/>
    <n v="53.1"/>
    <x v="1"/>
    <m/>
    <m/>
    <s v="Estadual"/>
    <m/>
    <s v="MGT-418"/>
    <s v="PAV"/>
    <s v="Estadual"/>
    <s v="PLA"/>
    <s v="Teófilo Otoni"/>
  </r>
  <r>
    <x v="0"/>
    <s v="418BMG0130"/>
    <n v="0"/>
    <x v="383"/>
    <s v="0130"/>
    <n v="-41.134857480188501"/>
    <n v="-17.905922110416999"/>
    <n v="-41.204799968044"/>
    <n v="-17.9084832815781"/>
    <s v="418"/>
    <s v="MG"/>
    <s v="Eixo Principal"/>
    <s v="-"/>
    <s v="418BMG0130"/>
    <s v="ENTR MG-412"/>
    <s v="SÃO JOÃO"/>
    <n v="126.7"/>
    <n v="136"/>
    <n v="9.3000000000000007"/>
    <x v="1"/>
    <m/>
    <m/>
    <s v="Estadual"/>
    <m/>
    <s v="MGT-418"/>
    <s v="PAV"/>
    <s v="Estadual"/>
    <s v="PLA"/>
    <s v="Teófilo Otoni"/>
  </r>
  <r>
    <x v="0"/>
    <s v="418BMG0140"/>
    <n v="0"/>
    <x v="383"/>
    <s v="0140"/>
    <n v="-41.204799968044"/>
    <n v="-17.9084832815781"/>
    <n v="-41.305813680057199"/>
    <n v="-17.883678330190701"/>
    <s v="418"/>
    <s v="MG"/>
    <s v="Eixo Principal"/>
    <s v="-"/>
    <s v="418BMG0140"/>
    <s v="SÃO JOÃO"/>
    <s v="ACESSO PEDRO VERSIANI"/>
    <n v="136"/>
    <n v="149.69999999999999"/>
    <n v="13.7"/>
    <x v="1"/>
    <m/>
    <m/>
    <s v="Estadual"/>
    <m/>
    <s v="MGT-418"/>
    <s v="PAV"/>
    <s v="Estadual"/>
    <s v="PLA"/>
    <s v="Teófilo Otoni"/>
  </r>
  <r>
    <x v="0"/>
    <s v="418BMG0150"/>
    <n v="0"/>
    <x v="383"/>
    <s v="0150"/>
    <n v="-41.305813680057199"/>
    <n v="-17.883678330190701"/>
    <n v="-41.514104660001998"/>
    <n v="-17.851849060285801"/>
    <s v="418"/>
    <s v="MG"/>
    <s v="Eixo Principal"/>
    <s v="-"/>
    <s v="418BMG0150"/>
    <s v="ACESSO PEDRO VERSIANI"/>
    <s v="ENTR BR-116/342 (TEÓFILO OTONI)"/>
    <n v="149.69999999999999"/>
    <n v="178.3"/>
    <n v="28.6"/>
    <x v="1"/>
    <m/>
    <m/>
    <s v="Estadual"/>
    <m/>
    <s v="MGT-418"/>
    <s v="PAV"/>
    <s v="Estadual"/>
    <s v="PLA"/>
    <s v="Teófilo Otoni"/>
  </r>
  <r>
    <x v="0"/>
    <s v="419BMS0010"/>
    <n v="0"/>
    <x v="384"/>
    <s v="0010"/>
    <n v="-54.8384118496271"/>
    <n v="-18.916655980189201"/>
    <n v="-54.827524459985703"/>
    <n v="-19.0099406298561"/>
    <s v="419"/>
    <s v="MS"/>
    <s v="Eixo Principal"/>
    <s v="Coinc"/>
    <s v="419BMS0010"/>
    <s v="ENTR BR-163(A)/MS-427 (RIO VERDE DE MATO GROSSO)"/>
    <s v="ENTR BR-163(B)"/>
    <n v="0"/>
    <n v="11.3"/>
    <n v="11.3"/>
    <x v="2"/>
    <m/>
    <s v="163BMS0490"/>
    <s v="Concessão Federal"/>
    <m/>
    <m/>
    <m/>
    <s v="Federal"/>
    <s v="PAV"/>
    <s v="Coxim"/>
  </r>
  <r>
    <x v="0"/>
    <s v="419BMS0012"/>
    <n v="0"/>
    <x v="384"/>
    <s v="0012"/>
    <n v="-54.827524459985703"/>
    <n v="-19.0099406298561"/>
    <n v="-54.910598000297398"/>
    <n v="-19.062179720417699"/>
    <s v="419"/>
    <s v="MS"/>
    <s v="Eixo Principal"/>
    <s v="-"/>
    <s v="419BMS0012"/>
    <s v="ENTR BR-163(B)"/>
    <s v="RIO NEGRINHO"/>
    <n v="11.3"/>
    <n v="26.3"/>
    <n v="15"/>
    <x v="3"/>
    <m/>
    <m/>
    <s v="Federal"/>
    <m/>
    <m/>
    <m/>
    <s v="Federal"/>
    <s v="N_PAV"/>
    <s v="Coxim"/>
  </r>
  <r>
    <x v="0"/>
    <s v="419BMS0014"/>
    <n v="0"/>
    <x v="384"/>
    <s v="0014"/>
    <n v="-54.910598000297398"/>
    <n v="-19.062179720417699"/>
    <n v="-54.964655639645997"/>
    <n v="-19.2937139700236"/>
    <s v="419"/>
    <s v="MS"/>
    <s v="Eixo Principal"/>
    <s v="-"/>
    <s v="419BMS0014"/>
    <s v="RIO NEGRINHO"/>
    <s v="PERDIGÃO"/>
    <n v="26.3"/>
    <n v="54.3"/>
    <n v="28"/>
    <x v="3"/>
    <m/>
    <m/>
    <s v="Federal"/>
    <m/>
    <m/>
    <m/>
    <s v="Federal"/>
    <s v="N_PAV"/>
    <s v="Coxim"/>
  </r>
  <r>
    <x v="0"/>
    <s v="419BMS0030"/>
    <n v="0"/>
    <x v="384"/>
    <s v="0030"/>
    <n v="-54.964655639645997"/>
    <n v="-19.2937139700236"/>
    <n v="-54.993912209980401"/>
    <n v="-19.353262510056702"/>
    <s v="419"/>
    <s v="MS"/>
    <s v="Eixo Principal"/>
    <s v="-"/>
    <s v="419BMS0030"/>
    <s v="PERDIGÃO"/>
    <s v="ENTR MS-080(P/RIO NEGRO)"/>
    <n v="54.3"/>
    <n v="64.3"/>
    <n v="10"/>
    <x v="3"/>
    <m/>
    <m/>
    <s v="Federal"/>
    <m/>
    <m/>
    <m/>
    <s v="Federal"/>
    <s v="N_PAV"/>
    <s v="Coxim"/>
  </r>
  <r>
    <x v="0"/>
    <s v="419BMS0050"/>
    <n v="0"/>
    <x v="384"/>
    <s v="0050"/>
    <n v="-54.993912209980401"/>
    <n v="-19.353262510056702"/>
    <n v="-55.168676669992202"/>
    <n v="-19.312871400194901"/>
    <s v="419"/>
    <s v="MS"/>
    <s v="Eixo Principal"/>
    <s v="-"/>
    <s v="419BMS0050"/>
    <s v="ENTR MS-080(P/RIO NEGRO)"/>
    <s v="ENTR MS-228"/>
    <n v="64.3"/>
    <n v="87.3"/>
    <n v="23"/>
    <x v="3"/>
    <m/>
    <m/>
    <s v="Federal"/>
    <m/>
    <m/>
    <m/>
    <s v="Federal"/>
    <s v="N_PAV"/>
    <s v="Coxim"/>
  </r>
  <r>
    <x v="0"/>
    <s v="419BMS0060"/>
    <n v="0"/>
    <x v="384"/>
    <s v="0060"/>
    <n v="-55.168676669992202"/>
    <n v="-19.312871400194901"/>
    <n v="-55.4094412903831"/>
    <n v="-19.710058529577399"/>
    <s v="419"/>
    <s v="MS"/>
    <s v="Eixo Principal"/>
    <s v="-"/>
    <s v="419BMS0060"/>
    <s v="ENTR MS-228"/>
    <s v="FAZENDA SANTANA"/>
    <n v="87.3"/>
    <n v="137.30000000000001"/>
    <n v="50"/>
    <x v="3"/>
    <m/>
    <m/>
    <s v="Federal"/>
    <m/>
    <m/>
    <m/>
    <s v="Federal"/>
    <s v="N_PAV"/>
    <s v="Coxim"/>
  </r>
  <r>
    <x v="0"/>
    <s v="419BMS0070"/>
    <n v="0"/>
    <x v="384"/>
    <s v="0070"/>
    <n v="-55.4094412903831"/>
    <n v="-19.710058529577399"/>
    <n v="-55.646050659810001"/>
    <n v="-20.0716132802286"/>
    <s v="419"/>
    <s v="MS"/>
    <s v="Eixo Principal"/>
    <s v="-"/>
    <s v="419BMS0070"/>
    <s v="FAZENDA SANTANA"/>
    <s v="PONTE S/ RIO TABOCO"/>
    <n v="137.30000000000001"/>
    <n v="189.3"/>
    <n v="52"/>
    <x v="3"/>
    <m/>
    <m/>
    <s v="Federal"/>
    <m/>
    <m/>
    <m/>
    <s v="Federal"/>
    <s v="N_PAV"/>
    <s v="Coxim"/>
  </r>
  <r>
    <x v="0"/>
    <s v="419BMS0080"/>
    <n v="0"/>
    <x v="384"/>
    <s v="0080"/>
    <n v="-55.646050659810001"/>
    <n v="-20.0716132802286"/>
    <n v="-55.784694820209701"/>
    <n v="-20.4563032496951"/>
    <s v="419"/>
    <s v="MS"/>
    <s v="Eixo Principal"/>
    <s v="-"/>
    <s v="419BMS0080"/>
    <s v="PONTE S/ RIO TABOCO"/>
    <s v="ENTR R. HONÓRIO SIMÕES (AQUIDAUANA)"/>
    <n v="189.3"/>
    <n v="236.8"/>
    <n v="47.5"/>
    <x v="3"/>
    <m/>
    <m/>
    <s v="Federal"/>
    <m/>
    <m/>
    <m/>
    <s v="Federal"/>
    <s v="N_PAV"/>
    <s v="Coxim"/>
  </r>
  <r>
    <x v="0"/>
    <s v="419BMS0082"/>
    <n v="0"/>
    <x v="384"/>
    <s v="0082"/>
    <n v="-55.784694820209701"/>
    <n v="-20.4563032496951"/>
    <n v="-55.795797090263399"/>
    <n v="-20.4828730702359"/>
    <s v="419"/>
    <s v="MS"/>
    <s v="Eixo Principal"/>
    <s v="-"/>
    <s v="419BMS0082"/>
    <s v="ENTR R. HONÓRIO SIMÕES (AQUIDAUANA)"/>
    <s v="PONTE S/ RIO AQUIDAUANA"/>
    <n v="236.8"/>
    <n v="241.3"/>
    <n v="4.5"/>
    <x v="1"/>
    <m/>
    <m/>
    <s v="Federal"/>
    <m/>
    <m/>
    <m/>
    <s v="Federal"/>
    <s v="PLA"/>
    <s v="Coxim"/>
  </r>
  <r>
    <x v="0"/>
    <s v="419BMS0085"/>
    <n v="0"/>
    <x v="384"/>
    <s v="0085"/>
    <n v="-55.795797090263399"/>
    <n v="-20.4828730702359"/>
    <n v="-55.812706789986301"/>
    <n v="-20.498990630013498"/>
    <s v="419"/>
    <s v="MS"/>
    <s v="Eixo Principal"/>
    <s v="-"/>
    <s v="419BMS0085"/>
    <s v="PONTE S/ RIO AQUIDAUANA"/>
    <s v="ENTR BR-262"/>
    <n v="241.3"/>
    <n v="244"/>
    <n v="2.7"/>
    <x v="1"/>
    <m/>
    <m/>
    <s v="Federal"/>
    <m/>
    <m/>
    <m/>
    <s v="Federal"/>
    <s v="PLA"/>
    <s v="Coxim"/>
  </r>
  <r>
    <x v="0"/>
    <s v="419BMS0090"/>
    <n v="0"/>
    <x v="384"/>
    <s v="0090"/>
    <n v="-55.812706789986301"/>
    <n v="-20.498990630013498"/>
    <n v="-55.898109030307403"/>
    <n v="-20.652112199918001"/>
    <s v="419"/>
    <s v="MS"/>
    <s v="Eixo Principal"/>
    <s v="-"/>
    <s v="419BMS0090"/>
    <s v="ENTR BR-262"/>
    <s v="ENTR MS-345 (P/ÁGUAS DO MIRANDA)"/>
    <n v="244"/>
    <n v="263.5"/>
    <n v="19.5"/>
    <x v="2"/>
    <m/>
    <m/>
    <s v="Federal"/>
    <m/>
    <m/>
    <m/>
    <s v="Federal"/>
    <s v="PAV"/>
    <s v="Coxim"/>
  </r>
  <r>
    <x v="0"/>
    <s v="419BMS0092"/>
    <n v="0"/>
    <x v="384"/>
    <s v="0092"/>
    <n v="-55.898109030307403"/>
    <n v="-20.652112199918001"/>
    <n v="-55.767057970049201"/>
    <n v="-20.9900241696796"/>
    <s v="419"/>
    <s v="MS"/>
    <s v="Eixo Principal"/>
    <s v="-"/>
    <s v="419BMS0092"/>
    <s v="ENTR MS-345 (P/ÁGUAS DO MIRANDA)"/>
    <s v="ENTR MS-347 (P/DOIS IRMÃOS DO BURITI)"/>
    <n v="263.5"/>
    <n v="310"/>
    <n v="46.5"/>
    <x v="2"/>
    <m/>
    <m/>
    <s v="Federal"/>
    <m/>
    <m/>
    <m/>
    <s v="Federal"/>
    <s v="PAV"/>
    <s v="Anastácio"/>
  </r>
  <r>
    <x v="0"/>
    <s v="419BMS0110"/>
    <n v="0"/>
    <x v="384"/>
    <s v="0110"/>
    <n v="-55.767057970049201"/>
    <n v="-20.9900241696796"/>
    <n v="-55.822929880109797"/>
    <n v="-21.1413384296247"/>
    <s v="419"/>
    <s v="MS"/>
    <s v="Eixo Principal"/>
    <s v="-"/>
    <s v="419BMS0110"/>
    <s v="ENTR MS-347 (P/DOIS IRMÃOS DO BURITI)"/>
    <s v="ENTR BR-060(A) (ACESSO NORTE NIOAQUE)"/>
    <n v="310"/>
    <n v="328.6"/>
    <n v="18.600000000000001"/>
    <x v="2"/>
    <m/>
    <m/>
    <s v="Federal"/>
    <m/>
    <m/>
    <m/>
    <s v="Federal"/>
    <s v="PAV"/>
    <s v="Anastácio"/>
  </r>
  <r>
    <x v="0"/>
    <s v="419BMS0120"/>
    <n v="0"/>
    <x v="384"/>
    <s v="0120"/>
    <n v="-55.822929880109797"/>
    <n v="-21.1413384296247"/>
    <n v="-55.848427930004902"/>
    <n v="-21.155491739652"/>
    <s v="419"/>
    <s v="MS"/>
    <s v="Eixo Principal"/>
    <s v="Coinc"/>
    <s v="419BMS0120"/>
    <s v="ENTR BR-060(A) (ACESSO NORTE NIOAQUE)"/>
    <s v="ACESSO SUL NIOAQUE"/>
    <n v="328.6"/>
    <n v="332"/>
    <n v="3.4"/>
    <x v="2"/>
    <m/>
    <s v="060BMS0600"/>
    <m/>
    <s v="MP082/2003"/>
    <m/>
    <m/>
    <m/>
    <s v="PAV"/>
    <s v="Jardim"/>
  </r>
  <r>
    <x v="0"/>
    <s v="419BMS0150"/>
    <n v="0"/>
    <x v="384"/>
    <s v="0150"/>
    <n v="-55.848427930004902"/>
    <n v="-21.155491739652"/>
    <n v="-56.056998629682901"/>
    <n v="-21.419359990171301"/>
    <s v="419"/>
    <s v="MS"/>
    <s v="Eixo Principal"/>
    <s v="Coinc"/>
    <s v="419BMS0150"/>
    <s v="ACESSO SUL NIOAQUE"/>
    <s v="ENTR BR-267(A)"/>
    <n v="332"/>
    <n v="369.9"/>
    <n v="37.9"/>
    <x v="2"/>
    <m/>
    <s v="060BMS0610"/>
    <m/>
    <s v="MP082/2003"/>
    <m/>
    <m/>
    <m/>
    <s v="PAV"/>
    <s v="Jardim"/>
  </r>
  <r>
    <x v="0"/>
    <s v="419BMS0152"/>
    <n v="0"/>
    <x v="384"/>
    <s v="0152"/>
    <n v="-56.056998629682901"/>
    <n v="-21.419359990171301"/>
    <n v="-56.0913491399508"/>
    <n v="-21.440520379611701"/>
    <s v="419"/>
    <s v="MS"/>
    <s v="Eixo Principal"/>
    <s v="Coinc"/>
    <s v="419BMS0152"/>
    <s v="ENTR BR-267(A)"/>
    <s v="INÍCIO DA DUPLICAÇÃO"/>
    <n v="369.9"/>
    <n v="373.9"/>
    <n v="4"/>
    <x v="2"/>
    <m/>
    <s v="267BMS1052;060BMS0612"/>
    <s v="Federal"/>
    <m/>
    <m/>
    <m/>
    <s v="Federal"/>
    <s v="PAV"/>
    <s v="Jardim"/>
  </r>
  <r>
    <x v="0"/>
    <s v="419BMS0160"/>
    <n v="0"/>
    <x v="384"/>
    <s v="0160"/>
    <n v="-56.0913491399508"/>
    <n v="-21.440520379611701"/>
    <n v="-56.120499850187898"/>
    <n v="-21.458202599670098"/>
    <s v="419"/>
    <s v="MS"/>
    <s v="Eixo Principal"/>
    <s v="Coinc"/>
    <s v="419BMS0160"/>
    <s v="INÍCIO DA DUPLICAÇÃO"/>
    <s v="ENTR MS-382 (GUIA LOPES DA LAGUNA)(FIM DA DUPLICAÇÃO)"/>
    <n v="373.9"/>
    <n v="377.5"/>
    <n v="3.6"/>
    <x v="0"/>
    <m/>
    <s v="267BMS1060;060BMS0620"/>
    <s v="Federal"/>
    <m/>
    <m/>
    <m/>
    <s v="Federal"/>
    <s v="PAV"/>
    <s v="Jardim"/>
  </r>
  <r>
    <x v="0"/>
    <s v="419BMS0170"/>
    <n v="0"/>
    <x v="384"/>
    <s v="0170"/>
    <n v="-56.120499850187898"/>
    <n v="-21.458202599670098"/>
    <n v="-56.143425349799898"/>
    <n v="-21.482694909842099"/>
    <s v="419"/>
    <s v="MS"/>
    <s v="Eixo Principal"/>
    <s v="Coinc"/>
    <s v="419BMS0170"/>
    <s v="ENTR MS-382 (GUIA LOPES DA LAGUNA)(FIM DA DUPLICAÇÃO)"/>
    <s v="ENTR BR-060(B)/267(B) (JARDIM)"/>
    <n v="377.5"/>
    <n v="381.4"/>
    <n v="3.9"/>
    <x v="2"/>
    <m/>
    <s v="060BMS0630;267BMS1070"/>
    <s v="Federal"/>
    <m/>
    <m/>
    <m/>
    <s v="Federal"/>
    <s v="PAV"/>
    <s v="Jardim"/>
  </r>
  <r>
    <x v="0"/>
    <s v="420BBA0010"/>
    <n v="0"/>
    <x v="385"/>
    <s v="0010"/>
    <n v="-38.316540759848102"/>
    <n v="-12.4197699299382"/>
    <n v="-38.368800739862102"/>
    <n v="-12.4044099401665"/>
    <s v="420"/>
    <s v="BA"/>
    <s v="Eixo Principal"/>
    <s v="-"/>
    <s v="420BBA0010"/>
    <s v="ENTR BA-093 (P/POJUCA)"/>
    <s v="ENTR BA-507 (P/SANTIAGO)"/>
    <n v="0"/>
    <n v="6.2"/>
    <n v="6.2"/>
    <x v="1"/>
    <m/>
    <m/>
    <s v="Estadual"/>
    <m/>
    <s v="BAT-420"/>
    <s v="PAV"/>
    <s v="Estadual"/>
    <s v="PLA"/>
    <s v="Cruz das Almas"/>
  </r>
  <r>
    <x v="0"/>
    <s v="420BBA0015"/>
    <n v="0"/>
    <x v="385"/>
    <s v="0015"/>
    <n v="-38.368800739862102"/>
    <n v="-12.4044099401665"/>
    <n v="-38.373069489765101"/>
    <n v="-12.3980481396098"/>
    <s v="420"/>
    <s v="BA"/>
    <s v="Eixo Principal"/>
    <s v="-"/>
    <s v="420BBA0015"/>
    <s v="ENTR BA-507 (P/SANTIAGO)"/>
    <s v="ENTR BR-110(A) (P/CATÚ)"/>
    <n v="6.2"/>
    <n v="7.1"/>
    <n v="0.9"/>
    <x v="1"/>
    <m/>
    <m/>
    <s v="Estadual"/>
    <m/>
    <s v="BAT-420"/>
    <s v="PAV"/>
    <s v="Estadual"/>
    <s v="PLA"/>
    <s v="Cruz das Almas"/>
  </r>
  <r>
    <x v="0"/>
    <s v="420BBA0030"/>
    <n v="0"/>
    <x v="385"/>
    <s v="0030"/>
    <n v="-38.373069489765101"/>
    <n v="-12.3980481396098"/>
    <n v="-38.474194470398402"/>
    <n v="-12.4145987103621"/>
    <s v="420"/>
    <s v="BA"/>
    <s v="Eixo Principal"/>
    <s v="Coinc"/>
    <s v="420BBA0030"/>
    <s v="ENTR BR-110(A) (P/CATÚ)"/>
    <s v="P/CASSARONGONGO"/>
    <n v="7.1"/>
    <n v="19"/>
    <n v="11.9"/>
    <x v="2"/>
    <m/>
    <s v="110BBA0790"/>
    <m/>
    <s v="MP082/2005"/>
    <m/>
    <m/>
    <m/>
    <s v="PAV"/>
    <s v="Cruz das Almas"/>
  </r>
  <r>
    <x v="0"/>
    <s v="420BBA0035"/>
    <n v="0"/>
    <x v="385"/>
    <s v="0035"/>
    <n v="-38.474194470398402"/>
    <n v="-12.4145987103621"/>
    <n v="-38.496262520398901"/>
    <n v="-12.509926090017"/>
    <s v="420"/>
    <s v="BA"/>
    <s v="Eixo Principal"/>
    <s v="Coinc"/>
    <s v="420BBA0035"/>
    <s v="P/CASSARONGONGO"/>
    <s v="ENTR BA-512 (SÃO SEBASTIÃO DO PASSÉ)"/>
    <n v="19"/>
    <n v="29.9"/>
    <n v="10.9"/>
    <x v="2"/>
    <m/>
    <s v="110BBA0792"/>
    <m/>
    <s v="MP082/2005"/>
    <m/>
    <m/>
    <m/>
    <s v="PAV"/>
    <s v="Cruz das Almas"/>
  </r>
  <r>
    <x v="0"/>
    <s v="420BBA0040"/>
    <n v="0"/>
    <x v="385"/>
    <s v="0040"/>
    <n v="-38.496262520398901"/>
    <n v="-12.509926090017"/>
    <n v="-38.540049160040603"/>
    <n v="-12.576757039605599"/>
    <s v="420"/>
    <s v="BA"/>
    <s v="Eixo Principal"/>
    <s v="Coinc"/>
    <s v="420BBA0040"/>
    <s v="ENTR BA-512 (SÃO SEBASTIÃO DO PASSÉ)"/>
    <s v="ENTR BR-110(B)/324(A)"/>
    <n v="29.9"/>
    <n v="39.6"/>
    <n v="9.6999999999999993"/>
    <x v="2"/>
    <m/>
    <s v="110BBA0810"/>
    <m/>
    <s v="MP082/2005"/>
    <m/>
    <m/>
    <m/>
    <s v="PAV"/>
    <s v="Cruz das Almas"/>
  </r>
  <r>
    <x v="0"/>
    <s v="420BBA0045"/>
    <n v="0"/>
    <x v="385"/>
    <s v="0045"/>
    <n v="-38.540049160040603"/>
    <n v="-12.576757039605599"/>
    <n v="-38.461384209713401"/>
    <n v="-12.7087893897185"/>
    <s v="420"/>
    <s v="BA"/>
    <s v="Eixo Principal"/>
    <s v="Coinc"/>
    <s v="420BBA0045"/>
    <s v="ENTR BR-110(B)/324(A)"/>
    <s v="ENTR BA-522"/>
    <n v="39.6"/>
    <n v="58.1"/>
    <n v="18.5"/>
    <x v="0"/>
    <m/>
    <s v="324BBA0450"/>
    <s v="Concessão Federal"/>
    <m/>
    <m/>
    <m/>
    <s v="Federal"/>
    <s v="PAV"/>
    <s v="Feira de Santana"/>
  </r>
  <r>
    <x v="0"/>
    <s v="420BBA0050"/>
    <n v="0"/>
    <x v="385"/>
    <s v="0050"/>
    <n v="-38.461384209713401"/>
    <n v="-12.7087893897185"/>
    <n v="-38.413355940124497"/>
    <n v="-12.7834038601"/>
    <s v="420"/>
    <s v="BA"/>
    <s v="Eixo Principal"/>
    <s v="Coinc"/>
    <s v="420BBA0050"/>
    <s v="ENTR BA-522"/>
    <s v="ENTR BA-093"/>
    <n v="58.1"/>
    <n v="68.400000000000006"/>
    <n v="10.3"/>
    <x v="0"/>
    <m/>
    <s v="324BBA0470"/>
    <s v="Concessão Federal"/>
    <m/>
    <m/>
    <m/>
    <s v="Federal"/>
    <s v="PAV"/>
    <s v="Feira de Santana"/>
  </r>
  <r>
    <x v="0"/>
    <s v="420BBA0055"/>
    <n v="0"/>
    <x v="385"/>
    <s v="0055"/>
    <n v="-38.413355940124497"/>
    <n v="-12.7834038601"/>
    <n v="-38.406883809839798"/>
    <n v="-12.7882415004448"/>
    <s v="420"/>
    <s v="BA"/>
    <s v="Eixo Principal"/>
    <s v="Coinc"/>
    <s v="420BBA0055"/>
    <s v="ENTR BA-093"/>
    <s v="ENTR BA-876 (P/SIMÕES FILHO)"/>
    <n v="68.400000000000006"/>
    <n v="69.3"/>
    <n v="0.9"/>
    <x v="0"/>
    <m/>
    <s v="324BBA0472"/>
    <s v="Concessão Federal"/>
    <m/>
    <m/>
    <m/>
    <s v="Federal"/>
    <s v="PAV"/>
    <s v="Feira de Santana"/>
  </r>
  <r>
    <x v="0"/>
    <s v="420BBA0060"/>
    <n v="0"/>
    <x v="385"/>
    <s v="0060"/>
    <n v="-38.406883809839798"/>
    <n v="-12.7882415004448"/>
    <n v="-38.407982900090701"/>
    <n v="-12.8206597003847"/>
    <s v="420"/>
    <s v="BA"/>
    <s v="Eixo Principal"/>
    <s v="Coinc"/>
    <s v="420BBA0060"/>
    <s v="ENTR BA-876 (P/SIMÕES FILHO)"/>
    <s v="ENTR BA-526 (C.I.ARATU)"/>
    <n v="69.3"/>
    <n v="72.900000000000006"/>
    <n v="3.6"/>
    <x v="0"/>
    <m/>
    <s v="324BBA0490"/>
    <s v="Concessão Federal"/>
    <m/>
    <m/>
    <m/>
    <s v="Federal"/>
    <s v="PAV"/>
    <s v="Feira de Santana"/>
  </r>
  <r>
    <x v="0"/>
    <s v="420BBA0065"/>
    <n v="0"/>
    <x v="385"/>
    <s v="0065"/>
    <n v="-38.407982900090701"/>
    <n v="-12.8206597003847"/>
    <n v="-38.424641150268798"/>
    <n v="-12.866579319679801"/>
    <s v="420"/>
    <s v="BA"/>
    <s v="Eixo Principal"/>
    <s v="Coinc"/>
    <s v="420BBA0065"/>
    <s v="ENTR BA-526 (C.I.ARATU)"/>
    <s v="ACESSO A VALÉRIA"/>
    <n v="72.900000000000006"/>
    <n v="78.2"/>
    <n v="5.3"/>
    <x v="0"/>
    <m/>
    <s v="324BBA0492"/>
    <s v="Concessão Federal"/>
    <m/>
    <m/>
    <m/>
    <s v="Federal"/>
    <s v="PAV"/>
    <s v="Feira de Santana"/>
  </r>
  <r>
    <x v="0"/>
    <s v="420BBA0075"/>
    <n v="0"/>
    <x v="385"/>
    <s v="0075"/>
    <n v="-38.424641150268798"/>
    <n v="-12.866579319679801"/>
    <n v="-38.444067779904003"/>
    <n v="-12.889884379960099"/>
    <s v="420"/>
    <s v="BA"/>
    <s v="Eixo Principal"/>
    <s v="Coinc"/>
    <s v="420BBA0075"/>
    <s v="ACESSO A VALÉRIA"/>
    <s v="ENTR BA-528 (P/BASE NAVAL DE ARATU)"/>
    <n v="78.2"/>
    <n v="81.7"/>
    <n v="3.5"/>
    <x v="0"/>
    <m/>
    <s v="324BBA0496"/>
    <s v="Concessão Federal"/>
    <m/>
    <m/>
    <m/>
    <s v="Federal"/>
    <s v="PAV"/>
    <s v="Feira de Santana"/>
  </r>
  <r>
    <x v="0"/>
    <s v="420BBA0080"/>
    <n v="0"/>
    <x v="385"/>
    <s v="0080"/>
    <n v="-38.444067779904003"/>
    <n v="-12.889884379960099"/>
    <n v="-38.476688789555901"/>
    <n v="-12.9678175195628"/>
    <s v="420"/>
    <s v="BA"/>
    <s v="Eixo Principal"/>
    <s v="Coinc"/>
    <s v="420BBA0080"/>
    <s v="ENTR BA-528 (P/BASE NAVAL DE ARATU)"/>
    <s v="SALVADOR"/>
    <n v="81.7"/>
    <n v="92.2"/>
    <n v="10.5"/>
    <x v="0"/>
    <m/>
    <s v="324BBA0498"/>
    <s v="Concessão Federal"/>
    <m/>
    <m/>
    <m/>
    <s v="Federal"/>
    <s v="PAV"/>
    <s v="Feira de Santana"/>
  </r>
  <r>
    <x v="0"/>
    <s v="420BBA0095"/>
    <n v="0"/>
    <x v="385"/>
    <s v="0095"/>
    <n v="-38.476688789555901"/>
    <n v="-12.9678175195628"/>
    <n v="-38.5055880799259"/>
    <n v="-12.9580806200245"/>
    <s v="420"/>
    <s v="BA"/>
    <s v="Eixo Principal"/>
    <s v="-"/>
    <s v="420BBA0095"/>
    <s v="SALVADOR"/>
    <s v="ENTR BR-324(B) (PORTO DE SALVADOR - VIA EXPRESSA)"/>
    <n v="92.2"/>
    <n v="96.5"/>
    <n v="4.3"/>
    <x v="0"/>
    <m/>
    <s v="324ABA2005"/>
    <s v="Federal"/>
    <m/>
    <m/>
    <m/>
    <s v="Federal"/>
    <s v="PAV"/>
    <s v="Feira de Santana"/>
  </r>
  <r>
    <x v="0"/>
    <s v="420BBA0105"/>
    <n v="0"/>
    <x v="385"/>
    <s v="0105"/>
    <n v="-38.5055880799259"/>
    <n v="-12.9580806200245"/>
    <n v="-38.630226849889098"/>
    <n v="-12.91107264029"/>
    <s v="420"/>
    <s v="BA"/>
    <s v="Eixo Principal"/>
    <s v="-"/>
    <s v="420BBA0105"/>
    <s v="ENTR BR-324(B) (PORTO DE SALVADOR - VIA EXPRESSA)"/>
    <s v="FIM DA TRAVESSIA  BAIA DE TODOS OS SANTOS (ITAPARICA)"/>
    <n v="96.5"/>
    <n v="110.8"/>
    <n v="14.3"/>
    <x v="4"/>
    <m/>
    <m/>
    <s v="Federal"/>
    <m/>
    <m/>
    <m/>
    <s v="Federal"/>
    <s v="N_PAV"/>
    <s v="Feira de Santana"/>
  </r>
  <r>
    <x v="0"/>
    <s v="420BBA0115"/>
    <n v="0"/>
    <x v="385"/>
    <s v="0115"/>
    <n v="-38.630226849889098"/>
    <n v="-12.91107264029"/>
    <n v="-38.622236850150401"/>
    <n v="-12.930871949880499"/>
    <s v="420"/>
    <s v="BA"/>
    <s v="Eixo Principal"/>
    <s v="-"/>
    <s v="420BBA0115"/>
    <s v="FIM DA TRAVESSIA  BAIA DE TODOS OS SANTOS (ITAPARICA)"/>
    <s v="ENTR BA-001(A) (ITAPARICA)"/>
    <n v="110.8"/>
    <n v="112.2"/>
    <n v="1.4"/>
    <x v="1"/>
    <m/>
    <m/>
    <s v="Federal"/>
    <m/>
    <m/>
    <m/>
    <s v="Federal"/>
    <s v="PLA"/>
    <s v="Cruz das Almas"/>
  </r>
  <r>
    <x v="0"/>
    <s v="420BBA0120"/>
    <n v="0"/>
    <x v="385"/>
    <s v="0120"/>
    <n v="-38.622236850150401"/>
    <n v="-12.930871949880499"/>
    <n v="-38.789004970203102"/>
    <n v="-13.0483479497979"/>
    <s v="420"/>
    <s v="BA"/>
    <s v="Eixo Principal"/>
    <s v="-"/>
    <s v="420BBA0120"/>
    <s v="ENTR BA-001(A) (ITAPARICA)"/>
    <s v="INÍCIO DA PONTE DO FUNIL - FIM DA TRAVESSIA DA ILHA DE ITAPARICA"/>
    <n v="112.2"/>
    <n v="133.9"/>
    <n v="21.7"/>
    <x v="1"/>
    <m/>
    <m/>
    <s v="Estadual"/>
    <m/>
    <s v="BA-001"/>
    <s v="PAV"/>
    <s v="Estadual"/>
    <s v="PLA"/>
    <s v="Cruz das Almas"/>
  </r>
  <r>
    <x v="0"/>
    <s v="420BBA0135"/>
    <n v="0"/>
    <x v="385"/>
    <s v="0135"/>
    <n v="-38.789004970203102"/>
    <n v="-13.0483479497979"/>
    <n v="-38.794508539637299"/>
    <n v="-13.043617360252901"/>
    <s v="420"/>
    <s v="BA"/>
    <s v="Eixo Principal"/>
    <s v="-"/>
    <s v="420BBA0135"/>
    <s v="INÍCIO DA PONTE DO FUNIL - FIM DA TRAVESSIA DA ILHA DE ITAPARICA"/>
    <s v="FIM DA PONTE DO FUNIL"/>
    <n v="133.9"/>
    <n v="135"/>
    <n v="1.1000000000000001"/>
    <x v="1"/>
    <m/>
    <m/>
    <s v="Estadual"/>
    <m/>
    <s v="BA-001"/>
    <s v="PAV"/>
    <s v="Estadual"/>
    <s v="PLA"/>
    <s v="Cruz das Almas"/>
  </r>
  <r>
    <x v="0"/>
    <s v="420BBA0140"/>
    <n v="0"/>
    <x v="385"/>
    <s v="0140"/>
    <n v="-38.794508539637299"/>
    <n v="-13.043617360252901"/>
    <n v="-38.831533419631498"/>
    <n v="-13.0285357700097"/>
    <s v="420"/>
    <s v="BA"/>
    <s v="Eixo Principal"/>
    <s v="-"/>
    <s v="420BBA0140"/>
    <s v="FIM DA PONTE DO FUNIL"/>
    <s v="ENTR BR-242(A)/BA-534(B) (P/SALINAS DA MARGARIDA)"/>
    <n v="135"/>
    <n v="139.4"/>
    <n v="4.4000000000000004"/>
    <x v="1"/>
    <m/>
    <m/>
    <s v="Estadual"/>
    <m/>
    <s v="BA-001"/>
    <s v="PAV"/>
    <s v="Estadual"/>
    <s v="PLA"/>
    <s v="Cruz das Almas"/>
  </r>
  <r>
    <x v="0"/>
    <s v="420BBA0145"/>
    <n v="0"/>
    <x v="385"/>
    <s v="0145"/>
    <n v="-38.831533419631498"/>
    <n v="-13.0285357700097"/>
    <n v="-38.945350480140497"/>
    <n v="-12.9731599502714"/>
    <s v="420"/>
    <s v="BA"/>
    <s v="Eixo Principal"/>
    <s v="Coinc"/>
    <s v="420BBA0145"/>
    <s v="ENTR BR-242(A)/BA-534(A) (P/SALINAS DA MARGARIDA)"/>
    <s v="ENTR BA-534(B) (P/ SÃO ROQUE DO PARAGUAÇU)"/>
    <n v="139.4"/>
    <n v="153.30000000000001"/>
    <n v="13.9"/>
    <x v="1"/>
    <m/>
    <s v="242BBA0015"/>
    <s v="Estadual"/>
    <m/>
    <s v="BAT-001"/>
    <s v="IMP"/>
    <s v="Estadual"/>
    <s v="PLA"/>
    <s v="Cruz das Almas"/>
  </r>
  <r>
    <x v="0"/>
    <s v="420BBA0155"/>
    <n v="0"/>
    <x v="385"/>
    <s v="0155"/>
    <n v="-38.945350480140497"/>
    <n v="-12.9731599502714"/>
    <n v="-39.018513770294199"/>
    <n v="-13.0328944197416"/>
    <s v="420"/>
    <s v="BA"/>
    <s v="Eixo Principal"/>
    <s v="Coinc"/>
    <s v="420BBA0155"/>
    <s v="ENTR BA-534(B) (P/ SÃO ROQUE DO PARAGUAÇU)"/>
    <s v="ENTR BA-001(B)/046(A) (NAZARÉ)"/>
    <n v="153.30000000000001"/>
    <n v="165.3"/>
    <n v="12"/>
    <x v="1"/>
    <m/>
    <s v="242BBA0025"/>
    <s v="Estadual"/>
    <m/>
    <s v="BA-001"/>
    <s v="PAV"/>
    <s v="Estadual"/>
    <s v="PLA"/>
    <s v="Cruz das Almas"/>
  </r>
  <r>
    <x v="0"/>
    <s v="420BBA0165"/>
    <n v="0"/>
    <x v="385"/>
    <s v="0165"/>
    <n v="-39.018513770294199"/>
    <n v="-13.0328944197416"/>
    <n v="-39.227282470109799"/>
    <n v="-12.973112520026699"/>
    <s v="420"/>
    <s v="BA"/>
    <s v="Eixo Principal"/>
    <s v="Coinc"/>
    <s v="420BBA0165"/>
    <s v="ENTR BA-001(B)/046(A) (NAZARÉ)"/>
    <s v="INÍCIO DA TRAVESSIA URBANA DE SANTO ANTÔNIO DE JESUS"/>
    <n v="165.3"/>
    <n v="192.2"/>
    <n v="26.9"/>
    <x v="1"/>
    <m/>
    <s v="242BBA0035"/>
    <s v="Estadual"/>
    <m/>
    <s v="BA-001"/>
    <s v="PAV"/>
    <s v="Estadual"/>
    <s v="PLA"/>
    <s v="Cruz das Almas"/>
  </r>
  <r>
    <x v="0"/>
    <s v="420BBA0175"/>
    <n v="0"/>
    <x v="385"/>
    <s v="0175"/>
    <n v="-39.227282470109799"/>
    <n v="-12.973112520026699"/>
    <n v="-39.254125830242799"/>
    <n v="-12.950921240422799"/>
    <s v="420"/>
    <s v="BA"/>
    <s v="Eixo Principal"/>
    <s v="Coinc"/>
    <s v="420BBA0175"/>
    <s v="INÍCIO DA TRAVESSIA URBANA DE SANTO ANTÔNIO DE JESUS"/>
    <s v="ENTR BR-101(A) (FIM DA TRAV URB SANTO ANTÔNIO DE JESUS)"/>
    <n v="192.2"/>
    <n v="196.1"/>
    <n v="3.9"/>
    <x v="1"/>
    <m/>
    <s v="242BBA0055"/>
    <s v="Estadual"/>
    <m/>
    <s v="BA-046"/>
    <s v="PAV"/>
    <s v="Estadual"/>
    <s v="PLA"/>
    <s v="Cruz das Almas"/>
  </r>
  <r>
    <x v="0"/>
    <s v="420BBA0180"/>
    <n v="0"/>
    <x v="385"/>
    <s v="0180"/>
    <n v="-39.254125830242799"/>
    <n v="-12.950921240422799"/>
    <n v="-39.291138219553098"/>
    <n v="-12.9849342198383"/>
    <s v="420"/>
    <s v="BA"/>
    <s v="Eixo Principal"/>
    <s v="Coinc"/>
    <s v="420BBA0180"/>
    <s v="ENTR BR-101(A) (FIM DA TRAV URB SANTO ANTÔNIO DE JESUS)"/>
    <s v="ENTR BA-026(B)/046(B)"/>
    <n v="196.1"/>
    <n v="202.5"/>
    <n v="6.4"/>
    <x v="2"/>
    <m/>
    <s v="101BBA1650"/>
    <s v="Federal"/>
    <m/>
    <m/>
    <m/>
    <s v="Federal"/>
    <s v="PAV"/>
    <s v="Cruz das Almas"/>
  </r>
  <r>
    <x v="0"/>
    <s v="420BBA0190"/>
    <n v="0"/>
    <x v="385"/>
    <s v="0190"/>
    <n v="-39.291138219553098"/>
    <n v="-12.9849342198383"/>
    <n v="-39.297112280107598"/>
    <n v="-13.145995309635699"/>
    <s v="420"/>
    <s v="BA"/>
    <s v="Eixo Principal"/>
    <s v="Coinc"/>
    <s v="420BBA0190"/>
    <s v="ENTR BA-026(B)/046(B)"/>
    <s v="CAPÃO"/>
    <n v="202.5"/>
    <n v="222.1"/>
    <n v="19.600000000000001"/>
    <x v="2"/>
    <m/>
    <s v="101BBA1670"/>
    <s v="Federal"/>
    <m/>
    <m/>
    <m/>
    <s v="Federal"/>
    <s v="PAV"/>
    <s v="Cruz das Almas"/>
  </r>
  <r>
    <x v="0"/>
    <s v="420BBA0200"/>
    <n v="0"/>
    <x v="385"/>
    <s v="0200"/>
    <n v="-39.297112280107598"/>
    <n v="-13.145995309635699"/>
    <n v="-39.3174338197149"/>
    <n v="-13.1738177203114"/>
    <s v="420"/>
    <s v="BA"/>
    <s v="Eixo Principal"/>
    <s v="Coinc"/>
    <s v="420BBA0200"/>
    <s v="CAPÃO"/>
    <s v="ENTR BR-101(B) (P/PRES TANCREDO NEVES)"/>
    <n v="222.1"/>
    <n v="226.4"/>
    <n v="4.3"/>
    <x v="2"/>
    <m/>
    <s v="101BBA1690"/>
    <s v="Federal"/>
    <m/>
    <m/>
    <m/>
    <s v="Federal"/>
    <s v="PAV"/>
    <s v="Cruz das Almas"/>
  </r>
  <r>
    <x v="0"/>
    <s v="420BBA0210"/>
    <n v="0"/>
    <x v="385"/>
    <s v="0210"/>
    <n v="-39.3174338197149"/>
    <n v="-13.1738177203114"/>
    <n v="-39.406159400336001"/>
    <n v="-13.165191759592"/>
    <s v="420"/>
    <s v="BA"/>
    <s v="Eixo Principal"/>
    <s v="-"/>
    <s v="420BBA0210"/>
    <s v="ENTR BR-101(B) (P/PRES TANCREDO NEVES)"/>
    <s v="ENTR BA-539 (P/ SÃO MIGUEL DAS MATAS)"/>
    <n v="226.4"/>
    <n v="241.4"/>
    <n v="15"/>
    <x v="2"/>
    <m/>
    <m/>
    <m/>
    <s v="MP082/2004"/>
    <m/>
    <m/>
    <m/>
    <s v="PAV"/>
    <s v="Cruz das Almas"/>
  </r>
  <r>
    <x v="0"/>
    <s v="420BBA0212"/>
    <n v="0"/>
    <x v="385"/>
    <s v="0212"/>
    <n v="-39.406159400336001"/>
    <n v="-13.165191759592"/>
    <n v="-39.502828410202902"/>
    <n v="-13.227109009573001"/>
    <s v="420"/>
    <s v="BA"/>
    <s v="Eixo Principal"/>
    <s v="-"/>
    <s v="420BBA0212"/>
    <s v="ENTR BA-539 (P/ SÃO MIGUEL DAS MATAS)"/>
    <s v="ENTR BA-540/PONTE S/RIO MUTUÍPE (MUTUÍPE)"/>
    <n v="241.4"/>
    <n v="254.4"/>
    <n v="13"/>
    <x v="2"/>
    <m/>
    <m/>
    <m/>
    <s v="MP082/2004"/>
    <m/>
    <m/>
    <m/>
    <s v="PAV"/>
    <s v="Cruz das Almas"/>
  </r>
  <r>
    <x v="0"/>
    <s v="420BBA0214"/>
    <n v="0"/>
    <x v="385"/>
    <s v="0214"/>
    <n v="-39.502828410202902"/>
    <n v="-13.227109009573001"/>
    <n v="-39.571691549725102"/>
    <n v="-13.2538567699739"/>
    <s v="420"/>
    <s v="BA"/>
    <s v="Eixo Principal"/>
    <s v="-"/>
    <s v="420BBA0214"/>
    <s v="ENTR BA-540/PONTE S/RIO MUTUÍPE (MUTUÍPE)"/>
    <s v="JEQUIRIÇA"/>
    <n v="254.4"/>
    <n v="266"/>
    <n v="11.6"/>
    <x v="2"/>
    <m/>
    <m/>
    <m/>
    <s v="MP082/2004"/>
    <m/>
    <m/>
    <m/>
    <s v="PAV"/>
    <s v="Cruz das Almas"/>
  </r>
  <r>
    <x v="0"/>
    <s v="420BBA0216"/>
    <n v="0"/>
    <x v="385"/>
    <s v="0216"/>
    <n v="-39.571691549725102"/>
    <n v="-13.2538567699739"/>
    <n v="-39.6608016795537"/>
    <n v="-13.2647083000479"/>
    <s v="420"/>
    <s v="BA"/>
    <s v="Eixo Principal"/>
    <s v="-"/>
    <s v="420BBA0216"/>
    <s v="JEQUIRIÇA"/>
    <s v="UBAÍRA"/>
    <n v="266"/>
    <n v="278"/>
    <n v="12"/>
    <x v="2"/>
    <m/>
    <m/>
    <m/>
    <s v="MP082/2004"/>
    <m/>
    <m/>
    <m/>
    <s v="PAV"/>
    <s v="Cruz das Almas"/>
  </r>
  <r>
    <x v="0"/>
    <s v="420BBA0218"/>
    <n v="0"/>
    <x v="385"/>
    <s v="0218"/>
    <n v="-39.6608016795537"/>
    <n v="-13.2647083000479"/>
    <n v="-39.754603139922899"/>
    <n v="-13.2417837204422"/>
    <s v="420"/>
    <s v="BA"/>
    <s v="Eixo Principal"/>
    <s v="-"/>
    <s v="420BBA0218"/>
    <s v="UBAÍRA"/>
    <s v="ENTR BA-120(A) (P/ BREJÕES)"/>
    <n v="278"/>
    <n v="294"/>
    <n v="16"/>
    <x v="2"/>
    <m/>
    <m/>
    <m/>
    <s v="MP082/2004"/>
    <m/>
    <m/>
    <m/>
    <s v="PAV"/>
    <s v="Cruz das Almas"/>
  </r>
  <r>
    <x v="0"/>
    <s v="420BBA0220"/>
    <n v="0"/>
    <x v="385"/>
    <s v="0220"/>
    <n v="-39.754603139922899"/>
    <n v="-13.2417837204422"/>
    <n v="-39.823839689649901"/>
    <n v="-13.281178420147899"/>
    <s v="420"/>
    <s v="BA"/>
    <s v="Eixo Principal"/>
    <s v="-"/>
    <s v="420BBA0220"/>
    <s v="ENTR BA-120(A) (P/ BREJÕES)"/>
    <s v="ENTR BA-120(B)/553 (SANTA INÊS)"/>
    <n v="294"/>
    <n v="304"/>
    <n v="10"/>
    <x v="2"/>
    <m/>
    <m/>
    <m/>
    <s v="MP082/2004"/>
    <m/>
    <m/>
    <m/>
    <s v="PAV"/>
    <s v="Cruz das Almas"/>
  </r>
  <r>
    <x v="0"/>
    <s v="420BBA0230"/>
    <n v="0"/>
    <x v="385"/>
    <s v="0230"/>
    <n v="-39.823839689649901"/>
    <n v="-13.281178420147899"/>
    <n v="-39.939049350347197"/>
    <n v="-13.4585954404271"/>
    <s v="420"/>
    <s v="BA"/>
    <s v="Eixo Principal"/>
    <s v="-"/>
    <s v="420BBA0230"/>
    <s v="ENTR BA-120(B)/553 (SANTA INÊS)"/>
    <s v="ENTR BA-250 (ITAQUARA)"/>
    <n v="304"/>
    <n v="329.8"/>
    <n v="25.8"/>
    <x v="2"/>
    <m/>
    <m/>
    <m/>
    <s v="MP082/2004"/>
    <m/>
    <m/>
    <m/>
    <s v="PAV"/>
    <s v="Cruz das Almas"/>
  </r>
  <r>
    <x v="0"/>
    <s v="420BBA0232"/>
    <n v="0"/>
    <x v="385"/>
    <s v="0232"/>
    <n v="-39.939049350347197"/>
    <n v="-13.4585954404271"/>
    <n v="-39.9752624995646"/>
    <n v="-13.527076160336399"/>
    <s v="420"/>
    <s v="BA"/>
    <s v="Eixo Principal"/>
    <s v="-"/>
    <s v="420BBA0232"/>
    <s v="ENTR BA-250 (ITAQUARA)"/>
    <s v="ENTR BA-545 (JAGUAQUARA)"/>
    <n v="329.8"/>
    <n v="339.2"/>
    <n v="9.4"/>
    <x v="2"/>
    <m/>
    <m/>
    <m/>
    <s v="MP082/2004"/>
    <m/>
    <m/>
    <m/>
    <s v="PAV"/>
    <s v="Cruz das Almas"/>
  </r>
  <r>
    <x v="0"/>
    <s v="420BBA0250"/>
    <n v="0"/>
    <x v="385"/>
    <s v="0250"/>
    <n v="-39.9752624995646"/>
    <n v="-13.527076160336399"/>
    <n v="-40.0550089503027"/>
    <n v="-13.509854590117101"/>
    <s v="420"/>
    <s v="BA"/>
    <s v="Eixo Principal"/>
    <s v="-"/>
    <s v="420BBA0250"/>
    <s v="ENTR BA-545 (JAGUAQUARA)"/>
    <s v="ENTR BR-116/BA-250(B)"/>
    <n v="339.2"/>
    <n v="349.5"/>
    <n v="10.3"/>
    <x v="2"/>
    <m/>
    <m/>
    <m/>
    <s v="MP082/2004"/>
    <m/>
    <m/>
    <m/>
    <s v="PAV"/>
    <s v="Cruz das Almas"/>
  </r>
  <r>
    <x v="0"/>
    <s v="421ARO1005"/>
    <n v="0"/>
    <x v="386"/>
    <s v="1005"/>
    <n v="-63.427849130433003"/>
    <n v="-10.360588099660999"/>
    <n v="-63.529612309560299"/>
    <n v="-10.510773460426799"/>
    <s v="421"/>
    <s v="RO"/>
    <s v="Acesso"/>
    <s v="-"/>
    <s v="421ARO1005"/>
    <s v="ENTR BR-421(P/BURITIS)"/>
    <s v="FIM DA PAVIMENTAÇÃO"/>
    <n v="0"/>
    <n v="23.5"/>
    <n v="23.5"/>
    <x v="1"/>
    <m/>
    <m/>
    <m/>
    <s v="MP082/2006"/>
    <s v="ROT-421"/>
    <s v="PAV"/>
    <m/>
    <s v="PLA"/>
    <s v="Ji-Paraná"/>
  </r>
  <r>
    <x v="0"/>
    <s v="421ARO1010"/>
    <n v="0"/>
    <x v="386"/>
    <s v="1010"/>
    <n v="-63.529612309560299"/>
    <n v="-10.510773460426799"/>
    <n v="-63.610491559837499"/>
    <n v="-10.5740766601097"/>
    <s v="421"/>
    <s v="RO"/>
    <s v="Acesso"/>
    <s v="-"/>
    <s v="421ARO1010"/>
    <s v="FIM DA PAVIMENTAÇÃO"/>
    <s v="INICIO TRAVESSIA CAMPO NOVO DE RONDÔNIA"/>
    <n v="23.5"/>
    <n v="36.299999999999997"/>
    <n v="12.8"/>
    <x v="1"/>
    <m/>
    <m/>
    <m/>
    <s v="MP082/2006"/>
    <s v="ROT-421"/>
    <s v="EOP"/>
    <m/>
    <s v="PLA"/>
    <s v="Ji-Paraná"/>
  </r>
  <r>
    <x v="0"/>
    <s v="421ARO1015"/>
    <n v="0"/>
    <x v="386"/>
    <s v="1015"/>
    <n v="-63.610491559837499"/>
    <n v="-10.5740766601097"/>
    <n v="-63.615998050269702"/>
    <n v="-10.574757070082599"/>
    <s v="421"/>
    <s v="RO"/>
    <s v="Acesso"/>
    <s v="-"/>
    <s v="421ARO1015"/>
    <s v="INICIO TRAVESSIA CAMPO NOVO DE RONDÔNIA"/>
    <s v="FIM TRAVESSIA CAMPO NOVO DE RONDÔNIA"/>
    <n v="36.299999999999997"/>
    <n v="36.9"/>
    <n v="0.6"/>
    <x v="1"/>
    <m/>
    <m/>
    <m/>
    <s v="MP082/2006"/>
    <s v="ROT-421"/>
    <s v="DUP"/>
    <m/>
    <s v="PLA"/>
    <s v="Ji-Paraná"/>
  </r>
  <r>
    <x v="0"/>
    <s v="421ARO1020"/>
    <n v="0"/>
    <x v="386"/>
    <s v="1020"/>
    <n v="-63.615998050269702"/>
    <n v="-10.574757070082599"/>
    <n v="-63.668829259862399"/>
    <n v="-10.569753000300601"/>
    <s v="421"/>
    <s v="RO"/>
    <s v="Acesso"/>
    <s v="-"/>
    <s v="421ARO1020"/>
    <s v="FIM TRAVESSIA CAMPO NOVO DE RONDÔNIA"/>
    <s v="FIM DA IMPLANTAÇÃO (IGARAPÉ SEM NOME)"/>
    <n v="36.9"/>
    <n v="45.8"/>
    <n v="8.9"/>
    <x v="1"/>
    <m/>
    <m/>
    <m/>
    <s v="MP082/2006"/>
    <s v="ROT-421"/>
    <s v="IMP"/>
    <m/>
    <s v="PLA"/>
    <s v="Ji-Paraná"/>
  </r>
  <r>
    <x v="0"/>
    <s v="421BRO0010"/>
    <n v="0"/>
    <x v="387"/>
    <s v="0010"/>
    <n v="-63.055319969940598"/>
    <n v="-9.9159614598534596"/>
    <n v="-63.0712673698931"/>
    <n v="-9.9254482903062904"/>
    <s v="421"/>
    <s v="RO"/>
    <s v="Eixo Principal"/>
    <s v="-"/>
    <s v="421BRO0010"/>
    <s v="ENTR BR-364 (ARIQUEMES)(AV CAP SÍLVIO)"/>
    <s v="PONTE S/ RIO JAMARI"/>
    <n v="0"/>
    <n v="2"/>
    <n v="2"/>
    <x v="2"/>
    <m/>
    <m/>
    <m/>
    <s v="MP082/2004"/>
    <m/>
    <m/>
    <m/>
    <s v="PAV"/>
    <s v="Ji-Paraná"/>
  </r>
  <r>
    <x v="0"/>
    <s v="421BRO0015"/>
    <n v="0"/>
    <x v="387"/>
    <s v="0015"/>
    <n v="-63.0712673698931"/>
    <n v="-9.9254482903062904"/>
    <n v="-63.129897929645701"/>
    <n v="-9.9756226201877194"/>
    <s v="421"/>
    <s v="RO"/>
    <s v="Eixo Principal"/>
    <s v="-"/>
    <s v="421BRO0015"/>
    <s v="PONTE S/ RIO JAMARI"/>
    <s v="ENTR RO-457 (P/ALTO PARAÍSO)"/>
    <n v="2"/>
    <n v="10.8"/>
    <n v="8.8000000000000007"/>
    <x v="2"/>
    <m/>
    <m/>
    <m/>
    <s v="MP082/2004"/>
    <m/>
    <m/>
    <m/>
    <s v="PAV"/>
    <s v="Ji-Paraná"/>
  </r>
  <r>
    <x v="0"/>
    <s v="421BRO0020"/>
    <n v="0"/>
    <x v="387"/>
    <s v="0020"/>
    <n v="-63.129897929645701"/>
    <n v="-9.9756226201877194"/>
    <n v="-63.230762839833098"/>
    <n v="-10.149365980055901"/>
    <s v="421"/>
    <s v="RO"/>
    <s v="Eixo Principal"/>
    <s v="-"/>
    <s v="421BRO0020"/>
    <s v="ENTR RO-457 (P/ALTO PARAÍSO)"/>
    <s v="PONTE S/ RIO BOM FUTURO"/>
    <n v="10.8"/>
    <n v="34.1"/>
    <n v="23.3"/>
    <x v="2"/>
    <m/>
    <m/>
    <m/>
    <s v="MP082/2004"/>
    <m/>
    <m/>
    <m/>
    <s v="PAV"/>
    <s v="Ji-Paraná"/>
  </r>
  <r>
    <x v="0"/>
    <s v="421BRO0025"/>
    <n v="0"/>
    <x v="387"/>
    <s v="0025"/>
    <n v="-63.230762839833098"/>
    <n v="-10.149365980055901"/>
    <n v="-63.247145949625803"/>
    <n v="-10.2139305796325"/>
    <s v="421"/>
    <s v="RO"/>
    <s v="Eixo Principal"/>
    <s v="-"/>
    <s v="421BRO0025"/>
    <s v="PONTE S/ RIO BOM FUTURO"/>
    <s v="PONTE S/ RIO SANTA CRUZ"/>
    <n v="34.1"/>
    <n v="42"/>
    <n v="7.9"/>
    <x v="2"/>
    <m/>
    <m/>
    <m/>
    <s v="MP082/2004"/>
    <m/>
    <m/>
    <m/>
    <s v="PAV"/>
    <s v="Ji-Paraná"/>
  </r>
  <r>
    <x v="0"/>
    <s v="421BRO0030"/>
    <n v="0"/>
    <x v="387"/>
    <s v="0030"/>
    <n v="-63.247145949625803"/>
    <n v="-10.2139305796325"/>
    <n v="-63.290054519999998"/>
    <n v="-10.2603688397501"/>
    <s v="421"/>
    <s v="RO"/>
    <s v="Eixo Principal"/>
    <s v="-"/>
    <s v="421BRO0030"/>
    <s v="PONTE S/ RIO SANTA CRUZ"/>
    <s v="INICIO DA TRAV URBANA DE MONTE NEGRO"/>
    <n v="42"/>
    <n v="48.9"/>
    <n v="6.9"/>
    <x v="2"/>
    <m/>
    <m/>
    <m/>
    <s v="MP082/2004"/>
    <m/>
    <m/>
    <m/>
    <s v="PAV"/>
    <s v="Ji-Paraná"/>
  </r>
  <r>
    <x v="0"/>
    <s v="421BRO0035"/>
    <n v="0"/>
    <x v="387"/>
    <s v="0035"/>
    <n v="-63.290054519999998"/>
    <n v="-10.2603688397501"/>
    <n v="-63.301995979830501"/>
    <n v="-10.271178099889299"/>
    <s v="421"/>
    <s v="RO"/>
    <s v="Eixo Principal"/>
    <s v="-"/>
    <s v="421BRO0035"/>
    <s v="INICIO DA TRAV URBANA DE MONTE NEGRO"/>
    <s v="FINAL DA TRAV URBANA DE MONTE NEGRO"/>
    <n v="48.9"/>
    <n v="51.2"/>
    <n v="2.2999999999999998"/>
    <x v="2"/>
    <m/>
    <m/>
    <m/>
    <s v="MP082/2004"/>
    <m/>
    <m/>
    <m/>
    <s v="PAV"/>
    <s v="Ji-Paraná"/>
  </r>
  <r>
    <x v="0"/>
    <s v="421BRO0040"/>
    <n v="0"/>
    <x v="387"/>
    <s v="0040"/>
    <n v="-63.301995979830501"/>
    <n v="-10.271178099889299"/>
    <n v="-63.427849130433003"/>
    <n v="-10.360588099660999"/>
    <s v="421"/>
    <s v="RO"/>
    <s v="Eixo Principal"/>
    <s v="-"/>
    <s v="421BRO0040"/>
    <s v="FINAL DA TRAV URBANA DE MONTE NEGRO"/>
    <s v="ENTR ACESSO I CAMPO NOVO DE RONDÔNIA"/>
    <n v="51.2"/>
    <n v="69.099999999999994"/>
    <n v="17.899999999999999"/>
    <x v="2"/>
    <m/>
    <m/>
    <m/>
    <s v="MP082/2004"/>
    <m/>
    <m/>
    <m/>
    <s v="PAV"/>
    <s v="Ji-Paraná"/>
  </r>
  <r>
    <x v="0"/>
    <s v="421BRO0045"/>
    <n v="0"/>
    <x v="387"/>
    <s v="0045"/>
    <n v="-63.427849130433003"/>
    <n v="-10.360588099660999"/>
    <n v="-63.657417409885497"/>
    <n v="-10.3437229100841"/>
    <s v="421"/>
    <s v="RO"/>
    <s v="Eixo Principal"/>
    <s v="-"/>
    <s v="421BRO0045"/>
    <s v="ENTR ACESSO I CAMPO NOVO DE RONDÔNIA"/>
    <s v="ENTR II ACESSO CAMPO NOVO DE RONDÔNIA (TABAJÁ)"/>
    <n v="69.099999999999994"/>
    <n v="96.3"/>
    <n v="27.2"/>
    <x v="1"/>
    <m/>
    <m/>
    <s v="Estadual"/>
    <m/>
    <s v="RO-460"/>
    <s v="PAV"/>
    <s v="Estadual"/>
    <s v="PLA"/>
    <s v="Ji-Paraná"/>
  </r>
  <r>
    <x v="0"/>
    <s v="421BRO0050"/>
    <n v="0"/>
    <x v="387"/>
    <s v="0050"/>
    <n v="-63.657417409885497"/>
    <n v="-10.3437229100841"/>
    <n v="-63.730658719824"/>
    <n v="-10.280786540266501"/>
    <s v="421"/>
    <s v="RO"/>
    <s v="Eixo Principal"/>
    <s v="-"/>
    <s v="421BRO0050"/>
    <s v="ENTR II ACESSO CAMPO NOVO DE RONDÔNIA (TABAJÁ)"/>
    <s v="PONTE SOBRE O RIO CANDEIAS"/>
    <n v="96.3"/>
    <n v="110"/>
    <n v="13.7"/>
    <x v="1"/>
    <m/>
    <m/>
    <s v="Estadual"/>
    <m/>
    <s v="RO-460"/>
    <s v="PAV"/>
    <s v="Estadual"/>
    <s v="PLA"/>
    <s v="Ji-Paraná"/>
  </r>
  <r>
    <x v="0"/>
    <s v="421BRO0055"/>
    <n v="0"/>
    <x v="387"/>
    <s v="0055"/>
    <n v="-63.730658719824"/>
    <n v="-10.280786540266501"/>
    <n v="-63.773471169758601"/>
    <n v="-10.2584988902115"/>
    <s v="421"/>
    <s v="RO"/>
    <s v="Eixo Principal"/>
    <s v="-"/>
    <s v="421BRO0055"/>
    <s v="PONTE SOBRE O RIO CANDEIAS"/>
    <s v="ACESSO À BURITIS"/>
    <n v="110"/>
    <n v="119.7"/>
    <n v="9.6999999999999993"/>
    <x v="1"/>
    <m/>
    <m/>
    <s v="Estadual"/>
    <m/>
    <s v="RO-460"/>
    <s v="PAV"/>
    <s v="Estadual"/>
    <s v="PLA"/>
    <s v="Ji-Paraná"/>
  </r>
  <r>
    <x v="0"/>
    <s v="421BRO0060"/>
    <n v="0"/>
    <x v="387"/>
    <s v="0060"/>
    <n v="-63.773471169758601"/>
    <n v="-10.2584988902115"/>
    <n v="-64.438762488697805"/>
    <n v="-10.2939606351751"/>
    <s v="421"/>
    <s v="RO"/>
    <s v="Eixo Principal"/>
    <s v="-"/>
    <s v="421BRO0060"/>
    <s v="ACESSO À BURITIS"/>
    <s v="RIO ORIENTE"/>
    <n v="119.7"/>
    <n v="195.4"/>
    <n v="75.7"/>
    <x v="1"/>
    <m/>
    <m/>
    <s v="Federal"/>
    <m/>
    <m/>
    <m/>
    <s v="Federal"/>
    <s v="PLA"/>
    <s v="Porto Velho"/>
  </r>
  <r>
    <x v="0"/>
    <s v="421BRO0065"/>
    <n v="0"/>
    <x v="387"/>
    <s v="0065"/>
    <n v="-64.438762488697805"/>
    <n v="-10.2939606351751"/>
    <n v="-64.540760538368005"/>
    <n v="-10.3069781266391"/>
    <s v="421"/>
    <s v="RO"/>
    <s v="Eixo Principal"/>
    <s v="-"/>
    <s v="421BRO0065"/>
    <s v="RIO ORIENTE"/>
    <s v="RIO FORMOSO"/>
    <n v="195.4"/>
    <n v="207"/>
    <n v="11.6"/>
    <x v="1"/>
    <m/>
    <m/>
    <s v="Federal"/>
    <m/>
    <m/>
    <m/>
    <s v="Federal"/>
    <s v="PLA"/>
    <s v="Porto Velho"/>
  </r>
  <r>
    <x v="0"/>
    <s v="421BRO0070"/>
    <n v="0"/>
    <x v="387"/>
    <s v="0070"/>
    <n v="-64.540760538368005"/>
    <n v="-10.3069781266391"/>
    <n v="-64.971578369645997"/>
    <n v="-10.379593010209099"/>
    <s v="421"/>
    <s v="RO"/>
    <s v="Eixo Principal"/>
    <s v="-"/>
    <s v="421BRO0070"/>
    <s v="RIO FORMOSO"/>
    <s v="VILA PALMEIRAS (LH-21)"/>
    <n v="207"/>
    <n v="256.39999999999998"/>
    <n v="49.4"/>
    <x v="1"/>
    <m/>
    <m/>
    <s v="Federal"/>
    <m/>
    <m/>
    <m/>
    <s v="Federal"/>
    <s v="PLA"/>
    <s v="Porto Velho"/>
  </r>
  <r>
    <x v="0"/>
    <s v="421BRO0090"/>
    <n v="0"/>
    <x v="387"/>
    <s v="0090"/>
    <n v="-64.971578369645997"/>
    <n v="-10.379593010209099"/>
    <n v="-65.327084999672905"/>
    <n v="-10.4019138299592"/>
    <s v="421"/>
    <s v="RO"/>
    <s v="Eixo Principal"/>
    <s v="-"/>
    <s v="421BRO0090"/>
    <s v="VILA PALMEIRAS (LH-21)"/>
    <s v="ENTR BR-425(A) (NOVA MAMORÉ)"/>
    <n v="256.39999999999998"/>
    <n v="296.10000000000002"/>
    <n v="39.700000000000003"/>
    <x v="1"/>
    <m/>
    <m/>
    <s v="Federal"/>
    <m/>
    <m/>
    <m/>
    <s v="Federal"/>
    <s v="PLA"/>
    <s v="Porto Velho"/>
  </r>
  <r>
    <x v="0"/>
    <s v="421BRO0110"/>
    <n v="0"/>
    <x v="387"/>
    <s v="0110"/>
    <n v="-65.327084999672905"/>
    <n v="-10.4019138299592"/>
    <n v="-65.274264769903098"/>
    <n v="-10.7155125202865"/>
    <s v="421"/>
    <s v="RO"/>
    <s v="Eixo Principal"/>
    <s v="-"/>
    <s v="421BRO0110"/>
    <s v="ENTR BR-425(A) (NOVA MAMORÉ)"/>
    <s v="ENTR BR-421(B) (ACESSO A MONTE NEGRO)"/>
    <n v="296.10000000000002"/>
    <n v="333.8"/>
    <n v="37.700000000000003"/>
    <x v="2"/>
    <m/>
    <s v="425BRO0030"/>
    <s v="Federal"/>
    <m/>
    <m/>
    <m/>
    <s v="Federal"/>
    <s v="PAV"/>
    <s v="Porto Velho"/>
  </r>
  <r>
    <x v="0"/>
    <s v="421BRO0120"/>
    <n v="0"/>
    <x v="387"/>
    <s v="0120"/>
    <n v="-65.274264769903098"/>
    <n v="-10.7155125202865"/>
    <n v="-65.300650820279003"/>
    <n v="-10.7491690300266"/>
    <s v="421"/>
    <s v="RO"/>
    <s v="Eixo Principal"/>
    <s v="-"/>
    <s v="421BRO0120"/>
    <s v="ENTR BR-421(B) (ACESSO A MONTE NEGRO)"/>
    <s v="INÍCIO PISTA DUPLA (UNIR-CAMPUS GUAJARÁ)"/>
    <n v="333.8"/>
    <n v="338.7"/>
    <n v="4.9000000000000004"/>
    <x v="2"/>
    <m/>
    <s v="425BRO0040"/>
    <s v="Federal"/>
    <m/>
    <m/>
    <m/>
    <s v="Federal"/>
    <s v="PAV"/>
    <s v="Porto Velho"/>
  </r>
  <r>
    <x v="0"/>
    <s v="421BRO0130"/>
    <n v="0"/>
    <x v="387"/>
    <s v="0130"/>
    <n v="-65.300650820279003"/>
    <n v="-10.7491690300266"/>
    <n v="-65.326493129754098"/>
    <n v="-10.7739600500162"/>
    <s v="421"/>
    <s v="RO"/>
    <s v="Eixo Principal"/>
    <s v="-"/>
    <s v="421BRO0130"/>
    <s v="INÍCIO PISTA DUPLA (UNIR-CAMPUS GUAJARÁ)"/>
    <s v="ROT. AV 15 NOVEMBRO(BOIBÓDROMO)ENTR BR-425(C) ACESSO PONTE BR/BOL"/>
    <n v="338.7"/>
    <n v="342.6"/>
    <n v="3.9"/>
    <x v="2"/>
    <m/>
    <s v="425BRO0050"/>
    <s v="Federal"/>
    <m/>
    <m/>
    <m/>
    <s v="Federal"/>
    <s v="PAV"/>
    <s v="Porto Velho"/>
  </r>
  <r>
    <x v="0"/>
    <s v="422BPA0010"/>
    <n v="0"/>
    <x v="388"/>
    <s v="0010"/>
    <n v="-49.943909979861601"/>
    <n v="-4.2535856297729397"/>
    <n v="-49.681248140189403"/>
    <n v="-3.8506183003942098"/>
    <s v="422"/>
    <s v="PA"/>
    <s v="Eixo Principal"/>
    <s v="-"/>
    <s v="422BPA0010"/>
    <s v="ENTR BR-230"/>
    <s v="FIM DA PONTE (ACESSO A BREU BRANCO)"/>
    <n v="0"/>
    <n v="63.7"/>
    <n v="63.7"/>
    <x v="5"/>
    <m/>
    <m/>
    <s v="Federal"/>
    <m/>
    <m/>
    <m/>
    <s v="Federal"/>
    <s v="N_PAV"/>
    <s v="Marabá"/>
  </r>
  <r>
    <x v="0"/>
    <s v="422BPA0018"/>
    <n v="0"/>
    <x v="388"/>
    <s v="0018"/>
    <n v="-49.681248140189403"/>
    <n v="-3.8506183003942098"/>
    <n v="-49.6766158402488"/>
    <n v="-3.78867277033202"/>
    <s v="422"/>
    <s v="PA"/>
    <s v="Eixo Principal"/>
    <s v="-"/>
    <s v="422BPA0018"/>
    <s v="FIM DA PONTE (ACESSO A BREU BRANCO)"/>
    <s v="ACESSO AEROPORTO (TUCURUÍ)"/>
    <n v="63.7"/>
    <n v="72"/>
    <n v="8.3000000000000007"/>
    <x v="2"/>
    <m/>
    <m/>
    <s v="Federal"/>
    <m/>
    <m/>
    <m/>
    <s v="Federal"/>
    <s v="PAV"/>
    <s v="Marabá"/>
  </r>
  <r>
    <x v="0"/>
    <s v="422BPA0025"/>
    <n v="0"/>
    <x v="388"/>
    <s v="0025"/>
    <n v="-49.6766158402488"/>
    <n v="-3.78867277033202"/>
    <n v="-49.689612569963998"/>
    <n v="-3.73599355965501"/>
    <s v="422"/>
    <s v="PA"/>
    <s v="Eixo Principal"/>
    <s v="-"/>
    <s v="422BPA0025"/>
    <s v="ACESSO AEROPORTO (TUCURUÍ)"/>
    <s v="FIM DA PAVIMENTAÇÃO"/>
    <n v="72"/>
    <n v="79"/>
    <n v="7"/>
    <x v="5"/>
    <m/>
    <m/>
    <s v="Federal"/>
    <m/>
    <m/>
    <m/>
    <s v="Federal"/>
    <s v="N_PAV"/>
    <s v="Marabá"/>
  </r>
  <r>
    <x v="0"/>
    <s v="422BPA0030"/>
    <n v="0"/>
    <x v="388"/>
    <s v="0030"/>
    <n v="-49.689612569963998"/>
    <n v="-3.73599355965501"/>
    <n v="-49.7972154203553"/>
    <n v="-3.0202075300534199"/>
    <s v="422"/>
    <s v="PA"/>
    <s v="Eixo Principal"/>
    <s v="-"/>
    <s v="422BPA0030"/>
    <s v="FIM DA PAVIMENTAÇÃO"/>
    <s v="ACESSO A JOANA PERES"/>
    <n v="79"/>
    <n v="168"/>
    <n v="89"/>
    <x v="5"/>
    <m/>
    <m/>
    <s v="Federal"/>
    <m/>
    <m/>
    <m/>
    <s v="Federal"/>
    <s v="N_PAV"/>
    <s v="Marabá"/>
  </r>
  <r>
    <x v="0"/>
    <s v="422BPA0040"/>
    <n v="0"/>
    <x v="388"/>
    <s v="0040"/>
    <n v="-49.7972154203553"/>
    <n v="-3.0202075300534199"/>
    <n v="-49.507460909593199"/>
    <n v="-2.2519920198158099"/>
    <s v="422"/>
    <s v="PA"/>
    <s v="Eixo Principal"/>
    <s v="-"/>
    <s v="422BPA0040"/>
    <s v="ACESSO A JOANA PERES"/>
    <s v="CAMETÁ"/>
    <n v="168"/>
    <n v="282"/>
    <n v="114"/>
    <x v="5"/>
    <m/>
    <m/>
    <s v="Federal"/>
    <m/>
    <m/>
    <m/>
    <s v="Federal"/>
    <s v="N_PAV"/>
    <s v="Marabá"/>
  </r>
  <r>
    <x v="0"/>
    <s v="422BPA0060"/>
    <n v="0"/>
    <x v="388"/>
    <s v="0060"/>
    <n v="-49.507460909593199"/>
    <n v="-2.2519920198158099"/>
    <n v="-49.387367770106401"/>
    <n v="-1.8975683803764101"/>
    <s v="422"/>
    <s v="PA"/>
    <s v="Eixo Principal"/>
    <s v="-"/>
    <s v="422BPA0060"/>
    <s v="CAMETÁ"/>
    <s v="LIMOEIRO DO AJURÚ"/>
    <n v="282"/>
    <n v="336"/>
    <n v="54"/>
    <x v="3"/>
    <m/>
    <m/>
    <s v="Federal"/>
    <m/>
    <m/>
    <m/>
    <s v="Federal"/>
    <s v="N_PAV"/>
    <s v="Marabá"/>
  </r>
  <r>
    <x v="0"/>
    <s v="423BAL0190"/>
    <n v="0"/>
    <x v="389"/>
    <s v="0190"/>
    <n v="-37.287886880275202"/>
    <n v="-9.1363215603916501"/>
    <n v="-37.363980329828301"/>
    <n v="-9.1443054798140206"/>
    <s v="423"/>
    <s v="AL"/>
    <s v="Eixo Principal"/>
    <s v="-"/>
    <s v="423BAL0190"/>
    <s v="DIV PE/AL"/>
    <s v="ENTR AL-130 (OURO BRANCO)"/>
    <n v="0"/>
    <n v="8.5"/>
    <n v="8.5"/>
    <x v="2"/>
    <m/>
    <m/>
    <s v="Federal"/>
    <m/>
    <m/>
    <m/>
    <s v="Federal"/>
    <s v="PAV"/>
    <s v="Santana do Ipanema"/>
  </r>
  <r>
    <x v="0"/>
    <s v="423BAL0210"/>
    <n v="0"/>
    <x v="389"/>
    <s v="0210"/>
    <n v="-37.363980329828301"/>
    <n v="-9.1443054798140206"/>
    <n v="-37.514824940418599"/>
    <n v="-9.1934625001941797"/>
    <s v="423"/>
    <s v="AL"/>
    <s v="Eixo Principal"/>
    <s v="-"/>
    <s v="423BAL0210"/>
    <s v="ENTR AL-130 (OURO BRANCO)"/>
    <s v="ENTR BR-316"/>
    <n v="8.5"/>
    <n v="26"/>
    <n v="17.5"/>
    <x v="2"/>
    <m/>
    <m/>
    <s v="Federal"/>
    <m/>
    <m/>
    <m/>
    <s v="Federal"/>
    <s v="PAV"/>
    <s v="Santana do Ipanema"/>
  </r>
  <r>
    <x v="0"/>
    <s v="423BAL0230"/>
    <n v="0"/>
    <x v="389"/>
    <s v="0230"/>
    <n v="-37.514824940418599"/>
    <n v="-9.1934625001941797"/>
    <n v="-37.736029360266699"/>
    <n v="-9.2662126004311105"/>
    <s v="423"/>
    <s v="AL"/>
    <s v="Eixo Principal"/>
    <s v="-"/>
    <s v="423BAL0230"/>
    <s v="ENTR BR-316"/>
    <s v="ENTR AL-140 (P/INHAPI)"/>
    <n v="26"/>
    <n v="51.6"/>
    <n v="25.6"/>
    <x v="2"/>
    <m/>
    <m/>
    <s v="Federal"/>
    <m/>
    <m/>
    <m/>
    <s v="Federal"/>
    <s v="PAV"/>
    <s v="Santana do Ipanema"/>
  </r>
  <r>
    <x v="0"/>
    <s v="423BAL0240"/>
    <n v="0"/>
    <x v="389"/>
    <s v="0240"/>
    <n v="-37.736029360266699"/>
    <n v="-9.2662126004311105"/>
    <n v="-37.983141240076101"/>
    <n v="-9.3300239098754698"/>
    <s v="423"/>
    <s v="AL"/>
    <s v="Eixo Principal"/>
    <s v="-"/>
    <s v="423BAL0240"/>
    <s v="ENTR AL-140 (P/INHAPI)"/>
    <s v="ENTR AL-145 (P/DELMIRO GOUVEIA)"/>
    <n v="51.6"/>
    <n v="79.7"/>
    <n v="28.1"/>
    <x v="2"/>
    <m/>
    <m/>
    <s v="Federal"/>
    <m/>
    <m/>
    <m/>
    <s v="Federal"/>
    <s v="PAV"/>
    <s v="Santana do Ipanema"/>
  </r>
  <r>
    <x v="0"/>
    <s v="423BAL0250"/>
    <n v="0"/>
    <x v="389"/>
    <s v="0250"/>
    <n v="-37.983141240076101"/>
    <n v="-9.3300239098754698"/>
    <n v="-38.168773259678098"/>
    <n v="-9.3960905796164909"/>
    <s v="423"/>
    <s v="AL"/>
    <s v="Eixo Principal"/>
    <s v="-"/>
    <s v="423BAL0250"/>
    <s v="ENTR AL-145 (P/DELMIRO GOUVEIA)"/>
    <s v="ENTR BR-110(A)"/>
    <n v="79.7"/>
    <n v="101.4"/>
    <n v="21.7"/>
    <x v="2"/>
    <m/>
    <m/>
    <s v="Federal"/>
    <m/>
    <m/>
    <m/>
    <s v="Federal"/>
    <s v="PAV"/>
    <s v="Santana do Ipanema"/>
  </r>
  <r>
    <x v="0"/>
    <s v="423BAL0255"/>
    <n v="0"/>
    <x v="389"/>
    <s v="0255"/>
    <n v="-38.168773259678098"/>
    <n v="-9.3960905796164909"/>
    <n v="-38.197424759844701"/>
    <n v="-9.4185442598097193"/>
    <s v="423"/>
    <s v="AL"/>
    <s v="Eixo Principal"/>
    <s v="Coinc"/>
    <s v="423BAL0255"/>
    <s v="ENTR BR-110(A)"/>
    <s v="INÍCIO DA PONTE SOBRE O RIO SÃO FRANCISCO"/>
    <n v="101.4"/>
    <n v="105.6"/>
    <n v="4.2"/>
    <x v="2"/>
    <m/>
    <s v="110BAL0540"/>
    <s v="Federal"/>
    <m/>
    <m/>
    <m/>
    <s v="Federal"/>
    <s v="PAV"/>
    <s v="Santana do Ipanema"/>
  </r>
  <r>
    <x v="0"/>
    <s v="423BAL0260"/>
    <n v="0"/>
    <x v="389"/>
    <s v="0260"/>
    <n v="-38.197424759844701"/>
    <n v="-9.4185442598097193"/>
    <n v="-38.198299249810397"/>
    <n v="-9.4212130303570198"/>
    <s v="423"/>
    <s v="AL"/>
    <s v="Eixo Principal"/>
    <s v="-"/>
    <s v="423BAL0260"/>
    <s v="INÍCIO DA PONTE SOBRE O RIO SÃO FRANCISCO"/>
    <s v="ENTR BR-110(B) (DIV AL/BA - FIM PONTE S/RIO S FRANCISCO)"/>
    <n v="105.6"/>
    <n v="105.9"/>
    <n v="0.3"/>
    <x v="2"/>
    <m/>
    <m/>
    <s v="Federal"/>
    <m/>
    <m/>
    <m/>
    <s v="Federal"/>
    <s v="PAV"/>
    <s v="Santana do Ipanema"/>
  </r>
  <r>
    <x v="0"/>
    <s v="423BBA0270"/>
    <n v="0"/>
    <x v="390"/>
    <s v="0270"/>
    <n v="-38.197424759844701"/>
    <n v="-9.4185442598097193"/>
    <n v="-38.198299249810397"/>
    <n v="-9.4212130303570198"/>
    <s v="423"/>
    <s v="BA"/>
    <s v="Eixo Principal"/>
    <s v="Coinc"/>
    <s v="423BBA0270"/>
    <s v="INÍCIO DA PONTE SOBRE O RIO SÃO FRANCISCO (DIV AL/BA)"/>
    <s v="FIM DA PONTE SOBRE O RIO SÃO FRANCISCO"/>
    <n v="0"/>
    <n v="0.3"/>
    <n v="0.3"/>
    <x v="2"/>
    <m/>
    <s v="110BBA0550"/>
    <s v="Federal"/>
    <m/>
    <m/>
    <m/>
    <s v="Federal"/>
    <s v="PAV"/>
    <s v="Euclides da Cunha"/>
  </r>
  <r>
    <x v="0"/>
    <s v="423BBA0280"/>
    <n v="0"/>
    <x v="390"/>
    <s v="0280"/>
    <n v="-38.204088520368799"/>
    <n v="-9.4384202500943903"/>
    <n v="-38.198299249810397"/>
    <n v="-9.4212130303570198"/>
    <s v="423"/>
    <s v="BA"/>
    <s v="Eixo Principal"/>
    <s v="Coinc"/>
    <s v="423BBA0280"/>
    <s v="FIM DA PONTE SOBRE O RIO SÃO FRANCISCO"/>
    <s v="ENTR BR-423(B)/BA-210 (PAULO AFONSO)"/>
    <n v="0.3"/>
    <n v="2.4"/>
    <n v="2.1"/>
    <x v="2"/>
    <m/>
    <s v="110BBA0560"/>
    <s v="Federal"/>
    <m/>
    <m/>
    <m/>
    <s v="Federal"/>
    <s v="PAV"/>
    <s v="Euclides da Cunha"/>
  </r>
  <r>
    <x v="0"/>
    <s v="423BBA0290"/>
    <n v="0"/>
    <x v="390"/>
    <s v="0290"/>
    <n v="-38.204088520368799"/>
    <n v="-9.4384202500943903"/>
    <n v="-38.413799099948399"/>
    <n v="-9.4347419968456094"/>
    <s v="423"/>
    <s v="BA"/>
    <s v="Eixo Principal"/>
    <s v="-"/>
    <s v="423BBA0290"/>
    <s v="ENTR BR-110(B) (PAULO AFONSO)"/>
    <s v="ENTR BA-709 (P/JUÁ)"/>
    <n v="2.4"/>
    <n v="25.4"/>
    <n v="23"/>
    <x v="1"/>
    <m/>
    <m/>
    <s v="Federal"/>
    <m/>
    <m/>
    <m/>
    <s v="Federal"/>
    <s v="PLA"/>
    <s v="Euclides da Cunha"/>
  </r>
  <r>
    <x v="0"/>
    <s v="423BBA0292"/>
    <n v="0"/>
    <x v="390"/>
    <s v="0292"/>
    <n v="-38.413799099948399"/>
    <n v="-9.4347419968456094"/>
    <n v="-38.697203486051897"/>
    <n v="-9.4089583132754893"/>
    <s v="423"/>
    <s v="BA"/>
    <s v="Eixo Principal"/>
    <s v="-"/>
    <s v="423BBA0292"/>
    <s v="ENTR BA-709 (P/JUÁ)"/>
    <s v="SALGADO DO MELÃO"/>
    <n v="25.4"/>
    <n v="55.4"/>
    <n v="30"/>
    <x v="1"/>
    <m/>
    <m/>
    <s v="Federal"/>
    <m/>
    <m/>
    <m/>
    <s v="Federal"/>
    <s v="PLA"/>
    <s v="Euclides da Cunha"/>
  </r>
  <r>
    <x v="0"/>
    <s v="423BBA0300"/>
    <n v="0"/>
    <x v="390"/>
    <s v="0300"/>
    <n v="-38.697203486051897"/>
    <n v="-9.4089583132754893"/>
    <n v="-39.084522879826899"/>
    <n v="-9.3737214698698992"/>
    <s v="423"/>
    <s v="BA"/>
    <s v="Eixo Principal"/>
    <s v="-"/>
    <s v="423BBA0300"/>
    <s v="SALGADO DO MELÃO"/>
    <s v="ENTR BR-116"/>
    <n v="55.4"/>
    <n v="96.4"/>
    <n v="41"/>
    <x v="1"/>
    <m/>
    <m/>
    <s v="Federal"/>
    <m/>
    <m/>
    <m/>
    <s v="Federal"/>
    <s v="PLA"/>
    <s v="Euclides da Cunha"/>
  </r>
  <r>
    <x v="0"/>
    <s v="423BBA0310"/>
    <n v="0"/>
    <x v="390"/>
    <s v="0310"/>
    <n v="-39.084522879826899"/>
    <n v="-9.3737214698698992"/>
    <n v="-39.779367789991397"/>
    <n v="-9.3938252701200895"/>
    <s v="423"/>
    <s v="BA"/>
    <s v="Eixo Principal"/>
    <s v="-"/>
    <s v="423BBA0310"/>
    <s v="ENTR BR-116"/>
    <s v="ENTR BA-313 (P/BARRO VERMELHO)"/>
    <n v="96.4"/>
    <n v="176.4"/>
    <n v="80"/>
    <x v="1"/>
    <m/>
    <m/>
    <s v="Federal"/>
    <m/>
    <m/>
    <m/>
    <s v="Federal"/>
    <s v="PLA"/>
    <s v="Senhor do Bonfim"/>
  </r>
  <r>
    <x v="0"/>
    <s v="423BBA0330"/>
    <n v="0"/>
    <x v="390"/>
    <s v="0330"/>
    <n v="-39.779367789991397"/>
    <n v="-9.3938252701200895"/>
    <n v="-40.492775049828602"/>
    <n v="-9.4433415498725708"/>
    <s v="423"/>
    <s v="BA"/>
    <s v="Eixo Principal"/>
    <s v="-"/>
    <s v="423BBA0330"/>
    <s v="ENTR BA-313 (P/BARRO VERMELHO)"/>
    <s v="ENTR BR-122/235/407 (JUAZEIRO)"/>
    <n v="176.4"/>
    <n v="254.4"/>
    <n v="78"/>
    <x v="1"/>
    <m/>
    <m/>
    <s v="Federal"/>
    <m/>
    <m/>
    <m/>
    <s v="Federal"/>
    <s v="PLA"/>
    <s v="Senhor do Bonfim"/>
  </r>
  <r>
    <x v="0"/>
    <s v="423BPE0010"/>
    <n v="0"/>
    <x v="391"/>
    <s v="0010"/>
    <n v="-35.988773959750397"/>
    <n v="-8.3000104298374104"/>
    <n v="-36.146265650239499"/>
    <n v="-8.3294562903754397"/>
    <s v="423"/>
    <s v="PE"/>
    <s v="Eixo Principal"/>
    <s v="Coinc"/>
    <s v="423BPE0010"/>
    <s v="ENTR BR-104/232(A) (CARUARÚ)"/>
    <s v="ENTR BR-232(B) (SÃO CAETANO)"/>
    <n v="0"/>
    <n v="18.2"/>
    <n v="18.2"/>
    <x v="0"/>
    <m/>
    <s v="232BPE0150"/>
    <s v="Federal"/>
    <m/>
    <m/>
    <m/>
    <s v="Federal"/>
    <s v="PAV"/>
    <s v="Caruaru"/>
  </r>
  <r>
    <x v="0"/>
    <s v="423BPE0030"/>
    <n v="0"/>
    <x v="391"/>
    <s v="0030"/>
    <n v="-36.146265650239499"/>
    <n v="-8.3294562903754397"/>
    <n v="-36.233844790404703"/>
    <n v="-8.4907612196545301"/>
    <s v="423"/>
    <s v="PE"/>
    <s v="Eixo Principal"/>
    <s v="-"/>
    <s v="423BPE0030"/>
    <s v="ENTR BR-232(B) (SÃO CAETANO)"/>
    <s v="CACHOEIRINHA"/>
    <n v="18.2"/>
    <n v="39.200000000000003"/>
    <n v="21"/>
    <x v="2"/>
    <m/>
    <m/>
    <s v="Federal"/>
    <m/>
    <m/>
    <m/>
    <s v="Federal"/>
    <s v="PAV"/>
    <s v="Caruaru"/>
  </r>
  <r>
    <x v="0"/>
    <s v="423BPE0050"/>
    <n v="0"/>
    <x v="391"/>
    <s v="0050"/>
    <n v="-36.233844790404703"/>
    <n v="-8.4907612196545301"/>
    <n v="-36.331316970401801"/>
    <n v="-8.6586865504439103"/>
    <s v="423"/>
    <s v="PE"/>
    <s v="Eixo Principal"/>
    <s v="-"/>
    <s v="423BPE0050"/>
    <s v="CACHOEIRINHA"/>
    <s v="ENTR PE-170/180 (LAJEDO)"/>
    <n v="39.200000000000003"/>
    <n v="61.3"/>
    <n v="22.1"/>
    <x v="2"/>
    <m/>
    <m/>
    <s v="Federal"/>
    <m/>
    <m/>
    <m/>
    <s v="Federal"/>
    <s v="PAV"/>
    <s v="Caruaru"/>
  </r>
  <r>
    <x v="0"/>
    <s v="423BPE0070"/>
    <n v="0"/>
    <x v="391"/>
    <s v="0070"/>
    <n v="-36.331316970401801"/>
    <n v="-8.6586865504439103"/>
    <n v="-36.419605570440602"/>
    <n v="-8.71073106998284"/>
    <s v="423"/>
    <s v="PE"/>
    <s v="Eixo Principal"/>
    <s v="-"/>
    <s v="423BPE0070"/>
    <s v="ENTR PE-170/180 (LAJEDO)"/>
    <s v="ENTR PE-158 (JUPÍ)"/>
    <n v="61.3"/>
    <n v="73.099999999999994"/>
    <n v="11.8"/>
    <x v="2"/>
    <m/>
    <m/>
    <s v="Federal"/>
    <m/>
    <m/>
    <m/>
    <s v="Federal"/>
    <s v="PAV"/>
    <s v="Caruaru"/>
  </r>
  <r>
    <x v="0"/>
    <s v="423BPE0075"/>
    <n v="0"/>
    <x v="391"/>
    <s v="0075"/>
    <n v="-36.419605570440602"/>
    <n v="-8.71073106998284"/>
    <n v="-36.469461189582198"/>
    <n v="-8.8743246803396598"/>
    <s v="423"/>
    <s v="PE"/>
    <s v="Eixo Principal"/>
    <s v="-"/>
    <s v="423BPE0075"/>
    <s v="ENTR PE-158 (JUPÍ)"/>
    <s v="ENTR PE-177 (P/QUIPAPA)"/>
    <n v="73.099999999999994"/>
    <n v="93.9"/>
    <n v="20.8"/>
    <x v="2"/>
    <m/>
    <m/>
    <s v="Federal"/>
    <m/>
    <m/>
    <m/>
    <s v="Federal"/>
    <s v="PAV"/>
    <s v="Caruaru"/>
  </r>
  <r>
    <x v="0"/>
    <s v="423BPE0080"/>
    <n v="0"/>
    <x v="391"/>
    <s v="0080"/>
    <n v="-36.469461189582198"/>
    <n v="-8.8743246803396598"/>
    <n v="-36.507281090050199"/>
    <n v="-8.8768437704236405"/>
    <s v="423"/>
    <s v="PE"/>
    <s v="Eixo Principal"/>
    <s v="-"/>
    <s v="423BPE0080"/>
    <s v="ENTR PE-177 (P/QUIPAPA)"/>
    <s v="ENTR BR-424/PE-218 (GARANHUNS)"/>
    <n v="93.9"/>
    <n v="98.4"/>
    <n v="4.5"/>
    <x v="2"/>
    <m/>
    <m/>
    <s v="Federal"/>
    <m/>
    <m/>
    <m/>
    <s v="Federal"/>
    <s v="PAV"/>
    <s v="Caruaru"/>
  </r>
  <r>
    <x v="0"/>
    <s v="423BPE0090"/>
    <n v="0"/>
    <x v="391"/>
    <s v="0090"/>
    <n v="-36.507281090050199"/>
    <n v="-8.8768437704236405"/>
    <n v="-36.653252230405997"/>
    <n v="-8.90259245957429"/>
    <s v="423"/>
    <s v="PE"/>
    <s v="Eixo Principal"/>
    <s v="-"/>
    <s v="423BPE0090"/>
    <s v="ENTR BR-424/PE-218 (GARANHUNS)"/>
    <s v="PARANATAMA"/>
    <n v="98.4"/>
    <n v="115.2"/>
    <n v="16.8"/>
    <x v="2"/>
    <m/>
    <m/>
    <s v="Federal"/>
    <m/>
    <m/>
    <m/>
    <s v="Federal"/>
    <s v="PAV"/>
    <s v="Caruaru"/>
  </r>
  <r>
    <x v="0"/>
    <s v="423BPE0110"/>
    <n v="0"/>
    <x v="391"/>
    <s v="0110"/>
    <n v="-36.653252230405997"/>
    <n v="-8.90259245957429"/>
    <n v="-36.709706039601897"/>
    <n v="-8.9181991297859895"/>
    <s v="423"/>
    <s v="PE"/>
    <s v="Eixo Principal"/>
    <s v="-"/>
    <s v="423BPE0110"/>
    <s v="PARANATAMA"/>
    <s v="ENTR PE-223 (P/SALOÁ)"/>
    <n v="115.2"/>
    <n v="121.7"/>
    <n v="6.5"/>
    <x v="2"/>
    <m/>
    <m/>
    <s v="Federal"/>
    <m/>
    <m/>
    <m/>
    <s v="Federal"/>
    <s v="PAV"/>
    <s v="Caruaru"/>
  </r>
  <r>
    <x v="0"/>
    <s v="423BPE0130"/>
    <n v="0"/>
    <x v="391"/>
    <s v="0130"/>
    <n v="-36.709706039601897"/>
    <n v="-8.9181991297859895"/>
    <n v="-36.867124879609399"/>
    <n v="-9.0086042096165198"/>
    <s v="423"/>
    <s v="PE"/>
    <s v="Eixo Principal"/>
    <s v="-"/>
    <s v="423BPE0130"/>
    <s v="ENTR PE-223 (P/SALOÁ)"/>
    <s v="ENTR PE-233 (P/IATÍ)"/>
    <n v="121.7"/>
    <n v="144.9"/>
    <n v="23.2"/>
    <x v="2"/>
    <m/>
    <m/>
    <s v="Federal"/>
    <m/>
    <m/>
    <m/>
    <s v="Federal"/>
    <s v="PAV"/>
    <s v="Caruaru"/>
  </r>
  <r>
    <x v="0"/>
    <s v="423BPE0150"/>
    <n v="0"/>
    <x v="391"/>
    <s v="0150"/>
    <n v="-36.867124879609399"/>
    <n v="-9.0086042096165198"/>
    <n v="-37.115512029556399"/>
    <n v="-9.1302220902771793"/>
    <s v="423"/>
    <s v="PE"/>
    <s v="Eixo Principal"/>
    <s v="-"/>
    <s v="423BPE0150"/>
    <s v="ENTR PE-233 (P/IATÍ)"/>
    <s v="ENTR PE-300 (ÁGUAS BELAS)"/>
    <n v="144.9"/>
    <n v="177.1"/>
    <n v="32.200000000000003"/>
    <x v="2"/>
    <m/>
    <m/>
    <s v="Federal"/>
    <m/>
    <m/>
    <m/>
    <s v="Federal"/>
    <s v="PAV"/>
    <s v="Caruaru"/>
  </r>
  <r>
    <x v="0"/>
    <s v="423BPE0170"/>
    <n v="0"/>
    <x v="391"/>
    <s v="0170"/>
    <n v="-37.115512029556399"/>
    <n v="-9.1302220902771793"/>
    <n v="-37.287886880275202"/>
    <n v="-9.1363215603916501"/>
    <s v="423"/>
    <s v="PE"/>
    <s v="Eixo Principal"/>
    <s v="-"/>
    <s v="423BPE0170"/>
    <s v="ENTR PE-300 (ÁGUAS BELAS)"/>
    <s v="DIV PE/AL"/>
    <n v="177.1"/>
    <n v="196.2"/>
    <n v="19.100000000000001"/>
    <x v="2"/>
    <m/>
    <m/>
    <s v="Federal"/>
    <m/>
    <m/>
    <m/>
    <s v="Federal"/>
    <s v="PAV"/>
    <s v="Caruaru"/>
  </r>
  <r>
    <x v="0"/>
    <s v="423CPE1005"/>
    <n v="0"/>
    <x v="392"/>
    <s v="1005"/>
    <n v="-36.430843829678899"/>
    <n v="-8.7537207601049492"/>
    <n v="-36.552103479791597"/>
    <n v="-8.8761034098444593"/>
    <s v="423"/>
    <s v="PE"/>
    <s v="Contorno"/>
    <s v="-"/>
    <s v="423CPE1005"/>
    <s v="ENTR BR-423 (KM 86)"/>
    <s v="ENTR BR-423 (KM 107 - CONTORNO DE GARANHUNS)"/>
    <n v="0"/>
    <n v="21"/>
    <n v="21"/>
    <x v="1"/>
    <m/>
    <m/>
    <s v="Federal"/>
    <m/>
    <m/>
    <m/>
    <s v="Federal"/>
    <s v="PLA"/>
    <s v="Caruaru"/>
  </r>
  <r>
    <x v="0"/>
    <s v="424APE1005"/>
    <n v="0"/>
    <x v="393"/>
    <s v="1005"/>
    <n v="-37.019259049665301"/>
    <n v="-8.4959832203492702"/>
    <n v="-37.018464450074198"/>
    <n v="-8.5140721498098006"/>
    <s v="424"/>
    <s v="PE"/>
    <s v="Acesso"/>
    <s v="-"/>
    <s v="424APE1005"/>
    <s v="ENTR BR-424 (KM 8,8)"/>
    <s v="DISTRITO DE POÇO DO BOI - ACESSO"/>
    <n v="0"/>
    <n v="2.1"/>
    <n v="2.1"/>
    <x v="1"/>
    <m/>
    <m/>
    <s v="Federal"/>
    <m/>
    <m/>
    <m/>
    <s v="Federal"/>
    <s v="PLA"/>
    <s v="Arcoverde"/>
  </r>
  <r>
    <x v="0"/>
    <s v="424BAL0140"/>
    <n v="0"/>
    <x v="394"/>
    <s v="0140"/>
    <n v="-36.30198115001"/>
    <n v="-9.1752166003657791"/>
    <n v="-36.300506279840803"/>
    <n v="-9.2533844998947004"/>
    <s v="424"/>
    <s v="AL"/>
    <s v="Eixo Principal"/>
    <s v="-"/>
    <s v="424BAL0140"/>
    <s v="ENTR AL-470(A) (DIV PE/AL)"/>
    <s v="ENTR AL-110(A) (INÌCIO TRAV URB CHÃ PRETA)"/>
    <n v="0"/>
    <n v="10.6"/>
    <n v="10.6"/>
    <x v="1"/>
    <m/>
    <m/>
    <s v="Estadual"/>
    <m/>
    <s v="AL-470"/>
    <s v="EOP"/>
    <s v="Estadual"/>
    <s v="PLA"/>
    <s v="Maceió"/>
  </r>
  <r>
    <x v="0"/>
    <s v="424BAL0145"/>
    <n v="0"/>
    <x v="394"/>
    <s v="0145"/>
    <n v="-36.300506279840803"/>
    <n v="-9.2533844998947004"/>
    <n v="-36.296800189876798"/>
    <n v="-9.2636945103932895"/>
    <s v="424"/>
    <s v="AL"/>
    <s v="Eixo Principal"/>
    <s v="-"/>
    <s v="424BAL0145"/>
    <s v="ENTR AL-110(A) (INÌCIO TRAV URB CHÃ PRETA)"/>
    <s v="FIM TRAV URB CHÃ PRETA"/>
    <n v="10.6"/>
    <n v="12.3"/>
    <n v="1.7"/>
    <x v="1"/>
    <m/>
    <m/>
    <s v="Estadual"/>
    <m/>
    <s v="AL-110"/>
    <s v="PAV"/>
    <s v="Estadual"/>
    <s v="PLA"/>
    <s v="Maceió"/>
  </r>
  <r>
    <x v="0"/>
    <s v="424BAL0150"/>
    <n v="0"/>
    <x v="394"/>
    <s v="0150"/>
    <n v="-36.296800189876798"/>
    <n v="-9.2636945103932895"/>
    <n v="-36.281691160418603"/>
    <n v="-9.3454965397334604"/>
    <s v="424"/>
    <s v="AL"/>
    <s v="Eixo Principal"/>
    <s v="-"/>
    <s v="424BAL0150"/>
    <s v="FIM TRAV URB CHÃ PRETA"/>
    <s v="ENTR AL-210(A) (P/PAULO JACINTO)"/>
    <n v="12.3"/>
    <n v="23"/>
    <n v="10.7"/>
    <x v="1"/>
    <m/>
    <m/>
    <s v="Estadual"/>
    <m/>
    <s v="AL-110"/>
    <s v="PAV"/>
    <s v="Estadual"/>
    <s v="PLA"/>
    <s v="Maceió"/>
  </r>
  <r>
    <x v="0"/>
    <s v="424BAL0155"/>
    <n v="0"/>
    <x v="394"/>
    <s v="0155"/>
    <n v="-36.281691160418603"/>
    <n v="-9.3454965397334604"/>
    <n v="-36.255918079855398"/>
    <n v="-9.3741624101670595"/>
    <s v="424"/>
    <s v="AL"/>
    <s v="Eixo Principal"/>
    <s v="-"/>
    <s v="424BAL0155"/>
    <s v="ENTR AL-210(A) (P/PAULO JACINTO)"/>
    <s v="INÍCIO TRAV URB VIÇOSA"/>
    <n v="23"/>
    <n v="27.8"/>
    <n v="4.8"/>
    <x v="1"/>
    <m/>
    <m/>
    <s v="Estadual"/>
    <m/>
    <s v="AL-110"/>
    <s v="PAV"/>
    <s v="Estadual"/>
    <s v="PLA"/>
    <s v="Maceió"/>
  </r>
  <r>
    <x v="0"/>
    <s v="424BAL0160"/>
    <n v="0"/>
    <x v="394"/>
    <s v="0160"/>
    <n v="-36.255918079855398"/>
    <n v="-9.3741624101670595"/>
    <n v="-36.243900219919098"/>
    <n v="-9.3706775102588704"/>
    <s v="424"/>
    <s v="AL"/>
    <s v="Eixo Principal"/>
    <s v="-"/>
    <s v="424BAL0160"/>
    <s v="INÍCIO TRAV URB VIÇOSA"/>
    <s v="ENTR AL-110(B) (VIÇOSA)"/>
    <n v="27.8"/>
    <n v="29.2"/>
    <n v="1.4"/>
    <x v="1"/>
    <m/>
    <m/>
    <s v="Estadual"/>
    <m/>
    <s v="AL-110"/>
    <s v="PAV"/>
    <s v="Estadual"/>
    <s v="PLA"/>
    <s v="Maceió"/>
  </r>
  <r>
    <x v="0"/>
    <s v="424BAL0165"/>
    <n v="0"/>
    <x v="394"/>
    <s v="0165"/>
    <n v="-36.243900219919098"/>
    <n v="-9.3706775102588704"/>
    <n v="-36.233035610105198"/>
    <n v="-9.3655266900046801"/>
    <s v="424"/>
    <s v="AL"/>
    <s v="Eixo Principal"/>
    <s v="-"/>
    <s v="424BAL0165"/>
    <s v="ENTR AL-110(B) (VIÇOSA)"/>
    <s v="FIM TRAV URB VIÇOSA"/>
    <n v="29.2"/>
    <n v="30.7"/>
    <n v="1.5"/>
    <x v="1"/>
    <m/>
    <m/>
    <s v="Estadual"/>
    <m/>
    <s v="AL-210"/>
    <s v="PAV"/>
    <s v="Estadual"/>
    <s v="PLA"/>
    <s v="Maceió"/>
  </r>
  <r>
    <x v="0"/>
    <s v="424BAL0170"/>
    <n v="0"/>
    <x v="394"/>
    <s v="0170"/>
    <n v="-36.233035610105198"/>
    <n v="-9.3655266900046801"/>
    <n v="-36.1637520303318"/>
    <n v="-9.3691194402099391"/>
    <s v="424"/>
    <s v="AL"/>
    <s v="Eixo Principal"/>
    <s v="-"/>
    <s v="424BAL0170"/>
    <s v="FIM TRAV URB VIÇOSA"/>
    <s v="ENTR AL-440(A)"/>
    <n v="30.7"/>
    <n v="39.5"/>
    <n v="8.8000000000000007"/>
    <x v="1"/>
    <m/>
    <m/>
    <s v="Estadual"/>
    <m/>
    <s v="AL-210"/>
    <s v="PAV"/>
    <s v="Estadual"/>
    <s v="PLA"/>
    <s v="Maceió"/>
  </r>
  <r>
    <x v="0"/>
    <s v="424BAL0175"/>
    <n v="0"/>
    <x v="394"/>
    <s v="0175"/>
    <n v="-36.1637520303318"/>
    <n v="-9.3691194402099391"/>
    <n v="-36.168827490096497"/>
    <n v="-9.3970621100282798"/>
    <s v="424"/>
    <s v="AL"/>
    <s v="Eixo Principal"/>
    <s v="-"/>
    <s v="424BAL0175"/>
    <s v="ENTR AL-440(A)"/>
    <s v="ENTR AL-440(B)"/>
    <n v="39.5"/>
    <n v="42.7"/>
    <n v="3.2"/>
    <x v="1"/>
    <m/>
    <m/>
    <s v="Estadual"/>
    <m/>
    <s v="AL-210"/>
    <s v="PAV"/>
    <s v="Estadual"/>
    <s v="PLA"/>
    <s v="Maceió"/>
  </r>
  <r>
    <x v="0"/>
    <s v="424BAL0180"/>
    <n v="0"/>
    <x v="394"/>
    <s v="0180"/>
    <n v="-36.168827490096497"/>
    <n v="-9.3970621100282798"/>
    <n v="-36.184083869874598"/>
    <n v="-9.4666176996470792"/>
    <s v="424"/>
    <s v="AL"/>
    <s v="Eixo Principal"/>
    <s v="-"/>
    <s v="424BAL0180"/>
    <s v="ENTR AL-210(B) (P/CAJUEIRO)"/>
    <s v="ENTR BR-316(A) AL/440(B)"/>
    <n v="42.7"/>
    <n v="50.8"/>
    <n v="8.1"/>
    <x v="1"/>
    <m/>
    <m/>
    <s v="Estadual"/>
    <m/>
    <s v="AL-440"/>
    <s v="PAV"/>
    <s v="Estadual"/>
    <s v="PLA"/>
    <s v="Maceió"/>
  </r>
  <r>
    <x v="0"/>
    <s v="424BAL0210"/>
    <n v="0"/>
    <x v="394"/>
    <s v="0210"/>
    <n v="-36.184083869874598"/>
    <n v="-9.4666176996470792"/>
    <n v="-36.001787440238097"/>
    <n v="-9.5148010798059204"/>
    <s v="424"/>
    <s v="AL"/>
    <s v="Eixo Principal"/>
    <s v="Coinc"/>
    <s v="424BAL0210"/>
    <s v="INÍCIO TRAV URB CAJUEIRO"/>
    <s v="ENTR BR-316(A)/AL-410(B) (FIM TRAV URB ATALAIA)"/>
    <n v="50.8"/>
    <n v="73.8"/>
    <n v="23"/>
    <x v="1"/>
    <m/>
    <s v="316BAL1050"/>
    <s v="Estadual"/>
    <m/>
    <s v="AL-210"/>
    <s v="PAV"/>
    <s v="Estadual"/>
    <s v="PLA"/>
    <s v="Maceió"/>
  </r>
  <r>
    <x v="0"/>
    <s v="424BAL0230"/>
    <n v="0"/>
    <x v="394"/>
    <s v="0230"/>
    <n v="-36.001787440238097"/>
    <n v="-9.5148010798059204"/>
    <n v="-35.969397380084899"/>
    <n v="-9.5668628798180109"/>
    <s v="424"/>
    <s v="AL"/>
    <s v="Eixo Principal"/>
    <s v="Coinc"/>
    <s v="424BAL0230"/>
    <s v="ENTR BR-316(A)/AL-410(B) (FIM TRAV URB ATALAIA)"/>
    <s v="ENTR BR-101"/>
    <n v="73.8"/>
    <n v="80.599999999999994"/>
    <n v="6.8"/>
    <x v="2"/>
    <m/>
    <s v="316BAL1070"/>
    <s v="Federal"/>
    <m/>
    <m/>
    <m/>
    <s v="Federal"/>
    <s v="PAV"/>
    <s v="Maceió"/>
  </r>
  <r>
    <x v="0"/>
    <s v="424BAL0250"/>
    <n v="0"/>
    <x v="394"/>
    <s v="0250"/>
    <n v="-35.969397380084899"/>
    <n v="-9.5668628798180109"/>
    <n v="-35.954301969959801"/>
    <n v="-9.5903426298084398"/>
    <s v="424"/>
    <s v="AL"/>
    <s v="Eixo Principal"/>
    <s v="Coinc"/>
    <s v="424BAL0250"/>
    <s v="ENTR BR-101"/>
    <s v="ENTR BR-316 (RODOVIA SECUNDÁRIA)"/>
    <n v="80.599999999999994"/>
    <n v="83.7"/>
    <n v="3.1"/>
    <x v="2"/>
    <m/>
    <s v="316BAL1090"/>
    <s v="Federal"/>
    <m/>
    <m/>
    <m/>
    <s v="Federal"/>
    <s v="PAV"/>
    <s v="Maceió"/>
  </r>
  <r>
    <x v="0"/>
    <s v="424BAL0270"/>
    <n v="0"/>
    <x v="394"/>
    <s v="0270"/>
    <n v="-35.954301969959801"/>
    <n v="-9.5903426298084398"/>
    <n v="-35.939427509771598"/>
    <n v="-9.5909163001471107"/>
    <s v="424"/>
    <s v="AL"/>
    <s v="Eixo Principal"/>
    <s v="Coinc"/>
    <s v="424BAL0270"/>
    <s v="ENTR BR-316 (RODOVIA SECUNDÁRIA)"/>
    <s v="ACESSO A PILAR"/>
    <n v="83.7"/>
    <n v="85.4"/>
    <n v="1.7"/>
    <x v="2"/>
    <m/>
    <s v="316BAL1110"/>
    <s v="Federal"/>
    <m/>
    <m/>
    <m/>
    <s v="Federal"/>
    <s v="PAV"/>
    <s v="Maceió"/>
  </r>
  <r>
    <x v="0"/>
    <s v="424BAL0290"/>
    <n v="0"/>
    <x v="394"/>
    <s v="0290"/>
    <n v="-35.939427509771598"/>
    <n v="-9.5909163001471107"/>
    <n v="-35.879794519801102"/>
    <n v="-9.58782419982691"/>
    <s v="424"/>
    <s v="AL"/>
    <s v="Eixo Principal"/>
    <s v="Coinc"/>
    <s v="424BAL0290"/>
    <s v="ACESSO A PILAR"/>
    <s v="ENTR BR-316(B)"/>
    <n v="85.4"/>
    <n v="92"/>
    <n v="6.6"/>
    <x v="2"/>
    <m/>
    <s v="316BAL1130"/>
    <s v="Federal"/>
    <m/>
    <m/>
    <m/>
    <s v="Federal"/>
    <s v="PAV"/>
    <s v="Maceió"/>
  </r>
  <r>
    <x v="0"/>
    <s v="424BAL0310"/>
    <n v="0"/>
    <x v="394"/>
    <s v="0310"/>
    <n v="-35.879794519801102"/>
    <n v="-9.58782419982691"/>
    <n v="-35.808621659561801"/>
    <n v="-9.7048516502833806"/>
    <s v="424"/>
    <s v="AL"/>
    <s v="Eixo Principal"/>
    <s v="-"/>
    <s v="424BAL0310"/>
    <s v="ENTR BR-316(B)"/>
    <s v="ENTR AL-101(A) (ILHA DE SANTA RITA)"/>
    <n v="92"/>
    <n v="108.2"/>
    <n v="16.2"/>
    <x v="2"/>
    <m/>
    <m/>
    <s v="Federal"/>
    <m/>
    <m/>
    <m/>
    <s v="Federal"/>
    <s v="PAV"/>
    <s v="Maceió"/>
  </r>
  <r>
    <x v="0"/>
    <s v="424BAL0330"/>
    <n v="0"/>
    <x v="394"/>
    <s v="0330"/>
    <n v="-35.808621659561801"/>
    <n v="-9.7048516502833806"/>
    <n v="-35.721698750197099"/>
    <n v="-9.6736925299862193"/>
    <s v="424"/>
    <s v="AL"/>
    <s v="Eixo Principal"/>
    <s v="-"/>
    <s v="424BAL0330"/>
    <s v="ENTR AL-101(A) (ILHA DE SANTA RITA)"/>
    <s v="ENTR BR-316/AL-101(B) (PORTO MACEIÓ)"/>
    <n v="108.2"/>
    <n v="121.5"/>
    <n v="13.3"/>
    <x v="1"/>
    <m/>
    <m/>
    <s v="Estadual"/>
    <m/>
    <s v="AL-101"/>
    <s v="DUP"/>
    <s v="Estadual"/>
    <s v="PLA"/>
    <s v="Maceió"/>
  </r>
  <r>
    <x v="0"/>
    <s v="424BPE0010"/>
    <n v="0"/>
    <x v="395"/>
    <s v="0010"/>
    <n v="-37.062677970012203"/>
    <n v="-8.4303216502239504"/>
    <n v="-36.8748750301584"/>
    <n v="-8.5765626798237804"/>
    <s v="424"/>
    <s v="PE"/>
    <s v="Eixo Principal"/>
    <s v="-"/>
    <s v="424BPE0010"/>
    <s v="ENTR BR-232 (ARCOVERDE)"/>
    <s v="ENTR PE-217 (VENTUROSA)"/>
    <n v="0"/>
    <n v="29.7"/>
    <n v="29.7"/>
    <x v="2"/>
    <m/>
    <m/>
    <s v="Federal"/>
    <m/>
    <m/>
    <m/>
    <s v="Federal"/>
    <s v="PAV"/>
    <s v="Arcoverde"/>
  </r>
  <r>
    <x v="0"/>
    <s v="424BPE0030"/>
    <n v="0"/>
    <x v="395"/>
    <s v="0030"/>
    <n v="-36.8748750301584"/>
    <n v="-8.5765626798237804"/>
    <n v="-36.810446300156499"/>
    <n v="-8.6712292097601509"/>
    <s v="424"/>
    <s v="PE"/>
    <s v="Eixo Principal"/>
    <s v="-"/>
    <s v="424BPE0030"/>
    <s v="ENTR PE-217 (VENTUROSA)"/>
    <s v="ENTR PE-244 (P/ÁGUAS BELAS)"/>
    <n v="29.7"/>
    <n v="42.6"/>
    <n v="12.9"/>
    <x v="2"/>
    <m/>
    <m/>
    <s v="Federal"/>
    <m/>
    <m/>
    <m/>
    <s v="Federal"/>
    <s v="PAV"/>
    <s v="Arcoverde"/>
  </r>
  <r>
    <x v="0"/>
    <s v="424BPE0035"/>
    <n v="0"/>
    <x v="395"/>
    <s v="0035"/>
    <n v="-36.810446300156499"/>
    <n v="-8.6712292097601509"/>
    <n v="-36.643495910008099"/>
    <n v="-8.7632269898336403"/>
    <s v="424"/>
    <s v="PE"/>
    <s v="Eixo Principal"/>
    <s v="-"/>
    <s v="424BPE0035"/>
    <s v="ENTR PE-244 (P/ÁGUAS BELAS)"/>
    <s v="ENTR PE-193 (CAETÉS)"/>
    <n v="42.6"/>
    <n v="66.900000000000006"/>
    <n v="24.3"/>
    <x v="2"/>
    <m/>
    <m/>
    <s v="Federal"/>
    <m/>
    <m/>
    <m/>
    <s v="Federal"/>
    <s v="PAV"/>
    <s v="Arcoverde"/>
  </r>
  <r>
    <x v="0"/>
    <s v="424BPE0050"/>
    <n v="0"/>
    <x v="395"/>
    <s v="0050"/>
    <n v="-36.643495910008099"/>
    <n v="-8.7632269898336403"/>
    <n v="-36.507281090050199"/>
    <n v="-8.8768437704236405"/>
    <s v="424"/>
    <s v="PE"/>
    <s v="Eixo Principal"/>
    <s v="-"/>
    <s v="424BPE0050"/>
    <s v="ENTR PE-193 (CAETÉS)"/>
    <s v="ENTR BR-423 (GARANHUNS)"/>
    <n v="66.900000000000006"/>
    <n v="87.3"/>
    <n v="20.399999999999999"/>
    <x v="2"/>
    <m/>
    <m/>
    <s v="Federal"/>
    <m/>
    <m/>
    <m/>
    <s v="Federal"/>
    <s v="PAV"/>
    <s v="Arcoverde"/>
  </r>
  <r>
    <x v="0"/>
    <s v="424BPE0070"/>
    <n v="0"/>
    <x v="395"/>
    <s v="0070"/>
    <n v="-36.507281090050199"/>
    <n v="-8.8768437704236405"/>
    <n v="-36.521639649649998"/>
    <n v="-8.9722381495708898"/>
    <s v="424"/>
    <s v="PE"/>
    <s v="Eixo Principal"/>
    <s v="-"/>
    <s v="424BPE0070"/>
    <s v="ENTR BR-423 (GARANHUNS)"/>
    <s v="ENTR PE-218 (P/BOM CONSELHO)"/>
    <n v="87.3"/>
    <n v="101.9"/>
    <n v="14.6"/>
    <x v="2"/>
    <m/>
    <m/>
    <s v="Federal"/>
    <m/>
    <m/>
    <m/>
    <s v="Federal"/>
    <s v="PAV"/>
    <s v="Arcoverde"/>
  </r>
  <r>
    <x v="0"/>
    <s v="424BPE0090"/>
    <n v="0"/>
    <x v="395"/>
    <s v="0090"/>
    <n v="-36.521639649649998"/>
    <n v="-8.9722381495708898"/>
    <n v="-36.394450539960403"/>
    <n v="-9.0474380902956"/>
    <s v="424"/>
    <s v="PE"/>
    <s v="Eixo Principal"/>
    <s v="-"/>
    <s v="424BPE0090"/>
    <s v="ENTR PE-218 (P/BOM CONSELHO)"/>
    <s v="ENTR PE-187 (P/PALMEIRINA)"/>
    <n v="101.9"/>
    <n v="120.9"/>
    <n v="19"/>
    <x v="2"/>
    <m/>
    <m/>
    <s v="Federal"/>
    <m/>
    <m/>
    <m/>
    <s v="Federal"/>
    <s v="PAV"/>
    <s v="Arcoverde"/>
  </r>
  <r>
    <x v="0"/>
    <s v="424BPE0115"/>
    <n v="0"/>
    <x v="395"/>
    <s v="0115"/>
    <n v="-36.394450539960403"/>
    <n v="-9.0474380902956"/>
    <n v="-36.340388289787697"/>
    <n v="-9.1235694300850696"/>
    <s v="424"/>
    <s v="PE"/>
    <s v="Eixo Principal"/>
    <s v="-"/>
    <s v="424BPE0115"/>
    <s v="ENTR PE-187 (P/PALMEIRINA)"/>
    <s v="CORRENTES"/>
    <n v="120.9"/>
    <n v="133.5"/>
    <n v="12.6"/>
    <x v="2"/>
    <m/>
    <m/>
    <s v="Federal"/>
    <m/>
    <m/>
    <m/>
    <s v="Federal"/>
    <s v="PAV"/>
    <s v="Arcoverde"/>
  </r>
  <r>
    <x v="0"/>
    <s v="424BPE0130"/>
    <n v="0"/>
    <x v="395"/>
    <s v="0130"/>
    <n v="-36.340388289787697"/>
    <n v="-9.1235694300850696"/>
    <n v="-36.30198115001"/>
    <n v="-9.1752166003657791"/>
    <s v="424"/>
    <s v="PE"/>
    <s v="Eixo Principal"/>
    <s v="-"/>
    <s v="424BPE0130"/>
    <s v="CORRENTES"/>
    <s v="DIV PE/AL"/>
    <n v="133.5"/>
    <n v="142.19999999999999"/>
    <n v="8.6999999999999993"/>
    <x v="1"/>
    <m/>
    <m/>
    <s v="Estadual"/>
    <m/>
    <s v="PET-424"/>
    <s v="PAV"/>
    <s v="Estadual"/>
    <s v="PLA"/>
    <s v="Arcoverde"/>
  </r>
  <r>
    <x v="0"/>
    <s v="425BRO0010"/>
    <n v="0"/>
    <x v="396"/>
    <s v="0010"/>
    <n v="-65.373462999817505"/>
    <n v="-9.6956265603174607"/>
    <n v="-65.2216308598762"/>
    <n v="-9.7241025703772799"/>
    <s v="425"/>
    <s v="RO"/>
    <s v="Eixo Principal"/>
    <s v="Coinc"/>
    <s v="425BRO0010"/>
    <s v="ENTR BR-364(A) (FIM DA PISTA MARGINAL-ABUNÃ)"/>
    <s v="ENTR BR-364(B) (KM 911,3)"/>
    <n v="0"/>
    <n v="18.100000000000001"/>
    <n v="18.100000000000001"/>
    <x v="2"/>
    <m/>
    <s v="364BRO1475"/>
    <s v="Federal"/>
    <m/>
    <m/>
    <m/>
    <s v="Federal"/>
    <s v="PAV"/>
    <s v="Porto Velho"/>
  </r>
  <r>
    <x v="0"/>
    <s v="425BRO0020"/>
    <n v="0"/>
    <x v="396"/>
    <s v="0020"/>
    <n v="-65.2216308598762"/>
    <n v="-9.7241025703772799"/>
    <n v="-65.327084999672905"/>
    <n v="-10.4019138299592"/>
    <s v="425"/>
    <s v="RO"/>
    <s v="Eixo Principal"/>
    <s v="-"/>
    <s v="425BRO0020"/>
    <s v="ENTR BR-364(B) (KM 911,3)"/>
    <s v="ENTR BR-421(A) (NOVA MAMORÉ)"/>
    <n v="18.100000000000001"/>
    <n v="98.6"/>
    <n v="80.5"/>
    <x v="2"/>
    <m/>
    <m/>
    <s v="Federal"/>
    <m/>
    <m/>
    <m/>
    <s v="Federal"/>
    <s v="PAV"/>
    <s v="Porto Velho"/>
  </r>
  <r>
    <x v="0"/>
    <s v="425BRO0030"/>
    <n v="0"/>
    <x v="396"/>
    <s v="0030"/>
    <n v="-65.327084999672905"/>
    <n v="-10.4019138299592"/>
    <n v="-65.274264769903098"/>
    <n v="-10.7155125202865"/>
    <s v="425"/>
    <s v="RO"/>
    <s v="Eixo Principal"/>
    <s v="Coinc"/>
    <s v="425BRO0030"/>
    <s v="ENTR BR-421(A) (NOVA MAMORÉ)"/>
    <s v="ENTR BR-421(B) (ACESSO A MONTE NEGRO)"/>
    <n v="98.6"/>
    <n v="136.30000000000001"/>
    <n v="37.700000000000003"/>
    <x v="2"/>
    <m/>
    <s v="421BRO0110"/>
    <s v="Federal"/>
    <m/>
    <m/>
    <m/>
    <s v="Federal"/>
    <s v="PAV"/>
    <s v="Porto Velho"/>
  </r>
  <r>
    <x v="0"/>
    <s v="425BRO0040"/>
    <n v="0"/>
    <x v="396"/>
    <s v="0040"/>
    <n v="-65.274264769903098"/>
    <n v="-10.7155125202865"/>
    <n v="-65.300650820279003"/>
    <n v="-10.7491690300266"/>
    <s v="425"/>
    <s v="RO"/>
    <s v="Eixo Principal"/>
    <s v="Coinc"/>
    <s v="425BRO0040"/>
    <s v="ENTR BR-421(B) (ACESSO A MONTE NEGRO)"/>
    <s v="INÍCIO PISTA DUPLA (UNIR-CAMPUS GUAJARÁ)"/>
    <n v="136.30000000000001"/>
    <n v="141.19999999999999"/>
    <n v="4.9000000000000004"/>
    <x v="2"/>
    <m/>
    <s v="421BRO0120"/>
    <s v="Federal"/>
    <m/>
    <m/>
    <m/>
    <s v="Federal"/>
    <s v="PAV"/>
    <s v="Porto Velho"/>
  </r>
  <r>
    <x v="0"/>
    <s v="425BRO0050"/>
    <n v="0"/>
    <x v="396"/>
    <s v="0050"/>
    <n v="-65.300650820279003"/>
    <n v="-10.7491690300266"/>
    <n v="-65.326493129754098"/>
    <n v="-10.7739600500162"/>
    <s v="425"/>
    <s v="RO"/>
    <s v="Eixo Principal"/>
    <s v="Coinc"/>
    <s v="425BRO0050"/>
    <s v="INÍCIO PISTA DUPLA (UNIR-CAMPUS GUAJARÁ)"/>
    <s v="ROT. AV 15 NOV(BOIBÓDROMO)ENTR BR-421(C) ACESS.PONTE BR/BOL"/>
    <n v="141.19999999999999"/>
    <n v="145.1"/>
    <n v="3.9"/>
    <x v="2"/>
    <m/>
    <s v="421BRO0130"/>
    <s v="Federal"/>
    <m/>
    <m/>
    <m/>
    <s v="Federal"/>
    <s v="PAV"/>
    <s v="Porto Velho"/>
  </r>
  <r>
    <x v="0"/>
    <s v="425BRO0060"/>
    <n v="0"/>
    <x v="396"/>
    <s v="0060"/>
    <n v="-65.326493129754098"/>
    <n v="-10.7739600500162"/>
    <n v="-65.3483656401621"/>
    <n v="-10.7922252403025"/>
    <s v="425"/>
    <s v="RO"/>
    <s v="Eixo Principal"/>
    <s v="-"/>
    <s v="425BRO0060"/>
    <s v="ROT. AV 15 NOV(BOIBÓDROMO)ENTR BR-421(C) ACESS.PONTE BR/BOL"/>
    <s v="FRONT BRASIL/BOLIVIA (INÍCIO DA TRAVESSIA DO RIO MAMORÉ)"/>
    <n v="145.1"/>
    <n v="148.1"/>
    <n v="3"/>
    <x v="2"/>
    <m/>
    <m/>
    <s v="Federal"/>
    <m/>
    <m/>
    <m/>
    <s v="Federal"/>
    <s v="PAV"/>
    <s v="Porto Velho"/>
  </r>
  <r>
    <x v="0"/>
    <s v="426BPB0010"/>
    <n v="0"/>
    <x v="397"/>
    <s v="0010"/>
    <n v="-37.729118639613397"/>
    <n v="-6.88922322027536"/>
    <n v="-37.799323439924699"/>
    <n v="-6.9627448003322403"/>
    <s v="426"/>
    <s v="PB"/>
    <s v="Eixo Principal"/>
    <s v="-"/>
    <s v="426BPB0010"/>
    <s v="ENTR BR-230 (SÃO BENTINHO)"/>
    <s v="CAJAZEIRINHAS"/>
    <n v="0"/>
    <n v="12.7"/>
    <n v="12.7"/>
    <x v="1"/>
    <m/>
    <m/>
    <s v="Estadual"/>
    <m/>
    <s v="PB-366"/>
    <s v="PAV"/>
    <s v="Estadual"/>
    <s v="PLA"/>
    <s v="Patos"/>
  </r>
  <r>
    <x v="0"/>
    <s v="426BPB0020"/>
    <n v="0"/>
    <x v="397"/>
    <s v="0020"/>
    <n v="-37.799323439924699"/>
    <n v="-6.9627448003322403"/>
    <n v="-37.958679649845898"/>
    <n v="-7.0152754196248504"/>
    <s v="426"/>
    <s v="PB"/>
    <s v="Eixo Principal"/>
    <s v="-"/>
    <s v="426BPB0020"/>
    <s v="CAJAZEIRINHAS"/>
    <s v="ENTR PB-348 (COREMAS)"/>
    <n v="12.7"/>
    <n v="34.799999999999997"/>
    <n v="22.1"/>
    <x v="1"/>
    <m/>
    <m/>
    <s v="Estadual"/>
    <m/>
    <s v="PB-366"/>
    <s v="PAV"/>
    <s v="Estadual"/>
    <s v="PLA"/>
    <s v="Patos"/>
  </r>
  <r>
    <x v="0"/>
    <s v="426BPB0030"/>
    <n v="0"/>
    <x v="397"/>
    <s v="0030"/>
    <n v="-37.958679649845898"/>
    <n v="-7.0152754196248504"/>
    <n v="-37.965528089749498"/>
    <n v="-7.2152108398083703"/>
    <s v="426"/>
    <s v="PB"/>
    <s v="Eixo Principal"/>
    <s v="-"/>
    <s v="426BPB0030"/>
    <s v="ENTR PB-348 (COREMAS)"/>
    <s v="ENTR BR-361(A)"/>
    <n v="34.799999999999997"/>
    <n v="62.4"/>
    <n v="27.6"/>
    <x v="1"/>
    <m/>
    <m/>
    <s v="Estadual"/>
    <m/>
    <s v="PB-342"/>
    <s v="IMP"/>
    <s v="Estadual"/>
    <s v="PLA"/>
    <s v="Patos"/>
  </r>
  <r>
    <x v="0"/>
    <s v="426BPB0040"/>
    <n v="0"/>
    <x v="397"/>
    <s v="0040"/>
    <n v="-37.965528089749498"/>
    <n v="-7.2152108398083703"/>
    <n v="-37.926565370395501"/>
    <n v="-7.2022919796910401"/>
    <s v="426"/>
    <s v="PB"/>
    <s v="Eixo Principal"/>
    <s v="Coinc"/>
    <s v="426BPB0040"/>
    <s v="ENTR BR-361(A)"/>
    <s v="ENTR BR-361(B) (PIANCÓ)"/>
    <n v="62.4"/>
    <n v="67.400000000000006"/>
    <n v="5"/>
    <x v="2"/>
    <m/>
    <s v="361BPB0030"/>
    <s v="Federal"/>
    <m/>
    <m/>
    <m/>
    <s v="Federal"/>
    <s v="PAV"/>
    <s v="Patos"/>
  </r>
  <r>
    <x v="0"/>
    <s v="426BPB0050"/>
    <n v="0"/>
    <x v="397"/>
    <s v="0050"/>
    <n v="-37.926565370395501"/>
    <n v="-7.2022919796910401"/>
    <n v="-37.984595499582603"/>
    <n v="-7.3815583199604404"/>
    <s v="426"/>
    <s v="PB"/>
    <s v="Eixo Principal"/>
    <s v="-"/>
    <s v="426BPB0050"/>
    <s v="ENTR BR-361(B) (PIANCÓ)"/>
    <s v="SANTANA DOS GARROTES"/>
    <n v="67.400000000000006"/>
    <n v="87.6"/>
    <n v="20.2"/>
    <x v="2"/>
    <m/>
    <m/>
    <s v="Federal"/>
    <m/>
    <m/>
    <m/>
    <s v="Federal"/>
    <s v="PAV"/>
    <s v="Patos"/>
  </r>
  <r>
    <x v="0"/>
    <s v="426BPB0055"/>
    <n v="0"/>
    <x v="397"/>
    <s v="0055"/>
    <n v="-37.984595499582603"/>
    <n v="-7.3815583199604404"/>
    <n v="-37.996131339989198"/>
    <n v="-7.4476940603325898"/>
    <s v="426"/>
    <s v="PB"/>
    <s v="Eixo Principal"/>
    <s v="-"/>
    <s v="426BPB0055"/>
    <s v="SANTANA DOS GARROTES"/>
    <s v="ENTR PB-356(A) (P/NOVA OLINDA)"/>
    <n v="87.6"/>
    <n v="95.3"/>
    <n v="7.7"/>
    <x v="5"/>
    <s v="EOP"/>
    <m/>
    <s v="Federal"/>
    <m/>
    <m/>
    <m/>
    <s v="Federal"/>
    <s v="N_PAV"/>
    <s v="Patos"/>
  </r>
  <r>
    <x v="0"/>
    <s v="426BPB0070"/>
    <n v="0"/>
    <x v="397"/>
    <s v="0070"/>
    <n v="-37.996131339989198"/>
    <n v="-7.4476940603325898"/>
    <n v="-37.877824999624004"/>
    <n v="-7.6431759999723496"/>
    <s v="426"/>
    <s v="PB"/>
    <s v="Eixo Principal"/>
    <s v="-"/>
    <s v="426BPB0070"/>
    <s v="ENTR PB-356(A) (P/NOVA OLINDA)"/>
    <s v="ENTR PB-306(A)/356(B) (TAVARES)"/>
    <n v="95.3"/>
    <n v="134.4"/>
    <n v="39.1"/>
    <x v="1"/>
    <m/>
    <m/>
    <s v="Estadual"/>
    <m/>
    <s v="PB-356"/>
    <s v="LEN"/>
    <s v="Estadual"/>
    <s v="PLA"/>
    <s v="Patos"/>
  </r>
  <r>
    <x v="0"/>
    <s v="426BPB0090"/>
    <n v="0"/>
    <x v="397"/>
    <s v="0090"/>
    <n v="-37.877824999624004"/>
    <n v="-7.6431759999723496"/>
    <n v="-37.991403999694697"/>
    <n v="-7.7365419996135598"/>
    <s v="426"/>
    <s v="PB"/>
    <s v="Eixo Principal"/>
    <s v="-"/>
    <s v="426BPB0090"/>
    <s v="ENTR PB-306(A)/356(B) (TAVARES)"/>
    <s v="ENTR PB-374 (PRINCESA ISABEL)"/>
    <n v="134.4"/>
    <n v="153.30000000000001"/>
    <n v="18.899999999999999"/>
    <x v="1"/>
    <m/>
    <m/>
    <s v="Estadual"/>
    <m/>
    <s v="PB-306"/>
    <s v="PAV"/>
    <s v="Estadual"/>
    <s v="PLA"/>
    <s v="Patos"/>
  </r>
  <r>
    <x v="0"/>
    <s v="426BPB0110"/>
    <n v="0"/>
    <x v="397"/>
    <s v="0110"/>
    <n v="-37.991403999694697"/>
    <n v="-7.7365419996135598"/>
    <n v="-38.013047719876297"/>
    <n v="-7.7596264499006704"/>
    <s v="426"/>
    <s v="PB"/>
    <s v="Eixo Principal"/>
    <s v="-"/>
    <s v="426BPB0110"/>
    <s v="ENTR PB-374 (PRINCESA ISABEL)"/>
    <s v="ENTR PB-306(B) (DIV PB/PE)"/>
    <n v="153.30000000000001"/>
    <n v="158.4"/>
    <n v="5.0999999999999996"/>
    <x v="1"/>
    <m/>
    <m/>
    <s v="Estadual"/>
    <m/>
    <s v="PB-306"/>
    <s v="PAV"/>
    <s v="Estadual"/>
    <s v="PLA"/>
    <s v="Patos"/>
  </r>
  <r>
    <x v="0"/>
    <s v="426BPE0130"/>
    <n v="0"/>
    <x v="398"/>
    <s v="0130"/>
    <n v="-38.013047719876297"/>
    <n v="-7.7596264499006704"/>
    <n v="-37.983285039872598"/>
    <n v="-7.8592243996862399"/>
    <s v="426"/>
    <s v="PE"/>
    <s v="Eixo Principal"/>
    <s v="-"/>
    <s v="426BPE0130"/>
    <s v="DIV PB/PE (IRAGUAÇU)"/>
    <s v="ENTR PE-320 (FLÔRES)"/>
    <n v="0"/>
    <n v="13.2"/>
    <n v="13.2"/>
    <x v="1"/>
    <m/>
    <m/>
    <s v="Estadual"/>
    <m/>
    <s v="PE-337"/>
    <s v="PAV"/>
    <s v="Estadual"/>
    <s v="PLA"/>
    <s v="Arcoverde"/>
  </r>
  <r>
    <x v="0"/>
    <s v="426BPE0150"/>
    <n v="0"/>
    <x v="398"/>
    <s v="0150"/>
    <n v="-37.983285039872598"/>
    <n v="-7.8592243996862399"/>
    <n v="-37.843162109843398"/>
    <n v="-8.0470513901095106"/>
    <s v="426"/>
    <s v="PE"/>
    <s v="Eixo Principal"/>
    <s v="-"/>
    <s v="426BPE0150"/>
    <s v="ENTR PE-320 (FLÔRES)"/>
    <s v="ENTR BR-232 (SÍTIO DOS NUNES)"/>
    <n v="13.2"/>
    <n v="41.7"/>
    <n v="28.5"/>
    <x v="1"/>
    <m/>
    <m/>
    <s v="Estadual"/>
    <m/>
    <s v="PE-337"/>
    <s v="PAV"/>
    <s v="Estadual"/>
    <s v="PLA"/>
    <s v="Arcoverde"/>
  </r>
  <r>
    <x v="0"/>
    <s v="427BPB0210"/>
    <n v="0"/>
    <x v="399"/>
    <s v="0210"/>
    <n v="-37.4930807398841"/>
    <n v="-6.6546161302301803"/>
    <n v="-37.556072210264198"/>
    <n v="-6.66178804008592"/>
    <s v="427"/>
    <s v="PB"/>
    <s v="Eixo Principal"/>
    <s v="-"/>
    <s v="427BPB0210"/>
    <s v="DIV RN/PB"/>
    <s v="ENTR PB-293(A)"/>
    <n v="0"/>
    <n v="7.4"/>
    <n v="7.4"/>
    <x v="2"/>
    <m/>
    <m/>
    <s v="Federal"/>
    <m/>
    <m/>
    <m/>
    <s v="Federal"/>
    <s v="PAV"/>
    <s v="Patos"/>
  </r>
  <r>
    <x v="0"/>
    <s v="427BPB0230"/>
    <n v="0"/>
    <x v="399"/>
    <s v="0230"/>
    <n v="-37.556072210264198"/>
    <n v="-6.66178804008592"/>
    <n v="-37.569223850000597"/>
    <n v="-6.6706269503733804"/>
    <s v="427"/>
    <s v="PB"/>
    <s v="Eixo Principal"/>
    <s v="-"/>
    <s v="427BPB0230"/>
    <s v="ENTR PB-293(A)"/>
    <s v="ENTR PB-293(B)"/>
    <n v="7.4"/>
    <n v="9.1999999999999993"/>
    <n v="1.8"/>
    <x v="2"/>
    <m/>
    <m/>
    <s v="Federal"/>
    <m/>
    <m/>
    <m/>
    <s v="Federal"/>
    <s v="PAV"/>
    <s v="Patos"/>
  </r>
  <r>
    <x v="0"/>
    <s v="427BPB0250"/>
    <n v="0"/>
    <x v="399"/>
    <s v="0250"/>
    <n v="-37.569223850000597"/>
    <n v="-6.6706269503733804"/>
    <n v="-37.796031309697099"/>
    <n v="-6.7695506901122204"/>
    <s v="427"/>
    <s v="PB"/>
    <s v="Eixo Principal"/>
    <s v="-"/>
    <s v="427BPB0250"/>
    <s v="ENTR PB-293(B)"/>
    <s v="ENTR BR-230 (POMBAL)"/>
    <n v="9.1999999999999993"/>
    <n v="37.9"/>
    <n v="28.7"/>
    <x v="2"/>
    <m/>
    <m/>
    <s v="Federal"/>
    <m/>
    <m/>
    <m/>
    <s v="Federal"/>
    <s v="PAV"/>
    <s v="Patos"/>
  </r>
  <r>
    <x v="0"/>
    <s v="427BRN0010"/>
    <n v="0"/>
    <x v="400"/>
    <s v="0010"/>
    <n v="-36.521868510023602"/>
    <n v="-6.2664134196435199"/>
    <n v="-36.522661620337402"/>
    <n v="-6.2686827203312401"/>
    <s v="427"/>
    <s v="RN"/>
    <s v="Eixo Principal"/>
    <s v="-"/>
    <s v="427BRN0010"/>
    <s v="ENTR R. WALKER MACEDO (CURRAIS NOVOS)*TRECHO URBANO*"/>
    <s v="ENTR BR-226(A) (CURRAIS NOVOS) *TRECHO URBANO*"/>
    <n v="0"/>
    <n v="0.2"/>
    <n v="0.2"/>
    <x v="2"/>
    <m/>
    <m/>
    <s v="Federal"/>
    <m/>
    <m/>
    <m/>
    <s v="Federal"/>
    <s v="PAV"/>
    <s v="Currais Novos"/>
  </r>
  <r>
    <x v="0"/>
    <s v="427BRN0020"/>
    <n v="0"/>
    <x v="400"/>
    <s v="0020"/>
    <n v="-36.522661620337402"/>
    <n v="-6.2686827203312401"/>
    <n v="-36.522409720232297"/>
    <n v="-6.2775763597611496"/>
    <s v="427"/>
    <s v="RN"/>
    <s v="Eixo Principal"/>
    <s v="Coinc"/>
    <s v="427BRN0020"/>
    <s v="ENTR BR-226(A) (CURRAIS NOVOS) *TRECHO URBANO*"/>
    <s v="ENTR BR-226(B) (P/SÃO VICENTE)*TRECHO URBANO*"/>
    <n v="0.2"/>
    <n v="1.3"/>
    <n v="1.1000000000000001"/>
    <x v="2"/>
    <m/>
    <s v="226BRN0200"/>
    <s v="Federal"/>
    <m/>
    <m/>
    <m/>
    <s v="Federal"/>
    <s v="PAV"/>
    <s v="Currais Novos"/>
  </r>
  <r>
    <x v="0"/>
    <s v="427BRN0030"/>
    <n v="0"/>
    <x v="400"/>
    <s v="0030"/>
    <n v="-36.522409720232297"/>
    <n v="-6.2775763597611496"/>
    <n v="-36.639771400129902"/>
    <n v="-6.4319125198468896"/>
    <s v="427"/>
    <s v="RN"/>
    <s v="Eixo Principal"/>
    <s v="-"/>
    <s v="427BRN0030"/>
    <s v="ENTR BR-226(B) (P/SÃO VICENTE)"/>
    <s v="ENTR RN-288(A)  (ROD. DEP. WILLY SALDANHA) (ACARÍ)"/>
    <n v="1.3"/>
    <n v="27.2"/>
    <n v="25.9"/>
    <x v="2"/>
    <m/>
    <m/>
    <s v="Federal"/>
    <m/>
    <m/>
    <m/>
    <s v="Federal"/>
    <s v="PAV"/>
    <s v="Currais Novos"/>
  </r>
  <r>
    <x v="0"/>
    <s v="427BRN0070"/>
    <n v="0"/>
    <x v="400"/>
    <s v="0070"/>
    <n v="-36.639771400129902"/>
    <n v="-6.4319125198468896"/>
    <n v="-36.651074739707397"/>
    <n v="-6.5390841399211004"/>
    <s v="427"/>
    <s v="RN"/>
    <s v="Eixo Principal"/>
    <s v="-"/>
    <s v="427BRN0070"/>
    <s v="ENTR RN-288(A)  (ROD. DEP. WILLY SALDANHA) (ACARÍ)"/>
    <s v="ENTR RN-288(B) (ROD. DEP. WILLY SALDANHA) (P/CARNAÚBA DOS DANTAS)"/>
    <n v="27.2"/>
    <n v="39.6"/>
    <n v="12.4"/>
    <x v="2"/>
    <m/>
    <m/>
    <s v="Federal"/>
    <m/>
    <m/>
    <m/>
    <s v="Federal"/>
    <s v="PAV"/>
    <s v="Currais Novos"/>
  </r>
  <r>
    <x v="0"/>
    <s v="427BRN0080"/>
    <n v="0"/>
    <x v="400"/>
    <s v="0080"/>
    <n v="-36.651074739707397"/>
    <n v="-6.5390841399211004"/>
    <n v="-36.768893730261397"/>
    <n v="-6.5898252900050798"/>
    <s v="427"/>
    <s v="RN"/>
    <s v="Eixo Principal"/>
    <s v="-"/>
    <s v="427BRN0080"/>
    <s v="ENTR RN-288(B) (ROD. DEP. WILLY SALDANHA) (P/CARNAÚBA DOS DANTAS)"/>
    <s v="ENTR RN-088 (JARDIM DO SERIDÓ) (P/PARELHAS)"/>
    <n v="39.6"/>
    <n v="54.6"/>
    <n v="15"/>
    <x v="2"/>
    <m/>
    <m/>
    <s v="Federal"/>
    <m/>
    <m/>
    <m/>
    <s v="Federal"/>
    <s v="PAV"/>
    <s v="Currais Novos"/>
  </r>
  <r>
    <x v="0"/>
    <s v="427BRN0090"/>
    <n v="0"/>
    <x v="400"/>
    <s v="0090"/>
    <n v="-36.768893730261397"/>
    <n v="-6.5898252900050798"/>
    <n v="-36.793549399584997"/>
    <n v="-6.5952699097784899"/>
    <s v="427"/>
    <s v="RN"/>
    <s v="Eixo Principal"/>
    <s v="-"/>
    <s v="427BRN0090"/>
    <s v="ENTR RN-088 (JARDIM DO SERIDÓ) (P/PARELHAS)"/>
    <s v="ENTR RN-089 (P/ OURO BRANCO)"/>
    <n v="54.6"/>
    <n v="57.5"/>
    <n v="2.9"/>
    <x v="2"/>
    <m/>
    <m/>
    <s v="Federal"/>
    <m/>
    <m/>
    <m/>
    <s v="Federal"/>
    <s v="PAV"/>
    <s v="Currais Novos"/>
  </r>
  <r>
    <x v="0"/>
    <s v="427BRN0110"/>
    <n v="0"/>
    <x v="400"/>
    <s v="0110"/>
    <n v="-36.793549399584997"/>
    <n v="-6.5952699097784899"/>
    <n v="-37.062831559828503"/>
    <n v="-6.4819100196316404"/>
    <s v="427"/>
    <s v="RN"/>
    <s v="Eixo Principal"/>
    <s v="-"/>
    <s v="427BRN0110"/>
    <s v="ENTR RN-089 (P/ OURO BRANCO)"/>
    <s v="ENTR RN-118(A) (CAICÓ)*TRECHO URBANO*"/>
    <n v="57.5"/>
    <n v="93.7"/>
    <n v="36.200000000000003"/>
    <x v="2"/>
    <m/>
    <m/>
    <s v="Federal"/>
    <m/>
    <m/>
    <m/>
    <s v="Federal"/>
    <s v="PAV"/>
    <s v="Currais Novos"/>
  </r>
  <r>
    <x v="0"/>
    <s v="427BRN0120"/>
    <n v="0"/>
    <x v="400"/>
    <s v="0120"/>
    <n v="-37.062831559828503"/>
    <n v="-6.4819100196316404"/>
    <n v="-37.097233819784798"/>
    <n v="-6.4594155398951898"/>
    <s v="427"/>
    <s v="RN"/>
    <s v="Eixo Principal"/>
    <s v="-"/>
    <s v="427BRN0120"/>
    <s v="ENTR RN-118(A) (CAICÓ)*TRECHO URBANO*"/>
    <s v="ENTR RN-118(B)/288(C)(ROD. DEP. WILLY SALDANHA)(CAICÓ)*TRECHO URBANO*"/>
    <n v="93.7"/>
    <n v="98.7"/>
    <n v="5"/>
    <x v="2"/>
    <m/>
    <m/>
    <s v="Federal"/>
    <m/>
    <m/>
    <m/>
    <s v="Federal"/>
    <s v="PAV"/>
    <s v="Currais Novos"/>
  </r>
  <r>
    <x v="0"/>
    <s v="427BRN0140"/>
    <n v="0"/>
    <x v="400"/>
    <s v="0140"/>
    <n v="-37.097233819784798"/>
    <n v="-6.4594155398951898"/>
    <n v="-37.125574970208604"/>
    <n v="-6.4528265499052901"/>
    <s v="427"/>
    <s v="RN"/>
    <s v="Eixo Principal"/>
    <s v="-"/>
    <s v="427BRN0140"/>
    <s v="ENTR RN-118(B)/288(C)(ROD. DEP. WILLY SALDANHA)(CAICÓ)*TRECHO URBANO*"/>
    <s v="FIM CONTORNO DE CAICÓ"/>
    <n v="98.7"/>
    <n v="102.2"/>
    <n v="3.5"/>
    <x v="2"/>
    <m/>
    <m/>
    <s v="Federal"/>
    <m/>
    <m/>
    <m/>
    <s v="Federal"/>
    <s v="PAV"/>
    <s v="Currais Novos"/>
  </r>
  <r>
    <x v="0"/>
    <s v="427BRN0150"/>
    <n v="0"/>
    <x v="400"/>
    <s v="0150"/>
    <n v="-37.125574970208604"/>
    <n v="-6.4528265499052901"/>
    <n v="-37.187782860390598"/>
    <n v="-6.4394383695850399"/>
    <s v="427"/>
    <s v="RN"/>
    <s v="Eixo Principal"/>
    <s v="-"/>
    <s v="427BRN0150"/>
    <s v="FIM CONTORNO DE CAICÓ"/>
    <s v="ENTR RN-288(D)(ROD. DEP. WILLY SALDANHA)(P/ JARDIM DE PIRANHAS)"/>
    <n v="102.2"/>
    <n v="109.3"/>
    <n v="7.1"/>
    <x v="2"/>
    <m/>
    <m/>
    <s v="Federal"/>
    <m/>
    <m/>
    <m/>
    <s v="Federal"/>
    <s v="PAV"/>
    <s v="Currais Novos"/>
  </r>
  <r>
    <x v="0"/>
    <s v="427BRN0170"/>
    <n v="0"/>
    <x v="400"/>
    <s v="0170"/>
    <n v="-37.187782860390598"/>
    <n v="-6.4394383695850399"/>
    <n v="-37.205517510024997"/>
    <n v="-6.4698060100392896"/>
    <s v="427"/>
    <s v="RN"/>
    <s v="Eixo Principal"/>
    <s v="-"/>
    <s v="427BRN0170"/>
    <s v="ENTR RN-288(D)(ROD. DEP. WILLY SALDANHA)(P/ JARDIM DE PIRANHAS)"/>
    <s v="ENTR RN-084 (P/TIMBAÚBA DOS BATISTAS)"/>
    <n v="109.3"/>
    <n v="113.6"/>
    <n v="4.3"/>
    <x v="2"/>
    <m/>
    <m/>
    <s v="Federal"/>
    <m/>
    <m/>
    <m/>
    <s v="Federal"/>
    <s v="PAV"/>
    <s v="Currais Novos"/>
  </r>
  <r>
    <x v="0"/>
    <s v="427BRN0180"/>
    <n v="0"/>
    <x v="400"/>
    <s v="0180"/>
    <n v="-37.205517510024997"/>
    <n v="-6.4698060100392896"/>
    <n v="-37.3856643702144"/>
    <n v="-6.65911850961146"/>
    <s v="427"/>
    <s v="RN"/>
    <s v="Eixo Principal"/>
    <s v="-"/>
    <s v="427BRN0180"/>
    <s v="ENTR RN-084 (P/TIMBAÚBA DOS BATISTAS)"/>
    <s v="ENTR RN-089 (P/ SERRA NEGRA DO NORTE)"/>
    <n v="113.6"/>
    <n v="143.80000000000001"/>
    <n v="30.2"/>
    <x v="2"/>
    <m/>
    <m/>
    <s v="Federal"/>
    <m/>
    <m/>
    <m/>
    <s v="Federal"/>
    <s v="PAV"/>
    <s v="Currais Novos"/>
  </r>
  <r>
    <x v="0"/>
    <s v="427BRN0185"/>
    <n v="0"/>
    <x v="400"/>
    <s v="0185"/>
    <n v="-37.3856643702144"/>
    <n v="-6.65911850961146"/>
    <n v="-37.413460109696203"/>
    <n v="-6.6707946496533097"/>
    <s v="427"/>
    <s v="RN"/>
    <s v="Eixo Principal"/>
    <s v="-"/>
    <s v="427BRN0185"/>
    <s v="ENTR RN-089 (P/ SERRA NEGRA DO NORTE)"/>
    <s v="ENTR BR-110(A)"/>
    <n v="143.80000000000001"/>
    <n v="147.4"/>
    <n v="3.6"/>
    <x v="2"/>
    <m/>
    <m/>
    <s v="Federal"/>
    <m/>
    <m/>
    <m/>
    <s v="Federal"/>
    <s v="PAV"/>
    <s v="Currais Novos"/>
  </r>
  <r>
    <x v="0"/>
    <s v="427BRN0190"/>
    <n v="0"/>
    <x v="400"/>
    <s v="0190"/>
    <n v="-37.413460109696203"/>
    <n v="-6.6707946496533097"/>
    <n v="-37.461262769960697"/>
    <n v="-6.6427080001740197"/>
    <s v="427"/>
    <s v="RN"/>
    <s v="Eixo Principal"/>
    <s v="Coinc"/>
    <s v="427BRN0190"/>
    <s v="ENTR BR-110(A)"/>
    <s v="ENTR BR-110(B)"/>
    <n v="147.4"/>
    <n v="154"/>
    <n v="6.6"/>
    <x v="2"/>
    <m/>
    <s v="110BRN0170"/>
    <s v="Federal"/>
    <m/>
    <m/>
    <m/>
    <s v="Federal"/>
    <s v="PAV"/>
    <s v="Currais Novos"/>
  </r>
  <r>
    <x v="0"/>
    <s v="427BRN0200"/>
    <n v="0"/>
    <x v="400"/>
    <s v="0200"/>
    <n v="-37.461262769960697"/>
    <n v="-6.6427080001740197"/>
    <n v="-37.4930807398841"/>
    <n v="-6.6546161302301803"/>
    <s v="427"/>
    <s v="RN"/>
    <s v="Eixo Principal"/>
    <s v="-"/>
    <s v="427BRN0200"/>
    <s v="ENTR BR-110(B)"/>
    <s v="DIV RN/PB"/>
    <n v="154"/>
    <n v="157.80000000000001"/>
    <n v="3.8"/>
    <x v="2"/>
    <m/>
    <m/>
    <s v="Federal"/>
    <m/>
    <m/>
    <m/>
    <s v="Federal"/>
    <s v="PAV"/>
    <s v="Currais Novos"/>
  </r>
  <r>
    <x v="0"/>
    <s v="427CRN1005"/>
    <n v="0"/>
    <x v="401"/>
    <s v="1005"/>
    <n v="-37.062831559828503"/>
    <n v="-6.4819100196316404"/>
    <n v="-37.054851610013699"/>
    <n v="-6.4563113104185801"/>
    <s v="427"/>
    <s v="RN"/>
    <s v="Contorno"/>
    <s v="-"/>
    <s v="427CRN1005"/>
    <s v="ENTR BR-427(A)/RN-118(A) (P/SÃO JOÃO DO SABUGI)"/>
    <s v="ENTR RN-288 (A) (ROD. DEP. WILLY SALDANHA)"/>
    <n v="0"/>
    <n v="3"/>
    <n v="3"/>
    <x v="2"/>
    <m/>
    <m/>
    <s v="Federal"/>
    <m/>
    <m/>
    <m/>
    <s v="Federal"/>
    <s v="PAV"/>
    <s v="Currais Novos"/>
  </r>
  <r>
    <x v="0"/>
    <s v="427CRN1010"/>
    <n v="0"/>
    <x v="401"/>
    <s v="1010"/>
    <n v="-37.083647769728699"/>
    <n v="-6.4294261399043604"/>
    <n v="-37.054851610013699"/>
    <n v="-6.4563113104185801"/>
    <s v="427"/>
    <s v="RN"/>
    <s v="Contorno"/>
    <s v="-"/>
    <s v="427CRN1010"/>
    <s v="ENTR RN-288 (A) (ROD. DEP. WILLY SALDANHA)"/>
    <s v="ENTR RN-118"/>
    <n v="3"/>
    <n v="9.5"/>
    <n v="6.5"/>
    <x v="2"/>
    <m/>
    <m/>
    <s v="Federal"/>
    <m/>
    <m/>
    <m/>
    <s v="Federal"/>
    <s v="PAV"/>
    <s v="Currais Novos"/>
  </r>
  <r>
    <x v="0"/>
    <s v="427CRN1015"/>
    <n v="0"/>
    <x v="401"/>
    <s v="1015"/>
    <n v="-37.125574970208604"/>
    <n v="-6.4528265499052901"/>
    <n v="-37.083647769728699"/>
    <n v="-6.4294261399043604"/>
    <s v="427"/>
    <s v="RN"/>
    <s v="Contorno"/>
    <s v="-"/>
    <s v="427CRN1015"/>
    <s v="ENTR RN-118"/>
    <s v="ENTR BR-427(KM 102,2)/RN-288(B)"/>
    <n v="9.5"/>
    <n v="15.4"/>
    <n v="5.9"/>
    <x v="2"/>
    <m/>
    <m/>
    <s v="Federal"/>
    <m/>
    <m/>
    <m/>
    <s v="Federal"/>
    <s v="PAV"/>
    <s v="Currais Novos"/>
  </r>
  <r>
    <x v="0"/>
    <s v="427URN1005"/>
    <n v="0"/>
    <x v="402"/>
    <s v="1005"/>
    <n v="-36.636079790150099"/>
    <n v="-6.4460754795996396"/>
    <n v="-36.639032990180198"/>
    <n v="-6.4387227097851598"/>
    <s v="427"/>
    <s v="RN"/>
    <s v="Travessia Urbana"/>
    <s v="-"/>
    <s v="427URN1005"/>
    <s v="ACESSO ACARÍ(KM 28)"/>
    <s v="ENTR BR-427 (KM 28,9)"/>
    <n v="0"/>
    <n v="1"/>
    <n v="1"/>
    <x v="2"/>
    <m/>
    <m/>
    <s v="Federal"/>
    <m/>
    <m/>
    <m/>
    <s v="Federal"/>
    <s v="PAV"/>
    <s v="Currais Novos"/>
  </r>
  <r>
    <x v="0"/>
    <s v="428BPE0010"/>
    <n v="0"/>
    <x v="403"/>
    <s v="0010"/>
    <n v="-39.2261571601247"/>
    <n v="-8.5482523896360405"/>
    <n v="-39.312602210223702"/>
    <n v="-8.5074817101127493"/>
    <s v="428"/>
    <s v="PE"/>
    <s v="Eixo Principal"/>
    <s v="Coinc"/>
    <s v="428BPE0010"/>
    <s v="ENTR BR-116/316(A)"/>
    <s v="ENTR BR-316(B) (CABROBÓ)"/>
    <n v="0"/>
    <n v="10.6"/>
    <n v="10.6"/>
    <x v="2"/>
    <m/>
    <s v="316BPE0690"/>
    <s v="Federal"/>
    <m/>
    <m/>
    <m/>
    <s v="Federal"/>
    <s v="PAV"/>
    <s v="Salgueiro"/>
  </r>
  <r>
    <x v="0"/>
    <s v="428BPE0030"/>
    <n v="0"/>
    <x v="403"/>
    <s v="0030"/>
    <n v="-39.312602210223702"/>
    <n v="-8.5074817101127493"/>
    <n v="-39.877821189696"/>
    <n v="-8.7904607996261408"/>
    <s v="428"/>
    <s v="PE"/>
    <s v="Eixo Principal"/>
    <s v="-"/>
    <s v="428BPE0030"/>
    <s v="ENTR BR-316(B) (CABROBÓ)"/>
    <s v="ENTR PE-570 (P/SANTA MARIA DA BOA VISTA)"/>
    <n v="10.6"/>
    <n v="89.5"/>
    <n v="78.900000000000006"/>
    <x v="2"/>
    <m/>
    <m/>
    <s v="Federal"/>
    <m/>
    <m/>
    <m/>
    <s v="Federal"/>
    <s v="PAV"/>
    <s v="Petrolina"/>
  </r>
  <r>
    <x v="0"/>
    <s v="428BPE0050"/>
    <n v="0"/>
    <x v="403"/>
    <s v="0050"/>
    <n v="-39.877821189696"/>
    <n v="-8.7904607996261408"/>
    <n v="-40.271764409599697"/>
    <n v="-8.9927315199436109"/>
    <s v="428"/>
    <s v="PE"/>
    <s v="Eixo Principal"/>
    <s v="-"/>
    <s v="428BPE0050"/>
    <s v="ENTR PE-570 (P/SANTA MARIA DA BOA VISTA)"/>
    <s v="ENTR BR-122(A) (LAGOA GRANDE)"/>
    <n v="89.5"/>
    <n v="140.19999999999999"/>
    <n v="50.7"/>
    <x v="2"/>
    <m/>
    <m/>
    <s v="Federal"/>
    <m/>
    <m/>
    <m/>
    <s v="Federal"/>
    <s v="PAV"/>
    <s v="Petrolina"/>
  </r>
  <r>
    <x v="0"/>
    <s v="428BPE0060"/>
    <n v="0"/>
    <x v="403"/>
    <s v="0060"/>
    <n v="-40.271764409599697"/>
    <n v="-8.9927315199436109"/>
    <n v="-40.525928649687302"/>
    <n v="-9.3873367496911992"/>
    <s v="428"/>
    <s v="PE"/>
    <s v="Eixo Principal"/>
    <s v="Coinc"/>
    <s v="428BPE0060"/>
    <s v="ENTR BR-122(A) (LAGOA GRANDE)"/>
    <s v="ENTR BR-122(B)/407(B)/428(B) (DIV PE/BA) (FIM PONTE S/RIO S FRANCISCO)"/>
    <n v="140.19999999999999"/>
    <n v="193.8"/>
    <n v="53.6"/>
    <x v="2"/>
    <m/>
    <s v="122BPE0360"/>
    <s v="Federal"/>
    <m/>
    <m/>
    <m/>
    <s v="Federal"/>
    <s v="PAV"/>
    <s v="Petrolina"/>
  </r>
  <r>
    <x v="0"/>
    <s v="428BPE0065"/>
    <n v="0"/>
    <x v="403"/>
    <s v="0065"/>
    <n v="-40.525928649687302"/>
    <n v="-9.3873367496911992"/>
    <n v="-40.503592699743201"/>
    <n v="-9.4021686000008309"/>
    <s v="428"/>
    <s v="PE"/>
    <s v="Eixo Principal"/>
    <s v="Coinc"/>
    <s v="428BPE0065"/>
    <s v="ENTR BR-122(B)/407(B)/428(B) (DIV PE/BA) (FIM PONTE S/RIO S FRANCISCO)"/>
    <s v="INÍCIO PONTE S/RIO SÃO FRANCISCO (PETROLINA)"/>
    <n v="193.8"/>
    <n v="196.8"/>
    <n v="3"/>
    <x v="2"/>
    <m/>
    <s v="235BPE0275;122BPE0365;407BPE0260"/>
    <s v="Federal"/>
    <m/>
    <m/>
    <m/>
    <s v="Federal"/>
    <s v="PAV"/>
    <s v="Petrolina"/>
  </r>
  <r>
    <x v="0"/>
    <s v="428BPE0070"/>
    <n v="0"/>
    <x v="403"/>
    <s v="0070"/>
    <n v="-40.503592699743201"/>
    <n v="-9.4021686000008309"/>
    <n v="-40.505335540003102"/>
    <n v="-9.4095459896556601"/>
    <s v="428"/>
    <s v="PE"/>
    <s v="Eixo Principal"/>
    <s v="Coinc"/>
    <s v="428BPE0070"/>
    <s v="INÍCIO PONTE S/RIO SÃO FRANCISCO (PETROLINA)"/>
    <s v="ENTR BR-122(B)/407(B)/428(B) (DIV PE/BA) (FIM PONTE S/RIO S FRANCISCO)"/>
    <n v="196.8"/>
    <n v="197.6"/>
    <n v="0.8"/>
    <x v="2"/>
    <m/>
    <s v="407BPE0270;235BPE0270;122BPE0370"/>
    <s v="Federal"/>
    <m/>
    <m/>
    <m/>
    <s v="Federal"/>
    <s v="PAV"/>
    <s v="Petrolina"/>
  </r>
  <r>
    <x v="0"/>
    <s v="429BRO0010"/>
    <n v="0"/>
    <x v="404"/>
    <s v="0010"/>
    <n v="-61.969988449806998"/>
    <n v="-10.8649520696822"/>
    <n v="-61.930063370428101"/>
    <n v="-10.91110586974"/>
    <s v="429"/>
    <s v="RO"/>
    <s v="Eixo Principal"/>
    <s v="Coinc"/>
    <s v="429BRO0010"/>
    <s v="ENTR BR-364(A) (JI-PARANÁ)"/>
    <s v="FIM DUPLICAÇÃO (JI-PARANÁ)"/>
    <n v="0"/>
    <n v="7.6"/>
    <n v="7.6"/>
    <x v="0"/>
    <m/>
    <s v="364BRO1185"/>
    <s v="Federal"/>
    <m/>
    <m/>
    <m/>
    <s v="Federal"/>
    <s v="PAV"/>
    <s v="Ji-Paraná"/>
  </r>
  <r>
    <x v="0"/>
    <s v="429BRO0012"/>
    <n v="0"/>
    <x v="404"/>
    <s v="0012"/>
    <n v="-61.930063370428101"/>
    <n v="-10.91110586974"/>
    <n v="-61.9297310295633"/>
    <n v="-10.920678330040801"/>
    <s v="429"/>
    <s v="RO"/>
    <s v="Eixo Principal"/>
    <s v="Coinc"/>
    <s v="429BRO0012"/>
    <s v="FIM DUPLICAÇÃO (JI-PARANÁ)"/>
    <s v="ENTR INÍCIO ANEL DE JI-PARANÁ"/>
    <n v="7.6"/>
    <n v="8.6999999999999993"/>
    <n v="1.1000000000000001"/>
    <x v="2"/>
    <m/>
    <s v="364BRO1170"/>
    <s v="Federal"/>
    <m/>
    <m/>
    <m/>
    <s v="Federal"/>
    <s v="PAV"/>
    <s v="Pimenta Bueno"/>
  </r>
  <r>
    <x v="0"/>
    <s v="429BRO0015"/>
    <n v="0"/>
    <x v="404"/>
    <s v="0015"/>
    <n v="-61.901499379692503"/>
    <n v="-11.1994913497459"/>
    <n v="-61.9297310295633"/>
    <n v="-10.920678330040801"/>
    <s v="429"/>
    <s v="RO"/>
    <s v="Eixo Principal"/>
    <s v="Coinc"/>
    <s v="429BRO0015"/>
    <s v="ENTR INÍCIO ANEL DE JI-PARANÁ"/>
    <s v="ENTR BR-429(B) (PRESIDENTE MÉDICI)"/>
    <n v="8.6999999999999993"/>
    <n v="41"/>
    <n v="32.299999999999997"/>
    <x v="2"/>
    <m/>
    <s v="364BRO1160"/>
    <s v="Federal"/>
    <m/>
    <m/>
    <m/>
    <s v="Federal"/>
    <s v="PAV"/>
    <s v="Pimenta Bueno"/>
  </r>
  <r>
    <x v="0"/>
    <s v="429BRO0020"/>
    <n v="0"/>
    <x v="404"/>
    <s v="0020"/>
    <n v="-61.901499379692503"/>
    <n v="-11.1994913497459"/>
    <n v="-62.009229459871598"/>
    <n v="-11.2024378003641"/>
    <s v="429"/>
    <s v="RO"/>
    <s v="Eixo Principal"/>
    <s v="-"/>
    <s v="429BRO0020"/>
    <s v="ENTR BR-364(B) (PRESIDENTE MÉDICI)"/>
    <s v="ENTR RO-135 (P/NOVA LONDRINA)"/>
    <n v="41"/>
    <n v="53"/>
    <n v="12"/>
    <x v="2"/>
    <m/>
    <m/>
    <s v="Federal"/>
    <m/>
    <m/>
    <m/>
    <s v="Federal"/>
    <s v="PAV"/>
    <s v="Ji-Paraná"/>
  </r>
  <r>
    <x v="0"/>
    <s v="429BRO0031"/>
    <n v="0"/>
    <x v="404"/>
    <s v="0031"/>
    <n v="-62.009229459871598"/>
    <n v="-11.2024378003641"/>
    <n v="-62.2075921699426"/>
    <n v="-11.2443131198545"/>
    <s v="429"/>
    <s v="RO"/>
    <s v="Eixo Principal"/>
    <s v="-"/>
    <s v="429BRO0031"/>
    <s v="ENTR RO-135 (P/NOVA LONDRINA)"/>
    <s v="PONTE SOBRE O RIO SÃO JOSE"/>
    <n v="53"/>
    <n v="77"/>
    <n v="24"/>
    <x v="2"/>
    <m/>
    <m/>
    <s v="Federal"/>
    <m/>
    <m/>
    <m/>
    <s v="Federal"/>
    <s v="PAV"/>
    <s v="Ji-Paraná"/>
  </r>
  <r>
    <x v="0"/>
    <s v="429BRO0033"/>
    <n v="0"/>
    <x v="404"/>
    <s v="0033"/>
    <n v="-62.2075921699426"/>
    <n v="-11.2443131198545"/>
    <n v="-62.234030300058201"/>
    <n v="-11.2829635900975"/>
    <s v="429"/>
    <s v="RO"/>
    <s v="Eixo Principal"/>
    <s v="-"/>
    <s v="429BRO0033"/>
    <s v="PONTE SOBRE O RIO SÃO JOSE"/>
    <s v="ENTR RO-010(A) (P/URUPÁ)"/>
    <n v="77"/>
    <n v="82.4"/>
    <n v="5.4"/>
    <x v="2"/>
    <m/>
    <m/>
    <s v="Federal"/>
    <m/>
    <m/>
    <m/>
    <s v="Federal"/>
    <s v="PAV"/>
    <s v="Ji-Paraná"/>
  </r>
  <r>
    <x v="0"/>
    <s v="429BRO0035"/>
    <n v="0"/>
    <x v="404"/>
    <s v="0035"/>
    <n v="-62.234030300058201"/>
    <n v="-11.2829635900975"/>
    <n v="-62.287789899584098"/>
    <n v="-11.3480684097292"/>
    <s v="429"/>
    <s v="RO"/>
    <s v="Eixo Principal"/>
    <s v="-"/>
    <s v="429BRO0035"/>
    <s v="ENTR RO-010(A) (P/URUPÁ)"/>
    <s v="ENTR RO-473 (ALVORADA DO OESTE)"/>
    <n v="82.4"/>
    <n v="92.2"/>
    <n v="9.8000000000000007"/>
    <x v="2"/>
    <m/>
    <m/>
    <s v="Federal"/>
    <m/>
    <m/>
    <m/>
    <s v="Federal"/>
    <s v="PAV"/>
    <s v="Ji-Paraná"/>
  </r>
  <r>
    <x v="0"/>
    <s v="429BRO0040"/>
    <n v="0"/>
    <x v="404"/>
    <s v="0040"/>
    <n v="-62.287789899584098"/>
    <n v="-11.3480684097292"/>
    <n v="-62.362081380251396"/>
    <n v="-11.4282764096285"/>
    <s v="429"/>
    <s v="RO"/>
    <s v="Eixo Principal"/>
    <s v="-"/>
    <s v="429BRO0040"/>
    <s v="ENTR RO-473 (ALVORADA DO OESTE)"/>
    <s v="ENTR RO-010(B) (P/NOVA BRASILÂNDIA)"/>
    <n v="92.2"/>
    <n v="104.2"/>
    <n v="12"/>
    <x v="2"/>
    <m/>
    <m/>
    <s v="Federal"/>
    <m/>
    <m/>
    <m/>
    <s v="Federal"/>
    <s v="PAV"/>
    <s v="Ji-Paraná"/>
  </r>
  <r>
    <x v="0"/>
    <s v="429BRO0050"/>
    <n v="0"/>
    <x v="404"/>
    <s v="0050"/>
    <n v="-62.362081380251396"/>
    <n v="-11.4282764096285"/>
    <n v="-62.716816349694703"/>
    <n v="-11.7026355099208"/>
    <s v="429"/>
    <s v="RO"/>
    <s v="Eixo Principal"/>
    <s v="-"/>
    <s v="429BRO0050"/>
    <s v="ENTR RO-010(B) (P/NOVA BRASILÂNDIA)"/>
    <s v="ENTR RO-481 (SÃO MIGUEL DO GUAPORÉ)"/>
    <n v="104.2"/>
    <n v="159.30000000000001"/>
    <n v="55.1"/>
    <x v="2"/>
    <m/>
    <m/>
    <s v="Federal"/>
    <m/>
    <m/>
    <m/>
    <s v="Federal"/>
    <s v="PAV"/>
    <s v="Ji-Paraná"/>
  </r>
  <r>
    <x v="0"/>
    <s v="429BRO0070"/>
    <n v="0"/>
    <x v="404"/>
    <s v="0070"/>
    <n v="-62.716816349694703"/>
    <n v="-11.7026355099208"/>
    <n v="-63.039447909793097"/>
    <n v="-11.762999139698399"/>
    <s v="429"/>
    <s v="RO"/>
    <s v="Eixo Principal"/>
    <s v="-"/>
    <s v="429BRO0070"/>
    <s v="ENTR RO-481 (SÃO MIGUEL DO GUAPORÉ)"/>
    <s v="SERINGUEIRAS"/>
    <n v="159.30000000000001"/>
    <n v="198.3"/>
    <n v="39"/>
    <x v="2"/>
    <m/>
    <m/>
    <s v="Federal"/>
    <m/>
    <m/>
    <m/>
    <s v="Federal"/>
    <s v="PAV"/>
    <s v="Ji-Paraná"/>
  </r>
  <r>
    <x v="0"/>
    <s v="429BRO0090"/>
    <n v="0"/>
    <x v="404"/>
    <s v="0090"/>
    <n v="-63.039447909793097"/>
    <n v="-11.762999139698399"/>
    <n v="-63.451124760399303"/>
    <n v="-12.051021780131"/>
    <s v="429"/>
    <s v="RO"/>
    <s v="Eixo Principal"/>
    <s v="-"/>
    <s v="429BRO0090"/>
    <s v="SERINGUEIRAS"/>
    <s v="ENTR RO-377 ACESSO PORTO MURTINHO (SÃO FRANCISCO DO GUAPORÉ)"/>
    <n v="198.3"/>
    <n v="256.10000000000002"/>
    <n v="57.8"/>
    <x v="2"/>
    <m/>
    <m/>
    <s v="Federal"/>
    <m/>
    <m/>
    <m/>
    <s v="Federal"/>
    <s v="PAV"/>
    <s v="Ji-Paraná"/>
  </r>
  <r>
    <x v="0"/>
    <s v="429BRO0095"/>
    <n v="0"/>
    <x v="404"/>
    <s v="0095"/>
    <n v="-63.451124760399303"/>
    <n v="-12.051021780131"/>
    <n v="-63.997424749652403"/>
    <n v="-12.0548342104304"/>
    <s v="429"/>
    <s v="RO"/>
    <s v="Eixo Principal"/>
    <s v="-"/>
    <s v="429BRO0095"/>
    <s v="ENTR RO-377 ACESSO PORTO MURTINHO (SÃO FRANCISCO DO GUAPORÉ)"/>
    <s v="RIO SÃO DOMINGOS"/>
    <n v="256.10000000000002"/>
    <n v="316.3"/>
    <n v="60.2"/>
    <x v="2"/>
    <m/>
    <m/>
    <s v="Federal"/>
    <m/>
    <m/>
    <m/>
    <s v="Federal"/>
    <s v="PAV"/>
    <s v="Ji-Paraná"/>
  </r>
  <r>
    <x v="0"/>
    <s v="429BRO0100"/>
    <n v="0"/>
    <x v="404"/>
    <s v="0100"/>
    <n v="-63.997424749652403"/>
    <n v="-12.0548342104304"/>
    <n v="-64.227547259698198"/>
    <n v="-12.450786379987299"/>
    <s v="429"/>
    <s v="RO"/>
    <s v="Eixo Principal"/>
    <s v="-"/>
    <s v="429BRO0100"/>
    <s v="RIO SÃO DOMINGOS"/>
    <s v="FRONT BRASIL/BOLIVIA (COSTA MARQUES)"/>
    <n v="316.3"/>
    <n v="380.2"/>
    <n v="63.9"/>
    <x v="2"/>
    <m/>
    <m/>
    <s v="Federal"/>
    <m/>
    <m/>
    <m/>
    <s v="Federal"/>
    <s v="PAV"/>
    <s v="Ji-Paraná"/>
  </r>
  <r>
    <x v="0"/>
    <s v="430BBA0010"/>
    <n v="0"/>
    <x v="405"/>
    <s v="0010"/>
    <n v="-45.002045339720603"/>
    <n v="-12.1487293603716"/>
    <n v="-44.947220899724599"/>
    <n v="-12.140811640045101"/>
    <s v="430"/>
    <s v="BA"/>
    <s v="Eixo Principal"/>
    <s v="Coinc"/>
    <s v="430BBA0010"/>
    <s v="ENTR BR-135/242(A)/BA-455 (BARREIRAS)"/>
    <s v="ENTR BA-447"/>
    <n v="0"/>
    <n v="6.2"/>
    <n v="6.2"/>
    <x v="2"/>
    <m/>
    <s v="242BBA0310"/>
    <s v="Federal"/>
    <m/>
    <m/>
    <m/>
    <s v="Federal"/>
    <s v="PAV"/>
    <s v="Barreiras"/>
  </r>
  <r>
    <x v="0"/>
    <s v="430BBA0020"/>
    <n v="0"/>
    <x v="405"/>
    <s v="0020"/>
    <n v="-44.947220899724599"/>
    <n v="-12.140811640045101"/>
    <n v="-44.633483050102598"/>
    <n v="-12.1598678398289"/>
    <s v="430"/>
    <s v="BA"/>
    <s v="Eixo Principal"/>
    <s v="Coinc"/>
    <s v="430BBA0020"/>
    <s v="ENTR BA-447"/>
    <s v="ENTR BA-464 (P/BAIANÓPOLIS)"/>
    <n v="6.2"/>
    <n v="43.8"/>
    <n v="37.6"/>
    <x v="2"/>
    <m/>
    <s v="242BBA0300"/>
    <s v="Federal"/>
    <m/>
    <m/>
    <m/>
    <s v="Federal"/>
    <s v="PAV"/>
    <s v="Barreiras"/>
  </r>
  <r>
    <x v="0"/>
    <s v="430BBA0030"/>
    <n v="0"/>
    <x v="405"/>
    <s v="0030"/>
    <n v="-44.633483050102598"/>
    <n v="-12.1598678398289"/>
    <n v="-44.419536730235798"/>
    <n v="-12.2333268297693"/>
    <s v="430"/>
    <s v="BA"/>
    <s v="Eixo Principal"/>
    <s v="Coinc"/>
    <s v="430BBA0030"/>
    <s v="ENTR BA-464 (P/BAIANÓPOLIS)"/>
    <s v="ENTR BR-242(B)"/>
    <n v="43.8"/>
    <n v="68.900000000000006"/>
    <n v="25.1"/>
    <x v="2"/>
    <m/>
    <s v="242BBA0290"/>
    <s v="Federal"/>
    <m/>
    <m/>
    <m/>
    <s v="Federal"/>
    <s v="PAV"/>
    <s v="Barreiras"/>
  </r>
  <r>
    <x v="0"/>
    <s v="430BBA0032"/>
    <n v="0"/>
    <x v="405"/>
    <s v="0032"/>
    <n v="-44.419536730235798"/>
    <n v="-12.2333268297693"/>
    <n v="-44.535269649774399"/>
    <n v="-12.3065202004468"/>
    <s v="430"/>
    <s v="BA"/>
    <s v="Eixo Principal"/>
    <s v="-"/>
    <s v="430BBA0032"/>
    <s v="ENTR BR-242(B)"/>
    <s v="BAIANÓPOLIS"/>
    <n v="68.900000000000006"/>
    <n v="86.9"/>
    <n v="18"/>
    <x v="1"/>
    <m/>
    <m/>
    <s v="Estadual"/>
    <m/>
    <s v="BA-462"/>
    <s v="LEN"/>
    <s v="Estadual"/>
    <s v="PLA"/>
    <s v="Barreiras"/>
  </r>
  <r>
    <x v="0"/>
    <s v="430BBA0034"/>
    <n v="0"/>
    <x v="405"/>
    <s v="0034"/>
    <n v="-44.535269649774399"/>
    <n v="-12.3065202004468"/>
    <n v="-44.536210689571597"/>
    <n v="-12.328614159915499"/>
    <s v="430"/>
    <s v="BA"/>
    <s v="Eixo Principal"/>
    <s v="-"/>
    <s v="430BBA0034"/>
    <s v="BAIANÓPOLIS"/>
    <s v="ENTR BA-464(A)"/>
    <n v="86.9"/>
    <n v="91.5"/>
    <n v="4.5999999999999996"/>
    <x v="1"/>
    <m/>
    <m/>
    <s v="Estadual"/>
    <m/>
    <s v="BA-462"/>
    <s v="LEN"/>
    <s v="Estadual"/>
    <s v="PLA"/>
    <s v="Barreiras"/>
  </r>
  <r>
    <x v="0"/>
    <s v="430BBA0050"/>
    <n v="0"/>
    <x v="405"/>
    <s v="0050"/>
    <n v="-44.536210689571597"/>
    <n v="-12.328614159915499"/>
    <n v="-44.396455979759502"/>
    <n v="-12.659111449633601"/>
    <s v="430"/>
    <s v="BA"/>
    <s v="Eixo Principal"/>
    <s v="-"/>
    <s v="430BBA0050"/>
    <s v="ENTR BA-464(A)"/>
    <s v="LAGOA CLARA"/>
    <n v="91.5"/>
    <n v="138.5"/>
    <n v="47"/>
    <x v="1"/>
    <m/>
    <m/>
    <s v="Estadual"/>
    <m/>
    <s v="BA-464"/>
    <s v="LEN"/>
    <s v="Estadual"/>
    <s v="PLA"/>
    <s v="Barreiras"/>
  </r>
  <r>
    <x v="0"/>
    <s v="430BBA0060"/>
    <n v="0"/>
    <x v="405"/>
    <s v="0060"/>
    <n v="-44.396455979759502"/>
    <n v="-12.659111449633601"/>
    <n v="-44.031970010307703"/>
    <n v="-12.9918300000543"/>
    <s v="430"/>
    <s v="BA"/>
    <s v="Eixo Principal"/>
    <s v="-"/>
    <s v="430BBA0060"/>
    <s v="LAGOA CLARA"/>
    <s v="ENTR BA-172(A)/464(B) (SANTANA)"/>
    <n v="138.5"/>
    <n v="200.6"/>
    <n v="62.1"/>
    <x v="1"/>
    <m/>
    <m/>
    <s v="Estadual"/>
    <m/>
    <s v="BA-464"/>
    <s v="LEN"/>
    <s v="Estadual"/>
    <s v="PLA"/>
    <s v="Barreiras"/>
  </r>
  <r>
    <x v="0"/>
    <s v="430BBA0065"/>
    <n v="0"/>
    <x v="405"/>
    <s v="0065"/>
    <n v="-44.031970010307703"/>
    <n v="-12.9918300000543"/>
    <n v="-43.986380040206598"/>
    <n v="-12.9627100601211"/>
    <s v="430"/>
    <s v="BA"/>
    <s v="Eixo Principal"/>
    <s v="-"/>
    <s v="430BBA0065"/>
    <s v="ENTR BA-172(A)/464(B) (SANTANA)"/>
    <s v="ENTR BA-172(B)/576(A)"/>
    <n v="200.6"/>
    <n v="206.6"/>
    <n v="6"/>
    <x v="1"/>
    <m/>
    <m/>
    <s v="Estadual"/>
    <m/>
    <s v="BA-172"/>
    <s v="PAV"/>
    <s v="Estadual"/>
    <s v="PLA"/>
    <s v="Barreiras"/>
  </r>
  <r>
    <x v="0"/>
    <s v="430BBA0070"/>
    <n v="0"/>
    <x v="405"/>
    <s v="0070"/>
    <n v="-43.986380040206598"/>
    <n v="-12.9627100601211"/>
    <n v="-43.566955069720599"/>
    <n v="-13.0780000401696"/>
    <s v="430"/>
    <s v="BA"/>
    <s v="Eixo Principal"/>
    <s v="-"/>
    <s v="430BBA0070"/>
    <s v="ENTR BA-172(B)/576(A)"/>
    <s v="ENTR BA-576(B)/161(A) (P/SÍTIO DO MATO)"/>
    <n v="206.6"/>
    <n v="257.10000000000002"/>
    <n v="50.5"/>
    <x v="1"/>
    <m/>
    <m/>
    <s v="Estadual"/>
    <m/>
    <s v="BA-576"/>
    <s v="LEN"/>
    <s v="Estadual"/>
    <s v="PLA"/>
    <s v="Barreiras"/>
  </r>
  <r>
    <x v="0"/>
    <s v="430BBA0075"/>
    <n v="0"/>
    <x v="405"/>
    <s v="0075"/>
    <n v="-43.566955069720599"/>
    <n v="-13.0780000401696"/>
    <n v="-43.5183097204172"/>
    <n v="-13.261215419555899"/>
    <s v="430"/>
    <s v="BA"/>
    <s v="Eixo Principal"/>
    <s v="-"/>
    <s v="430BBA0075"/>
    <s v="ENTR BA-576(B)/161(A) (P/SÍTIO DO MATO)"/>
    <s v="ENTR BR-349(A)/BA-161(B)"/>
    <n v="257.10000000000002"/>
    <n v="279.10000000000002"/>
    <n v="22"/>
    <x v="1"/>
    <m/>
    <m/>
    <s v="Estadual"/>
    <m/>
    <s v="BA-161"/>
    <s v="PAV"/>
    <s v="Estadual"/>
    <s v="PLA"/>
    <s v="Barreiras"/>
  </r>
  <r>
    <x v="0"/>
    <s v="430BBA0090"/>
    <n v="0"/>
    <x v="405"/>
    <s v="0090"/>
    <n v="-43.5183097204172"/>
    <n v="-13.261215419555899"/>
    <n v="-43.409634819691099"/>
    <n v="-13.2668680300355"/>
    <s v="430"/>
    <s v="BA"/>
    <s v="Eixo Principal"/>
    <s v="Coinc"/>
    <s v="430BBA0090"/>
    <s v="ENTR BR-349(A)/BA-161(B)"/>
    <s v="ENTR BA-160(A) (BOM JESUS DA LAPA)"/>
    <n v="279.10000000000002"/>
    <n v="291.2"/>
    <n v="12.1"/>
    <x v="2"/>
    <m/>
    <s v="349BBA0431"/>
    <s v="Federal"/>
    <m/>
    <m/>
    <m/>
    <s v="Federal"/>
    <s v="PAV"/>
    <s v="Vitória da Conquista"/>
  </r>
  <r>
    <x v="0"/>
    <s v="430BBA0110"/>
    <n v="0"/>
    <x v="405"/>
    <s v="0110"/>
    <n v="-43.409634819691099"/>
    <n v="-13.2668680300355"/>
    <n v="-43.388300010337097"/>
    <n v="-13.281909999746601"/>
    <s v="430"/>
    <s v="BA"/>
    <s v="Eixo Principal"/>
    <s v="Coinc"/>
    <s v="430BBA0110"/>
    <s v="ENTR BA-160(A) (BOM JESUS DA LAPA)"/>
    <s v="ENTR BR-349(B)/BA-160(B)"/>
    <n v="291.2"/>
    <n v="294"/>
    <n v="2.8"/>
    <x v="2"/>
    <m/>
    <s v="349BBA0430"/>
    <s v="Federal"/>
    <m/>
    <m/>
    <m/>
    <s v="Federal"/>
    <s v="PAV"/>
    <s v="Vitória da Conquista"/>
  </r>
  <r>
    <x v="0"/>
    <s v="430BBA0120"/>
    <n v="0"/>
    <x v="405"/>
    <s v="0120"/>
    <n v="-43.388300010337097"/>
    <n v="-13.281909999746601"/>
    <n v="-42.938106149778903"/>
    <n v="-13.604670320279"/>
    <s v="430"/>
    <s v="BA"/>
    <s v="Eixo Principal"/>
    <s v="-"/>
    <s v="430BBA0120"/>
    <s v="ENTR BR-349(B)/BA-160(B)"/>
    <s v="PONTE S/ RIACHO SANTANA (RIACHO DE SANTANA)"/>
    <n v="294"/>
    <n v="355"/>
    <n v="61"/>
    <x v="2"/>
    <m/>
    <m/>
    <s v="Federal"/>
    <m/>
    <m/>
    <m/>
    <s v="Federal"/>
    <s v="PAV"/>
    <s v="Vitória da Conquista"/>
  </r>
  <r>
    <x v="0"/>
    <s v="430BBA0130"/>
    <n v="0"/>
    <x v="405"/>
    <s v="0130"/>
    <n v="-42.938106149778903"/>
    <n v="-13.604670320279"/>
    <n v="-42.708790020442997"/>
    <n v="-13.7725299996596"/>
    <s v="430"/>
    <s v="BA"/>
    <s v="Eixo Principal"/>
    <s v="-"/>
    <s v="430BBA0130"/>
    <s v="PONTE S/ RIACHO SANTANA (RIACHO DE SANTANA)"/>
    <s v="IGAPORÁ"/>
    <n v="355"/>
    <n v="386.5"/>
    <n v="31.5"/>
    <x v="2"/>
    <m/>
    <m/>
    <s v="Federal"/>
    <m/>
    <m/>
    <m/>
    <s v="Federal"/>
    <s v="PAV"/>
    <s v="Vitória da Conquista"/>
  </r>
  <r>
    <x v="0"/>
    <s v="430BBA0132"/>
    <n v="0"/>
    <x v="405"/>
    <s v="0132"/>
    <n v="-42.708790020442997"/>
    <n v="-13.7725299996596"/>
    <n v="-42.6588444196341"/>
    <n v="-13.7971258802551"/>
    <s v="430"/>
    <s v="BA"/>
    <s v="Eixo Principal"/>
    <s v="-"/>
    <s v="430BBA0132"/>
    <s v="IGAPORÁ"/>
    <s v="ENTR BA-156 (P/TANQUE NOVO)"/>
    <n v="386.5"/>
    <n v="393.7"/>
    <n v="7.2"/>
    <x v="2"/>
    <m/>
    <m/>
    <s v="Federal"/>
    <m/>
    <m/>
    <m/>
    <s v="Federal"/>
    <s v="PAV"/>
    <s v="Vitória da Conquista"/>
  </r>
  <r>
    <x v="0"/>
    <s v="430BBA0140"/>
    <n v="0"/>
    <x v="405"/>
    <s v="0140"/>
    <n v="-42.6588444196341"/>
    <n v="-13.7971258802551"/>
    <n v="-42.485862139825798"/>
    <n v="-14.0648607200461"/>
    <s v="430"/>
    <s v="BA"/>
    <s v="Eixo Principal"/>
    <s v="-"/>
    <s v="430BBA0140"/>
    <s v="ENTR BA-156 (P/TANQUE NOVO)"/>
    <s v="ENTR BR-030/122 (CAETITÉ)"/>
    <n v="393.7"/>
    <n v="432"/>
    <n v="38.299999999999997"/>
    <x v="2"/>
    <m/>
    <m/>
    <s v="Federal"/>
    <m/>
    <m/>
    <m/>
    <s v="Federal"/>
    <s v="PAV"/>
    <s v="Vitória da Conquista"/>
  </r>
  <r>
    <x v="0"/>
    <s v="431BRR0005"/>
    <n v="0"/>
    <x v="406"/>
    <s v="0005"/>
    <n v="-60.693010499634703"/>
    <n v="-0.207167490087556"/>
    <n v="-61.062512569999001"/>
    <n v="-0.23049951024415799"/>
    <s v="431"/>
    <s v="RR"/>
    <s v="Eixo Principal"/>
    <s v="-"/>
    <s v="431BRR0005"/>
    <s v="ENTR BR-174 (JUNDIÁ)"/>
    <s v="RIO JAUAPERI"/>
    <n v="0"/>
    <n v="45.6"/>
    <n v="45.6"/>
    <x v="5"/>
    <m/>
    <m/>
    <s v="Federal"/>
    <m/>
    <m/>
    <m/>
    <s v="Federal"/>
    <s v="N_PAV"/>
    <s v="Boa Vista"/>
  </r>
  <r>
    <x v="0"/>
    <s v="431BRR0050"/>
    <n v="0"/>
    <x v="406"/>
    <s v="0050"/>
    <n v="-61.062512569999001"/>
    <n v="-0.23049951024415799"/>
    <n v="-61.772218800357301"/>
    <n v="-0.51728565031248797"/>
    <s v="431"/>
    <s v="RR"/>
    <s v="Eixo Principal"/>
    <s v="-"/>
    <s v="431BRR0050"/>
    <s v="RIO JAUAPERI"/>
    <s v="SANTA MARIA DO BOIAÇÚ"/>
    <n v="45.6"/>
    <n v="125"/>
    <n v="79.400000000000006"/>
    <x v="1"/>
    <m/>
    <m/>
    <s v="Federal"/>
    <m/>
    <m/>
    <m/>
    <s v="Federal"/>
    <s v="PLA"/>
    <s v="Boa Vista"/>
  </r>
  <r>
    <x v="0"/>
    <s v="432BRR0005"/>
    <n v="0"/>
    <x v="407"/>
    <s v="0005"/>
    <n v="-60.385000040019797"/>
    <n v="1.2235136503347199"/>
    <n v="-60.330397809910899"/>
    <n v="1.47835759982342"/>
    <s v="432"/>
    <s v="RR"/>
    <s v="Eixo Principal"/>
    <s v="-"/>
    <s v="432BRR0005"/>
    <s v="ENTR BR-174/210 (NOVO PARAISO)"/>
    <s v="VILA ITÃ"/>
    <n v="0"/>
    <n v="30.4"/>
    <n v="30.4"/>
    <x v="5"/>
    <m/>
    <m/>
    <s v="Federal"/>
    <m/>
    <m/>
    <m/>
    <s v="Federal"/>
    <s v="N_PAV"/>
    <s v="Boa Vista"/>
  </r>
  <r>
    <x v="0"/>
    <s v="432BRR0010"/>
    <n v="0"/>
    <x v="407"/>
    <s v="0010"/>
    <n v="-60.330397809910899"/>
    <n v="1.47835759982342"/>
    <n v="-60.3436216202415"/>
    <n v="1.57801107015478"/>
    <s v="432"/>
    <s v="RR"/>
    <s v="Eixo Principal"/>
    <s v="-"/>
    <s v="432BRR0010"/>
    <s v="VILA ITÃ"/>
    <s v="RIO ITÃ"/>
    <n v="30.4"/>
    <n v="42"/>
    <n v="11.6"/>
    <x v="5"/>
    <m/>
    <m/>
    <s v="Federal"/>
    <m/>
    <m/>
    <m/>
    <s v="Federal"/>
    <s v="N_PAV"/>
    <s v="Boa Vista"/>
  </r>
  <r>
    <x v="0"/>
    <s v="432BRR0015"/>
    <n v="0"/>
    <x v="407"/>
    <s v="0015"/>
    <n v="-60.3436216202415"/>
    <n v="1.57801107015478"/>
    <n v="-60.483491400107901"/>
    <n v="1.7291832102370099"/>
    <s v="432"/>
    <s v="RR"/>
    <s v="Eixo Principal"/>
    <s v="-"/>
    <s v="432BRR0015"/>
    <s v="RIO ITÃ"/>
    <s v="RIO BARAUNA"/>
    <n v="42"/>
    <n v="67.2"/>
    <n v="25.2"/>
    <x v="5"/>
    <m/>
    <m/>
    <s v="Federal"/>
    <m/>
    <m/>
    <m/>
    <s v="Federal"/>
    <s v="N_PAV"/>
    <s v="Boa Vista"/>
  </r>
  <r>
    <x v="0"/>
    <s v="432BRR0020"/>
    <n v="0"/>
    <x v="407"/>
    <s v="0020"/>
    <n v="-60.483491400107901"/>
    <n v="1.7291832102370099"/>
    <n v="-60.645466809945198"/>
    <n v="2.0633644603016701"/>
    <s v="432"/>
    <s v="RR"/>
    <s v="Eixo Principal"/>
    <s v="-"/>
    <s v="432BRR0020"/>
    <s v="RIO BARAUNA"/>
    <s v="VILA UNIÃO"/>
    <n v="67.2"/>
    <n v="112.5"/>
    <n v="45.3"/>
    <x v="5"/>
    <m/>
    <m/>
    <s v="Federal"/>
    <m/>
    <m/>
    <m/>
    <s v="Federal"/>
    <s v="N_PAV"/>
    <s v="Boa Vista"/>
  </r>
  <r>
    <x v="0"/>
    <s v="432BRR0025"/>
    <n v="0"/>
    <x v="407"/>
    <s v="0025"/>
    <n v="-60.645466809945198"/>
    <n v="2.0633644603016701"/>
    <n v="-60.6157833098518"/>
    <n v="2.1117675898024602"/>
    <s v="432"/>
    <s v="RR"/>
    <s v="Eixo Principal"/>
    <s v="-"/>
    <s v="432BRR0025"/>
    <s v="VILA UNIÃO"/>
    <s v="VILA FELIX PINTO"/>
    <n v="112.5"/>
    <n v="119.2"/>
    <n v="6.7"/>
    <x v="5"/>
    <m/>
    <m/>
    <s v="Federal"/>
    <m/>
    <m/>
    <m/>
    <s v="Federal"/>
    <s v="N_PAV"/>
    <s v="Boa Vista"/>
  </r>
  <r>
    <x v="0"/>
    <s v="432BRR0040"/>
    <n v="0"/>
    <x v="407"/>
    <s v="0040"/>
    <n v="-60.6157833098518"/>
    <n v="2.1117675898024602"/>
    <n v="-60.674542520320998"/>
    <n v="2.2335073897542599"/>
    <s v="432"/>
    <s v="RR"/>
    <s v="Eixo Principal"/>
    <s v="-"/>
    <s v="432BRR0040"/>
    <s v="VILA FELIX PINTO"/>
    <s v="VILA SANTA RITA"/>
    <n v="119.2"/>
    <n v="140"/>
    <n v="20.8"/>
    <x v="2"/>
    <m/>
    <m/>
    <s v="Federal"/>
    <m/>
    <m/>
    <m/>
    <s v="Federal"/>
    <s v="PAV"/>
    <s v="Boa Vista"/>
  </r>
  <r>
    <x v="0"/>
    <s v="432BRR0050"/>
    <n v="0"/>
    <x v="407"/>
    <s v="0050"/>
    <n v="-60.674542520320998"/>
    <n v="2.2335073897542599"/>
    <n v="-60.670518219640002"/>
    <n v="2.4194095998731702"/>
    <s v="432"/>
    <s v="RR"/>
    <s v="Eixo Principal"/>
    <s v="-"/>
    <s v="432BRR0050"/>
    <s v="VILA SANTA RITA"/>
    <s v="VILA CENTRAL"/>
    <n v="140"/>
    <n v="165.2"/>
    <n v="25.2"/>
    <x v="2"/>
    <m/>
    <m/>
    <s v="Federal"/>
    <m/>
    <m/>
    <m/>
    <s v="Federal"/>
    <s v="PAV"/>
    <s v="Boa Vista"/>
  </r>
  <r>
    <x v="0"/>
    <s v="432BRR0055"/>
    <n v="0"/>
    <x v="407"/>
    <s v="0055"/>
    <n v="-60.670518219640002"/>
    <n v="2.4194095998731702"/>
    <n v="-60.667466440423802"/>
    <n v="2.4219136200176199"/>
    <s v="432"/>
    <s v="RR"/>
    <s v="Eixo Principal"/>
    <s v="-"/>
    <s v="432BRR0055"/>
    <s v="VILA CENTRAL"/>
    <s v="RIO CACHORRO"/>
    <n v="165.2"/>
    <n v="165.6"/>
    <n v="0.4"/>
    <x v="5"/>
    <s v="EOP"/>
    <m/>
    <s v="Federal"/>
    <m/>
    <m/>
    <m/>
    <s v="Federal"/>
    <s v="N_PAV"/>
    <s v="Boa Vista"/>
  </r>
  <r>
    <x v="0"/>
    <s v="432BRR0060"/>
    <n v="0"/>
    <x v="407"/>
    <s v="0060"/>
    <n v="-60.667466440423802"/>
    <n v="2.4219136200176199"/>
    <n v="-60.637306590126897"/>
    <n v="2.5445688497726402"/>
    <s v="432"/>
    <s v="RR"/>
    <s v="Eixo Principal"/>
    <s v="-"/>
    <s v="432BRR0060"/>
    <s v="RIO CACHORRO"/>
    <s v="ENTR RR-444 (P/COLÔNIA CONFIANÇA)"/>
    <n v="165.6"/>
    <n v="180.7"/>
    <n v="15.1"/>
    <x v="5"/>
    <s v="EOP"/>
    <m/>
    <s v="Federal"/>
    <m/>
    <m/>
    <m/>
    <s v="Federal"/>
    <s v="N_PAV"/>
    <s v="Boa Vista"/>
  </r>
  <r>
    <x v="0"/>
    <s v="432BRR0065"/>
    <n v="0"/>
    <x v="407"/>
    <s v="0065"/>
    <n v="-60.637306590126897"/>
    <n v="2.5445688497726402"/>
    <n v="-60.6354854602857"/>
    <n v="2.5678184596542302"/>
    <s v="432"/>
    <s v="RR"/>
    <s v="Eixo Principal"/>
    <s v="-"/>
    <s v="432BRR0065"/>
    <s v="ENTR RR-444 (P/COLÔNIA CONFIANÇA)"/>
    <s v="RIO QUITAUAU"/>
    <n v="180.7"/>
    <n v="183.3"/>
    <n v="2.6"/>
    <x v="2"/>
    <m/>
    <m/>
    <m/>
    <s v="MP082/2006"/>
    <m/>
    <m/>
    <m/>
    <s v="PAV"/>
    <s v="Boa Vista"/>
  </r>
  <r>
    <x v="0"/>
    <s v="432BRR0070"/>
    <n v="0"/>
    <x v="407"/>
    <s v="0070"/>
    <n v="-60.6354854602857"/>
    <n v="2.5678184596542302"/>
    <n v="-60.597166259814998"/>
    <n v="2.6098886199638902"/>
    <s v="432"/>
    <s v="RR"/>
    <s v="Eixo Principal"/>
    <s v="-"/>
    <s v="432BRR0070"/>
    <s v="RIO QUITAUAU"/>
    <s v="CANTÁ"/>
    <n v="183.3"/>
    <n v="191"/>
    <n v="7.7"/>
    <x v="2"/>
    <m/>
    <m/>
    <m/>
    <s v="MP082/2006"/>
    <m/>
    <m/>
    <m/>
    <s v="PAV"/>
    <s v="Boa Vista"/>
  </r>
  <r>
    <x v="0"/>
    <s v="432BRR0075"/>
    <n v="0"/>
    <x v="407"/>
    <s v="0075"/>
    <n v="-60.597166259814998"/>
    <n v="2.6098886199638902"/>
    <n v="-60.609386590418701"/>
    <n v="2.7892298602698702"/>
    <s v="432"/>
    <s v="RR"/>
    <s v="Eixo Principal"/>
    <s v="-"/>
    <s v="432BRR0075"/>
    <s v="CANTÁ"/>
    <s v="ENTR RR-207"/>
    <n v="191"/>
    <n v="212"/>
    <n v="21"/>
    <x v="2"/>
    <m/>
    <m/>
    <m/>
    <s v="MP082/2006"/>
    <m/>
    <m/>
    <m/>
    <s v="PAV"/>
    <s v="Boa Vista"/>
  </r>
  <r>
    <x v="0"/>
    <s v="432BRR0080"/>
    <n v="0"/>
    <x v="407"/>
    <s v="0080"/>
    <n v="-60.609386590418701"/>
    <n v="2.7892298602698702"/>
    <n v="-60.6099099499841"/>
    <n v="2.8118132397892102"/>
    <s v="432"/>
    <s v="RR"/>
    <s v="Eixo Principal"/>
    <s v="-"/>
    <s v="432BRR0080"/>
    <s v="ENTR RR-207"/>
    <s v="ENTR BR-401"/>
    <n v="212"/>
    <n v="214.6"/>
    <n v="2.6"/>
    <x v="2"/>
    <m/>
    <m/>
    <m/>
    <s v="MP082/2006"/>
    <m/>
    <m/>
    <m/>
    <s v="PAV"/>
    <s v="Boa Vista"/>
  </r>
  <r>
    <x v="0"/>
    <s v="433BRR0010"/>
    <n v="0"/>
    <x v="408"/>
    <s v="0010"/>
    <n v="-59.737285719560198"/>
    <n v="3.80136157957326"/>
    <n v="-60.090257399959"/>
    <n v="3.81495612012889"/>
    <s v="433"/>
    <s v="RR"/>
    <s v="Eixo Principal"/>
    <s v="-"/>
    <s v="433BRR0010"/>
    <s v="ENTR BR-401"/>
    <s v="COMUNIDADE RAPOSA"/>
    <n v="0"/>
    <n v="45.1"/>
    <n v="45.1"/>
    <x v="5"/>
    <m/>
    <m/>
    <s v="Federal"/>
    <m/>
    <m/>
    <m/>
    <s v="Federal"/>
    <s v="N_PAV"/>
    <s v="Boa Vista"/>
  </r>
  <r>
    <x v="0"/>
    <s v="433BRR0030"/>
    <n v="0"/>
    <x v="408"/>
    <s v="0030"/>
    <n v="-60.090257399959"/>
    <n v="3.81495612012889"/>
    <n v="-60.441922199949502"/>
    <n v="3.9587192099236201"/>
    <s v="433"/>
    <s v="RR"/>
    <s v="Eixo Principal"/>
    <s v="-"/>
    <s v="433BRR0030"/>
    <s v="COMUNIDADE RAPOSA"/>
    <s v="ENTR RR-319"/>
    <n v="45.1"/>
    <n v="90.5"/>
    <n v="45.4"/>
    <x v="5"/>
    <m/>
    <m/>
    <s v="Federal"/>
    <m/>
    <m/>
    <m/>
    <s v="Federal"/>
    <s v="N_PAV"/>
    <s v="Boa Vista"/>
  </r>
  <r>
    <x v="0"/>
    <s v="433BRR0050"/>
    <n v="0"/>
    <x v="408"/>
    <s v="0050"/>
    <n v="-60.441922199949502"/>
    <n v="3.9587192099236201"/>
    <n v="-60.527104209791297"/>
    <n v="4.1782539196826702"/>
    <s v="433"/>
    <s v="RR"/>
    <s v="Eixo Principal"/>
    <s v="-"/>
    <s v="433BRR0050"/>
    <s v="ENTR RR-319"/>
    <s v="ENTR RR-171 (PLACAS)"/>
    <n v="90.5"/>
    <n v="122.8"/>
    <n v="32.299999999999997"/>
    <x v="5"/>
    <m/>
    <m/>
    <s v="Federal"/>
    <m/>
    <m/>
    <m/>
    <s v="Federal"/>
    <s v="N_PAV"/>
    <s v="Boa Vista"/>
  </r>
  <r>
    <x v="0"/>
    <s v="433BRR0060"/>
    <n v="0"/>
    <x v="408"/>
    <s v="0060"/>
    <n v="-60.527104209791297"/>
    <n v="4.1782539196826702"/>
    <n v="-60.539761430145802"/>
    <n v="4.1723564903597801"/>
    <s v="433"/>
    <s v="RR"/>
    <s v="Eixo Principal"/>
    <s v="-"/>
    <s v="433BRR0060"/>
    <s v="ENTR RR-171 (PLACAS)"/>
    <s v="RIO CONTIGO (CONTÃO)"/>
    <n v="122.8"/>
    <n v="123.7"/>
    <n v="0.9"/>
    <x v="5"/>
    <m/>
    <m/>
    <s v="Federal"/>
    <m/>
    <m/>
    <m/>
    <s v="Federal"/>
    <s v="N_PAV"/>
    <s v="Boa Vista"/>
  </r>
  <r>
    <x v="0"/>
    <s v="433BRR0080"/>
    <n v="0"/>
    <x v="408"/>
    <s v="0080"/>
    <n v="-60.539761430145802"/>
    <n v="4.1723564903597801"/>
    <n v="-60.791348820291702"/>
    <n v="4.1936370598025396"/>
    <s v="433"/>
    <s v="RR"/>
    <s v="Eixo Principal"/>
    <s v="-"/>
    <s v="433BRR0080"/>
    <s v="RIO CONTIGO (CONTÃO)"/>
    <s v="RIO SURUMU (VILA SURUMU)"/>
    <n v="123.7"/>
    <n v="155"/>
    <n v="31.3"/>
    <x v="5"/>
    <m/>
    <m/>
    <s v="Federal"/>
    <m/>
    <m/>
    <m/>
    <s v="Federal"/>
    <s v="N_PAV"/>
    <s v="Boa Vista"/>
  </r>
  <r>
    <x v="0"/>
    <s v="433BRR0100"/>
    <n v="0"/>
    <x v="408"/>
    <s v="0100"/>
    <n v="-60.791348820291702"/>
    <n v="4.1936370598025396"/>
    <n v="-61.015544719812901"/>
    <n v="4.2305007902792804"/>
    <s v="433"/>
    <s v="RR"/>
    <s v="Eixo Principal"/>
    <s v="-"/>
    <s v="433BRR0100"/>
    <s v="RIO SURUMU (VILA SURUMU)"/>
    <s v="ENTR BR-174"/>
    <n v="155"/>
    <n v="180.5"/>
    <n v="25.5"/>
    <x v="5"/>
    <m/>
    <m/>
    <s v="Federal"/>
    <m/>
    <m/>
    <m/>
    <s v="Federal"/>
    <s v="N_PAV"/>
    <s v="Boa Vista"/>
  </r>
  <r>
    <x v="0"/>
    <s v="434APB1005"/>
    <n v="0"/>
    <x v="409"/>
    <s v="1005"/>
    <n v="-38.462681729977803"/>
    <n v="-6.4592296698133396"/>
    <n v="-38.478888140075497"/>
    <n v="-6.48196279005065"/>
    <s v="434"/>
    <s v="PB"/>
    <s v="Acesso"/>
    <s v="-"/>
    <s v="434APB1005"/>
    <s v="ENTR BR-434"/>
    <s v="JOCA CLAUDINO - ACESSO"/>
    <n v="0"/>
    <n v="3.3"/>
    <n v="3.3"/>
    <x v="2"/>
    <m/>
    <m/>
    <s v="Federal"/>
    <m/>
    <m/>
    <m/>
    <s v="Federal"/>
    <s v="PAV"/>
    <s v="Patos"/>
  </r>
  <r>
    <x v="0"/>
    <s v="434BCE0100"/>
    <n v="0"/>
    <x v="410"/>
    <s v="0100"/>
    <n v="-38.5901293003269"/>
    <n v="-6.3950382798926704"/>
    <n v="-38.845731339629502"/>
    <n v="-6.4053861401582104"/>
    <s v="434"/>
    <s v="CE"/>
    <s v="Eixo Principal"/>
    <s v="-"/>
    <s v="434BCE0100"/>
    <s v="DIV PB/CE"/>
    <s v="ENTR BR-116 (ICÓ)"/>
    <n v="0"/>
    <n v="38"/>
    <n v="38"/>
    <x v="1"/>
    <m/>
    <m/>
    <s v="Federal"/>
    <m/>
    <m/>
    <m/>
    <s v="Federal"/>
    <s v="PLA"/>
    <s v="Icó"/>
  </r>
  <r>
    <x v="0"/>
    <s v="434BPB0010"/>
    <n v="0"/>
    <x v="411"/>
    <s v="0010"/>
    <n v="-38.415526620257197"/>
    <n v="-6.5149487895549196"/>
    <n v="-38.4170733804321"/>
    <n v="-6.5097371598420102"/>
    <s v="434"/>
    <s v="PB"/>
    <s v="Eixo Principal"/>
    <s v="-"/>
    <s v="434BPB0010"/>
    <s v="ENTR BR-405 ( UIRAÚNA)"/>
    <s v="FIM DA TRAVESSIA URBANA DE UIRAÚNA*TRECHO MUNICIPAL*"/>
    <n v="0"/>
    <n v="0.5"/>
    <n v="0.5"/>
    <x v="2"/>
    <m/>
    <m/>
    <s v="Federal"/>
    <m/>
    <m/>
    <m/>
    <s v="Federal"/>
    <s v="PAV"/>
    <s v="Patos"/>
  </r>
  <r>
    <x v="0"/>
    <s v="434BPB0015"/>
    <n v="0"/>
    <x v="411"/>
    <s v="0015"/>
    <n v="-38.4170733804321"/>
    <n v="-6.5097371598420102"/>
    <n v="-38.462681729977803"/>
    <n v="-6.4592296698133396"/>
    <s v="434"/>
    <s v="PB"/>
    <s v="Eixo Principal"/>
    <s v="-"/>
    <s v="434BPB0015"/>
    <s v="FIM DA TRAVESSIA URBANA DE UIRAÚNA"/>
    <s v="ACESSO A JOCA CLAUDINO"/>
    <n v="0.5"/>
    <n v="10.199999999999999"/>
    <n v="9.6999999999999993"/>
    <x v="2"/>
    <m/>
    <m/>
    <s v="Federal"/>
    <m/>
    <m/>
    <m/>
    <s v="Federal"/>
    <s v="PAV"/>
    <s v="Patos"/>
  </r>
  <r>
    <x v="0"/>
    <s v="434BPB0020"/>
    <n v="0"/>
    <x v="411"/>
    <s v="0020"/>
    <n v="-38.462681729977803"/>
    <n v="-6.4592296698133396"/>
    <n v="-38.4976329001381"/>
    <n v="-6.4087823201478997"/>
    <s v="434"/>
    <s v="PB"/>
    <s v="Eixo Principal"/>
    <s v="-"/>
    <s v="434BPB0020"/>
    <s v="ACESSO A JOCA CLAUDINO"/>
    <s v="POÇO DANTAS"/>
    <n v="10.199999999999999"/>
    <n v="19.399999999999999"/>
    <n v="9.1999999999999993"/>
    <x v="2"/>
    <m/>
    <m/>
    <s v="Federal"/>
    <m/>
    <m/>
    <m/>
    <s v="Federal"/>
    <s v="PAV"/>
    <s v="Patos"/>
  </r>
  <r>
    <x v="0"/>
    <s v="434BPB0030"/>
    <n v="0"/>
    <x v="411"/>
    <s v="0030"/>
    <n v="-38.4976329001381"/>
    <n v="-6.4087823201478997"/>
    <n v="-38.5901293003269"/>
    <n v="-6.3950382798926704"/>
    <s v="434"/>
    <s v="PB"/>
    <s v="Eixo Principal"/>
    <s v="-"/>
    <s v="434BPB0030"/>
    <s v="POÇO DANTAS"/>
    <s v="DIV PB/CE"/>
    <n v="19.399999999999999"/>
    <n v="34.4"/>
    <n v="15"/>
    <x v="3"/>
    <m/>
    <m/>
    <s v="Federal"/>
    <m/>
    <m/>
    <m/>
    <s v="Federal"/>
    <s v="N_PAV"/>
    <s v="Patos"/>
  </r>
  <r>
    <x v="0"/>
    <s v="435BRO0010"/>
    <n v="0"/>
    <x v="412"/>
    <s v="0010"/>
    <n v="-60.131973749888601"/>
    <n v="-12.740795950172901"/>
    <n v="-60.158765360333"/>
    <n v="-12.733940869675299"/>
    <s v="435"/>
    <s v="RO"/>
    <s v="Eixo Principal"/>
    <s v="Coinc"/>
    <s v="435BRO0010"/>
    <s v="ENTR BR-364(A)/174 (VILHENA)"/>
    <s v="FIM PISTA DUPLA"/>
    <n v="0"/>
    <n v="3"/>
    <n v="3"/>
    <x v="0"/>
    <m/>
    <s v="364BRO1050"/>
    <s v="Federal"/>
    <m/>
    <m/>
    <m/>
    <s v="Federal"/>
    <s v="PAV"/>
    <s v="Pimenta Bueno"/>
  </r>
  <r>
    <x v="0"/>
    <s v="435BRO0020"/>
    <n v="0"/>
    <x v="412"/>
    <s v="0020"/>
    <n v="-60.158765360333"/>
    <n v="-12.733940869675299"/>
    <n v="-60.262601160215297"/>
    <n v="-12.7225278298953"/>
    <s v="435"/>
    <s v="RO"/>
    <s v="Eixo Principal"/>
    <s v="Coinc"/>
    <s v="435BRO0020"/>
    <s v="FIM PISTA DUPLA"/>
    <s v="ENTR BR-364(B)"/>
    <n v="3"/>
    <n v="14.4"/>
    <n v="11.4"/>
    <x v="2"/>
    <m/>
    <s v="364BRO1060"/>
    <s v="Federal"/>
    <m/>
    <m/>
    <m/>
    <s v="Federal"/>
    <s v="PAV"/>
    <s v="Pimenta Bueno"/>
  </r>
  <r>
    <x v="0"/>
    <s v="435BRO0030"/>
    <n v="0"/>
    <x v="412"/>
    <s v="0030"/>
    <n v="-60.262601160215297"/>
    <n v="-12.7225278298953"/>
    <n v="-60.544976270438397"/>
    <n v="-13.120891519827699"/>
    <s v="435"/>
    <s v="RO"/>
    <s v="Eixo Principal"/>
    <s v="-"/>
    <s v="435BRO0030"/>
    <s v="ENTR BR-364(B)"/>
    <s v="ENTR RO-485 (COLORADO DO OESTE)"/>
    <n v="14.4"/>
    <n v="86.5"/>
    <n v="72.099999999999994"/>
    <x v="2"/>
    <m/>
    <m/>
    <s v="Federal"/>
    <m/>
    <m/>
    <m/>
    <s v="Federal"/>
    <s v="PAV"/>
    <s v="Pimenta Bueno"/>
  </r>
  <r>
    <x v="0"/>
    <s v="435BRO0040"/>
    <n v="0"/>
    <x v="412"/>
    <s v="0040"/>
    <n v="-60.544976270438397"/>
    <n v="-13.120891519827699"/>
    <n v="-60.545005230407"/>
    <n v="-13.191812169695799"/>
    <s v="435"/>
    <s v="RO"/>
    <s v="Eixo Principal"/>
    <s v="-"/>
    <s v="435BRO0040"/>
    <s v="ENTR RO-485 (COLORADO DO OESTE)"/>
    <s v="ENTR RO-370(A) (P/CABIXI)"/>
    <n v="86.5"/>
    <n v="92.3"/>
    <n v="5.8"/>
    <x v="2"/>
    <m/>
    <m/>
    <s v="Federal"/>
    <m/>
    <m/>
    <m/>
    <s v="Federal"/>
    <s v="PAV"/>
    <s v="Pimenta Bueno"/>
  </r>
  <r>
    <x v="0"/>
    <s v="435BRO0050"/>
    <n v="0"/>
    <x v="412"/>
    <s v="0050"/>
    <n v="-60.545005230407"/>
    <n v="-13.191812169695799"/>
    <n v="-60.820753910064802"/>
    <n v="-13.1888932500233"/>
    <s v="435"/>
    <s v="RO"/>
    <s v="Eixo Principal"/>
    <s v="-"/>
    <s v="435BRO0050"/>
    <s v="ENTR RO-370(A) (P/CABIXI)"/>
    <s v="ENTR RO-487 (CEREJEIRAS)"/>
    <n v="92.3"/>
    <n v="124.4"/>
    <n v="32.1"/>
    <x v="2"/>
    <m/>
    <m/>
    <s v="Federal"/>
    <m/>
    <m/>
    <m/>
    <s v="Federal"/>
    <s v="PAV"/>
    <s v="Pimenta Bueno"/>
  </r>
  <r>
    <x v="0"/>
    <s v="435BRO0060"/>
    <n v="0"/>
    <x v="412"/>
    <s v="0060"/>
    <n v="-60.820753910064802"/>
    <n v="-13.1888932500233"/>
    <n v="-60.950310389712598"/>
    <n v="-13.1888582304229"/>
    <s v="435"/>
    <s v="RO"/>
    <s v="Eixo Principal"/>
    <s v="-"/>
    <s v="435BRO0060"/>
    <s v="ENTR RO-487 (CEREJEIRAS)"/>
    <s v="ENTR RO-370(B) (P/CORUMBIARA)"/>
    <n v="124.4"/>
    <n v="137.1"/>
    <n v="12.7"/>
    <x v="2"/>
    <m/>
    <m/>
    <s v="Federal"/>
    <m/>
    <m/>
    <m/>
    <s v="Federal"/>
    <s v="PAV"/>
    <s v="Pimenta Bueno"/>
  </r>
  <r>
    <x v="0"/>
    <s v="435BRO0070"/>
    <n v="0"/>
    <x v="412"/>
    <s v="0070"/>
    <n v="-60.950310389712598"/>
    <n v="-13.1888582304229"/>
    <n v="-60.9504892495791"/>
    <n v="-13.4134751196809"/>
    <s v="435"/>
    <s v="RO"/>
    <s v="Eixo Principal"/>
    <s v="-"/>
    <s v="435BRO0070"/>
    <s v="ENTR RO-370(B) (P/CORUMBIARA)"/>
    <s v="ENTR RO-497 (P/CORUMBIARA)"/>
    <n v="137.1"/>
    <n v="162.1"/>
    <n v="25"/>
    <x v="5"/>
    <s v="EOP"/>
    <m/>
    <s v="Federal"/>
    <m/>
    <m/>
    <m/>
    <s v="Federal"/>
    <s v="N_PAV"/>
    <s v="Pimenta Bueno"/>
  </r>
  <r>
    <x v="0"/>
    <s v="435BRO0085"/>
    <n v="0"/>
    <x v="412"/>
    <s v="0085"/>
    <n v="-60.9504892495791"/>
    <n v="-13.4134751196809"/>
    <n v="-61.036355809872703"/>
    <n v="-13.476998209899399"/>
    <s v="435"/>
    <s v="RO"/>
    <s v="Eixo Principal"/>
    <s v="-"/>
    <s v="435BRO0085"/>
    <s v="ENTR RO-497 (P/CORUMBIARA)"/>
    <s v="PIMENTEIRAS DO OESTE - INÌCIO PAVIMENTAÇÃO (INÍCIO TR URBANA)"/>
    <n v="162.1"/>
    <n v="174.2"/>
    <n v="12.1"/>
    <x v="5"/>
    <s v="EOP"/>
    <m/>
    <s v="Federal"/>
    <m/>
    <m/>
    <m/>
    <s v="Federal"/>
    <s v="N_PAV"/>
    <s v="Pimenta Bueno"/>
  </r>
  <r>
    <x v="0"/>
    <s v="435BRO0100"/>
    <n v="0"/>
    <x v="412"/>
    <s v="0100"/>
    <n v="-61.036355809872703"/>
    <n v="-13.476998209899399"/>
    <n v="-61.0463003700659"/>
    <n v="-13.4835612400591"/>
    <s v="435"/>
    <s v="RO"/>
    <s v="Eixo Principal"/>
    <s v="-"/>
    <s v="435BRO0100"/>
    <s v="PIMENTEIRAS DO OESTE - INÌCIO PAVIMENTAÇÃO (INÍCIO TR URBANA)"/>
    <s v="FRONT BRASIL/BOLIVIA (PIMENTEIRAS D´OESTE)"/>
    <n v="174.2"/>
    <n v="175.3"/>
    <n v="1.1000000000000001"/>
    <x v="2"/>
    <m/>
    <m/>
    <s v="Federal"/>
    <m/>
    <m/>
    <m/>
    <s v="Federal"/>
    <s v="PAV"/>
    <s v="Pimenta Bueno"/>
  </r>
  <r>
    <x v="0"/>
    <s v="436BMS0010"/>
    <n v="0"/>
    <x v="413"/>
    <s v="0010"/>
    <n v="-51.137584520309296"/>
    <n v="-20.0823521099618"/>
    <n v="-51.0237407904051"/>
    <n v="-20.097663750381699"/>
    <s v="436"/>
    <s v="MS"/>
    <s v="Eixo Principal"/>
    <s v="-"/>
    <s v="436BMS0010"/>
    <s v="ENTR BR-158 (APARECIDA DO TABOADO)"/>
    <s v="INÍCIO PONTE RODOFERROVIÁRIA S/ R PARANÁ"/>
    <n v="0"/>
    <n v="14.4"/>
    <n v="14.4"/>
    <x v="2"/>
    <m/>
    <m/>
    <s v="Convênio de Administração"/>
    <m/>
    <m/>
    <m/>
    <s v="Federal"/>
    <s v="PAV"/>
    <s v="Três Lagoas"/>
  </r>
  <r>
    <x v="0"/>
    <s v="436BMS0020"/>
    <n v="0"/>
    <x v="413"/>
    <s v="0020"/>
    <n v="-51.0237407904051"/>
    <n v="-20.097663750381699"/>
    <n v="-50.992300710209499"/>
    <n v="-20.113790850167501"/>
    <s v="436"/>
    <s v="MS"/>
    <s v="Eixo Principal"/>
    <s v="-"/>
    <s v="436BMS0020"/>
    <s v="INÍCIO PONTE RODOFERROVIÁRIA S/ R PARANÁ"/>
    <s v="DIV MS/SP (FIM DA PONTE RODOFERROVIÁRIA S/ R PARANÁ)"/>
    <n v="14.4"/>
    <n v="18.100000000000001"/>
    <n v="3.7"/>
    <x v="0"/>
    <m/>
    <m/>
    <s v="Convênio de Administração"/>
    <m/>
    <m/>
    <m/>
    <s v="Federal"/>
    <s v="PAV"/>
    <s v="Três Lagoas"/>
  </r>
  <r>
    <x v="0"/>
    <s v="437BCE0020"/>
    <n v="0"/>
    <x v="414"/>
    <s v="0020"/>
    <n v="-37.772661220338897"/>
    <n v="-5.2238770204081098"/>
    <n v="-38.173957739757803"/>
    <n v="-5.2995183996543398"/>
    <s v="437"/>
    <s v="CE"/>
    <s v="Eixo Principal"/>
    <s v="-"/>
    <s v="437BCE0020"/>
    <s v="DIV RN/CE"/>
    <s v="ENTR BR-116/CE-266"/>
    <n v="0"/>
    <n v="48.5"/>
    <n v="48.5"/>
    <x v="5"/>
    <m/>
    <m/>
    <s v="Federal"/>
    <m/>
    <m/>
    <m/>
    <s v="Federal"/>
    <s v="N_PAV"/>
    <s v="Russas"/>
  </r>
  <r>
    <x v="0"/>
    <s v="437BRN0010"/>
    <n v="0"/>
    <x v="415"/>
    <s v="0010"/>
    <n v="-37.497469509710001"/>
    <n v="-5.2150944103786898"/>
    <n v="-37.772661220338897"/>
    <n v="-5.2238770204081098"/>
    <s v="437"/>
    <s v="RN"/>
    <s v="Eixo Principal"/>
    <s v="-"/>
    <s v="437BRN0010"/>
    <s v="ENTR BR-405/RN-116 (JUCURÍ)"/>
    <s v="DIV RN/CE"/>
    <n v="0"/>
    <n v="32"/>
    <n v="32"/>
    <x v="5"/>
    <m/>
    <m/>
    <s v="Federal"/>
    <m/>
    <m/>
    <m/>
    <s v="Federal"/>
    <s v="N_PAV"/>
    <s v="Mossoró"/>
  </r>
  <r>
    <x v="0"/>
    <s v="438BRS0010"/>
    <n v="0"/>
    <x v="416"/>
    <s v="0010"/>
    <n v="-50.434563850041599"/>
    <n v="-28.653706490362101"/>
    <n v="-50.228200729679799"/>
    <n v="-28.4608450303738"/>
    <s v="438"/>
    <s v="RS"/>
    <s v="Eixo Principal"/>
    <s v="-"/>
    <s v="438BRS0010"/>
    <s v="ENTR BR-285 (BOM JESUS)"/>
    <s v="DIV RS/SC"/>
    <n v="0"/>
    <n v="36"/>
    <n v="36"/>
    <x v="1"/>
    <m/>
    <m/>
    <s v="Federal"/>
    <m/>
    <m/>
    <m/>
    <s v="Federal"/>
    <s v="PLA"/>
    <s v="Vacaria"/>
  </r>
  <r>
    <x v="0"/>
    <s v="438BSC0030"/>
    <n v="0"/>
    <x v="417"/>
    <s v="0030"/>
    <n v="-50.228200729679799"/>
    <n v="-28.4608450303738"/>
    <n v="-49.854678496415403"/>
    <n v="-28.220291327083"/>
    <s v="438"/>
    <s v="SC"/>
    <s v="Eixo Principal"/>
    <s v="-"/>
    <s v="438BSC0030"/>
    <s v="DIV RS/SC"/>
    <s v="SÃO JOAQUIM"/>
    <n v="0"/>
    <n v="71"/>
    <n v="71"/>
    <x v="1"/>
    <m/>
    <m/>
    <s v="Federal"/>
    <m/>
    <m/>
    <m/>
    <s v="Federal"/>
    <s v="PLA"/>
    <m/>
  </r>
  <r>
    <x v="0"/>
    <s v="438BSC0050"/>
    <n v="0"/>
    <x v="417"/>
    <s v="0050"/>
    <n v="-49.854678496415403"/>
    <n v="-28.220291327083"/>
    <n v="-49.573650281035597"/>
    <n v="-27.972064358982902"/>
    <s v="438"/>
    <s v="SC"/>
    <s v="Eixo Principal"/>
    <s v="-"/>
    <s v="438BSC0050"/>
    <s v="SÃO JOAQUIM"/>
    <s v="URUBICI"/>
    <n v="71"/>
    <n v="131"/>
    <n v="60"/>
    <x v="1"/>
    <m/>
    <m/>
    <s v="Federal"/>
    <m/>
    <m/>
    <m/>
    <s v="Federal"/>
    <s v="PLA"/>
    <m/>
  </r>
  <r>
    <x v="0"/>
    <s v="438BSC0070"/>
    <n v="0"/>
    <x v="417"/>
    <s v="0070"/>
    <n v="-49.573650281035597"/>
    <n v="-27.972064358982902"/>
    <n v="-49.4887957898937"/>
    <n v="-27.804022119924799"/>
    <s v="438"/>
    <s v="SC"/>
    <s v="Eixo Principal"/>
    <s v="-"/>
    <s v="438BSC0070"/>
    <s v="URUBICI"/>
    <s v="ENTR BR-282 (BOM RETIRO)"/>
    <n v="131"/>
    <n v="161"/>
    <n v="30"/>
    <x v="1"/>
    <m/>
    <m/>
    <s v="Federal"/>
    <m/>
    <m/>
    <m/>
    <s v="Federal"/>
    <s v="PLA"/>
    <m/>
  </r>
  <r>
    <x v="0"/>
    <s v="439BBA0050"/>
    <n v="0"/>
    <x v="418"/>
    <s v="0050"/>
    <n v="-40.154811569598202"/>
    <n v="-18.023366279729899"/>
    <n v="-40.237014610236002"/>
    <n v="-17.943531279944501"/>
    <s v="439"/>
    <s v="BA"/>
    <s v="Eixo Principal"/>
    <s v="-"/>
    <s v="439BBA0050"/>
    <s v="DIV ES/BA"/>
    <s v="TRÊS CORAÇÕES (TAQUARINHA)"/>
    <n v="0"/>
    <n v="16.7"/>
    <n v="16.7"/>
    <x v="1"/>
    <m/>
    <m/>
    <s v="Federal"/>
    <m/>
    <m/>
    <m/>
    <s v="Federal"/>
    <s v="PLA"/>
    <s v="Eunápolis"/>
  </r>
  <r>
    <x v="0"/>
    <s v="439BBA0080"/>
    <n v="0"/>
    <x v="418"/>
    <s v="0080"/>
    <n v="-40.237014610236002"/>
    <n v="-17.943531279944501"/>
    <n v="-40.2652049803255"/>
    <n v="-17.9328952400232"/>
    <s v="439"/>
    <s v="BA"/>
    <s v="Eixo Principal"/>
    <s v="-"/>
    <s v="439BBA0080"/>
    <s v="TRÊS CORAÇÕES (TAQUARINHA)"/>
    <s v="DIV BA/MG"/>
    <n v="16.7"/>
    <n v="20"/>
    <n v="3.3"/>
    <x v="1"/>
    <m/>
    <m/>
    <s v="Federal"/>
    <m/>
    <m/>
    <m/>
    <s v="Federal"/>
    <s v="PLA"/>
    <s v="Eunápolis"/>
  </r>
  <r>
    <x v="0"/>
    <s v="439BES0010"/>
    <n v="0"/>
    <x v="419"/>
    <s v="0010"/>
    <n v="-39.957426999955999"/>
    <n v="-18.300573370164798"/>
    <n v="-40.115102850016399"/>
    <n v="-18.080563019767499"/>
    <s v="439"/>
    <s v="ES"/>
    <s v="Eixo Principal"/>
    <s v="-"/>
    <s v="439BES0010"/>
    <s v="ENTR BR-101/ES-209(A) (PEDRO CANÁRIO)"/>
    <s v="ENTR ES-209(B) (CRISTAL DO NORTE)"/>
    <n v="0"/>
    <n v="33.9"/>
    <n v="33.9"/>
    <x v="1"/>
    <m/>
    <m/>
    <s v="Estadual"/>
    <m/>
    <s v="ES-209"/>
    <s v="LEN"/>
    <s v="Estadual"/>
    <s v="PLA"/>
    <s v="Colatina"/>
  </r>
  <r>
    <x v="0"/>
    <s v="439BES0020"/>
    <n v="0"/>
    <x v="419"/>
    <s v="0020"/>
    <n v="-40.115102850016399"/>
    <n v="-18.080563019767499"/>
    <n v="-40.151321299838003"/>
    <n v="-18.031705569856101"/>
    <s v="439"/>
    <s v="ES"/>
    <s v="Eixo Principal"/>
    <s v="-"/>
    <s v="439BES0020"/>
    <s v="ENTR ES-209(B) (CRISTAL DO NORTE)"/>
    <s v="TAQUARAS"/>
    <n v="33.9"/>
    <n v="41.6"/>
    <n v="7.7"/>
    <x v="1"/>
    <m/>
    <m/>
    <s v="Estadual"/>
    <m/>
    <s v="ES-410"/>
    <s v="LEN"/>
    <s v="Estadual"/>
    <s v="PLA"/>
    <s v="Colatina"/>
  </r>
  <r>
    <x v="0"/>
    <s v="439BES0030"/>
    <n v="0"/>
    <x v="419"/>
    <s v="0030"/>
    <n v="-40.151321299838003"/>
    <n v="-18.031705569856101"/>
    <n v="-40.154811569598202"/>
    <n v="-18.023366279729899"/>
    <s v="439"/>
    <s v="ES"/>
    <s v="Eixo Principal"/>
    <s v="-"/>
    <s v="439BES0030"/>
    <s v="TAQUARAS"/>
    <s v="ENTR ES-410(B) (DIV ES/BA)"/>
    <n v="41.6"/>
    <n v="42.6"/>
    <n v="1"/>
    <x v="1"/>
    <m/>
    <m/>
    <s v="Estadual"/>
    <m/>
    <s v="ES-410"/>
    <s v="LEN"/>
    <s v="Estadual"/>
    <s v="PLA"/>
    <s v="Colatina"/>
  </r>
  <r>
    <x v="0"/>
    <s v="439BMG0100"/>
    <n v="0"/>
    <x v="420"/>
    <s v="0100"/>
    <n v="-40.315326189951598"/>
    <n v="-17.819580920323101"/>
    <n v="-40.2652049803255"/>
    <n v="-17.9328952400232"/>
    <s v="439"/>
    <s v="MG"/>
    <s v="Eixo Principal"/>
    <s v="-"/>
    <s v="439BMG0100"/>
    <s v="DIV BA/MG"/>
    <s v="ENTR BR-418 (NANUQUE)"/>
    <n v="0"/>
    <n v="16"/>
    <n v="16"/>
    <x v="1"/>
    <m/>
    <m/>
    <s v="Federal"/>
    <m/>
    <m/>
    <m/>
    <s v="Federal"/>
    <s v="PLA"/>
    <s v="Teófilo Otoni"/>
  </r>
  <r>
    <x v="0"/>
    <s v="440BMG0010"/>
    <n v="0"/>
    <x v="421"/>
    <s v="0010"/>
    <n v="-43.415288670335798"/>
    <n v="-21.784173620416102"/>
    <n v="-43.3683682602869"/>
    <n v="-21.767204159843999"/>
    <s v="440"/>
    <s v="MG"/>
    <s v="Eixo Principal"/>
    <s v="-"/>
    <s v="440BMG0010"/>
    <s v="ENTR BR-040 (JUIZ DE FORA)"/>
    <s v="FIM DA PAVIMENTAÇÃO"/>
    <n v="0"/>
    <n v="5.8"/>
    <n v="5.8"/>
    <x v="2"/>
    <m/>
    <m/>
    <s v="Federal"/>
    <m/>
    <m/>
    <m/>
    <s v="Federal"/>
    <s v="PAV"/>
    <s v="Juiz de Fora"/>
  </r>
  <r>
    <x v="0"/>
    <s v="440BMG0020"/>
    <n v="0"/>
    <x v="421"/>
    <s v="0020"/>
    <n v="-43.3683682602869"/>
    <n v="-21.767204159843999"/>
    <n v="-43.353860180303002"/>
    <n v="-21.7454483202836"/>
    <s v="440"/>
    <s v="MG"/>
    <s v="Eixo Principal"/>
    <s v="-"/>
    <s v="440BMG0020"/>
    <s v="FIM DA PAVIMENTAÇÃO"/>
    <s v="ENTR BR-267/MG-353 (JUIZ DE FORA)"/>
    <n v="5.8"/>
    <n v="9"/>
    <n v="3.2"/>
    <x v="1"/>
    <m/>
    <m/>
    <s v="Federal"/>
    <m/>
    <m/>
    <m/>
    <s v="Federal"/>
    <s v="PLA"/>
    <s v="Juiz de Fora"/>
  </r>
  <r>
    <x v="0"/>
    <s v="447BES0010"/>
    <n v="0"/>
    <x v="422"/>
    <s v="0010"/>
    <n v="-40.398772660230001"/>
    <n v="-20.342166080000499"/>
    <n v="-40.332099580331302"/>
    <n v="-20.3787647398008"/>
    <s v="447"/>
    <s v="ES"/>
    <s v="Eixo Principal"/>
    <s v="-"/>
    <s v="447BES0010"/>
    <s v="ENTR BR-262"/>
    <s v="ENTR ES-060 (ROD DARLY SANTOS)"/>
    <n v="0"/>
    <n v="10"/>
    <n v="10"/>
    <x v="1"/>
    <m/>
    <m/>
    <s v="Federal"/>
    <m/>
    <m/>
    <m/>
    <s v="Federal"/>
    <s v="PLA"/>
    <s v="Santa Isabel"/>
  </r>
  <r>
    <x v="0"/>
    <s v="447BES0020"/>
    <n v="0"/>
    <x v="422"/>
    <s v="0020"/>
    <n v="-40.332099580331302"/>
    <n v="-20.3787647398008"/>
    <n v="-40.334122390335999"/>
    <n v="-20.354437240286298"/>
    <s v="447"/>
    <s v="ES"/>
    <s v="Eixo Principal"/>
    <s v="-"/>
    <s v="447BES0020"/>
    <s v="ENTR ES-060 (ROD DARLY SANTOS)"/>
    <s v="ENTR ROD CARLOS LINDEMBERG"/>
    <n v="10"/>
    <n v="12"/>
    <n v="2"/>
    <x v="2"/>
    <m/>
    <m/>
    <s v="Federal"/>
    <m/>
    <m/>
    <m/>
    <s v="Federal"/>
    <s v="PAV"/>
    <s v="Santa Isabel"/>
  </r>
  <r>
    <x v="0"/>
    <s v="447BES0030"/>
    <n v="0"/>
    <x v="422"/>
    <s v="0030"/>
    <n v="-40.334122390335999"/>
    <n v="-20.354437240286298"/>
    <n v="-40.327518119965198"/>
    <n v="-20.338946540350399"/>
    <s v="447"/>
    <s v="ES"/>
    <s v="Eixo Principal"/>
    <s v="-"/>
    <s v="447BES0030"/>
    <s v="ENTR ROD CARLOS LINDEMBERG"/>
    <s v="PONTE S/ RIO ARIBIRI"/>
    <n v="12"/>
    <n v="13.9"/>
    <n v="1.9"/>
    <x v="2"/>
    <m/>
    <m/>
    <s v="Federal"/>
    <m/>
    <m/>
    <m/>
    <s v="Federal"/>
    <s v="PAV"/>
    <s v="Santa Isabel"/>
  </r>
  <r>
    <x v="0"/>
    <s v="447BES0040"/>
    <n v="0"/>
    <x v="422"/>
    <s v="0040"/>
    <n v="-40.327518119965198"/>
    <n v="-20.338946540350399"/>
    <n v="-40.327369610419098"/>
    <n v="-20.327201399824599"/>
    <s v="447"/>
    <s v="ES"/>
    <s v="Eixo Principal"/>
    <s v="-"/>
    <s v="447BES0040"/>
    <s v="PONTE S/ RIO ARIBIRI"/>
    <s v="TERMINAL DE CAPUABA"/>
    <n v="13.9"/>
    <n v="15.3"/>
    <n v="1.4"/>
    <x v="1"/>
    <m/>
    <m/>
    <s v="Estadual"/>
    <m/>
    <s v="EST-447"/>
    <s v="PAV"/>
    <s v="Estadual"/>
    <s v="PLA"/>
    <s v="Santa Isabel"/>
  </r>
  <r>
    <x v="0"/>
    <s v="448BRS0010"/>
    <n v="0"/>
    <x v="423"/>
    <s v="0010"/>
    <n v="-51.172653060090603"/>
    <n v="-29.827416979809701"/>
    <n v="-51.176218860312098"/>
    <n v="-29.829861679772598"/>
    <s v="448"/>
    <s v="RS"/>
    <s v="Eixo Principal"/>
    <s v="-"/>
    <s v="448BRS0010"/>
    <s v="ENTR BR-116/RS-118"/>
    <s v="INÍCIO DA CONCESSÃO"/>
    <n v="0"/>
    <n v="0.6"/>
    <n v="0.6"/>
    <x v="0"/>
    <m/>
    <m/>
    <s v="Federal"/>
    <m/>
    <m/>
    <m/>
    <s v="Federal"/>
    <s v="PAV"/>
    <s v="São Leopoldo"/>
  </r>
  <r>
    <x v="0"/>
    <s v="448BRS0012"/>
    <n v="0"/>
    <x v="423"/>
    <s v="0012"/>
    <n v="-51.176218860312098"/>
    <n v="-29.829861679772598"/>
    <n v="-51.2251582996157"/>
    <n v="-29.857902200326201"/>
    <s v="448"/>
    <s v="RS"/>
    <s v="Eixo Principal"/>
    <s v="-"/>
    <s v="448BRS0012"/>
    <s v="INÍCIO DA CONCESSÃO"/>
    <s v="ENTR BR-116(CONTORNO) (CANOAS)"/>
    <n v="0.6"/>
    <n v="6.8"/>
    <n v="6.2"/>
    <x v="0"/>
    <m/>
    <m/>
    <s v="Concessão Federal"/>
    <m/>
    <m/>
    <m/>
    <s v="Federal"/>
    <s v="PAV"/>
    <s v="São Leopoldo"/>
  </r>
  <r>
    <x v="0"/>
    <s v="448BRS0015"/>
    <n v="0"/>
    <x v="423"/>
    <s v="0015"/>
    <n v="-51.2251582996157"/>
    <n v="-29.857902200326201"/>
    <n v="-51.236101299735097"/>
    <n v="-29.881733089710199"/>
    <s v="448"/>
    <s v="RS"/>
    <s v="Eixo Principal"/>
    <s v="Coinc"/>
    <s v="448BRS0015"/>
    <s v="ENTR BR-116(CONTORNO) (CANOAS)"/>
    <s v="ENTR BR-386 (CANOAS)"/>
    <n v="6.8"/>
    <n v="9.6999999999999993"/>
    <n v="2.9"/>
    <x v="0"/>
    <m/>
    <s v="116CRS1012"/>
    <s v="Concessão Federal"/>
    <m/>
    <m/>
    <m/>
    <s v="Federal"/>
    <s v="PAV"/>
    <s v="São Leopoldo"/>
  </r>
  <r>
    <x v="0"/>
    <s v="448BRS0020"/>
    <n v="0"/>
    <x v="423"/>
    <s v="0020"/>
    <n v="-51.236101299735097"/>
    <n v="-29.881733089710199"/>
    <n v="-51.198140939552601"/>
    <n v="-29.974160219618302"/>
    <s v="448"/>
    <s v="RS"/>
    <s v="Eixo Principal"/>
    <s v="Coinc"/>
    <s v="448BRS0020"/>
    <s v="ENTR BR-386 (CANOAS)"/>
    <s v="ENTR BR-116(B)/290 (PORTO ALEGRE)(CONT NORTE RMA P ALEGRE)"/>
    <n v="9.6999999999999993"/>
    <n v="22.3"/>
    <n v="12.6"/>
    <x v="0"/>
    <m/>
    <s v="116CRS1015"/>
    <s v="Concessão Federal"/>
    <m/>
    <m/>
    <m/>
    <s v="Federal"/>
    <s v="PAV"/>
    <s v="São Leopoldo"/>
  </r>
  <r>
    <x v="0"/>
    <s v="450BDF0010"/>
    <n v="0"/>
    <x v="424"/>
    <s v="0010"/>
    <n v="-47.858851780085502"/>
    <n v="-15.6881578900745"/>
    <n v="-47.899275320399603"/>
    <n v="-15.7126848304405"/>
    <s v="450"/>
    <s v="DF"/>
    <s v="Eixo Principal"/>
    <s v="-"/>
    <s v="450BDF0010"/>
    <s v="ENTR BR-010/020/030/DF-003(A) (PARQUE RODOVIÁRIO DER-DF)"/>
    <s v="ENTR DF-007 (GRANJA DO TORTO)"/>
    <n v="0"/>
    <n v="5.2"/>
    <n v="5.2"/>
    <x v="1"/>
    <m/>
    <m/>
    <s v="Distrital"/>
    <m/>
    <s v="DF-003"/>
    <s v="DUP"/>
    <s v="Distrital"/>
    <s v="PLA"/>
    <s v="Brasília"/>
  </r>
  <r>
    <x v="0"/>
    <s v="450BDF0030"/>
    <n v="0"/>
    <x v="424"/>
    <s v="0030"/>
    <n v="-47.899275320399603"/>
    <n v="-15.7126848304405"/>
    <n v="-47.906876709592403"/>
    <n v="-15.724475269817701"/>
    <s v="450"/>
    <s v="DF"/>
    <s v="Eixo Principal"/>
    <s v="-"/>
    <s v="450BDF0030"/>
    <s v="ENTR DF-007 (GRANJA DO TORTO)"/>
    <s v="ENTR DF-009 (ACESSO AO PARQUE DE EXPOSIÇÕES)"/>
    <n v="5.2"/>
    <n v="6.7"/>
    <n v="1.5"/>
    <x v="1"/>
    <m/>
    <m/>
    <s v="Distrital"/>
    <m/>
    <s v="DF-003"/>
    <s v="DUP"/>
    <s v="Distrital"/>
    <s v="PLA"/>
    <s v="Brasília"/>
  </r>
  <r>
    <x v="0"/>
    <s v="450BDF0050"/>
    <n v="0"/>
    <x v="424"/>
    <s v="0050"/>
    <n v="-47.906876709592403"/>
    <n v="-15.724475269817701"/>
    <n v="-47.9161721903942"/>
    <n v="-15.7393563697006"/>
    <s v="450"/>
    <s v="DF"/>
    <s v="Eixo Principal"/>
    <s v="-"/>
    <s v="450BDF0050"/>
    <s v="ENTR DF-009 (ACESSO AO PARQUE DE EXPOSIÇÕES)"/>
    <s v="ACESSO À ASA NORTE"/>
    <n v="6.7"/>
    <n v="8.6"/>
    <n v="1.9"/>
    <x v="1"/>
    <m/>
    <m/>
    <s v="Distrital"/>
    <m/>
    <s v="DF-003"/>
    <s v="DUP"/>
    <s v="Distrital"/>
    <s v="PLA"/>
    <s v="Brasília"/>
  </r>
  <r>
    <x v="0"/>
    <s v="450BDF0070"/>
    <n v="0"/>
    <x v="424"/>
    <s v="0070"/>
    <n v="-47.9161721903942"/>
    <n v="-15.7393563697006"/>
    <n v="-47.927536250397601"/>
    <n v="-15.7575736099341"/>
    <s v="450"/>
    <s v="DF"/>
    <s v="Eixo Principal"/>
    <s v="-"/>
    <s v="450BDF0070"/>
    <s v="ACESSO À ASA NORTE"/>
    <s v="ACESSO AO SETOR DE ARMAZENAMENTO"/>
    <n v="8.6"/>
    <n v="11.6"/>
    <n v="3"/>
    <x v="1"/>
    <m/>
    <m/>
    <s v="Distrital"/>
    <m/>
    <s v="DF-003"/>
    <s v="DUP"/>
    <s v="Distrital"/>
    <s v="PLA"/>
    <s v="Brasília"/>
  </r>
  <r>
    <x v="0"/>
    <s v="450BDF0090"/>
    <n v="0"/>
    <x v="424"/>
    <s v="0090"/>
    <n v="-47.927536250397601"/>
    <n v="-15.7575736099341"/>
    <n v="-47.937668089910403"/>
    <n v="-15.775607619595901"/>
    <s v="450"/>
    <s v="DF"/>
    <s v="Eixo Principal"/>
    <s v="-"/>
    <s v="450BDF0090"/>
    <s v="ACESSO AO SETOR DE ARMAZENAMENTO"/>
    <s v="EIXO MONUMENTAL"/>
    <n v="11.6"/>
    <n v="13.3"/>
    <n v="1.7"/>
    <x v="1"/>
    <m/>
    <m/>
    <s v="Distrital"/>
    <m/>
    <s v="DF-003"/>
    <s v="DUP"/>
    <s v="Distrital"/>
    <s v="PLA"/>
    <s v="Brasília"/>
  </r>
  <r>
    <x v="0"/>
    <s v="450BDF0110"/>
    <n v="0"/>
    <x v="424"/>
    <s v="0110"/>
    <n v="-47.937668089910403"/>
    <n v="-15.775607619595901"/>
    <n v="-47.940860020373499"/>
    <n v="-15.7851672600609"/>
    <s v="450"/>
    <s v="DF"/>
    <s v="Eixo Principal"/>
    <s v="-"/>
    <s v="450BDF0110"/>
    <s v="EIXO MONUMENTAL"/>
    <s v="ENTR DF-095 (EPCL)"/>
    <n v="13.3"/>
    <n v="14.4"/>
    <n v="1.1000000000000001"/>
    <x v="1"/>
    <m/>
    <m/>
    <s v="Distrital"/>
    <m/>
    <s v="DF-003"/>
    <s v="DUP"/>
    <s v="Distrital"/>
    <s v="PLA"/>
    <s v="Brasília"/>
  </r>
  <r>
    <x v="0"/>
    <s v="450BDF0130"/>
    <n v="0"/>
    <x v="424"/>
    <s v="0130"/>
    <n v="-47.940860020373499"/>
    <n v="-15.7851672600609"/>
    <n v="-47.948171649801701"/>
    <n v="-15.8102283797359"/>
    <s v="450"/>
    <s v="DF"/>
    <s v="Eixo Principal"/>
    <s v="-"/>
    <s v="450BDF0130"/>
    <s v="ENTR DF-095 (EPCL)"/>
    <s v="ENTR DF-085 (EPTG)"/>
    <n v="14.4"/>
    <n v="17.2"/>
    <n v="2.8"/>
    <x v="1"/>
    <m/>
    <m/>
    <s v="Distrital"/>
    <m/>
    <s v="DF-003"/>
    <s v="DUP"/>
    <s v="Distrital"/>
    <s v="PLA"/>
    <s v="Brasília"/>
  </r>
  <r>
    <x v="0"/>
    <s v="450BDF0150"/>
    <n v="0"/>
    <x v="424"/>
    <s v="0150"/>
    <n v="-47.948171649801701"/>
    <n v="-15.8102283797359"/>
    <n v="-47.953174039650101"/>
    <n v="-15.840581079752999"/>
    <s v="450"/>
    <s v="DF"/>
    <s v="Eixo Principal"/>
    <s v="-"/>
    <s v="450BDF0150"/>
    <s v="ENTR DF-085 (EPTG)"/>
    <s v="ENTR DF-051 (EPGU)"/>
    <n v="17.2"/>
    <n v="20.6"/>
    <n v="3.4"/>
    <x v="1"/>
    <m/>
    <m/>
    <s v="Distrital"/>
    <m/>
    <s v="DF-003"/>
    <s v="DUP"/>
    <s v="Distrital"/>
    <s v="PLA"/>
    <s v="Brasília"/>
  </r>
  <r>
    <x v="0"/>
    <s v="450BDF0170"/>
    <n v="0"/>
    <x v="424"/>
    <s v="0170"/>
    <n v="-47.953174039650101"/>
    <n v="-15.840581079752999"/>
    <n v="-47.9566222598094"/>
    <n v="-15.862061930014001"/>
    <s v="450"/>
    <s v="DF"/>
    <s v="Eixo Principal"/>
    <s v="-"/>
    <s v="450BDF0170"/>
    <s v="ENTR DF-051 (EPGU)"/>
    <s v="ENTR DF-075 (EPNB)"/>
    <n v="20.6"/>
    <n v="23"/>
    <n v="2.4"/>
    <x v="1"/>
    <m/>
    <m/>
    <s v="Distrital"/>
    <m/>
    <s v="DF-003"/>
    <s v="DUP"/>
    <s v="Distrital"/>
    <s v="PLA"/>
    <s v="Brasília"/>
  </r>
  <r>
    <x v="0"/>
    <s v="450BDF0190"/>
    <n v="0"/>
    <x v="424"/>
    <s v="0190"/>
    <n v="-47.9566222598094"/>
    <n v="-15.862061930014001"/>
    <n v="-47.958614459589498"/>
    <n v="-15.874465959736099"/>
    <s v="450"/>
    <s v="DF"/>
    <s v="Eixo Principal"/>
    <s v="-"/>
    <s v="450BDF0190"/>
    <s v="ENTR DF-075 (EPNB)"/>
    <s v="ENTR DF-025 (EPDB)"/>
    <n v="23"/>
    <n v="24.4"/>
    <n v="1.4"/>
    <x v="1"/>
    <m/>
    <m/>
    <s v="Distrital"/>
    <m/>
    <s v="DF-003"/>
    <s v="DUP"/>
    <s v="Distrital"/>
    <s v="PLA"/>
    <s v="Brasília"/>
  </r>
  <r>
    <x v="0"/>
    <s v="450BDF0210"/>
    <n v="0"/>
    <x v="424"/>
    <s v="0210"/>
    <n v="-47.958614459589498"/>
    <n v="-15.874465959736099"/>
    <n v="-47.959334949648103"/>
    <n v="-15.878943310085599"/>
    <s v="450"/>
    <s v="DF"/>
    <s v="Eixo Principal"/>
    <s v="-"/>
    <s v="450BDF0210"/>
    <s v="ENTR DF-025 (EPDB)"/>
    <s v="ENTR DF-055"/>
    <n v="24.4"/>
    <n v="24.8"/>
    <n v="0.4"/>
    <x v="1"/>
    <m/>
    <m/>
    <s v="Distrital"/>
    <m/>
    <s v="DF-003"/>
    <s v="DUP"/>
    <s v="Distrital"/>
    <s v="PLA"/>
    <s v="Brasília"/>
  </r>
  <r>
    <x v="0"/>
    <s v="450BDF0230"/>
    <n v="0"/>
    <x v="424"/>
    <s v="0230"/>
    <n v="-47.959334949648103"/>
    <n v="-15.878943310085599"/>
    <n v="-47.990276040107098"/>
    <n v="-15.945382729928999"/>
    <s v="450"/>
    <s v="DF"/>
    <s v="Eixo Principal"/>
    <s v="-"/>
    <s v="450BDF0230"/>
    <s v="ENTR DF-055"/>
    <s v="ENTR DF-065 (EPIP)"/>
    <n v="24.8"/>
    <n v="33.5"/>
    <n v="8.6999999999999993"/>
    <x v="1"/>
    <m/>
    <m/>
    <s v="Distrital"/>
    <m/>
    <s v="DF-003"/>
    <s v="DUP"/>
    <s v="Distrital"/>
    <s v="PLA"/>
    <s v="Brasília"/>
  </r>
  <r>
    <x v="0"/>
    <s v="450BDF0250"/>
    <n v="0"/>
    <x v="424"/>
    <s v="0250"/>
    <n v="-47.990276040107098"/>
    <n v="-15.945382729928999"/>
    <n v="-47.990321370434799"/>
    <n v="-15.9768665999135"/>
    <s v="450"/>
    <s v="DF"/>
    <s v="Eixo Principal"/>
    <s v="-"/>
    <s v="450BDF0250"/>
    <s v="ENTR DF-065 (EPIP)"/>
    <s v="ENTR BR-040/050/251/DF-003(B)"/>
    <n v="33.5"/>
    <n v="36.799999999999997"/>
    <n v="3.3"/>
    <x v="1"/>
    <m/>
    <m/>
    <s v="Distrital"/>
    <m/>
    <s v="DF-003"/>
    <s v="DUP"/>
    <s v="Distrital"/>
    <s v="PLA"/>
    <s v="Brasília"/>
  </r>
  <r>
    <x v="0"/>
    <s v="451BMG0010"/>
    <n v="0"/>
    <x v="425"/>
    <s v="0010"/>
    <n v="-43.820689500420002"/>
    <n v="-17.136663900118801"/>
    <n v="-43.5811329995881"/>
    <n v="-17.411264450394"/>
    <s v="451"/>
    <s v="MG"/>
    <s v="Eixo Principal"/>
    <s v="-"/>
    <s v="451BMG0010"/>
    <s v="ENTR BR-135 (BOCAIÚVA)"/>
    <s v="ACESSO OLHOS D'ÁGUA"/>
    <n v="0"/>
    <n v="44.1"/>
    <n v="44.1"/>
    <x v="1"/>
    <m/>
    <m/>
    <s v="Estadual"/>
    <m/>
    <s v="MGT-451"/>
    <s v="PAV"/>
    <s v="Estadual"/>
    <s v="PLA"/>
    <s v="Montes Claros"/>
  </r>
  <r>
    <x v="0"/>
    <s v="451BMG0020"/>
    <n v="0"/>
    <x v="425"/>
    <s v="0020"/>
    <n v="-43.5811329995881"/>
    <n v="-17.411264450394"/>
    <n v="-43.543578800221297"/>
    <n v="-17.5053196104116"/>
    <s v="451"/>
    <s v="MG"/>
    <s v="Eixo Principal"/>
    <s v="-"/>
    <s v="451BMG0020"/>
    <s v="ACESSO OLHOS D'ÁGUA"/>
    <s v="SERRA"/>
    <n v="44.1"/>
    <n v="57.1"/>
    <n v="13"/>
    <x v="1"/>
    <m/>
    <m/>
    <s v="Estadual"/>
    <m/>
    <s v="MGT-451"/>
    <s v="PAV"/>
    <s v="Estadual"/>
    <s v="PLA"/>
    <s v="Montes Claros"/>
  </r>
  <r>
    <x v="0"/>
    <s v="451BMG0022"/>
    <n v="0"/>
    <x v="425"/>
    <s v="0022"/>
    <n v="-43.543578800221297"/>
    <n v="-17.5053196104116"/>
    <n v="-43.515086950402399"/>
    <n v="-17.5559010795711"/>
    <s v="451"/>
    <s v="MG"/>
    <s v="Eixo Principal"/>
    <s v="-"/>
    <s v="451BMG0022"/>
    <s v="SERRA"/>
    <s v="RIO JEQUITINHONHA"/>
    <n v="57.1"/>
    <n v="63.1"/>
    <n v="6"/>
    <x v="1"/>
    <m/>
    <m/>
    <s v="Estadual"/>
    <m/>
    <s v="MGT-451"/>
    <s v="PAV"/>
    <s v="Estadual"/>
    <s v="PLA"/>
    <s v="Montes Claros"/>
  </r>
  <r>
    <x v="0"/>
    <s v="451BMG0024"/>
    <n v="0"/>
    <x v="425"/>
    <s v="0024"/>
    <n v="-43.515086950402399"/>
    <n v="-17.5559010795711"/>
    <n v="-43.4856650100321"/>
    <n v="-17.7127632599164"/>
    <s v="451"/>
    <s v="MG"/>
    <s v="Eixo Principal"/>
    <s v="-"/>
    <s v="451BMG0024"/>
    <s v="RIO JEQUITINHONHA"/>
    <s v="ALTO DA SERRA"/>
    <n v="63.1"/>
    <n v="81.099999999999994"/>
    <n v="18"/>
    <x v="1"/>
    <m/>
    <m/>
    <s v="Estadual"/>
    <m/>
    <s v="MGT-451"/>
    <s v="PAV"/>
    <s v="Estadual"/>
    <s v="PLA"/>
    <s v="Montes Claros"/>
  </r>
  <r>
    <x v="0"/>
    <s v="451BMG0025"/>
    <n v="0"/>
    <x v="425"/>
    <s v="0025"/>
    <n v="-43.4856650100321"/>
    <n v="-17.7127632599164"/>
    <n v="-43.381054650151903"/>
    <n v="-17.798682519582499"/>
    <s v="451"/>
    <s v="MG"/>
    <s v="Eixo Principal"/>
    <s v="-"/>
    <s v="451BMG0025"/>
    <s v="ALTO DA SERRA"/>
    <s v="ENTR BR-367(A)"/>
    <n v="81.099999999999994"/>
    <n v="97.3"/>
    <n v="16.2"/>
    <x v="1"/>
    <m/>
    <m/>
    <s v="Estadual"/>
    <m/>
    <s v="MGT-451"/>
    <s v="PAV"/>
    <s v="Estadual"/>
    <s v="PLA"/>
    <s v="Montes Claros"/>
  </r>
  <r>
    <x v="0"/>
    <s v="451BMG0028"/>
    <n v="0"/>
    <x v="425"/>
    <s v="0028"/>
    <n v="-43.381054650151903"/>
    <n v="-17.798682519582499"/>
    <n v="-43.246276820019197"/>
    <n v="-17.6321274696069"/>
    <s v="451"/>
    <s v="MG"/>
    <s v="Eixo Principal"/>
    <s v="Coinc"/>
    <s v="451BMG0028"/>
    <s v="ENTR BR-367(A)"/>
    <s v="ENTR BR-367(B)"/>
    <n v="97.3"/>
    <n v="122.5"/>
    <n v="25.2"/>
    <x v="1"/>
    <m/>
    <s v="367BMG0260"/>
    <s v="Estadual"/>
    <m/>
    <s v="MGT-367"/>
    <s v="PAV"/>
    <s v="Estadual"/>
    <s v="PLA"/>
    <s v="Montes Claros"/>
  </r>
  <r>
    <x v="0"/>
    <s v="451BMG0030"/>
    <n v="0"/>
    <x v="425"/>
    <s v="0030"/>
    <n v="-43.246276820019197"/>
    <n v="-17.6321274696069"/>
    <n v="-43.030756090321198"/>
    <n v="-17.532611070344501"/>
    <s v="451"/>
    <s v="MG"/>
    <s v="Eixo Principal"/>
    <s v="-"/>
    <s v="451BMG0030"/>
    <s v="ENTR BR-367(B)"/>
    <s v="CARBONITA"/>
    <n v="122.5"/>
    <n v="149.19999999999999"/>
    <n v="26.7"/>
    <x v="1"/>
    <m/>
    <m/>
    <s v="Estadual"/>
    <m/>
    <s v="MGT-451"/>
    <s v="PAV"/>
    <s v="Estadual"/>
    <s v="PLA"/>
    <s v="Montes Claros"/>
  </r>
  <r>
    <x v="0"/>
    <s v="451BMG0037"/>
    <n v="0"/>
    <x v="425"/>
    <s v="0037"/>
    <n v="-43.030756090321198"/>
    <n v="-17.532611070344501"/>
    <n v="-42.872552019859697"/>
    <n v="-17.8730712403454"/>
    <s v="451"/>
    <s v="MG"/>
    <s v="Eixo Principal"/>
    <s v="-"/>
    <s v="451BMG0037"/>
    <s v="CARBONITA"/>
    <s v="ENTR MG-117/214 (ITAMARANDIBA)"/>
    <n v="149.19999999999999"/>
    <n v="191.7"/>
    <n v="42.5"/>
    <x v="1"/>
    <m/>
    <m/>
    <s v="Estadual"/>
    <m/>
    <s v="MGT-451"/>
    <s v="PAV"/>
    <s v="Estadual"/>
    <s v="PLA"/>
    <s v="Montes Claros"/>
  </r>
  <r>
    <x v="0"/>
    <s v="451BMG0050"/>
    <n v="0"/>
    <x v="425"/>
    <s v="0050"/>
    <n v="-42.872552019859697"/>
    <n v="-17.8730712403454"/>
    <n v="-42.423355969702101"/>
    <n v="-18.153161339623999"/>
    <s v="451"/>
    <s v="MG"/>
    <s v="Eixo Principal"/>
    <s v="-"/>
    <s v="451BMG0050"/>
    <s v="ENTR MG-117/214 (ITAMARANDIBA)"/>
    <s v="ENTR BR-120(A) (SANTA MARIA DO SUAÇUÍ)"/>
    <n v="191.7"/>
    <n v="270.89999999999998"/>
    <n v="79.2"/>
    <x v="1"/>
    <m/>
    <m/>
    <s v="Federal"/>
    <m/>
    <m/>
    <m/>
    <s v="Federal"/>
    <s v="PLA"/>
    <s v="Contagem"/>
  </r>
  <r>
    <x v="0"/>
    <s v="451BMG0055"/>
    <n v="0"/>
    <x v="425"/>
    <s v="0055"/>
    <n v="-42.423355969702101"/>
    <n v="-18.153161339623999"/>
    <n v="-42.613548550325199"/>
    <n v="-18.3467305399823"/>
    <s v="451"/>
    <s v="MG"/>
    <s v="Eixo Principal"/>
    <s v="Coinc"/>
    <s v="451BMG0055"/>
    <s v="ENTR BR-120(A) (SANTA MARIA DO SUAÇUÍ)"/>
    <s v="ACESSO SÃO JOSÉ DO JACURÍ"/>
    <n v="270.89999999999998"/>
    <n v="313.3"/>
    <n v="42.4"/>
    <x v="1"/>
    <m/>
    <s v="120BMG0090"/>
    <s v="Estadual"/>
    <m/>
    <s v="MGT-120"/>
    <s v="PAV"/>
    <s v="Estadual"/>
    <s v="PLA"/>
    <s v="Contagem"/>
  </r>
  <r>
    <x v="0"/>
    <s v="451BMG0060"/>
    <n v="0"/>
    <x v="425"/>
    <s v="0060"/>
    <n v="-42.613548550325199"/>
    <n v="-18.3467305399823"/>
    <n v="-42.625617329875801"/>
    <n v="-18.357928729926901"/>
    <s v="451"/>
    <s v="MG"/>
    <s v="Eixo Principal"/>
    <s v="Coinc"/>
    <s v="451BMG0060"/>
    <s v="ACESSO SÃO JOSÉ DO JACURÍ"/>
    <s v="ENTR BR-120(B)/MG-416"/>
    <n v="313.3"/>
    <n v="315.60000000000002"/>
    <n v="2.2999999999999998"/>
    <x v="1"/>
    <m/>
    <s v="120BMG0105"/>
    <s v="Estadual"/>
    <m/>
    <s v="MGT-120"/>
    <s v="PAV"/>
    <s v="Estadual"/>
    <s v="PLA"/>
    <s v="Contagem"/>
  </r>
  <r>
    <x v="0"/>
    <s v="451BMG0065"/>
    <n v="0"/>
    <x v="425"/>
    <s v="0065"/>
    <n v="-42.625617329875801"/>
    <n v="-18.357928729926901"/>
    <n v="-42.606810680268602"/>
    <n v="-18.363656410414901"/>
    <s v="451"/>
    <s v="MG"/>
    <s v="Eixo Principal"/>
    <s v="-"/>
    <s v="451BMG0065"/>
    <s v="ENTR BR-120(B)/MG-416"/>
    <s v="SÃO PEDRO DO SUAÇUÍ"/>
    <n v="315.60000000000002"/>
    <n v="318.60000000000002"/>
    <n v="3"/>
    <x v="1"/>
    <m/>
    <m/>
    <s v="Estadual"/>
    <m/>
    <s v="MG-416"/>
    <s v="PAV"/>
    <s v="Estadual"/>
    <s v="PLA"/>
    <s v="Governador Valadares"/>
  </r>
  <r>
    <x v="0"/>
    <s v="451BMG0070"/>
    <n v="0"/>
    <x v="425"/>
    <s v="0070"/>
    <n v="-42.606810680268602"/>
    <n v="-18.363656410414901"/>
    <n v="-42.090060919675601"/>
    <n v="-18.509553169642999"/>
    <s v="451"/>
    <s v="MG"/>
    <s v="Eixo Principal"/>
    <s v="-"/>
    <s v="451BMG0070"/>
    <s v="SÃO PEDRO DO SUAÇUÍ"/>
    <s v="MARILAC"/>
    <n v="318.60000000000002"/>
    <n v="376.4"/>
    <n v="57.8"/>
    <x v="1"/>
    <m/>
    <m/>
    <s v="Federal"/>
    <m/>
    <m/>
    <m/>
    <s v="Federal"/>
    <s v="PLA"/>
    <s v="Governador Valadares"/>
  </r>
  <r>
    <x v="0"/>
    <s v="451BMG0080"/>
    <n v="0"/>
    <x v="425"/>
    <s v="0080"/>
    <n v="-42.090060919675601"/>
    <n v="-18.509553169642999"/>
    <n v="-41.9753595800805"/>
    <n v="-18.6616500304245"/>
    <s v="451"/>
    <s v="MG"/>
    <s v="Eixo Principal"/>
    <s v="-"/>
    <s v="451BMG0080"/>
    <s v="MARILAC"/>
    <s v="ENTR BR-116(A)"/>
    <n v="376.4"/>
    <n v="406.8"/>
    <n v="30.4"/>
    <x v="1"/>
    <m/>
    <m/>
    <s v="Estadual"/>
    <m/>
    <s v="MGT-451"/>
    <s v="PAV"/>
    <s v="Estadual"/>
    <s v="PLA"/>
    <s v="Governador Valadares"/>
  </r>
  <r>
    <x v="0"/>
    <s v="451BMG0085"/>
    <n v="0"/>
    <x v="425"/>
    <s v="0085"/>
    <n v="-41.9753595800805"/>
    <n v="-18.6616500304245"/>
    <n v="-41.9859542700734"/>
    <n v="-18.822432039906602"/>
    <s v="451"/>
    <s v="MG"/>
    <s v="Eixo Principal"/>
    <s v="Coinc"/>
    <s v="451BMG0085"/>
    <s v="ENTR BR-116(A)"/>
    <s v="ENTR BR-259"/>
    <n v="406.8"/>
    <n v="426.1"/>
    <n v="19.3"/>
    <x v="2"/>
    <m/>
    <s v="116BMG1175"/>
    <s v="Federal"/>
    <m/>
    <m/>
    <m/>
    <s v="Federal"/>
    <s v="PAV"/>
    <s v="Governador Valadares"/>
  </r>
  <r>
    <x v="0"/>
    <s v="451BMG0090"/>
    <n v="0"/>
    <x v="425"/>
    <s v="0090"/>
    <n v="-41.9859542700734"/>
    <n v="-18.822432039906602"/>
    <n v="-41.980517770278801"/>
    <n v="-18.8462106202238"/>
    <s v="451"/>
    <s v="MG"/>
    <s v="Eixo Principal"/>
    <s v="Coinc"/>
    <s v="451BMG0090"/>
    <s v="ENTR BR-259"/>
    <s v="ENTR BR-116(B)/381 (VIADUTO CONTORNO GOV VALADARES)"/>
    <n v="426.1"/>
    <n v="429.1"/>
    <n v="3"/>
    <x v="2"/>
    <m/>
    <s v="116BMG1180"/>
    <s v="Federal"/>
    <m/>
    <m/>
    <m/>
    <s v="Federal"/>
    <s v="PAV"/>
    <s v="Governador Valadares"/>
  </r>
  <r>
    <x v="0"/>
    <s v="452BGO0010"/>
    <n v="0"/>
    <x v="426"/>
    <s v="0010"/>
    <n v="-50.901512149566003"/>
    <n v="-17.7863304796678"/>
    <n v="-50.5657175301398"/>
    <n v="-17.924691830263701"/>
    <s v="452"/>
    <s v="GO"/>
    <s v="Eixo Principal"/>
    <s v="-"/>
    <s v="452BGO0010"/>
    <s v="ENTR BR-060/GO-174 (RIO VERDE)"/>
    <s v="ENTR GO-501 (P/OUROANA)"/>
    <n v="0"/>
    <n v="39"/>
    <n v="39"/>
    <x v="2"/>
    <m/>
    <m/>
    <m/>
    <s v="MP082/2006"/>
    <m/>
    <m/>
    <m/>
    <s v="PAV"/>
    <s v="Rio Verde"/>
  </r>
  <r>
    <x v="0"/>
    <s v="452BGO0011"/>
    <n v="0"/>
    <x v="426"/>
    <s v="0011"/>
    <n v="-50.5657175301398"/>
    <n v="-17.924691830263701"/>
    <n v="-50.552506539645002"/>
    <n v="-17.9301483201887"/>
    <s v="452"/>
    <s v="GO"/>
    <s v="Eixo Principal"/>
    <s v="-"/>
    <s v="452BGO0011"/>
    <s v="ENTR GO-501 (P/OUROANA)"/>
    <s v="ENTR GO-164(A) (P/SANTA HELENA)"/>
    <n v="39"/>
    <n v="40.9"/>
    <n v="1.9"/>
    <x v="2"/>
    <m/>
    <m/>
    <m/>
    <s v="MP082/2006"/>
    <m/>
    <m/>
    <m/>
    <s v="PAV"/>
    <s v="Rio Verde"/>
  </r>
  <r>
    <x v="0"/>
    <s v="452BGO0012"/>
    <n v="0"/>
    <x v="426"/>
    <s v="0012"/>
    <n v="-50.552506539645002"/>
    <n v="-17.9301483201887"/>
    <n v="-50.496579709785699"/>
    <n v="-17.9590580301039"/>
    <s v="452"/>
    <s v="GO"/>
    <s v="Eixo Principal"/>
    <s v="-"/>
    <s v="452BGO0012"/>
    <s v="ENTR GO-164(A) (P/SANTA HELENA)"/>
    <s v="ENTR GO-164(B) (P/QUIRINÓPOLIS)"/>
    <n v="40.9"/>
    <n v="47.8"/>
    <n v="6.9"/>
    <x v="2"/>
    <m/>
    <m/>
    <m/>
    <s v="MP082/2006"/>
    <m/>
    <m/>
    <m/>
    <s v="PAV"/>
    <s v="Rio Verde"/>
  </r>
  <r>
    <x v="0"/>
    <s v="452BGO0030"/>
    <n v="0"/>
    <x v="426"/>
    <s v="0030"/>
    <n v="-50.496579709785699"/>
    <n v="-17.9590580301039"/>
    <n v="-50.345944599863302"/>
    <n v="-18.016370969744401"/>
    <s v="452"/>
    <s v="GO"/>
    <s v="Eixo Principal"/>
    <s v="-"/>
    <s v="452BGO0030"/>
    <s v="ENTR GO-164(B) (P/QUIRINÓPOLIS)"/>
    <s v="ENTR GO-409 (P/MAURILÂNDIA)"/>
    <n v="47.8"/>
    <n v="65.099999999999994"/>
    <n v="17.3"/>
    <x v="2"/>
    <m/>
    <m/>
    <m/>
    <s v="MP082/2006"/>
    <m/>
    <m/>
    <m/>
    <s v="PAV"/>
    <s v="Rio Verde"/>
  </r>
  <r>
    <x v="0"/>
    <s v="452BGO0032"/>
    <n v="0"/>
    <x v="426"/>
    <s v="0032"/>
    <n v="-50.345944599863302"/>
    <n v="-18.016370969744401"/>
    <n v="-50.218986790407897"/>
    <n v="-18.052407230409301"/>
    <s v="452"/>
    <s v="GO"/>
    <s v="Eixo Principal"/>
    <s v="-"/>
    <s v="452BGO0032"/>
    <s v="ENTR GO-409 (P/MAURILÂNDIA)"/>
    <s v="ENTR GO-319(A) (P/CASTELÂNDIA)"/>
    <n v="65.099999999999994"/>
    <n v="79.2"/>
    <n v="14.1"/>
    <x v="2"/>
    <m/>
    <m/>
    <m/>
    <s v="MP082/2006"/>
    <m/>
    <m/>
    <m/>
    <s v="PAV"/>
    <s v="Rio Verde"/>
  </r>
  <r>
    <x v="0"/>
    <s v="452BGO0033"/>
    <n v="0"/>
    <x v="426"/>
    <s v="0033"/>
    <n v="-50.218986790407897"/>
    <n v="-18.052407230409301"/>
    <n v="-50.181453639673599"/>
    <n v="-18.052776869756698"/>
    <s v="452"/>
    <s v="GO"/>
    <s v="Eixo Principal"/>
    <s v="-"/>
    <s v="452BGO0033"/>
    <s v="ENTR GO-319(A) (P/CASTELÂNDIA)"/>
    <s v="ENTR GO-410 (P/PORTEIRÃO)"/>
    <n v="79.2"/>
    <n v="83.3"/>
    <n v="4.0999999999999996"/>
    <x v="2"/>
    <m/>
    <m/>
    <m/>
    <s v="MP082/2006"/>
    <m/>
    <m/>
    <m/>
    <s v="PAV"/>
    <s v="Rio Verde"/>
  </r>
  <r>
    <x v="0"/>
    <s v="452BGO0034"/>
    <n v="0"/>
    <x v="426"/>
    <s v="0034"/>
    <n v="-50.181453639673599"/>
    <n v="-18.052776869756698"/>
    <n v="-50.144658460019798"/>
    <n v="-18.071576590087499"/>
    <s v="452"/>
    <s v="GO"/>
    <s v="Eixo Principal"/>
    <s v="-"/>
    <s v="452BGO0034"/>
    <s v="ENTR GO-410 (P/PORTEIRÃO)"/>
    <s v="ENTR GO-319(B)"/>
    <n v="83.3"/>
    <n v="87.7"/>
    <n v="4.4000000000000004"/>
    <x v="2"/>
    <m/>
    <m/>
    <m/>
    <s v="MP082/2005"/>
    <m/>
    <m/>
    <m/>
    <s v="PAV"/>
    <s v="Rio Verde"/>
  </r>
  <r>
    <x v="0"/>
    <s v="452BGO0036"/>
    <n v="0"/>
    <x v="426"/>
    <s v="0036"/>
    <n v="-50.144658460019798"/>
    <n v="-18.071576590087499"/>
    <n v="-49.7388795297664"/>
    <n v="-18.223982660271499"/>
    <s v="452"/>
    <s v="GO"/>
    <s v="Eixo Principal"/>
    <s v="-"/>
    <s v="452BGO0036"/>
    <s v="ENTR GO-319(B)"/>
    <s v="BOM JESUS DE GOIÁS"/>
    <n v="87.7"/>
    <n v="134.69999999999999"/>
    <n v="47"/>
    <x v="2"/>
    <m/>
    <m/>
    <m/>
    <s v="MP082/2005"/>
    <m/>
    <m/>
    <m/>
    <s v="PAV"/>
    <s v="Rio Verde"/>
  </r>
  <r>
    <x v="0"/>
    <s v="452BGO0040"/>
    <n v="0"/>
    <x v="426"/>
    <s v="0040"/>
    <n v="-49.7388795297664"/>
    <n v="-18.223982660271499"/>
    <n v="-49.704001870189998"/>
    <n v="-18.243182599597201"/>
    <s v="452"/>
    <s v="GO"/>
    <s v="Eixo Principal"/>
    <s v="-"/>
    <s v="452BGO0040"/>
    <s v="BOM JESUS DE GOIÁS"/>
    <s v="ENTR GO-040"/>
    <n v="134.69999999999999"/>
    <n v="139.1"/>
    <n v="4.4000000000000004"/>
    <x v="2"/>
    <m/>
    <m/>
    <m/>
    <s v="MP082/2005"/>
    <m/>
    <m/>
    <m/>
    <s v="PAV"/>
    <s v="Rio Verde"/>
  </r>
  <r>
    <x v="0"/>
    <s v="452BGO0050"/>
    <n v="0"/>
    <x v="426"/>
    <s v="0050"/>
    <n v="-49.704001870189998"/>
    <n v="-18.243182599597201"/>
    <n v="-49.345498170304197"/>
    <n v="-18.382338510214002"/>
    <s v="452"/>
    <s v="GO"/>
    <s v="Eixo Principal"/>
    <s v="-"/>
    <s v="452BGO0050"/>
    <s v="ENTR GO-040"/>
    <s v="ENTR BR-154(A)/483(A)/GO-206(A) (P/CACHOEIRA DOURADA)"/>
    <n v="139.1"/>
    <n v="181.1"/>
    <n v="42"/>
    <x v="2"/>
    <m/>
    <m/>
    <m/>
    <s v="MP082/2005"/>
    <m/>
    <m/>
    <m/>
    <s v="PAV"/>
    <s v="Rio Verde"/>
  </r>
  <r>
    <x v="0"/>
    <s v="452BGO0060"/>
    <n v="0"/>
    <x v="426"/>
    <s v="0060"/>
    <n v="-49.345498170304197"/>
    <n v="-18.382338510214002"/>
    <n v="-49.294341230363401"/>
    <n v="-18.3947463503637"/>
    <s v="452"/>
    <s v="GO"/>
    <s v="Eixo Principal"/>
    <s v="Coinc"/>
    <s v="452BGO0060"/>
    <s v="ENTR BR-154(A)/483(A)/GO-206(A) (P/CACHOEIRA DOURADA)"/>
    <s v="ENTR GO-206(B)"/>
    <n v="181.1"/>
    <n v="187.6"/>
    <n v="6.5"/>
    <x v="2"/>
    <m/>
    <s v="154BGO0025;483BGO0035"/>
    <m/>
    <s v="MP082/2005"/>
    <m/>
    <m/>
    <m/>
    <s v="PAV"/>
    <s v="Rio Verde"/>
  </r>
  <r>
    <x v="0"/>
    <s v="452BGO0070"/>
    <n v="0"/>
    <x v="426"/>
    <s v="0070"/>
    <n v="-49.294341230363401"/>
    <n v="-18.3947463503637"/>
    <n v="-49.216545480189701"/>
    <n v="-18.358221179563699"/>
    <s v="452"/>
    <s v="GO"/>
    <s v="Eixo Principal"/>
    <s v="Coinc"/>
    <s v="452BGO0070"/>
    <s v="ENTR GO-206(B)"/>
    <s v="ENTR BR-153(A)/154(B)/483(B)"/>
    <n v="187.6"/>
    <n v="196.6"/>
    <n v="9"/>
    <x v="2"/>
    <m/>
    <s v="154BGO0020;483BGO0030"/>
    <m/>
    <s v="MP082/2003"/>
    <m/>
    <m/>
    <m/>
    <s v="PAV"/>
    <s v="Rio Verde"/>
  </r>
  <r>
    <x v="0"/>
    <s v="452BGO0090"/>
    <n v="0"/>
    <x v="426"/>
    <s v="0090"/>
    <n v="-49.216545480189701"/>
    <n v="-18.358221179563699"/>
    <n v="-49.194560229870604"/>
    <n v="-18.419153849970101"/>
    <s v="452"/>
    <s v="GO"/>
    <s v="Eixo Principal"/>
    <s v="Coinc"/>
    <s v="452BGO0090"/>
    <s v="ENTR BR-153(A)/154(B)/483(B)"/>
    <s v="ENTR BR-153(B) (INÍCIO PONTE S/RIO PARANAÍBA) (DIV GO/MG) (ITUMBIARA)"/>
    <n v="196.6"/>
    <n v="203.5"/>
    <n v="6.9"/>
    <x v="0"/>
    <m/>
    <s v="153BGO0770"/>
    <s v="Concessão Federal"/>
    <m/>
    <m/>
    <m/>
    <s v="Federal"/>
    <s v="PAV"/>
    <s v="Rio Verde"/>
  </r>
  <r>
    <x v="0"/>
    <s v="452BMG0110"/>
    <n v="0"/>
    <x v="427"/>
    <s v="0110"/>
    <n v="-49.194560229870604"/>
    <n v="-18.419153849970101"/>
    <n v="-49.1878993103048"/>
    <n v="-18.4521984196213"/>
    <s v="452"/>
    <s v="MG"/>
    <s v="Eixo Principal"/>
    <s v="Coinc"/>
    <s v="452BMG0110"/>
    <s v="ENTR BR-153(A) (FIM PONTE S/RIO PARANAÍBA) (DIV GO/MG)"/>
    <s v="ENTR BR-153(B)"/>
    <n v="0"/>
    <n v="4.0999999999999996"/>
    <n v="4.0999999999999996"/>
    <x v="0"/>
    <m/>
    <s v="153BMG0790"/>
    <s v="Concessão Federal"/>
    <m/>
    <m/>
    <m/>
    <s v="Federal"/>
    <s v="PAV"/>
    <s v="Prata"/>
  </r>
  <r>
    <x v="0"/>
    <s v="452BMG0115"/>
    <n v="0"/>
    <x v="427"/>
    <s v="0115"/>
    <n v="-49.1878993103048"/>
    <n v="-18.4521984196213"/>
    <n v="-49.174462750055802"/>
    <n v="-18.4441290304303"/>
    <s v="452"/>
    <s v="MG"/>
    <s v="Eixo Principal"/>
    <s v="-"/>
    <s v="452BMG0115"/>
    <s v="ENTR BR-153(B)"/>
    <s v="ENTR MG-452(A)"/>
    <n v="4.0999999999999996"/>
    <n v="5.8"/>
    <n v="1.7"/>
    <x v="1"/>
    <m/>
    <m/>
    <s v="Federal"/>
    <m/>
    <m/>
    <m/>
    <s v="Federal"/>
    <s v="PLA"/>
    <s v="Uberlândia"/>
  </r>
  <r>
    <x v="0"/>
    <s v="452BMG0120"/>
    <n v="0"/>
    <x v="427"/>
    <s v="0120"/>
    <n v="-49.174462750055802"/>
    <n v="-18.4441290304303"/>
    <n v="-48.687384610411399"/>
    <n v="-18.606627350172001"/>
    <s v="452"/>
    <s v="MG"/>
    <s v="Eixo Principal"/>
    <s v="-"/>
    <s v="452BMG0120"/>
    <s v="ENTR MG-452(A)"/>
    <s v="ENTR MG-223/452(B) (TUPACIGUARA)"/>
    <n v="5.8"/>
    <n v="57.3"/>
    <n v="51.5"/>
    <x v="1"/>
    <m/>
    <m/>
    <s v="Estadual"/>
    <m/>
    <s v="MGT-452"/>
    <s v="PAV"/>
    <s v="Estadual"/>
    <s v="PLA"/>
    <s v="Uberlândia"/>
  </r>
  <r>
    <x v="0"/>
    <s v="452BMG0130"/>
    <n v="0"/>
    <x v="427"/>
    <s v="0130"/>
    <n v="-48.687384610411399"/>
    <n v="-18.606627350172001"/>
    <n v="-48.587802479700599"/>
    <n v="-18.864561200239098"/>
    <s v="452"/>
    <s v="MG"/>
    <s v="Eixo Principal"/>
    <s v="-"/>
    <s v="452BMG0130"/>
    <s v="ENTR MG-223/452(B) (TUPACIGUARA)"/>
    <s v="ENTR BR-365(A) (XAPETUBA)"/>
    <n v="57.3"/>
    <n v="93.3"/>
    <n v="36"/>
    <x v="1"/>
    <m/>
    <m/>
    <s v="Estadual"/>
    <m/>
    <s v="MG-452"/>
    <s v="PAV"/>
    <s v="Estadual"/>
    <s v="PLA"/>
    <s v="Uberlândia"/>
  </r>
  <r>
    <x v="0"/>
    <s v="452BMG0150"/>
    <n v="0"/>
    <x v="427"/>
    <s v="0150"/>
    <n v="-48.587802479700599"/>
    <n v="-18.864561200239098"/>
    <n v="-48.330909590405199"/>
    <n v="-18.906439629585101"/>
    <s v="452"/>
    <s v="MG"/>
    <s v="Eixo Principal"/>
    <s v="Coinc"/>
    <s v="452BMG0150"/>
    <s v="ENTR BR-365(A) (XAPETUBA)"/>
    <s v="ENTR CONTORNO NORTE DE UBERLÂNDIA"/>
    <n v="93.3"/>
    <n v="120.8"/>
    <n v="27.5"/>
    <x v="0"/>
    <m/>
    <s v="365BMG0315"/>
    <s v="Federal"/>
    <m/>
    <m/>
    <m/>
    <s v="Federal"/>
    <s v="PAV"/>
    <s v="Uberlândia"/>
  </r>
  <r>
    <x v="0"/>
    <s v="452BMG0155"/>
    <n v="0"/>
    <x v="427"/>
    <s v="0155"/>
    <n v="-48.330909590405199"/>
    <n v="-18.906439629585101"/>
    <n v="-48.265762470261699"/>
    <n v="-18.884343759956401"/>
    <s v="452"/>
    <s v="MG"/>
    <s v="Eixo Principal"/>
    <s v="Coinc"/>
    <s v="452BMG0155"/>
    <s v="ENTR CONTORNO NORTE DE UBERLÂNDIA"/>
    <s v="ENTR BR-050(A) (UBERLÂNDIA)"/>
    <n v="120.8"/>
    <n v="129.30000000000001"/>
    <n v="8.5"/>
    <x v="0"/>
    <m/>
    <s v="497BMG0012;365BMG0310"/>
    <s v="Federal"/>
    <m/>
    <m/>
    <m/>
    <s v="Federal"/>
    <s v="PAV"/>
    <s v="Uberlândia"/>
  </r>
  <r>
    <x v="0"/>
    <s v="452BMG0180"/>
    <n v="0"/>
    <x v="427"/>
    <s v="0180"/>
    <n v="-48.265762470261699"/>
    <n v="-18.884343759956401"/>
    <n v="-48.22402913034"/>
    <n v="-18.909865769589501"/>
    <s v="452"/>
    <s v="MG"/>
    <s v="Eixo Principal"/>
    <s v="Coinc"/>
    <s v="452BMG0180"/>
    <s v="ENTR BR-050(A) (UBERLÂNDIA)"/>
    <s v="ENTR BR-050(B)/455/497 (UBERLÂNDIA)"/>
    <n v="129.30000000000001"/>
    <n v="134.4"/>
    <n v="5.0999999999999996"/>
    <x v="0"/>
    <m/>
    <s v="365BMG0290;050BMG0240;497BMG0010"/>
    <s v="Federal"/>
    <m/>
    <m/>
    <m/>
    <s v="Federal"/>
    <s v="PAV"/>
    <s v="Uberlândia"/>
  </r>
  <r>
    <x v="0"/>
    <s v="452BMG0190"/>
    <n v="0"/>
    <x v="427"/>
    <s v="0190"/>
    <n v="-48.22402913034"/>
    <n v="-18.909865769589501"/>
    <n v="-48.192451759640903"/>
    <n v="-18.9287047696093"/>
    <s v="452"/>
    <s v="MG"/>
    <s v="Eixo Principal"/>
    <s v="Coinc"/>
    <s v="452BMG0190"/>
    <s v="ENTR BR-050(B)/455/497 (UBERLÂNDIA)"/>
    <s v="ENTR BR-365(B)"/>
    <n v="134.4"/>
    <n v="138.30000000000001"/>
    <n v="3.9"/>
    <x v="2"/>
    <m/>
    <s v="365BMG0270"/>
    <s v="Federal"/>
    <m/>
    <m/>
    <m/>
    <s v="Federal"/>
    <s v="PAV"/>
    <s v="Uberlândia"/>
  </r>
  <r>
    <x v="0"/>
    <s v="452BMG0210"/>
    <n v="0"/>
    <x v="427"/>
    <s v="0210"/>
    <n v="-48.192451759640903"/>
    <n v="-18.9287047696093"/>
    <n v="-47.934570220439198"/>
    <n v="-19.135092220229701"/>
    <s v="452"/>
    <s v="MG"/>
    <s v="Eixo Principal"/>
    <s v="-"/>
    <s v="452BMG0210"/>
    <s v="ENTR BR-365(B)"/>
    <s v="ACESSO TAPUIRAMA"/>
    <n v="138.30000000000001"/>
    <n v="174.9"/>
    <n v="36.6"/>
    <x v="1"/>
    <m/>
    <m/>
    <s v="Estadual"/>
    <m/>
    <s v="MGT-452"/>
    <s v="PAV"/>
    <s v="Estadual"/>
    <s v="PLA"/>
    <s v="Uberlândia"/>
  </r>
  <r>
    <x v="0"/>
    <s v="452BMG0220"/>
    <n v="0"/>
    <x v="427"/>
    <s v="0220"/>
    <n v="-47.934570220439198"/>
    <n v="-19.135092220229701"/>
    <n v="-47.708900350070998"/>
    <n v="-19.271346429594001"/>
    <s v="452"/>
    <s v="MG"/>
    <s v="Eixo Principal"/>
    <s v="-"/>
    <s v="452BMG0220"/>
    <s v="ACESSO TAPUIRAMA"/>
    <s v="ENTR MG-190 (P/NOVA PONTE)"/>
    <n v="174.9"/>
    <n v="203.8"/>
    <n v="28.9"/>
    <x v="1"/>
    <m/>
    <m/>
    <s v="Estadual"/>
    <m/>
    <s v="MGT-452"/>
    <s v="PAV"/>
    <s v="Estadual"/>
    <s v="PLA"/>
    <s v="Uberlândia"/>
  </r>
  <r>
    <x v="0"/>
    <s v="452BMG0230"/>
    <n v="0"/>
    <x v="427"/>
    <s v="0230"/>
    <n v="-47.708900350070998"/>
    <n v="-19.271346429594001"/>
    <n v="-47.537224379601398"/>
    <n v="-19.309182370369999"/>
    <s v="452"/>
    <s v="MG"/>
    <s v="Eixo Principal"/>
    <s v="-"/>
    <s v="452BMG0230"/>
    <s v="ENTR MG-190 (P/NOVA PONTE)"/>
    <s v="ACESSO SANTA JULIANA"/>
    <n v="203.8"/>
    <n v="225.9"/>
    <n v="22.1"/>
    <x v="2"/>
    <m/>
    <m/>
    <s v="Federal"/>
    <m/>
    <m/>
    <m/>
    <s v="Federal"/>
    <s v="PAV"/>
    <s v="Uberlândia"/>
  </r>
  <r>
    <x v="0"/>
    <s v="452BMG0235"/>
    <n v="0"/>
    <x v="427"/>
    <s v="0235"/>
    <n v="-47.537224379601398"/>
    <n v="-19.309182370369999"/>
    <n v="-47.460766790055203"/>
    <n v="-19.2889845001345"/>
    <s v="452"/>
    <s v="MG"/>
    <s v="Eixo Principal"/>
    <s v="-"/>
    <s v="452BMG0235"/>
    <s v="ACESSO SANTA JULIANA"/>
    <s v="ACESSO PEDRINÓPOLIS"/>
    <n v="225.9"/>
    <n v="234.6"/>
    <n v="8.6999999999999993"/>
    <x v="2"/>
    <m/>
    <m/>
    <s v="Federal"/>
    <m/>
    <m/>
    <m/>
    <s v="Federal"/>
    <s v="PAV"/>
    <s v="Uberlândia"/>
  </r>
  <r>
    <x v="0"/>
    <s v="452BMG0237"/>
    <n v="0"/>
    <x v="427"/>
    <s v="0237"/>
    <n v="-47.460766790055203"/>
    <n v="-19.2889845001345"/>
    <n v="-47.321576709697297"/>
    <n v="-19.400285010245"/>
    <s v="452"/>
    <s v="MG"/>
    <s v="Eixo Principal"/>
    <s v="-"/>
    <s v="452BMG0237"/>
    <s v="ACESSO PEDRINÓPOLIS"/>
    <s v="ENTR BR-462(A) (P/PERDIZES)"/>
    <n v="234.6"/>
    <n v="256.3"/>
    <n v="21.7"/>
    <x v="2"/>
    <m/>
    <m/>
    <s v="Federal"/>
    <m/>
    <m/>
    <m/>
    <s v="Federal"/>
    <s v="PAV"/>
    <s v="Uberlândia"/>
  </r>
  <r>
    <x v="0"/>
    <s v="452BMG0240"/>
    <n v="0"/>
    <x v="427"/>
    <s v="0240"/>
    <n v="-47.321576709697297"/>
    <n v="-19.400285010245"/>
    <n v="-47.288483199839703"/>
    <n v="-19.418068719695601"/>
    <s v="452"/>
    <s v="MG"/>
    <s v="Eixo Principal"/>
    <s v="-"/>
    <s v="452BMG0240"/>
    <s v="ENTR BR-462(A) (P/PERDIZES)"/>
    <s v="ENTR BR-462(B)"/>
    <n v="256.3"/>
    <n v="260.3"/>
    <n v="4"/>
    <x v="2"/>
    <m/>
    <s v="462BMG0012"/>
    <s v="Federal"/>
    <m/>
    <m/>
    <m/>
    <s v="Federal"/>
    <s v="PAV"/>
    <s v="Uberlândia"/>
  </r>
  <r>
    <x v="0"/>
    <s v="452BMG0250"/>
    <n v="0"/>
    <x v="427"/>
    <s v="0250"/>
    <n v="-47.288483199839703"/>
    <n v="-19.418068719695601"/>
    <n v="-46.974904559897404"/>
    <n v="-19.562150370043501"/>
    <s v="452"/>
    <s v="MG"/>
    <s v="Eixo Principal"/>
    <s v="-"/>
    <s v="452BMG0250"/>
    <s v="ENTR BR-462(B)"/>
    <s v="ENTR BR-262"/>
    <n v="260.3"/>
    <n v="299.89999999999998"/>
    <n v="39.6"/>
    <x v="2"/>
    <m/>
    <m/>
    <s v="Federal"/>
    <m/>
    <m/>
    <m/>
    <s v="Federal"/>
    <s v="PAV"/>
    <s v="Uberlândia"/>
  </r>
  <r>
    <x v="0"/>
    <s v="452BMG0270"/>
    <n v="0"/>
    <x v="427"/>
    <s v="0270"/>
    <n v="-46.974904559897404"/>
    <n v="-19.562150370043501"/>
    <n v="-46.932724960188601"/>
    <n v="-19.5921846399091"/>
    <s v="452"/>
    <s v="MG"/>
    <s v="Eixo Principal"/>
    <s v="-"/>
    <s v="452BMG0270"/>
    <s v="ENTR BR-262"/>
    <s v="ENTR BR-146 (ARAXÁ)"/>
    <n v="299.89999999999998"/>
    <n v="306.2"/>
    <n v="6.3"/>
    <x v="2"/>
    <m/>
    <m/>
    <s v="Federal"/>
    <m/>
    <m/>
    <m/>
    <s v="Federal"/>
    <s v="PAV"/>
    <s v="Uberlândia"/>
  </r>
  <r>
    <x v="0"/>
    <s v="453BRS0010"/>
    <n v="0"/>
    <x v="428"/>
    <s v="0010"/>
    <n v="-52.197059840039501"/>
    <n v="-29.648110670071301"/>
    <n v="-51.994521030021403"/>
    <n v="-29.4652586302815"/>
    <s v="453"/>
    <s v="RS"/>
    <s v="Eixo Principal"/>
    <s v="-"/>
    <s v="453BRS0010"/>
    <s v="ENTR BR-287/RS-244 (P/SANTA CRUZ DO SUL)"/>
    <s v="ENTR RS-130(A) (P/CRUZEIRO DO SUL)"/>
    <n v="0"/>
    <n v="29.8"/>
    <n v="29.8"/>
    <x v="1"/>
    <m/>
    <m/>
    <s v="Estadual"/>
    <m/>
    <s v="RST-453"/>
    <s v="PAV"/>
    <s v="Estadual"/>
    <s v="PLA"/>
    <s v="Passo Fundo"/>
  </r>
  <r>
    <x v="0"/>
    <s v="453BRS0050"/>
    <n v="0"/>
    <x v="428"/>
    <s v="0050"/>
    <n v="-51.994521030021403"/>
    <n v="-29.4652586302815"/>
    <n v="-51.991685310228803"/>
    <n v="-29.461850709642398"/>
    <s v="453"/>
    <s v="RS"/>
    <s v="Eixo Principal"/>
    <s v="-"/>
    <s v="453BRS0050"/>
    <s v="ENTR RS-130(A) (P/CRUZEIRO DO SUL)"/>
    <s v="ENTR RS-413 (P/SANTA CLARA)"/>
    <n v="29.8"/>
    <n v="30.4"/>
    <n v="0.6"/>
    <x v="1"/>
    <m/>
    <m/>
    <s v="Estadual"/>
    <m/>
    <s v="RST-453"/>
    <s v="PAV"/>
    <s v="Estadual"/>
    <s v="PLA"/>
    <s v="Passo Fundo"/>
  </r>
  <r>
    <x v="0"/>
    <s v="453BRS0060"/>
    <n v="0"/>
    <x v="428"/>
    <s v="0060"/>
    <n v="-51.991685310228803"/>
    <n v="-29.461850709642398"/>
    <n v="-51.9736608702529"/>
    <n v="-29.447253299999701"/>
    <s v="453"/>
    <s v="RS"/>
    <s v="Eixo Principal"/>
    <s v="-"/>
    <s v="453BRS0060"/>
    <s v="ENTR RS-413 (P/SANTA CLARA)"/>
    <s v="ENTR BR-386(A)/RS-130(B) (P/LAJEADO)"/>
    <n v="30.4"/>
    <n v="32.700000000000003"/>
    <n v="2.2999999999999998"/>
    <x v="1"/>
    <m/>
    <m/>
    <s v="Estadual"/>
    <m/>
    <s v="RST-453"/>
    <s v="PAV"/>
    <s v="Estadual"/>
    <s v="PLA"/>
    <s v="Passo Fundo"/>
  </r>
  <r>
    <x v="0"/>
    <s v="453BRS0070"/>
    <n v="0"/>
    <x v="428"/>
    <s v="0070"/>
    <n v="-51.9736608702529"/>
    <n v="-29.447253299999701"/>
    <n v="-51.954721999620503"/>
    <n v="-29.4849159701958"/>
    <s v="453"/>
    <s v="RS"/>
    <s v="Eixo Principal"/>
    <s v="Coinc"/>
    <s v="453BRS0070"/>
    <s v="ENTR BR-386(A)/RS-130(B) (P/LAJEADO)"/>
    <s v="ENTR BR-386(B)/RS-129 (ESTRELA)"/>
    <n v="32.700000000000003"/>
    <n v="37.799999999999997"/>
    <n v="5.0999999999999996"/>
    <x v="1"/>
    <m/>
    <s v="386BRS0250"/>
    <s v="Estadual; Convênio de Administração"/>
    <m/>
    <s v="ERS-129"/>
    <s v="DUP"/>
    <s v="Estadual"/>
    <s v="PLA"/>
    <s v="Passo Fundo"/>
  </r>
  <r>
    <x v="0"/>
    <s v="453BRS0090"/>
    <n v="0"/>
    <x v="428"/>
    <s v="0090"/>
    <n v="-51.954721999620503"/>
    <n v="-29.4849159701958"/>
    <n v="-51.814764300232198"/>
    <n v="-29.4410514402717"/>
    <s v="453"/>
    <s v="RS"/>
    <s v="Eixo Principal"/>
    <s v="-"/>
    <s v="453BRS0090"/>
    <s v="ENTR BR-386(B)/RS-129 (ESTRELA)"/>
    <s v="ENTR RS-128 (TEUTÔNIA)"/>
    <n v="37.799999999999997"/>
    <n v="53.8"/>
    <n v="16"/>
    <x v="1"/>
    <m/>
    <m/>
    <s v="Estadual"/>
    <m/>
    <s v="RST-453"/>
    <s v="PAV"/>
    <s v="Estadual"/>
    <s v="PLA"/>
    <s v="Passo Fundo"/>
  </r>
  <r>
    <x v="0"/>
    <s v="453BRS0110"/>
    <n v="0"/>
    <x v="428"/>
    <s v="0110"/>
    <n v="-51.814764300232198"/>
    <n v="-29.4410514402717"/>
    <n v="-51.7464580496991"/>
    <n v="-29.379180119566701"/>
    <s v="453"/>
    <s v="RS"/>
    <s v="Eixo Principal"/>
    <s v="-"/>
    <s v="453BRS0110"/>
    <s v="ENTR RS-128 (TEUTÔNIA)"/>
    <s v="ACESSO IMIGRANTE"/>
    <n v="53.8"/>
    <n v="65.2"/>
    <n v="11.4"/>
    <x v="1"/>
    <m/>
    <m/>
    <s v="Estadual"/>
    <m/>
    <s v="RST-453"/>
    <s v="PAV"/>
    <s v="Estadual"/>
    <s v="PLA"/>
    <s v="Passo Fundo"/>
  </r>
  <r>
    <x v="0"/>
    <s v="453BRS0115"/>
    <n v="0"/>
    <x v="428"/>
    <s v="0115"/>
    <n v="-51.7464580496991"/>
    <n v="-29.379180119566701"/>
    <n v="-51.505755239712499"/>
    <n v="-29.262130540392"/>
    <s v="453"/>
    <s v="RS"/>
    <s v="Eixo Principal"/>
    <s v="-"/>
    <s v="453BRS0115"/>
    <s v="ACESSO IMIGRANTE"/>
    <s v="ENTR BR-470(A) (GARIBALDI)"/>
    <n v="65.2"/>
    <n v="95.9"/>
    <n v="30.7"/>
    <x v="1"/>
    <m/>
    <m/>
    <s v="Estadual"/>
    <m/>
    <s v="RST-453"/>
    <s v="PAV"/>
    <s v="Estadual"/>
    <s v="PLA"/>
    <s v="Passo Fundo"/>
  </r>
  <r>
    <x v="0"/>
    <s v="453BRS0130"/>
    <n v="0"/>
    <x v="428"/>
    <s v="0130"/>
    <n v="-51.505755239712499"/>
    <n v="-29.262130540392"/>
    <n v="-51.516770250346703"/>
    <n v="-29.218603609668801"/>
    <s v="453"/>
    <s v="RS"/>
    <s v="Eixo Principal"/>
    <s v="-"/>
    <s v="453BRS0130"/>
    <s v="ENTR BR-470(A) (GARIBALDI)"/>
    <s v="ENTR BR-470(B) (P/BENTO GONÇALVES)"/>
    <n v="95.9"/>
    <n v="101.2"/>
    <n v="5.3"/>
    <x v="2"/>
    <m/>
    <s v="470BRS0430"/>
    <s v="Federal"/>
    <m/>
    <m/>
    <m/>
    <s v="Federal"/>
    <s v="PAV"/>
    <s v="Passo Fundo"/>
  </r>
  <r>
    <x v="0"/>
    <s v="453BRS0150"/>
    <n v="0"/>
    <x v="428"/>
    <s v="0150"/>
    <n v="-51.516770250346703"/>
    <n v="-29.218603609668801"/>
    <n v="-51.464627940327098"/>
    <n v="-29.200361469905801"/>
    <s v="453"/>
    <s v="RS"/>
    <s v="Eixo Principal"/>
    <s v="-"/>
    <s v="453BRS0150"/>
    <s v="ENTR BR-470(B) (P/BENTO GONÇALVES)"/>
    <s v="ENTR RS-444 (P/BENTO GONÇALVES)"/>
    <n v="101.2"/>
    <n v="107"/>
    <n v="5.8"/>
    <x v="1"/>
    <m/>
    <m/>
    <s v="Estadual"/>
    <m/>
    <s v="RST-453"/>
    <s v="PAV"/>
    <s v="Estadual"/>
    <s v="PLA"/>
    <s v="Vacaria"/>
  </r>
  <r>
    <x v="0"/>
    <s v="453BRS0160"/>
    <n v="0"/>
    <x v="428"/>
    <s v="0160"/>
    <n v="-51.464627940327098"/>
    <n v="-29.200361469905801"/>
    <n v="-51.401475440039398"/>
    <n v="-29.2005556901929"/>
    <s v="453"/>
    <s v="RS"/>
    <s v="Eixo Principal"/>
    <s v="-"/>
    <s v="453BRS0160"/>
    <s v="ENTR RS-444 (P/BENTO GONÇALVES)"/>
    <s v="ENTR RS-448 (P/VILA SÃO MARCOS)"/>
    <n v="107"/>
    <n v="113.6"/>
    <n v="6.6"/>
    <x v="1"/>
    <m/>
    <m/>
    <s v="Estadual"/>
    <m/>
    <s v="RST-453"/>
    <s v="PAV"/>
    <s v="Estadual"/>
    <s v="PLA"/>
    <s v="Vacaria"/>
  </r>
  <r>
    <x v="0"/>
    <s v="453BRS0170"/>
    <n v="0"/>
    <x v="428"/>
    <s v="0170"/>
    <n v="-51.401475440039398"/>
    <n v="-29.2005556901929"/>
    <n v="-51.351370279714601"/>
    <n v="-29.215594270359201"/>
    <s v="453"/>
    <s v="RS"/>
    <s v="Eixo Principal"/>
    <s v="-"/>
    <s v="453BRS0170"/>
    <s v="ENTR RS-448 (P/VILA SÃO MARCOS)"/>
    <s v="ACESSO CARAVAGGIO"/>
    <n v="113.6"/>
    <n v="119.1"/>
    <n v="5.5"/>
    <x v="1"/>
    <m/>
    <m/>
    <s v="Estadual"/>
    <m/>
    <s v="RST-453"/>
    <s v="PAV"/>
    <s v="Estadual"/>
    <s v="PLA"/>
    <s v="Vacaria"/>
  </r>
  <r>
    <x v="0"/>
    <s v="453BRS0180"/>
    <n v="0"/>
    <x v="428"/>
    <s v="0180"/>
    <n v="-51.351370279714601"/>
    <n v="-29.215594270359201"/>
    <n v="-51.3328498195634"/>
    <n v="-29.2212401503126"/>
    <s v="453"/>
    <s v="RS"/>
    <s v="Eixo Principal"/>
    <s v="-"/>
    <s v="453BRS0180"/>
    <s v="ACESSO CARAVAGGIO"/>
    <s v="ENTR RS-122(A) (FARROUPILHA)"/>
    <n v="119.1"/>
    <n v="121.1"/>
    <n v="2"/>
    <x v="1"/>
    <m/>
    <m/>
    <s v="Estadual"/>
    <m/>
    <s v="RST-453"/>
    <s v="DUP"/>
    <s v="Estadual"/>
    <s v="PLA"/>
    <s v="Vacaria"/>
  </r>
  <r>
    <x v="0"/>
    <s v="453BRS0190"/>
    <n v="0"/>
    <x v="428"/>
    <s v="0190"/>
    <n v="-51.3328498195634"/>
    <n v="-29.2212401503126"/>
    <n v="-51.247282440332199"/>
    <n v="-29.189437090249399"/>
    <s v="453"/>
    <s v="RS"/>
    <s v="Eixo Principal"/>
    <s v="-"/>
    <s v="453BRS0190"/>
    <s v="ENTR RS-122(A) (FARROUPILHA)"/>
    <s v="ACESSO CAXIAS DO SUL"/>
    <n v="121.1"/>
    <n v="130.30000000000001"/>
    <n v="9.1999999999999993"/>
    <x v="1"/>
    <m/>
    <m/>
    <s v="Estadual"/>
    <m/>
    <s v="RST-453"/>
    <s v="DUP"/>
    <s v="Estadual"/>
    <s v="PLA"/>
    <s v="Vacaria"/>
  </r>
  <r>
    <x v="0"/>
    <s v="453BRS0210"/>
    <n v="0"/>
    <x v="428"/>
    <s v="0210"/>
    <n v="-51.247282440332199"/>
    <n v="-29.189437090249399"/>
    <n v="-51.187554740059099"/>
    <n v="-29.131082439802601"/>
    <s v="453"/>
    <s v="RS"/>
    <s v="Eixo Principal"/>
    <s v="-"/>
    <s v="453BRS0210"/>
    <s v="ACESSO CAXIAS DO SUL"/>
    <s v="ENTR RS-122(B) (CAXIAS DO SUL)"/>
    <n v="130.30000000000001"/>
    <n v="141.19999999999999"/>
    <n v="10.9"/>
    <x v="1"/>
    <m/>
    <m/>
    <s v="Estadual"/>
    <m/>
    <s v="RST-453"/>
    <s v="PAV"/>
    <s v="Estadual"/>
    <s v="PLA"/>
    <s v="Vacaria"/>
  </r>
  <r>
    <x v="0"/>
    <s v="453BRS0230"/>
    <n v="0"/>
    <x v="428"/>
    <s v="0230"/>
    <n v="-51.187554740059099"/>
    <n v="-29.131082439802601"/>
    <n v="-51.129078930248298"/>
    <n v="-29.132523509852"/>
    <s v="453"/>
    <s v="RS"/>
    <s v="Eixo Principal"/>
    <s v="-"/>
    <s v="453BRS0230"/>
    <s v="ENTR RS-122(B) (CAXIAS DO SUL)"/>
    <s v="ENTR BR-116 (P/SÃO CIRO)"/>
    <n v="141.19999999999999"/>
    <n v="147.5"/>
    <n v="6.3"/>
    <x v="1"/>
    <m/>
    <m/>
    <s v="Estadual"/>
    <m/>
    <s v="RST-453"/>
    <s v="PAV"/>
    <s v="Estadual"/>
    <s v="PLA"/>
    <s v="Vacaria"/>
  </r>
  <r>
    <x v="0"/>
    <s v="453BRS0250"/>
    <n v="0"/>
    <x v="428"/>
    <s v="0250"/>
    <n v="-51.129078930248298"/>
    <n v="-29.132523509852"/>
    <n v="-51.124517860211"/>
    <n v="-29.133217350300399"/>
    <s v="453"/>
    <s v="RS"/>
    <s v="Eixo Principal"/>
    <s v="-"/>
    <s v="453BRS0250"/>
    <s v="ENTR BR-116 (P/SÃO CIRO)"/>
    <s v="EBERLE"/>
    <n v="147.5"/>
    <n v="148"/>
    <n v="0.5"/>
    <x v="1"/>
    <m/>
    <m/>
    <s v="Estadual"/>
    <m/>
    <s v="RSC-453"/>
    <s v="PAV"/>
    <s v="Estadual"/>
    <s v="PLA"/>
    <s v="Vacaria"/>
  </r>
  <r>
    <x v="0"/>
    <s v="453BRS0290"/>
    <n v="0"/>
    <x v="428"/>
    <s v="0290"/>
    <n v="-51.124517860211"/>
    <n v="-29.133217350300399"/>
    <n v="-50.6329809699957"/>
    <n v="-29.101019899748501"/>
    <s v="453"/>
    <s v="RS"/>
    <s v="Eixo Principal"/>
    <s v="-"/>
    <s v="453BRS0290"/>
    <s v="EBERLE"/>
    <s v="ENTR RS-476 (LAJEADO GRANDE)"/>
    <n v="148"/>
    <n v="200.4"/>
    <n v="52.4"/>
    <x v="1"/>
    <m/>
    <m/>
    <s v="Estadual"/>
    <m/>
    <s v="RSC-453"/>
    <s v="PAV"/>
    <s v="Estadual"/>
    <s v="PLA"/>
    <s v="Vacaria"/>
  </r>
  <r>
    <x v="0"/>
    <s v="453BRS0310"/>
    <n v="0"/>
    <x v="428"/>
    <s v="0310"/>
    <n v="-50.6329809699957"/>
    <n v="-29.101019899748501"/>
    <n v="-50.4705823104252"/>
    <n v="-29.2121720298152"/>
    <s v="453"/>
    <s v="RS"/>
    <s v="Eixo Principal"/>
    <s v="-"/>
    <s v="453BRS0310"/>
    <s v="ENTR RS-476 (LAJEADO GRANDE)"/>
    <s v="ENTR RS-110 (VÁRZEA DO CEDRO)"/>
    <n v="200.4"/>
    <n v="222.9"/>
    <n v="22.5"/>
    <x v="1"/>
    <m/>
    <m/>
    <s v="Estadual"/>
    <m/>
    <s v="RST-453"/>
    <s v="PAV"/>
    <s v="Estadual"/>
    <s v="PLA"/>
    <s v="Vacaria"/>
  </r>
  <r>
    <x v="0"/>
    <s v="453BRS0330"/>
    <n v="0"/>
    <x v="428"/>
    <s v="0330"/>
    <n v="-50.4705823104252"/>
    <n v="-29.2121720298152"/>
    <n v="-50.320102910021198"/>
    <n v="-29.2663174600826"/>
    <s v="453"/>
    <s v="RS"/>
    <s v="Eixo Principal"/>
    <s v="-"/>
    <s v="453BRS0330"/>
    <s v="ENTR RS-110 (VÁRZEA DO CEDRO)"/>
    <s v="ENTR RS-020(A) (P/SÃO FRANCISCO DE PAULA)"/>
    <n v="222.9"/>
    <n v="239.9"/>
    <n v="17"/>
    <x v="1"/>
    <m/>
    <m/>
    <s v="Estadual"/>
    <m/>
    <s v="RST-453"/>
    <s v="PAV"/>
    <s v="Estadual"/>
    <s v="PLA"/>
    <s v="Vacaria"/>
  </r>
  <r>
    <x v="0"/>
    <s v="453BRS0350"/>
    <n v="0"/>
    <x v="428"/>
    <s v="0350"/>
    <n v="-50.320102910021198"/>
    <n v="-29.2663174600826"/>
    <n v="-50.301680809621601"/>
    <n v="-29.2673925600186"/>
    <s v="453"/>
    <s v="RS"/>
    <s v="Eixo Principal"/>
    <s v="-"/>
    <s v="453BRS0350"/>
    <s v="ENTR RS-020(A) (P/SÃO FRANCISCO DE PAULA)"/>
    <s v="ENTR RS-020(B) (P/CAMBARÁ DO SUL)"/>
    <n v="239.9"/>
    <n v="241.8"/>
    <n v="1.9"/>
    <x v="1"/>
    <m/>
    <m/>
    <s v="Estadual"/>
    <m/>
    <s v="RST-453"/>
    <s v="PAV"/>
    <s v="Estadual"/>
    <s v="PLA"/>
    <s v="Vacaria"/>
  </r>
  <r>
    <x v="0"/>
    <s v="453BRS0370"/>
    <n v="0"/>
    <x v="428"/>
    <s v="0370"/>
    <n v="-50.301680809621601"/>
    <n v="-29.2673925600186"/>
    <n v="-50.191305120035203"/>
    <n v="-29.331597359730299"/>
    <s v="453"/>
    <s v="RS"/>
    <s v="Eixo Principal"/>
    <s v="-"/>
    <s v="453BRS0370"/>
    <s v="ENTR RS-020(B) (P/CAMBARÁ DO SUL)"/>
    <s v="ENTR RS-486 (ARATINGA)"/>
    <n v="241.8"/>
    <n v="256.8"/>
    <n v="15"/>
    <x v="1"/>
    <m/>
    <m/>
    <s v="Estadual"/>
    <m/>
    <s v="RST-453"/>
    <s v="PAV"/>
    <s v="Estadual"/>
    <s v="PLA"/>
    <s v="Vacaria"/>
  </r>
  <r>
    <x v="0"/>
    <s v="453BRS0390"/>
    <n v="0"/>
    <x v="428"/>
    <s v="0390"/>
    <n v="-50.191305120035203"/>
    <n v="-29.331597359730299"/>
    <n v="-49.907678259643902"/>
    <n v="-29.251754530447101"/>
    <s v="453"/>
    <s v="RS"/>
    <s v="Eixo Principal"/>
    <s v="-"/>
    <s v="453BRS0390"/>
    <s v="ENTR RS-486 (ARATINGA)"/>
    <s v="ENTR RS-494"/>
    <n v="256.8"/>
    <n v="289.8"/>
    <n v="33"/>
    <x v="1"/>
    <m/>
    <m/>
    <s v="Federal"/>
    <m/>
    <m/>
    <m/>
    <s v="Federal"/>
    <s v="PLA"/>
    <s v="Vacaria"/>
  </r>
  <r>
    <x v="0"/>
    <s v="453BRS0400"/>
    <n v="0"/>
    <x v="428"/>
    <s v="0400"/>
    <n v="-49.907678259643902"/>
    <n v="-29.251754530447101"/>
    <n v="-49.775143180413401"/>
    <n v="-29.319487500048002"/>
    <s v="453"/>
    <s v="RS"/>
    <s v="Eixo Principal"/>
    <s v="-"/>
    <s v="453BRS0400"/>
    <s v="ENTR RS-494"/>
    <s v="ENTR BR-101 (P/TRES CACHOEIRAS)"/>
    <n v="289.8"/>
    <n v="304.8"/>
    <n v="15"/>
    <x v="1"/>
    <m/>
    <m/>
    <s v="Federal"/>
    <m/>
    <m/>
    <m/>
    <s v="Federal"/>
    <s v="PLA"/>
    <s v="Vacaria"/>
  </r>
  <r>
    <x v="0"/>
    <s v="453BRS0405"/>
    <n v="0"/>
    <x v="428"/>
    <s v="0405"/>
    <n v="-49.775143180413401"/>
    <n v="-29.319487500048002"/>
    <n v="-49.7582267600569"/>
    <n v="-29.324096930229"/>
    <s v="453"/>
    <s v="RS"/>
    <s v="Eixo Principal"/>
    <s v="-"/>
    <s v="453BRS0405"/>
    <s v="ENTR BR-101 (P/TRES CACHOEIRAS)"/>
    <s v="ENTR RS-389 (P/CAPÃO DA CANOA)"/>
    <n v="304.8"/>
    <n v="306.7"/>
    <n v="1.9"/>
    <x v="1"/>
    <m/>
    <m/>
    <s v="Estadual"/>
    <m/>
    <s v="RSC-453"/>
    <s v="DUP"/>
    <s v="Estadual"/>
    <s v="PLA"/>
    <s v="Vacaria"/>
  </r>
  <r>
    <x v="0"/>
    <s v="453BRS0410"/>
    <n v="0"/>
    <x v="428"/>
    <s v="0410"/>
    <n v="-49.7582267600569"/>
    <n v="-29.324096930229"/>
    <n v="-49.727349900077698"/>
    <n v="-29.338915699899498"/>
    <s v="453"/>
    <s v="RS"/>
    <s v="Eixo Principal"/>
    <s v="-"/>
    <s v="453BRS0410"/>
    <s v="ENTR RS-389 (P/CAPÃO DA CANOA)"/>
    <s v="TORRES"/>
    <n v="306.7"/>
    <n v="310.2"/>
    <n v="3.5"/>
    <x v="1"/>
    <m/>
    <m/>
    <s v="Estadual"/>
    <m/>
    <s v="RST-453"/>
    <s v="DUP"/>
    <s v="Estadual"/>
    <s v="PLA"/>
    <s v="Vacaria"/>
  </r>
  <r>
    <x v="0"/>
    <s v="454BMS0010"/>
    <n v="0"/>
    <x v="429"/>
    <s v="0010"/>
    <n v="-57.587354479725398"/>
    <n v="-19.3216557000504"/>
    <n v="-57.702252140423901"/>
    <n v="-19.470869970172899"/>
    <s v="454"/>
    <s v="MS"/>
    <s v="Eixo Principal"/>
    <s v="-"/>
    <s v="454BMS0010"/>
    <s v="ENTR BR-262"/>
    <s v="FIM DE IMPLANTACÃO"/>
    <n v="0"/>
    <n v="24.5"/>
    <n v="24.5"/>
    <x v="1"/>
    <m/>
    <m/>
    <s v="Estadual"/>
    <m/>
    <s v="MST-454"/>
    <s v="IMP"/>
    <s v="Estadual"/>
    <s v="PLA"/>
    <s v="Anastácio"/>
  </r>
  <r>
    <x v="0"/>
    <s v="454BMS0011"/>
    <n v="0"/>
    <x v="429"/>
    <s v="0011"/>
    <n v="-57.702252140423901"/>
    <n v="-19.470869970172899"/>
    <n v="-57.7920275500313"/>
    <n v="-19.920529510228601"/>
    <s v="454"/>
    <s v="MS"/>
    <s v="Eixo Principal"/>
    <s v="-"/>
    <s v="454BMS0011"/>
    <s v="FIM DE IMPLANTACÃO"/>
    <s v="FORTE COIMBRA"/>
    <n v="24.5"/>
    <n v="71"/>
    <n v="46.5"/>
    <x v="1"/>
    <m/>
    <m/>
    <s v="Federal"/>
    <m/>
    <m/>
    <m/>
    <s v="Federal"/>
    <s v="PLA"/>
    <s v="Anastácio"/>
  </r>
  <r>
    <x v="0"/>
    <s v="455BMG0005"/>
    <n v="0"/>
    <x v="430"/>
    <s v="0005"/>
    <n v="-48.22402913034"/>
    <n v="-18.909865769589501"/>
    <n v="-48.219316729583298"/>
    <n v="-18.9386550297057"/>
    <s v="455"/>
    <s v="MG"/>
    <s v="Eixo Principal"/>
    <s v="Coinc"/>
    <s v="455BMG0005"/>
    <s v="ENTR BR-050(A)/365/452/497 (UBERLÂNDIA)"/>
    <s v="ENTR BR-050N10(A)"/>
    <n v="0"/>
    <n v="3.2"/>
    <n v="3.2"/>
    <x v="0"/>
    <m/>
    <s v="050BMG0245"/>
    <s v="Federal"/>
    <m/>
    <m/>
    <m/>
    <s v="Federal"/>
    <s v="PAV"/>
    <s v="Uberlândia"/>
  </r>
  <r>
    <x v="0"/>
    <s v="455BMG0007"/>
    <n v="0"/>
    <x v="430"/>
    <s v="0007"/>
    <n v="-48.219316729583298"/>
    <n v="-18.9386550297057"/>
    <n v="-48.214300509960502"/>
    <n v="-18.971085130374401"/>
    <s v="455"/>
    <s v="MG"/>
    <s v="Eixo Principal"/>
    <s v="Coinc"/>
    <s v="455BMG0007"/>
    <s v="ENTR BR-050N10(A)"/>
    <s v="ENTR BR-050 (B) (KM 77,2)"/>
    <n v="3.2"/>
    <n v="6.8"/>
    <n v="3.6"/>
    <x v="0"/>
    <m/>
    <s v="050NMG1020;050BMG0250"/>
    <s v="Concessão Federal"/>
    <m/>
    <m/>
    <m/>
    <s v="Federal"/>
    <s v="PAV"/>
    <s v="Uberlândia"/>
  </r>
  <r>
    <x v="0"/>
    <s v="455BMG0008"/>
    <n v="0"/>
    <x v="430"/>
    <s v="0008"/>
    <n v="-48.308517799756601"/>
    <n v="-18.9755520800644"/>
    <n v="-48.214300509960502"/>
    <n v="-18.971085130374401"/>
    <s v="455"/>
    <s v="MG"/>
    <s v="Eixo Principal"/>
    <s v="Coinc"/>
    <s v="455BMG0008"/>
    <s v="ENTR BR-050 (B) (KM 77,2)"/>
    <s v="ENTR BR-050N10(B)"/>
    <n v="6.8"/>
    <n v="17.399999999999999"/>
    <n v="10.6"/>
    <x v="2"/>
    <m/>
    <s v="050NMG1025"/>
    <s v="Convênio de Administração"/>
    <m/>
    <m/>
    <m/>
    <s v="Federal"/>
    <s v="PAV"/>
    <s v="Uberlândia"/>
  </r>
  <r>
    <x v="0"/>
    <s v="455BMG0010"/>
    <n v="0"/>
    <x v="430"/>
    <s v="0010"/>
    <n v="-48.308517799756601"/>
    <n v="-18.9755520800644"/>
    <n v="-48.393592229997303"/>
    <n v="-19.220592511834901"/>
    <s v="455"/>
    <s v="MG"/>
    <s v="Eixo Principal"/>
    <s v="-"/>
    <s v="455BMG0010"/>
    <s v="ENTR CONTORNO SUL DE UBERLÂNDIA"/>
    <s v="POLO CÍTRICO"/>
    <n v="17.399999999999999"/>
    <n v="44.8"/>
    <n v="27.4"/>
    <x v="1"/>
    <m/>
    <m/>
    <s v="Estadual"/>
    <m/>
    <s v="MGT-455"/>
    <s v="PAV"/>
    <s v="Estadual"/>
    <s v="PLA"/>
    <s v="Uberlândia"/>
  </r>
  <r>
    <x v="0"/>
    <s v="455BMG0011"/>
    <n v="0"/>
    <x v="430"/>
    <s v="0011"/>
    <n v="-48.393592229997303"/>
    <n v="-19.220592511834901"/>
    <n v="-48.496136460429199"/>
    <n v="-19.508226489560698"/>
    <s v="455"/>
    <s v="MG"/>
    <s v="Eixo Principal"/>
    <s v="-"/>
    <s v="455BMG0011"/>
    <s v="POLO CÍTRICO"/>
    <s v="ENTR BR-464 (PATRIMÔNIO)"/>
    <n v="44.8"/>
    <n v="82.1"/>
    <n v="37.299999999999997"/>
    <x v="1"/>
    <m/>
    <m/>
    <s v="Estadual"/>
    <m/>
    <s v="MGT-455"/>
    <s v="LEN"/>
    <s v="Estadual"/>
    <s v="PLA"/>
    <s v="Uberlândia"/>
  </r>
  <r>
    <x v="0"/>
    <s v="455BMG0012"/>
    <n v="0"/>
    <x v="430"/>
    <s v="0012"/>
    <n v="-48.496136460429199"/>
    <n v="-19.508226489560698"/>
    <n v="-48.584699299732797"/>
    <n v="-19.765020820354501"/>
    <s v="455"/>
    <s v="MG"/>
    <s v="Eixo Principal"/>
    <s v="-"/>
    <s v="455BMG0012"/>
    <s v="ENTR BR-464 (PATRIMÔNIO)"/>
    <s v="ENTR BR-262 (CAMPO FLORIDO)"/>
    <n v="82.1"/>
    <n v="107.1"/>
    <n v="25"/>
    <x v="1"/>
    <m/>
    <m/>
    <s v="Federal"/>
    <m/>
    <m/>
    <m/>
    <s v="Federal"/>
    <s v="PLA"/>
    <s v="Uberlândia"/>
  </r>
  <r>
    <x v="0"/>
    <s v="455BMG0020"/>
    <n v="0"/>
    <x v="430"/>
    <s v="0020"/>
    <n v="-48.584699299732797"/>
    <n v="-19.765020820354501"/>
    <n v="-48.712917890348301"/>
    <n v="-19.896803239877499"/>
    <s v="455"/>
    <s v="MG"/>
    <s v="Eixo Principal"/>
    <s v="-"/>
    <s v="455BMG0020"/>
    <s v="ENTR BR-262 (CAMPO FLORIDO)"/>
    <s v="PIRAJUBA"/>
    <n v="107.1"/>
    <n v="132.30000000000001"/>
    <n v="25.2"/>
    <x v="1"/>
    <m/>
    <m/>
    <s v="Estadual"/>
    <m/>
    <s v="MGT-455"/>
    <s v="PAV"/>
    <s v="Estadual"/>
    <s v="PLA"/>
    <s v="Uberlândia"/>
  </r>
  <r>
    <x v="0"/>
    <s v="455BMG0030"/>
    <n v="0"/>
    <x v="430"/>
    <s v="0030"/>
    <n v="-48.712917890348301"/>
    <n v="-19.896803239877499"/>
    <n v="-48.702749960142498"/>
    <n v="-20.134639330440599"/>
    <s v="455"/>
    <s v="MG"/>
    <s v="Eixo Principal"/>
    <s v="-"/>
    <s v="455BMG0030"/>
    <s v="PIRAJUBA"/>
    <s v="ENTR BR-364 (DIV MG/SP) (PLANURA)"/>
    <n v="132.30000000000001"/>
    <n v="169"/>
    <n v="36.700000000000003"/>
    <x v="1"/>
    <m/>
    <m/>
    <s v="Estadual"/>
    <m/>
    <s v="MGT-455"/>
    <s v="PAV"/>
    <s v="Estadual"/>
    <s v="PLA"/>
    <s v="Uberlândia"/>
  </r>
  <r>
    <x v="0"/>
    <s v="456BSP0010"/>
    <n v="0"/>
    <x v="431"/>
    <s v="0010"/>
    <n v="-50.061453970324401"/>
    <n v="-20.6872011399206"/>
    <n v="-49.706434240447699"/>
    <n v="-20.758561929689201"/>
    <s v="456"/>
    <s v="SP"/>
    <s v="Eixo Principal"/>
    <s v="-"/>
    <s v="456BSP0010"/>
    <s v="ENTR BR-154/262 (NHANDEARA)"/>
    <s v="ENTR SP-377 (MONTE APRAZÍVEL)"/>
    <n v="0"/>
    <n v="39"/>
    <n v="39"/>
    <x v="1"/>
    <m/>
    <m/>
    <s v="Estadual"/>
    <m/>
    <s v="SP-310"/>
    <s v="PAV"/>
    <s v="Estadual"/>
    <s v="PLA"/>
    <s v="São José do Rio Preto"/>
  </r>
  <r>
    <x v="0"/>
    <s v="456BSP0030"/>
    <n v="0"/>
    <x v="431"/>
    <s v="0030"/>
    <n v="-49.706434240447699"/>
    <n v="-20.758561929689201"/>
    <n v="-49.524995149806202"/>
    <n v="-20.804938409979499"/>
    <s v="456"/>
    <s v="SP"/>
    <s v="Eixo Principal"/>
    <s v="-"/>
    <s v="456BSP0030"/>
    <s v="ENTR SP-377 (MONTE APRAZÍVEL)"/>
    <s v="ENTR SP-320 (MIRASSOL)"/>
    <n v="39"/>
    <n v="59.2"/>
    <n v="20.2"/>
    <x v="1"/>
    <m/>
    <m/>
    <s v="Estadual"/>
    <m/>
    <s v="SP-310"/>
    <s v="PAV"/>
    <s v="Estadual"/>
    <s v="PLA"/>
    <s v="São José do Rio Preto"/>
  </r>
  <r>
    <x v="0"/>
    <s v="456BSP0050"/>
    <n v="0"/>
    <x v="431"/>
    <s v="0050"/>
    <n v="-49.524995149806202"/>
    <n v="-20.804938409979499"/>
    <n v="-49.361464070210602"/>
    <n v="-20.8305515596067"/>
    <s v="456"/>
    <s v="SP"/>
    <s v="Eixo Principal"/>
    <s v="-"/>
    <s v="456BSP0050"/>
    <s v="ENTR SP-320 (MIRASSOL)"/>
    <s v="ENTR BR-153 (SÃO JOSÉ DO RIO PRETO)"/>
    <n v="59.2"/>
    <n v="75.2"/>
    <n v="16"/>
    <x v="1"/>
    <m/>
    <m/>
    <s v="Estadual"/>
    <m/>
    <s v="SP-310"/>
    <s v="DUP"/>
    <s v="Estadual"/>
    <s v="PLA"/>
    <s v="São José do Rio Preto"/>
  </r>
  <r>
    <x v="0"/>
    <s v="456BSP0070"/>
    <n v="0"/>
    <x v="431"/>
    <s v="0070"/>
    <n v="-49.361464070210602"/>
    <n v="-20.8305515596067"/>
    <n v="-49.2052825903192"/>
    <n v="-20.990912600036399"/>
    <s v="456"/>
    <s v="SP"/>
    <s v="Eixo Principal"/>
    <s v="-"/>
    <s v="456BSP0070"/>
    <s v="ENTR BR-153 (SÃO JOSÉ DO RIO PRETO)"/>
    <s v="ENTR SP-379"/>
    <n v="75.2"/>
    <n v="100.2"/>
    <n v="25"/>
    <x v="1"/>
    <m/>
    <m/>
    <s v="Estadual"/>
    <m/>
    <s v="SP-310"/>
    <s v="DUP"/>
    <s v="Estadual"/>
    <s v="PLA"/>
    <s v="São José do Rio Preto"/>
  </r>
  <r>
    <x v="0"/>
    <s v="456BSP0090"/>
    <n v="0"/>
    <x v="431"/>
    <s v="0090"/>
    <n v="-49.2052825903192"/>
    <n v="-20.990912600036399"/>
    <n v="-49.076506599899602"/>
    <n v="-21.090501300294701"/>
    <s v="456"/>
    <s v="SP"/>
    <s v="Eixo Principal"/>
    <s v="-"/>
    <s v="456BSP0090"/>
    <s v="ENTR SP-379"/>
    <s v="ACESSO P/CATIGUÁ"/>
    <n v="100.2"/>
    <n v="116.6"/>
    <n v="16.399999999999999"/>
    <x v="1"/>
    <m/>
    <m/>
    <s v="Estadual"/>
    <m/>
    <s v="SP-310"/>
    <s v="DUP"/>
    <s v="Estadual"/>
    <s v="PLA"/>
    <s v="São José do Rio Preto"/>
  </r>
  <r>
    <x v="0"/>
    <s v="456BSP0103"/>
    <n v="0"/>
    <x v="431"/>
    <s v="0103"/>
    <n v="-49.076506599899602"/>
    <n v="-21.090501300294701"/>
    <n v="-49.020023909875398"/>
    <n v="-21.133730149826501"/>
    <s v="456"/>
    <s v="SP"/>
    <s v="Eixo Principal"/>
    <s v="-"/>
    <s v="456BSP0103"/>
    <s v="ACESSO P/CATIGUÁ"/>
    <s v="ENTR SP-351 (P/PALMARES PAULISTA)"/>
    <n v="116.6"/>
    <n v="124.2"/>
    <n v="7.6"/>
    <x v="1"/>
    <m/>
    <m/>
    <s v="Estadual"/>
    <m/>
    <s v="SP-310"/>
    <s v="DUP"/>
    <s v="Estadual"/>
    <s v="PLA"/>
    <s v="São José do Rio Preto"/>
  </r>
  <r>
    <x v="0"/>
    <s v="456BSP0110"/>
    <n v="0"/>
    <x v="431"/>
    <s v="0110"/>
    <n v="-49.020023909875398"/>
    <n v="-21.133730149826501"/>
    <n v="-48.986401009598801"/>
    <n v="-21.159894939999401"/>
    <s v="456"/>
    <s v="SP"/>
    <s v="Eixo Principal"/>
    <s v="-"/>
    <s v="456BSP0110"/>
    <s v="ENTR SP-351 (P/PALMARES PAULISTA)"/>
    <s v="ENTR SP-321 (CATANDUVA)"/>
    <n v="124.2"/>
    <n v="129"/>
    <n v="4.8"/>
    <x v="1"/>
    <m/>
    <m/>
    <s v="Estadual"/>
    <m/>
    <s v="SP-310"/>
    <s v="DUP"/>
    <s v="Estadual"/>
    <s v="PLA"/>
    <s v="São José do Rio Preto"/>
  </r>
  <r>
    <x v="0"/>
    <s v="456BSP0130"/>
    <n v="0"/>
    <x v="431"/>
    <s v="0130"/>
    <n v="-48.986401009598801"/>
    <n v="-21.159894939999401"/>
    <n v="-48.598574349626503"/>
    <n v="-21.475705149572899"/>
    <s v="456"/>
    <s v="SP"/>
    <s v="Eixo Principal"/>
    <s v="-"/>
    <s v="456BSP0130"/>
    <s v="ENTR SP-321 (CATANDUVA)"/>
    <s v="ENTR SP-333 (P/TAQUARITINGA)"/>
    <n v="129"/>
    <n v="182.2"/>
    <n v="53.2"/>
    <x v="1"/>
    <m/>
    <m/>
    <s v="Estadual"/>
    <m/>
    <s v="SP-310"/>
    <s v="DUP"/>
    <s v="Estadual"/>
    <s v="PLA"/>
    <s v="São José do Rio Preto"/>
  </r>
  <r>
    <x v="0"/>
    <s v="456BSP0150"/>
    <n v="0"/>
    <x v="431"/>
    <s v="0150"/>
    <n v="-48.598574349626503"/>
    <n v="-21.475705149572899"/>
    <n v="-48.336367569607603"/>
    <n v="-21.6917143703219"/>
    <s v="456"/>
    <s v="SP"/>
    <s v="Eixo Principal"/>
    <s v="-"/>
    <s v="456BSP0150"/>
    <s v="ENTR SP-333 (P/TAQUARITINGA)"/>
    <s v="ENTR BR-364/SP-326"/>
    <n v="182.2"/>
    <n v="218.2"/>
    <n v="36"/>
    <x v="1"/>
    <m/>
    <m/>
    <s v="Estadual"/>
    <m/>
    <s v="SP-310"/>
    <s v="DUP"/>
    <s v="Estadual"/>
    <s v="PLA"/>
    <s v="São José do Rio Preto"/>
  </r>
  <r>
    <x v="0"/>
    <s v="457BGO0010"/>
    <n v="0"/>
    <x v="432"/>
    <s v="0010"/>
    <n v="-47.604500769694702"/>
    <n v="-16.7542418301962"/>
    <n v="-47.673719279920803"/>
    <n v="-16.822045380389898"/>
    <s v="457"/>
    <s v="GO"/>
    <s v="Eixo Principal"/>
    <s v="Coinc"/>
    <s v="457BGO0010"/>
    <s v="ENTR BR-040/050(A)/354/GO-309(A) (CRISTALINA)"/>
    <s v="ENTR GO-309(B)"/>
    <n v="0"/>
    <n v="11"/>
    <n v="11"/>
    <x v="2"/>
    <m/>
    <s v="050BGO0070"/>
    <s v="Concessão Federal"/>
    <m/>
    <m/>
    <m/>
    <s v="Federal"/>
    <s v="PAV"/>
    <s v="Goiânia"/>
  </r>
  <r>
    <x v="0"/>
    <s v="457BGO0012"/>
    <n v="0"/>
    <x v="432"/>
    <s v="0012"/>
    <n v="-47.673719279920803"/>
    <n v="-16.822045380389898"/>
    <n v="-47.7058623295828"/>
    <n v="-16.9266606298841"/>
    <s v="457"/>
    <s v="GO"/>
    <s v="Eixo Principal"/>
    <s v="Coinc"/>
    <s v="457BGO0012"/>
    <s v="ENTR GO-309(B)"/>
    <s v="ENTR GO-519 (DOMICIANO RIBEIRO)"/>
    <n v="11"/>
    <n v="23.5"/>
    <n v="12.5"/>
    <x v="2"/>
    <m/>
    <s v="050BGO0075"/>
    <s v="Concessão Federal"/>
    <m/>
    <m/>
    <m/>
    <s v="Federal"/>
    <s v="PAV"/>
    <s v="Goiânia"/>
  </r>
  <r>
    <x v="0"/>
    <s v="457BGO0013"/>
    <n v="0"/>
    <x v="432"/>
    <s v="0013"/>
    <n v="-47.7058623295828"/>
    <n v="-16.9266606298841"/>
    <n v="-47.740883330301401"/>
    <n v="-16.968250789642099"/>
    <s v="457"/>
    <s v="GO"/>
    <s v="Eixo Principal"/>
    <s v="Coinc"/>
    <s v="457BGO0013"/>
    <s v="ENTR GO-519 (DOMICIANO RIBEIRO)"/>
    <s v="ENTR BR-050(B)/GO-219(A)"/>
    <n v="23.5"/>
    <n v="29.5"/>
    <n v="6"/>
    <x v="2"/>
    <m/>
    <s v="050BGO0080"/>
    <s v="Concessão Federal"/>
    <m/>
    <m/>
    <m/>
    <s v="Federal"/>
    <s v="PAV"/>
    <s v="Goiânia"/>
  </r>
  <r>
    <x v="0"/>
    <s v="457BGO0015"/>
    <n v="0"/>
    <x v="432"/>
    <s v="0015"/>
    <n v="-47.740883330301401"/>
    <n v="-16.968250789642099"/>
    <n v="-47.942862760208101"/>
    <n v="-17.0402987495875"/>
    <s v="457"/>
    <s v="GO"/>
    <s v="Eixo Principal"/>
    <s v="-"/>
    <s v="457BGO0015"/>
    <s v="ENTR BR-050(B)/GO-219(A)"/>
    <s v="RIO CORUMBÁ"/>
    <n v="29.5"/>
    <n v="61.4"/>
    <n v="31.9"/>
    <x v="1"/>
    <m/>
    <m/>
    <s v="Estadual"/>
    <m/>
    <s v="GO-219"/>
    <s v="LEN"/>
    <s v="Estadual"/>
    <s v="PLA"/>
    <s v="Goiânia"/>
  </r>
  <r>
    <x v="0"/>
    <s v="457BGO0018"/>
    <n v="0"/>
    <x v="432"/>
    <s v="0018"/>
    <n v="-47.942862760208101"/>
    <n v="-17.0402987495875"/>
    <n v="-48.008356970097999"/>
    <n v="-16.954295829588801"/>
    <s v="457"/>
    <s v="GO"/>
    <s v="Eixo Principal"/>
    <s v="-"/>
    <s v="457BGO0018"/>
    <s v="RIO CORUMBÁ"/>
    <s v="ENTR GO-309/404(A) (BURITIZINHO)"/>
    <n v="61.4"/>
    <n v="74.400000000000006"/>
    <n v="13"/>
    <x v="1"/>
    <m/>
    <m/>
    <s v="Estadual"/>
    <m/>
    <s v="GO-219"/>
    <s v="LEN"/>
    <s v="Estadual"/>
    <s v="PLA"/>
    <s v="Goiânia"/>
  </r>
  <r>
    <x v="0"/>
    <s v="457BGO0020"/>
    <n v="0"/>
    <x v="432"/>
    <s v="0020"/>
    <n v="-48.008356970097999"/>
    <n v="-16.954295829588801"/>
    <n v="-48.026001600293498"/>
    <n v="-16.811295370284999"/>
    <s v="457"/>
    <s v="GO"/>
    <s v="Eixo Principal"/>
    <s v="-"/>
    <s v="457BGO0020"/>
    <s v="ENTR GO-309/404(A) (BURITIZINHO)"/>
    <s v="ENTR GO-219(B)/404(B) (MANIRATUBA)"/>
    <n v="74.400000000000006"/>
    <n v="93.4"/>
    <n v="19"/>
    <x v="1"/>
    <m/>
    <m/>
    <s v="Estadual"/>
    <m/>
    <s v="GO-404"/>
    <s v="LEN"/>
    <s v="Estadual"/>
    <s v="PLA"/>
    <s v="Goiânia"/>
  </r>
  <r>
    <x v="0"/>
    <s v="457BGO0025"/>
    <n v="0"/>
    <x v="432"/>
    <s v="0025"/>
    <n v="-48.026001600293498"/>
    <n v="-16.811295370284999"/>
    <n v="-48.430666640153198"/>
    <n v="-16.8046695503593"/>
    <s v="457"/>
    <s v="GO"/>
    <s v="Eixo Principal"/>
    <s v="-"/>
    <s v="457BGO0025"/>
    <s v="ENTR GO-219(B)/404(B) (MANIRATUBA)"/>
    <s v="ENTR GO-330(A) (PONTE FUNDA)"/>
    <n v="93.4"/>
    <n v="149.4"/>
    <n v="56"/>
    <x v="1"/>
    <m/>
    <m/>
    <s v="Estadual"/>
    <m/>
    <s v="GOT-457"/>
    <s v="LEN"/>
    <s v="Estadual"/>
    <s v="PLA"/>
    <s v="Goiânia"/>
  </r>
  <r>
    <x v="0"/>
    <s v="457BGO0030"/>
    <n v="0"/>
    <x v="432"/>
    <s v="0030"/>
    <n v="-48.430666640153198"/>
    <n v="-16.8046695503593"/>
    <n v="-48.521209069842598"/>
    <n v="-16.7623440599303"/>
    <s v="457"/>
    <s v="GO"/>
    <s v="Eixo Principal"/>
    <s v="-"/>
    <s v="457BGO0030"/>
    <s v="ENTR GO-330(A) (PONTE FUNDA)"/>
    <s v="ENTR GO-010(A)/139(A) (P/VIANÓPOLIS)"/>
    <n v="149.4"/>
    <n v="161.1"/>
    <n v="11.7"/>
    <x v="1"/>
    <m/>
    <m/>
    <s v="Estadual"/>
    <m/>
    <s v="GO-330"/>
    <s v="PAV"/>
    <s v="Estadual"/>
    <s v="PLA"/>
    <s v="Goiânia"/>
  </r>
  <r>
    <x v="0"/>
    <s v="457BGO0050"/>
    <n v="0"/>
    <x v="432"/>
    <s v="0050"/>
    <n v="-48.521209069842598"/>
    <n v="-16.7623440599303"/>
    <n v="-48.623005379994197"/>
    <n v="-16.708245960082898"/>
    <s v="457"/>
    <s v="GO"/>
    <s v="Eixo Principal"/>
    <s v="-"/>
    <s v="457BGO0050"/>
    <s v="ENTR GO-010(A)/139(A) (P/VIANÓPOLIS)"/>
    <s v="ENTR GO-139(B) (P/SILVÂNIA)"/>
    <n v="161.1"/>
    <n v="173.8"/>
    <n v="12.7"/>
    <x v="1"/>
    <m/>
    <m/>
    <s v="Estadual"/>
    <m/>
    <s v="GO-010"/>
    <s v="PAV"/>
    <s v="Estadual"/>
    <s v="PLA"/>
    <s v="Goiânia"/>
  </r>
  <r>
    <x v="0"/>
    <s v="457BGO0060"/>
    <n v="0"/>
    <x v="432"/>
    <s v="0060"/>
    <n v="-48.623005379994197"/>
    <n v="-16.708245960082898"/>
    <n v="-48.669665070286698"/>
    <n v="-16.690212380297002"/>
    <s v="457"/>
    <s v="GO"/>
    <s v="Eixo Principal"/>
    <s v="-"/>
    <s v="457BGO0060"/>
    <s v="ENTR GO-139(B) (P/SILVÂNIA)"/>
    <s v="ENTR GO-147"/>
    <n v="173.8"/>
    <n v="179.2"/>
    <n v="5.4"/>
    <x v="1"/>
    <m/>
    <m/>
    <s v="Estadual"/>
    <m/>
    <s v="GO-010"/>
    <s v="PAV"/>
    <s v="Estadual"/>
    <s v="PLA"/>
    <s v="Goiânia"/>
  </r>
  <r>
    <x v="0"/>
    <s v="457BGO0070"/>
    <n v="0"/>
    <x v="432"/>
    <s v="0070"/>
    <n v="-48.669665070286698"/>
    <n v="-16.690212380297002"/>
    <n v="-48.736874960011299"/>
    <n v="-16.631070949864402"/>
    <s v="457"/>
    <s v="GO"/>
    <s v="Eixo Principal"/>
    <s v="-"/>
    <s v="457BGO0070"/>
    <s v="ENTR GO-147"/>
    <s v="LEOPOLDO DE BULHÕES"/>
    <n v="179.2"/>
    <n v="189.7"/>
    <n v="10.5"/>
    <x v="1"/>
    <m/>
    <m/>
    <s v="Estadual"/>
    <m/>
    <s v="GO-010"/>
    <s v="PAV"/>
    <s v="Estadual"/>
    <s v="PLA"/>
    <s v="Goiânia"/>
  </r>
  <r>
    <x v="0"/>
    <s v="457BGO0080"/>
    <n v="0"/>
    <x v="432"/>
    <s v="0080"/>
    <n v="-48.736874960011299"/>
    <n v="-16.631070949864402"/>
    <n v="-48.783781380206499"/>
    <n v="-16.615081569558701"/>
    <s v="457"/>
    <s v="GO"/>
    <s v="Eixo Principal"/>
    <s v="-"/>
    <s v="457BGO0080"/>
    <s v="LEOPOLDO DE BULHÕES"/>
    <s v="ENTR GO-330(B)"/>
    <n v="189.7"/>
    <n v="195.3"/>
    <n v="5.6"/>
    <x v="1"/>
    <m/>
    <m/>
    <s v="Estadual"/>
    <m/>
    <s v="GO-010"/>
    <s v="PAV"/>
    <s v="Estadual"/>
    <s v="PLA"/>
    <s v="Goiânia"/>
  </r>
  <r>
    <x v="0"/>
    <s v="457BGO0085"/>
    <n v="0"/>
    <x v="432"/>
    <s v="0085"/>
    <n v="-48.783781380206499"/>
    <n v="-16.615081569558701"/>
    <n v="-48.950582349795503"/>
    <n v="-16.617226490410101"/>
    <s v="457"/>
    <s v="GO"/>
    <s v="Eixo Principal"/>
    <s v="-"/>
    <s v="457BGO0085"/>
    <s v="ENTR GO-330(B)"/>
    <s v="BONFINÓPOLIS"/>
    <n v="195.3"/>
    <n v="214"/>
    <n v="18.7"/>
    <x v="1"/>
    <m/>
    <m/>
    <s v="Estadual"/>
    <m/>
    <s v="GO-010"/>
    <s v="PAV"/>
    <s v="Estadual"/>
    <s v="PLA"/>
    <s v="Goiânia"/>
  </r>
  <r>
    <x v="0"/>
    <s v="457BGO0090"/>
    <n v="0"/>
    <x v="432"/>
    <s v="0090"/>
    <n v="-48.950582349795503"/>
    <n v="-16.617226490410101"/>
    <n v="-49.076677550228702"/>
    <n v="-16.616788880302501"/>
    <s v="457"/>
    <s v="GO"/>
    <s v="Eixo Principal"/>
    <s v="-"/>
    <s v="457BGO0090"/>
    <s v="BONFINÓPOLIS"/>
    <s v="ENTR GO-415"/>
    <n v="214"/>
    <n v="228.7"/>
    <n v="14.7"/>
    <x v="1"/>
    <m/>
    <m/>
    <s v="Estadual"/>
    <m/>
    <s v="GO-010"/>
    <s v="PAV"/>
    <s v="Estadual"/>
    <s v="PLA"/>
    <s v="Goiânia"/>
  </r>
  <r>
    <x v="0"/>
    <s v="457BGO0095"/>
    <n v="0"/>
    <x v="432"/>
    <s v="0095"/>
    <n v="-49.076677550228702"/>
    <n v="-16.616788880302501"/>
    <n v="-49.157106910155697"/>
    <n v="-16.649462660373398"/>
    <s v="457"/>
    <s v="GO"/>
    <s v="Eixo Principal"/>
    <s v="-"/>
    <s v="457BGO0095"/>
    <s v="ENTR GO-415"/>
    <s v="ENTR GO-537"/>
    <n v="228.7"/>
    <n v="238.9"/>
    <n v="10.199999999999999"/>
    <x v="1"/>
    <m/>
    <m/>
    <s v="Estadual"/>
    <m/>
    <s v="GO-010"/>
    <s v="PAV"/>
    <s v="Estadual"/>
    <s v="PLA"/>
    <s v="Goiânia"/>
  </r>
  <r>
    <x v="0"/>
    <s v="457BGO0100"/>
    <n v="0"/>
    <x v="432"/>
    <s v="0100"/>
    <n v="-49.157106910155697"/>
    <n v="-16.649462660373398"/>
    <n v="-49.219573609934102"/>
    <n v="-16.6582000398998"/>
    <s v="457"/>
    <s v="GO"/>
    <s v="Eixo Principal"/>
    <s v="-"/>
    <s v="457BGO0100"/>
    <s v="ENTR GO-537"/>
    <s v="ENTR BR-060/153/GO-010(B)/403 (GOIÂNIA)"/>
    <n v="238.9"/>
    <n v="246.3"/>
    <n v="7.4"/>
    <x v="1"/>
    <m/>
    <m/>
    <s v="Estadual"/>
    <m/>
    <s v="GO-010"/>
    <s v="DUP"/>
    <s v="Estadual"/>
    <s v="PLA"/>
    <s v="Goiânia"/>
  </r>
  <r>
    <x v="0"/>
    <s v="458BMG0010"/>
    <n v="0"/>
    <x v="433"/>
    <s v="0010"/>
    <n v="-41.4704439002657"/>
    <n v="-19.138671420349699"/>
    <n v="-41.4612596197356"/>
    <n v="-19.169524770251801"/>
    <s v="458"/>
    <s v="MG"/>
    <s v="Eixo Principal"/>
    <s v="-"/>
    <s v="458BMG0010"/>
    <s v="ENTR BR-259"/>
    <s v="CONSELHEIRO PENA"/>
    <n v="0"/>
    <n v="4"/>
    <n v="4"/>
    <x v="1"/>
    <m/>
    <m/>
    <s v="Estadual"/>
    <m/>
    <s v="MGT-458"/>
    <s v="PAV"/>
    <s v="Estadual"/>
    <s v="PLA"/>
    <s v="Governador Valadares"/>
  </r>
  <r>
    <x v="0"/>
    <s v="458BMG0020"/>
    <n v="0"/>
    <x v="433"/>
    <s v="0020"/>
    <n v="-41.4612596197356"/>
    <n v="-19.169524770251801"/>
    <n v="-41.646745459934998"/>
    <n v="-19.2296667998828"/>
    <s v="458"/>
    <s v="MG"/>
    <s v="Eixo Principal"/>
    <s v="-"/>
    <s v="458BMG0020"/>
    <s v="CONSELHEIRO PENA"/>
    <s v="CUITÉ VELHO"/>
    <n v="4"/>
    <n v="35"/>
    <n v="31"/>
    <x v="1"/>
    <m/>
    <m/>
    <s v="Estadual"/>
    <m/>
    <s v="MGT-458"/>
    <s v="PAV"/>
    <s v="Estadual"/>
    <s v="PLA"/>
    <s v="Governador Valadares"/>
  </r>
  <r>
    <x v="0"/>
    <s v="458BMG0030"/>
    <n v="0"/>
    <x v="433"/>
    <s v="0030"/>
    <n v="-41.646745459934998"/>
    <n v="-19.2296667998828"/>
    <n v="-42.006433209924602"/>
    <n v="-19.2821691597788"/>
    <s v="458"/>
    <s v="MG"/>
    <s v="Eixo Principal"/>
    <s v="-"/>
    <s v="458BMG0030"/>
    <s v="CUITÉ VELHO"/>
    <s v="TARUMIRIM"/>
    <n v="35"/>
    <n v="68.7"/>
    <n v="33.700000000000003"/>
    <x v="1"/>
    <m/>
    <m/>
    <s v="Federal"/>
    <m/>
    <m/>
    <m/>
    <s v="Federal"/>
    <s v="PLA"/>
    <s v="Governador Valadares"/>
  </r>
  <r>
    <x v="0"/>
    <s v="458BMG0035"/>
    <n v="0"/>
    <x v="433"/>
    <s v="0035"/>
    <n v="-42.006433209924602"/>
    <n v="-19.2821691597788"/>
    <n v="-42.073926260188699"/>
    <n v="-19.314685519820799"/>
    <s v="458"/>
    <s v="MG"/>
    <s v="Eixo Principal"/>
    <s v="-"/>
    <s v="458BMG0035"/>
    <s v="TARUMIRIM"/>
    <s v="ENTR BR-116(A) (TARUAÇÚ)"/>
    <n v="68.7"/>
    <n v="81.2"/>
    <n v="12.5"/>
    <x v="1"/>
    <m/>
    <m/>
    <s v="Estadual"/>
    <m/>
    <s v="MGT-458"/>
    <s v="PAV"/>
    <s v="Estadual"/>
    <s v="PLA"/>
    <s v="Governador Valadares"/>
  </r>
  <r>
    <x v="0"/>
    <s v="458BMG0050"/>
    <n v="0"/>
    <x v="433"/>
    <s v="0050"/>
    <n v="-42.073926260188699"/>
    <n v="-19.314685519820799"/>
    <n v="-42.1298087399813"/>
    <n v="-19.442577789633201"/>
    <s v="458"/>
    <s v="MG"/>
    <s v="Eixo Principal"/>
    <s v="Coinc"/>
    <s v="458BMG0050"/>
    <s v="ENTR BR-116(A) (TARUAÇÚ)"/>
    <s v="ENTR BR-116(B)"/>
    <n v="81.2"/>
    <n v="98.8"/>
    <n v="17.600000000000001"/>
    <x v="2"/>
    <m/>
    <s v="116BMG1210"/>
    <s v="Federal"/>
    <m/>
    <m/>
    <m/>
    <s v="Federal"/>
    <s v="PAV"/>
    <s v="Caratinga"/>
  </r>
  <r>
    <x v="0"/>
    <s v="458BMG0070"/>
    <n v="0"/>
    <x v="433"/>
    <s v="0070"/>
    <n v="-42.1298087399813"/>
    <n v="-19.442577789633201"/>
    <n v="-42.541514010063402"/>
    <n v="-19.473453109972901"/>
    <s v="458"/>
    <s v="MG"/>
    <s v="Eixo Principal"/>
    <s v="-"/>
    <s v="458BMG0070"/>
    <s v="ENTR BR-116(B)"/>
    <s v="ENTR BR-381 (IPATINGA)"/>
    <n v="98.8"/>
    <n v="148.80000000000001"/>
    <n v="50"/>
    <x v="2"/>
    <m/>
    <m/>
    <s v="Federal"/>
    <m/>
    <m/>
    <m/>
    <s v="Federal"/>
    <s v="PAV"/>
    <s v="Caratinga"/>
  </r>
  <r>
    <x v="0"/>
    <s v="459BMG0005"/>
    <n v="0"/>
    <x v="434"/>
    <s v="0005"/>
    <n v="-46.542116219587697"/>
    <n v="-21.787886199888099"/>
    <n v="-46.494480739694303"/>
    <n v="-21.8057898501214"/>
    <s v="459"/>
    <s v="MG"/>
    <s v="Eixo Principal"/>
    <s v="Coinc"/>
    <s v="459BMG0005"/>
    <s v="ENTR. AV. VEREADOR REINALDO F. BASTOS/ BR-146(A)/267(A) (DEER POÇOS DE CALDAS)"/>
    <s v="FIM DO TRECHO DUPLICADO *TRECHO MUNICIPAL*"/>
    <n v="0"/>
    <n v="5.3"/>
    <n v="5.3"/>
    <x v="0"/>
    <m/>
    <s v="267BMG0410;146BMG0300"/>
    <s v="Federal"/>
    <m/>
    <m/>
    <m/>
    <s v="Federal"/>
    <s v="PAV"/>
    <s v="Caxambu"/>
  </r>
  <r>
    <x v="0"/>
    <s v="459BMG0010"/>
    <n v="0"/>
    <x v="434"/>
    <s v="0010"/>
    <n v="-46.494480739694303"/>
    <n v="-21.8057898501214"/>
    <n v="-46.471237710152103"/>
    <n v="-21.808462240440001"/>
    <s v="459"/>
    <s v="MG"/>
    <s v="Eixo Principal"/>
    <s v="Coinc"/>
    <s v="459BMG0010"/>
    <s v="FIM DO TRECHO DUPLICADO"/>
    <s v="ENTR BR-146(B)/267(B) *TRECHO URBANO*"/>
    <n v="5.3"/>
    <n v="7.8"/>
    <n v="2.5"/>
    <x v="2"/>
    <m/>
    <s v="267BMG0405;146BMG0295"/>
    <s v="Federal"/>
    <m/>
    <m/>
    <m/>
    <s v="Federal"/>
    <s v="PAV"/>
    <s v="Caxambu"/>
  </r>
  <r>
    <x v="0"/>
    <s v="459BMG0015"/>
    <n v="0"/>
    <x v="434"/>
    <s v="0015"/>
    <n v="-46.471237710152103"/>
    <n v="-21.808462240440001"/>
    <n v="-46.381407780044903"/>
    <n v="-21.912811330178702"/>
    <s v="459"/>
    <s v="MG"/>
    <s v="Eixo Principal"/>
    <s v="-"/>
    <s v="459BMG0015"/>
    <s v="ENTR BR-146(B)/267(B)"/>
    <s v="ENTR AL.DR.NELSON DE PAIVA (CALDAS)"/>
    <n v="7.8"/>
    <n v="26.7"/>
    <n v="18.899999999999999"/>
    <x v="2"/>
    <m/>
    <m/>
    <s v="Federal"/>
    <m/>
    <m/>
    <m/>
    <s v="Federal"/>
    <s v="PAV"/>
    <s v="Caxambu"/>
  </r>
  <r>
    <x v="0"/>
    <s v="459BMG0020"/>
    <n v="0"/>
    <x v="434"/>
    <s v="0020"/>
    <n v="-46.381407780044903"/>
    <n v="-21.912811330178702"/>
    <n v="-46.312694019713199"/>
    <n v="-22.016520459651399"/>
    <s v="459"/>
    <s v="MG"/>
    <s v="Eixo Principal"/>
    <s v="-"/>
    <s v="459BMG0020"/>
    <s v="ENTR AL.DR.NELSON DE PAIVA (CALDAS)"/>
    <s v="ACESSO SANTA RITA DAS CALDAS"/>
    <n v="26.7"/>
    <n v="42.7"/>
    <n v="16"/>
    <x v="2"/>
    <m/>
    <m/>
    <s v="Federal"/>
    <m/>
    <m/>
    <m/>
    <s v="Federal"/>
    <s v="PAV"/>
    <s v="Caxambu"/>
  </r>
  <r>
    <x v="0"/>
    <s v="459BMG0025"/>
    <n v="0"/>
    <x v="434"/>
    <s v="0025"/>
    <n v="-46.312694019713199"/>
    <n v="-22.016520459651399"/>
    <n v="-45.943943590124498"/>
    <n v="-22.204112690148399"/>
    <s v="459"/>
    <s v="MG"/>
    <s v="Eixo Principal"/>
    <s v="-"/>
    <s v="459BMG0025"/>
    <s v="ACESSO SANTA RITA DAS CALDAS"/>
    <s v="ENTR MG-179 (POUSO ALEGRE)"/>
    <n v="42.7"/>
    <n v="97.6"/>
    <n v="54.9"/>
    <x v="2"/>
    <m/>
    <m/>
    <s v="Federal"/>
    <m/>
    <m/>
    <m/>
    <s v="Federal"/>
    <s v="PAV"/>
    <s v="Caxambu"/>
  </r>
  <r>
    <x v="0"/>
    <s v="459BMG0030"/>
    <n v="0"/>
    <x v="434"/>
    <s v="0030"/>
    <n v="-45.943943590124498"/>
    <n v="-22.204112690148399"/>
    <n v="-45.881889570347298"/>
    <n v="-22.2410417896468"/>
    <s v="459"/>
    <s v="MG"/>
    <s v="Eixo Principal"/>
    <s v="-"/>
    <s v="459BMG0030"/>
    <s v="ENTR MG-179 (POUSO ALEGRE)"/>
    <s v="ENTR BR-381"/>
    <n v="97.6"/>
    <n v="105.8"/>
    <n v="8.1999999999999993"/>
    <x v="0"/>
    <m/>
    <m/>
    <s v="Federal"/>
    <m/>
    <m/>
    <m/>
    <s v="Federal"/>
    <s v="PAV"/>
    <s v="Caxambu"/>
  </r>
  <r>
    <x v="0"/>
    <s v="459BMG0050"/>
    <n v="0"/>
    <x v="434"/>
    <s v="0050"/>
    <n v="-45.881889570347298"/>
    <n v="-22.2410417896468"/>
    <n v="-45.773542520171098"/>
    <n v="-22.261405170212399"/>
    <s v="459"/>
    <s v="MG"/>
    <s v="Eixo Principal"/>
    <s v="-"/>
    <s v="459BMG0050"/>
    <s v="ENTR BR-381"/>
    <s v="ENTR MG-173 (P/CACHOEIRA DE MINAS)"/>
    <n v="105.8"/>
    <n v="118.6"/>
    <n v="12.8"/>
    <x v="2"/>
    <m/>
    <m/>
    <s v="Federal"/>
    <m/>
    <m/>
    <m/>
    <s v="Federal"/>
    <s v="PAV"/>
    <s v="Caxambu"/>
  </r>
  <r>
    <x v="0"/>
    <s v="459BMG0060"/>
    <n v="0"/>
    <x v="434"/>
    <s v="0060"/>
    <n v="-45.773542520171098"/>
    <n v="-22.261405170212399"/>
    <n v="-45.714352979606304"/>
    <n v="-22.2503949196897"/>
    <s v="459"/>
    <s v="MG"/>
    <s v="Eixo Principal"/>
    <s v="-"/>
    <s v="459BMG0060"/>
    <s v="ENTR MG-173 (P/CACHOEIRA DE MINAS)"/>
    <s v="INÍCIO DUPLICAÇÃO (STA RITA DO SAPUCAÍ)"/>
    <n v="118.6"/>
    <n v="125.1"/>
    <n v="6.5"/>
    <x v="2"/>
    <m/>
    <m/>
    <s v="Federal"/>
    <m/>
    <m/>
    <m/>
    <s v="Federal"/>
    <s v="PAV"/>
    <s v="Caxambu"/>
  </r>
  <r>
    <x v="0"/>
    <s v="459BMG0065"/>
    <n v="0"/>
    <x v="434"/>
    <s v="0065"/>
    <n v="-45.714352979606304"/>
    <n v="-22.2503949196897"/>
    <n v="-45.7111820896816"/>
    <n v="-22.256576659784901"/>
    <s v="459"/>
    <s v="MG"/>
    <s v="Eixo Principal"/>
    <s v="-"/>
    <s v="459BMG0065"/>
    <s v="INÍCIO DUPLICAÇÃO (STA RITA DO SAPUCAÍ)"/>
    <s v="FIM DUPLICAÇÃO (STA RITA DO SAPUCAÍ)"/>
    <n v="125.1"/>
    <n v="126.2"/>
    <n v="1.1000000000000001"/>
    <x v="0"/>
    <m/>
    <m/>
    <s v="Federal"/>
    <m/>
    <m/>
    <m/>
    <s v="Federal"/>
    <s v="PAV"/>
    <s v="Caxambu"/>
  </r>
  <r>
    <x v="0"/>
    <s v="459BMG0072"/>
    <n v="0"/>
    <x v="434"/>
    <s v="0072"/>
    <n v="-45.7111820896816"/>
    <n v="-22.256576659784901"/>
    <n v="-45.556618160099902"/>
    <n v="-22.363985699979999"/>
    <s v="459"/>
    <s v="MG"/>
    <s v="Eixo Principal"/>
    <s v="-"/>
    <s v="459BMG0072"/>
    <s v="FIM DUPLICAÇÃO (STA RITA DO SAPUCAÍ)"/>
    <s v="ENTR MG-347 (P/SÃO JOÃO DO ALEGRE)"/>
    <n v="126.2"/>
    <n v="149.5"/>
    <n v="23.3"/>
    <x v="2"/>
    <m/>
    <m/>
    <s v="Federal"/>
    <m/>
    <m/>
    <m/>
    <s v="Federal"/>
    <s v="PAV"/>
    <s v="Caxambu"/>
  </r>
  <r>
    <x v="0"/>
    <s v="459BMG0090"/>
    <n v="0"/>
    <x v="434"/>
    <s v="0090"/>
    <n v="-45.556618160099902"/>
    <n v="-22.363985699979999"/>
    <n v="-45.533973630278702"/>
    <n v="-22.402866879602701"/>
    <s v="459"/>
    <s v="MG"/>
    <s v="Eixo Principal"/>
    <s v="-"/>
    <s v="459BMG0090"/>
    <s v="ENTR MG-347 (P/SÃO JOÃO DO ALEGRE)"/>
    <s v="ENTR MG-295 (PIRANGUINHO)"/>
    <n v="149.5"/>
    <n v="155.4"/>
    <n v="5.9"/>
    <x v="2"/>
    <m/>
    <m/>
    <s v="Federal"/>
    <m/>
    <m/>
    <m/>
    <s v="Federal"/>
    <s v="PAV"/>
    <s v="Caxambu"/>
  </r>
  <r>
    <x v="0"/>
    <s v="459BMG0110"/>
    <n v="0"/>
    <x v="434"/>
    <s v="0110"/>
    <n v="-45.533973630278702"/>
    <n v="-22.402866879602701"/>
    <n v="-45.4907576401529"/>
    <n v="-22.424417400342598"/>
    <s v="459"/>
    <s v="MG"/>
    <s v="Eixo Principal"/>
    <s v="-"/>
    <s v="459BMG0110"/>
    <s v="ENTR MG-295 (PIRANGUINHO)"/>
    <s v="INÍCIO CONVÊNIO DE ADMINISTRAÇÃO"/>
    <n v="155.4"/>
    <n v="162.9"/>
    <n v="7.5"/>
    <x v="2"/>
    <m/>
    <m/>
    <s v="Federal"/>
    <m/>
    <m/>
    <m/>
    <s v="Federal"/>
    <s v="PAV"/>
    <s v="Caxambu"/>
  </r>
  <r>
    <x v="0"/>
    <s v="459BMG0116"/>
    <n v="0"/>
    <x v="434"/>
    <s v="0116"/>
    <n v="-45.4907576401529"/>
    <n v="-22.424417400342598"/>
    <n v="-45.472019080016402"/>
    <n v="-22.4228733399326"/>
    <s v="459"/>
    <s v="MG"/>
    <s v="Eixo Principal"/>
    <s v="-"/>
    <s v="459BMG0116"/>
    <s v="INÍCIO CONVÊNIO DE ADMINISTRAÇÃO"/>
    <s v="FIM PISTA DUPLA (ITAJUBÁ)"/>
    <n v="162.9"/>
    <n v="164.9"/>
    <n v="2"/>
    <x v="0"/>
    <m/>
    <m/>
    <s v="Federal"/>
    <m/>
    <m/>
    <m/>
    <s v="Federal"/>
    <s v="PAV"/>
    <s v="Caxambu"/>
  </r>
  <r>
    <x v="0"/>
    <s v="459BMG0118"/>
    <n v="0"/>
    <x v="434"/>
    <s v="0118"/>
    <n v="-45.472019080016402"/>
    <n v="-22.4228733399326"/>
    <n v="-45.465502800213997"/>
    <n v="-22.429316069580899"/>
    <s v="459"/>
    <s v="MG"/>
    <s v="Eixo Principal"/>
    <s v="-"/>
    <s v="459BMG0118"/>
    <s v="FIM PISTA DUPLA (ITAJUBÁ)"/>
    <s v="ENTR R. DR LUIZ RENNÓ *TRECHO MUNICIPAL*"/>
    <n v="164.9"/>
    <n v="166.1"/>
    <n v="1.2"/>
    <x v="2"/>
    <m/>
    <m/>
    <s v="Federal"/>
    <m/>
    <m/>
    <m/>
    <s v="Federal"/>
    <s v="PAV"/>
    <s v="Caxambu"/>
  </r>
  <r>
    <x v="0"/>
    <s v="459BMG0121"/>
    <n v="0"/>
    <x v="434"/>
    <s v="0121"/>
    <n v="-45.465502800213997"/>
    <n v="-22.429316069580899"/>
    <n v="-45.458255209710103"/>
    <n v="-22.430456290325399"/>
    <s v="459"/>
    <s v="MG"/>
    <s v="Eixo Principal"/>
    <s v="Coinc"/>
    <s v="459BMG0121"/>
    <s v="ENTR R. DR LUIZ RENNÓ *TRECHO MUNICIPAL*"/>
    <s v="ENTR AV PAULO CHIARADIA *TRECHO MUNICIPAL*"/>
    <n v="166.1"/>
    <n v="166.9"/>
    <n v="0.8"/>
    <x v="0"/>
    <m/>
    <s v="383BMG0265"/>
    <s v="Federal"/>
    <m/>
    <m/>
    <m/>
    <s v="Federal"/>
    <s v="PAV"/>
    <s v="Caxambu"/>
  </r>
  <r>
    <x v="0"/>
    <s v="459BMG0123"/>
    <n v="0"/>
    <x v="434"/>
    <s v="0123"/>
    <n v="-45.458255209710103"/>
    <n v="-22.430456290325399"/>
    <n v="-45.442844050312601"/>
    <n v="-22.430926140229101"/>
    <s v="459"/>
    <s v="MG"/>
    <s v="Eixo Principal"/>
    <s v="Coinc"/>
    <s v="459BMG0123"/>
    <s v="ENTR AV PAULO CHIARADIA *TRECHO MUNICIPAL*"/>
    <s v="FIM CONVÊNIO DE ADMINISTRAÇÃO"/>
    <n v="166.9"/>
    <n v="168.7"/>
    <n v="1.8"/>
    <x v="2"/>
    <m/>
    <s v="383BMG0260"/>
    <s v="Federal"/>
    <m/>
    <m/>
    <m/>
    <s v="Federal"/>
    <s v="PAV"/>
    <s v="Caxambu"/>
  </r>
  <r>
    <x v="0"/>
    <s v="459BMG0126"/>
    <n v="0"/>
    <x v="434"/>
    <s v="0126"/>
    <n v="-45.442844050312601"/>
    <n v="-22.430926140229101"/>
    <n v="-45.431852809659397"/>
    <n v="-22.442864400271699"/>
    <s v="459"/>
    <s v="MG"/>
    <s v="Eixo Principal"/>
    <s v="Coinc"/>
    <s v="459BMG0126"/>
    <s v="FIM CONVÊNIO DE ADMINISTRAÇÃO"/>
    <s v="ACESSO À IMBEL *TRECHO URBANO*"/>
    <n v="168.7"/>
    <n v="170.4"/>
    <n v="1.7"/>
    <x v="2"/>
    <m/>
    <s v="383BMG0255"/>
    <s v="Federal"/>
    <m/>
    <m/>
    <m/>
    <s v="Federal"/>
    <s v="PAV"/>
    <s v="Caxambu"/>
  </r>
  <r>
    <x v="0"/>
    <s v="459BMG0130"/>
    <n v="0"/>
    <x v="434"/>
    <s v="0130"/>
    <n v="-45.431852809659397"/>
    <n v="-22.442864400271699"/>
    <n v="-45.387225699606198"/>
    <n v="-22.485284350092599"/>
    <s v="459"/>
    <s v="MG"/>
    <s v="Eixo Principal"/>
    <s v="-"/>
    <s v="459BMG0130"/>
    <s v="ACESSO À IMBEL"/>
    <s v="ENTR MG-350 (P/DELFIM MOREIRA)"/>
    <n v="170.4"/>
    <n v="177.7"/>
    <n v="7.3"/>
    <x v="2"/>
    <m/>
    <m/>
    <s v="Federal"/>
    <m/>
    <m/>
    <m/>
    <s v="Federal"/>
    <s v="PAV"/>
    <s v="Caxambu"/>
  </r>
  <r>
    <x v="0"/>
    <s v="459BMG0150"/>
    <n v="0"/>
    <x v="434"/>
    <s v="0150"/>
    <n v="-45.387225699606198"/>
    <n v="-22.485284350092599"/>
    <n v="-45.223153419694498"/>
    <n v="-22.566248580007901"/>
    <s v="459"/>
    <s v="MG"/>
    <s v="Eixo Principal"/>
    <s v="-"/>
    <s v="459BMG0150"/>
    <s v="ENTR MG-350 (P/DELFIM MOREIRA)"/>
    <s v="DIV MG/SP"/>
    <n v="177.7"/>
    <n v="215.4"/>
    <n v="37.700000000000003"/>
    <x v="2"/>
    <m/>
    <m/>
    <s v="Federal"/>
    <m/>
    <m/>
    <m/>
    <s v="Federal"/>
    <s v="PAV"/>
    <s v="Caxambu"/>
  </r>
  <r>
    <x v="0"/>
    <s v="459BRJ0290"/>
    <n v="0"/>
    <x v="435"/>
    <s v="0290"/>
    <n v="-44.839802639680002"/>
    <n v="-23.1670095896208"/>
    <n v="-44.745514260274803"/>
    <n v="-23.225524926434101"/>
    <s v="459"/>
    <s v="RJ"/>
    <s v="Eixo Principal"/>
    <s v="-"/>
    <s v="459BRJ0290"/>
    <s v="DIV SP/RJ"/>
    <s v="FIM IMPLANTAÇÃO"/>
    <n v="0"/>
    <n v="20.8"/>
    <n v="20.8"/>
    <x v="1"/>
    <m/>
    <m/>
    <s v="Estadual"/>
    <m/>
    <s v="RJ-165"/>
    <s v="IMP"/>
    <s v="Estadual"/>
    <s v="PLA"/>
    <s v="Seropédica"/>
  </r>
  <r>
    <x v="0"/>
    <s v="459BRJ0295"/>
    <n v="0"/>
    <x v="435"/>
    <s v="0295"/>
    <n v="-44.745514260274803"/>
    <n v="-23.225524926434101"/>
    <n v="-44.732119290073101"/>
    <n v="-23.2235654502852"/>
    <s v="459"/>
    <s v="RJ"/>
    <s v="Eixo Principal"/>
    <s v="-"/>
    <s v="459BRJ0295"/>
    <s v="FIM IMPLANTAÇÃO"/>
    <s v="ENTR BR-101(A) (PARATI)"/>
    <n v="20.8"/>
    <n v="22.2"/>
    <n v="1.4"/>
    <x v="1"/>
    <m/>
    <m/>
    <s v="Estadual"/>
    <m/>
    <s v="RJ-165"/>
    <s v="PAV"/>
    <s v="Estadual"/>
    <s v="PLA"/>
    <s v="Seropédica"/>
  </r>
  <r>
    <x v="0"/>
    <s v="459BRJ0310"/>
    <n v="0"/>
    <x v="435"/>
    <s v="0310"/>
    <n v="-44.732119290073101"/>
    <n v="-23.2235654502852"/>
    <n v="-44.5106007496248"/>
    <n v="-23.024223640208699"/>
    <s v="459"/>
    <s v="RJ"/>
    <s v="Eixo Principal"/>
    <s v="Coinc"/>
    <s v="459BRJ0310"/>
    <s v="ENTR BR-101(A) (PARATI)"/>
    <s v="ENTR BR-101(B) (ACESSO A MAMBUCABA)"/>
    <n v="22.2"/>
    <n v="68.5"/>
    <n v="46.3"/>
    <x v="2"/>
    <m/>
    <s v="101BRJ3410"/>
    <s v="Federal"/>
    <m/>
    <m/>
    <m/>
    <s v="Federal"/>
    <s v="PAV"/>
    <s v="Angra dos Reis"/>
  </r>
  <r>
    <x v="0"/>
    <s v="459BSP0170"/>
    <n v="0"/>
    <x v="436"/>
    <s v="0170"/>
    <n v="-45.223153419694498"/>
    <n v="-22.566248580007901"/>
    <n v="-45.161520619880598"/>
    <n v="-22.623407490063499"/>
    <s v="459"/>
    <s v="SP"/>
    <s v="Eixo Principal"/>
    <s v="-"/>
    <s v="459BSP0170"/>
    <s v="DIV MG/SP"/>
    <s v="ENTR SP-183"/>
    <n v="0"/>
    <n v="16.5"/>
    <n v="16.5"/>
    <x v="2"/>
    <m/>
    <m/>
    <s v="Federal"/>
    <m/>
    <m/>
    <m/>
    <s v="Federal"/>
    <s v="PAV"/>
    <s v="Taubaté"/>
  </r>
  <r>
    <x v="0"/>
    <s v="459BSP0190"/>
    <n v="0"/>
    <x v="436"/>
    <s v="0190"/>
    <n v="-45.161520619880598"/>
    <n v="-22.623407490063499"/>
    <n v="-45.092825659876198"/>
    <n v="-22.742144430321101"/>
    <s v="459"/>
    <s v="SP"/>
    <s v="Eixo Principal"/>
    <s v="-"/>
    <s v="459BSP0190"/>
    <s v="ENTR SP-183"/>
    <s v="ENTR BR-116(A) (LORENA)"/>
    <n v="16.5"/>
    <n v="32.200000000000003"/>
    <n v="15.7"/>
    <x v="2"/>
    <m/>
    <m/>
    <s v="Federal"/>
    <m/>
    <m/>
    <m/>
    <s v="Federal"/>
    <s v="PAV"/>
    <s v="Taubaté"/>
  </r>
  <r>
    <x v="0"/>
    <s v="459BSP0210"/>
    <n v="0"/>
    <x v="436"/>
    <s v="0210"/>
    <n v="-45.092825659876198"/>
    <n v="-22.742144430321101"/>
    <n v="-45.192805680337798"/>
    <n v="-22.823271850315599"/>
    <s v="459"/>
    <s v="SP"/>
    <s v="Eixo Principal"/>
    <s v="Coinc"/>
    <s v="459BSP0210"/>
    <s v="ENTR BR-116(A) (LORENA)"/>
    <s v="ENTR BR-116(B) (GUARATINGUETÁ)"/>
    <n v="32.200000000000003"/>
    <n v="46.1"/>
    <n v="13.9"/>
    <x v="0"/>
    <m/>
    <s v="116BSP2330"/>
    <s v="Concessão Federal"/>
    <m/>
    <m/>
    <m/>
    <s v="Federal"/>
    <s v="PAV"/>
    <s v="Taubaté"/>
  </r>
  <r>
    <x v="0"/>
    <s v="459BSP0230"/>
    <n v="0"/>
    <x v="436"/>
    <s v="0230"/>
    <n v="-45.192805680337798"/>
    <n v="-22.823271850315599"/>
    <n v="-45.093596109972403"/>
    <n v="-22.921751600156099"/>
    <s v="459"/>
    <s v="SP"/>
    <s v="Eixo Principal"/>
    <s v="-"/>
    <s v="459BSP0230"/>
    <s v="ENTR BR-116(B) (GUARATINGUETÁ)"/>
    <s v="ENTR SP-153 (P/LAGOINHA)"/>
    <n v="46.1"/>
    <n v="65.7"/>
    <n v="19.600000000000001"/>
    <x v="1"/>
    <m/>
    <m/>
    <s v="Estadual"/>
    <m/>
    <s v="SP-171"/>
    <s v="PAV"/>
    <s v="Estadual"/>
    <s v="PLA"/>
    <s v="Taubaté"/>
  </r>
  <r>
    <x v="0"/>
    <s v="459BSP0250"/>
    <n v="0"/>
    <x v="436"/>
    <s v="0250"/>
    <n v="-45.093596109972403"/>
    <n v="-22.921751600156099"/>
    <n v="-44.969582400307502"/>
    <n v="-23.0613668098303"/>
    <s v="459"/>
    <s v="SP"/>
    <s v="Eixo Principal"/>
    <s v="-"/>
    <s v="459BSP0250"/>
    <s v="ENTR SP-153 (P/LAGOINHA)"/>
    <s v="ENTR AL. FCO. CUNHA MENEZES (CUNHA)"/>
    <n v="65.7"/>
    <n v="91.1"/>
    <n v="25.4"/>
    <x v="1"/>
    <m/>
    <m/>
    <s v="Estadual"/>
    <m/>
    <s v="SP-171"/>
    <s v="PAV"/>
    <s v="Estadual"/>
    <s v="PLA"/>
    <s v="Taubaté"/>
  </r>
  <r>
    <x v="0"/>
    <s v="459BSP0270"/>
    <n v="0"/>
    <x v="436"/>
    <s v="0270"/>
    <n v="-44.969582400307502"/>
    <n v="-23.0613668098303"/>
    <n v="-44.839802639680002"/>
    <n v="-23.1670095896208"/>
    <s v="459"/>
    <s v="SP"/>
    <s v="Eixo Principal"/>
    <s v="-"/>
    <s v="459BSP0270"/>
    <s v="ENTR AL. FCO. CUNHA MENEZES (CUNHA)"/>
    <s v="DIV SP/RJ"/>
    <n v="91.1"/>
    <n v="115.6"/>
    <n v="24.5"/>
    <x v="1"/>
    <m/>
    <m/>
    <s v="Estadual"/>
    <m/>
    <s v="SP-171"/>
    <s v="PAV"/>
    <s v="Estadual"/>
    <s v="PLA"/>
    <s v="Taubaté"/>
  </r>
  <r>
    <x v="0"/>
    <s v="460BMG0010"/>
    <n v="0"/>
    <x v="437"/>
    <s v="0010"/>
    <n v="-45.247154330407902"/>
    <n v="-21.901105499918799"/>
    <n v="-45.3483088600657"/>
    <n v="-21.9730340802585"/>
    <s v="460"/>
    <s v="MG"/>
    <s v="Eixo Principal"/>
    <s v="-"/>
    <s v="460BMG0010"/>
    <s v="ENTR BR-267"/>
    <s v="ENTR MG-456 (LAMBARI)"/>
    <n v="0"/>
    <n v="15.3"/>
    <n v="15.3"/>
    <x v="1"/>
    <m/>
    <m/>
    <s v="Estadual"/>
    <m/>
    <s v="MG-460"/>
    <s v="PAV"/>
    <s v="Estadual"/>
    <s v="PLA"/>
    <s v="Caxambu"/>
  </r>
  <r>
    <x v="0"/>
    <s v="460BMG0030"/>
    <n v="0"/>
    <x v="437"/>
    <s v="0030"/>
    <n v="-45.3483088600657"/>
    <n v="-21.9730340802585"/>
    <n v="-45.132427770225299"/>
    <n v="-22.121322699782699"/>
    <s v="460"/>
    <s v="MG"/>
    <s v="Eixo Principal"/>
    <s v="-"/>
    <s v="460BMG0030"/>
    <s v="ENTR MG-456 (LAMBARI)"/>
    <s v="ENTR MG-347 (CARMO DE MINAS)"/>
    <n v="15.3"/>
    <n v="55.3"/>
    <n v="40"/>
    <x v="1"/>
    <m/>
    <m/>
    <s v="Estadual"/>
    <m/>
    <s v="MG-460"/>
    <s v="PAV"/>
    <s v="Estadual"/>
    <s v="PLA"/>
    <s v="Caxambu"/>
  </r>
  <r>
    <x v="0"/>
    <s v="460BMG0050"/>
    <n v="0"/>
    <x v="437"/>
    <s v="0050"/>
    <n v="-45.132427770225299"/>
    <n v="-22.121322699782699"/>
    <n v="-45.053113280053701"/>
    <n v="-22.115666299560001"/>
    <s v="460"/>
    <s v="MG"/>
    <s v="Eixo Principal"/>
    <s v="-"/>
    <s v="460BMG0050"/>
    <s v="ENTR MG-347 (CARMO DE MINAS)"/>
    <s v="ENTR BR-383 (SÃO LOURENÇO)"/>
    <n v="55.3"/>
    <n v="65.5"/>
    <n v="10.199999999999999"/>
    <x v="1"/>
    <m/>
    <m/>
    <s v="Estadual"/>
    <m/>
    <s v="MG-460"/>
    <s v="PAV"/>
    <s v="Estadual"/>
    <s v="PLA"/>
    <s v="Caxambu"/>
  </r>
  <r>
    <x v="0"/>
    <s v="460BMG0070"/>
    <n v="0"/>
    <x v="437"/>
    <s v="0070"/>
    <n v="-45.053113280053701"/>
    <n v="-22.115666299560001"/>
    <n v="-44.970392259595002"/>
    <n v="-22.141108149921099"/>
    <s v="460"/>
    <s v="MG"/>
    <s v="Eixo Principal"/>
    <s v="-"/>
    <s v="460BMG0070"/>
    <s v="ENTR BR-383 (SÃO LOURENÇO)"/>
    <s v="ENTR BR-354 (P/POUSO ALTO)"/>
    <n v="65.5"/>
    <n v="79.3"/>
    <n v="13.8"/>
    <x v="1"/>
    <m/>
    <m/>
    <s v="Estadual"/>
    <m/>
    <s v="MG-460"/>
    <s v="PAV"/>
    <s v="Estadual"/>
    <s v="PLA"/>
    <s v="Caxambu"/>
  </r>
  <r>
    <x v="0"/>
    <s v="461BMG0005"/>
    <n v="0"/>
    <x v="438"/>
    <s v="0005"/>
    <n v="-50.366520320256498"/>
    <n v="-19.846387850318902"/>
    <n v="-50.3635253898847"/>
    <n v="-19.8424758902501"/>
    <s v="461"/>
    <s v="MG"/>
    <s v="Eixo Principal"/>
    <s v="-"/>
    <s v="461BMG0005"/>
    <s v="DIV SP/MG (HIDRELÉTRICA DE ÁGUA VERMELHA)/ENTR MG-426(A)"/>
    <s v="ENTR MG-426(B)"/>
    <n v="0"/>
    <n v="0.5"/>
    <n v="0.5"/>
    <x v="1"/>
    <m/>
    <m/>
    <s v="Estadual"/>
    <m/>
    <s v="MG-426"/>
    <s v="PAV"/>
    <s v="Estadual"/>
    <s v="PLA"/>
    <s v="Prata"/>
  </r>
  <r>
    <x v="0"/>
    <s v="461BMG0010"/>
    <n v="0"/>
    <x v="438"/>
    <s v="0010"/>
    <n v="-50.3635253898847"/>
    <n v="-19.8424758902501"/>
    <n v="-50.339423290152602"/>
    <n v="-19.714466699578399"/>
    <s v="461"/>
    <s v="MG"/>
    <s v="Eixo Principal"/>
    <s v="-"/>
    <s v="461BMG0010"/>
    <s v="ENTR MG-426(B)"/>
    <s v="ENTR BR-497"/>
    <n v="0.5"/>
    <n v="16"/>
    <n v="15.5"/>
    <x v="1"/>
    <m/>
    <m/>
    <s v="Federal"/>
    <m/>
    <m/>
    <m/>
    <s v="Federal"/>
    <s v="PLA"/>
    <s v="Prata"/>
  </r>
  <r>
    <x v="0"/>
    <s v="461BMG0020"/>
    <n v="0"/>
    <x v="438"/>
    <s v="0020"/>
    <n v="-50.339423290152602"/>
    <n v="-19.714466699578399"/>
    <n v="-50.337269420147599"/>
    <n v="-19.537180349893099"/>
    <s v="461"/>
    <s v="MG"/>
    <s v="Eixo Principal"/>
    <s v="-"/>
    <s v="461BMG0020"/>
    <s v="ENTR BR-497"/>
    <s v="ACESSO SUL UNIÃO DE MINAS"/>
    <n v="16"/>
    <n v="36.799999999999997"/>
    <n v="20.8"/>
    <x v="1"/>
    <m/>
    <m/>
    <s v="Estadual"/>
    <m/>
    <s v="MG-864"/>
    <s v="PAV"/>
    <s v="Estadual"/>
    <s v="PLA"/>
    <s v="Prata"/>
  </r>
  <r>
    <x v="0"/>
    <s v="461BMG0030"/>
    <n v="0"/>
    <x v="438"/>
    <s v="0030"/>
    <n v="-50.337269420147599"/>
    <n v="-19.537180349893099"/>
    <n v="-50.325290890262302"/>
    <n v="-19.498026160378899"/>
    <s v="461"/>
    <s v="MG"/>
    <s v="Eixo Principal"/>
    <s v="-"/>
    <s v="461BMG0030"/>
    <s v="ACESSO SUL UNIÃO DE MINAS"/>
    <s v="ACESSO NORTE UNIÃO DE MINAS"/>
    <n v="36.799999999999997"/>
    <n v="41.8"/>
    <n v="5"/>
    <x v="1"/>
    <m/>
    <m/>
    <s v="Federal"/>
    <m/>
    <m/>
    <m/>
    <s v="Federal"/>
    <s v="PLA"/>
    <s v="Prata"/>
  </r>
  <r>
    <x v="0"/>
    <s v="461BMG0045"/>
    <n v="0"/>
    <x v="438"/>
    <s v="0045"/>
    <n v="-50.325290890262302"/>
    <n v="-19.498026160378899"/>
    <n v="-50.364113089647297"/>
    <n v="-19.076655110045198"/>
    <s v="461"/>
    <s v="MG"/>
    <s v="Eixo Principal"/>
    <s v="-"/>
    <s v="461BMG0045"/>
    <s v="ACESSO NORTE UNIÃO DE MINAS"/>
    <s v="ENTR BR-364(A)"/>
    <n v="41.8"/>
    <n v="101.9"/>
    <n v="60.1"/>
    <x v="1"/>
    <m/>
    <m/>
    <s v="Federal"/>
    <m/>
    <m/>
    <m/>
    <s v="Federal"/>
    <s v="PLA"/>
    <s v="Prata"/>
  </r>
  <r>
    <x v="0"/>
    <s v="461BMG0050"/>
    <n v="0"/>
    <x v="438"/>
    <s v="0050"/>
    <n v="-50.364113089647297"/>
    <n v="-19.076655110045198"/>
    <n v="-50.411395100003801"/>
    <n v="-19.040683450380801"/>
    <s v="461"/>
    <s v="MG"/>
    <s v="Eixo Principal"/>
    <s v="Coinc"/>
    <s v="461BMG0050"/>
    <s v="ENTR BR-364(A)"/>
    <s v="ENTR BR-364(B)/365"/>
    <n v="101.9"/>
    <n v="108.3"/>
    <n v="6.4"/>
    <x v="2"/>
    <m/>
    <s v="364BMG0355"/>
    <s v="Federal"/>
    <m/>
    <m/>
    <m/>
    <s v="Federal"/>
    <s v="PAV"/>
    <s v="Prata"/>
  </r>
  <r>
    <x v="0"/>
    <s v="462BMG0010"/>
    <n v="0"/>
    <x v="439"/>
    <s v="0010"/>
    <n v="-47.027902600024902"/>
    <n v="-18.9204354197587"/>
    <n v="-47.297869549939698"/>
    <n v="-19.349538850037799"/>
    <s v="462"/>
    <s v="MG"/>
    <s v="Eixo Principal"/>
    <s v="-"/>
    <s v="462BMG0010"/>
    <s v="ENTR BR-365 (PATROCÍNIO)"/>
    <s v="PERDIZES"/>
    <n v="0"/>
    <n v="64.8"/>
    <n v="64.8"/>
    <x v="1"/>
    <m/>
    <m/>
    <s v="Estadual"/>
    <m/>
    <s v="MGT-462"/>
    <s v="PAV"/>
    <s v="Estadual"/>
    <s v="PLA"/>
    <s v="Uberlândia"/>
  </r>
  <r>
    <x v="0"/>
    <s v="462BMG0011"/>
    <n v="0"/>
    <x v="439"/>
    <s v="0011"/>
    <n v="-47.297869549939698"/>
    <n v="-19.349538850037799"/>
    <n v="-47.321576709697297"/>
    <n v="-19.400285010245"/>
    <s v="462"/>
    <s v="MG"/>
    <s v="Eixo Principal"/>
    <s v="-"/>
    <s v="462BMG0011"/>
    <s v="PERDIZES"/>
    <s v="ENTR BR-452(A)"/>
    <n v="64.8"/>
    <n v="70.8"/>
    <n v="6"/>
    <x v="1"/>
    <m/>
    <m/>
    <s v="Estadual"/>
    <m/>
    <s v="MGT-462"/>
    <s v="PAV"/>
    <s v="Estadual"/>
    <s v="PLA"/>
    <s v="Uberlândia"/>
  </r>
  <r>
    <x v="0"/>
    <s v="462BMG0012"/>
    <n v="0"/>
    <x v="439"/>
    <s v="0012"/>
    <n v="-47.321576709697297"/>
    <n v="-19.400285010245"/>
    <n v="-47.288483199839703"/>
    <n v="-19.418068719695601"/>
    <s v="462"/>
    <s v="MG"/>
    <s v="Eixo Principal"/>
    <s v="Coinc"/>
    <s v="462BMG0012"/>
    <s v="ENTR BR-452(A)"/>
    <s v="ENTR BR-452(B)"/>
    <n v="70.8"/>
    <n v="74.8"/>
    <n v="4"/>
    <x v="2"/>
    <m/>
    <s v="452BMG0240"/>
    <s v="Federal"/>
    <m/>
    <m/>
    <m/>
    <s v="Federal"/>
    <s v="PAV"/>
    <s v="Uberlândia"/>
  </r>
  <r>
    <x v="0"/>
    <s v="462BMG0030"/>
    <n v="0"/>
    <x v="439"/>
    <s v="0030"/>
    <n v="-47.288483199839703"/>
    <n v="-19.418068719695601"/>
    <n v="-47.341397079611497"/>
    <n v="-19.618152420097999"/>
    <s v="462"/>
    <s v="MG"/>
    <s v="Eixo Principal"/>
    <s v="-"/>
    <s v="462BMG0030"/>
    <s v="ENTR BR-452(B)"/>
    <s v="ENTR BR-262"/>
    <n v="74.8"/>
    <n v="98.8"/>
    <n v="24"/>
    <x v="1"/>
    <m/>
    <m/>
    <s v="Estadual"/>
    <m/>
    <s v="MGT-462"/>
    <s v="IMP"/>
    <s v="Estadual"/>
    <s v="PLA"/>
    <s v="Uberlândia"/>
  </r>
  <r>
    <x v="0"/>
    <s v="463BMS0030"/>
    <n v="0"/>
    <x v="440"/>
    <s v="0030"/>
    <n v="-54.804027960122099"/>
    <n v="-22.258688640268399"/>
    <n v="-54.874887049597604"/>
    <n v="-22.2537809499308"/>
    <s v="463"/>
    <s v="MS"/>
    <s v="Eixo Principal"/>
    <s v="-"/>
    <s v="463BMS0030"/>
    <s v="ENTR BR-163 (DOURADOS (P/ CAARAPÓ))"/>
    <s v="ENTR MS-379 (P/DOURADOS)"/>
    <n v="0"/>
    <n v="7.4"/>
    <n v="7.4"/>
    <x v="2"/>
    <m/>
    <m/>
    <m/>
    <s v="MP082/2003"/>
    <m/>
    <m/>
    <m/>
    <s v="PAV"/>
    <s v="Dourados"/>
  </r>
  <r>
    <x v="0"/>
    <s v="463BMS0070"/>
    <n v="0"/>
    <x v="440"/>
    <s v="0070"/>
    <n v="-54.874887049597604"/>
    <n v="-22.2537809499308"/>
    <n v="-54.970420900104401"/>
    <n v="-22.2484427100629"/>
    <s v="463"/>
    <s v="MS"/>
    <s v="Eixo Principal"/>
    <s v="-"/>
    <s v="463BMS0070"/>
    <s v="ENTR MS-379 (P/DOURADOS)"/>
    <s v="ACESSO P/ MS-162"/>
    <n v="7.4"/>
    <n v="18.100000000000001"/>
    <n v="10.7"/>
    <x v="2"/>
    <m/>
    <m/>
    <m/>
    <s v="MP082/2003"/>
    <m/>
    <m/>
    <m/>
    <s v="PAV"/>
    <s v="Dourados"/>
  </r>
  <r>
    <x v="0"/>
    <s v="463BMS0090"/>
    <n v="0"/>
    <x v="440"/>
    <s v="0090"/>
    <n v="-54.970420900104401"/>
    <n v="-22.2484427100629"/>
    <n v="-55.226322919966698"/>
    <n v="-22.3577320599865"/>
    <s v="463"/>
    <s v="MS"/>
    <s v="Eixo Principal"/>
    <s v="-"/>
    <s v="463BMS0090"/>
    <s v="ACESSO P/ MS-162"/>
    <s v="ENTR MS-378 (POSTO GUAÍBA)"/>
    <n v="18.100000000000001"/>
    <n v="48.2"/>
    <n v="30.1"/>
    <x v="2"/>
    <m/>
    <m/>
    <m/>
    <s v="MP082/2003"/>
    <m/>
    <m/>
    <m/>
    <s v="PAV"/>
    <s v="Dourados"/>
  </r>
  <r>
    <x v="0"/>
    <s v="463BMS0110"/>
    <n v="0"/>
    <x v="440"/>
    <s v="0110"/>
    <n v="-55.226322919966698"/>
    <n v="-22.3577320599865"/>
    <n v="-55.454971149798602"/>
    <n v="-22.526941059681999"/>
    <s v="463"/>
    <s v="MS"/>
    <s v="Eixo Principal"/>
    <s v="-"/>
    <s v="463BMS0110"/>
    <s v="ENTR MS-378 (POSTO GUAÍBA)"/>
    <s v="ENTR MS-380(A)"/>
    <n v="48.2"/>
    <n v="79.099999999999994"/>
    <n v="30.9"/>
    <x v="2"/>
    <m/>
    <m/>
    <m/>
    <s v="MP082/2003"/>
    <m/>
    <m/>
    <m/>
    <s v="PAV"/>
    <s v="Dourados"/>
  </r>
  <r>
    <x v="0"/>
    <s v="463BMS0130"/>
    <n v="0"/>
    <x v="440"/>
    <s v="0130"/>
    <n v="-55.454971149798602"/>
    <n v="-22.526941059681999"/>
    <n v="-55.5195614304156"/>
    <n v="-22.589369969948098"/>
    <s v="463"/>
    <s v="MS"/>
    <s v="Eixo Principal"/>
    <s v="-"/>
    <s v="463BMS0130"/>
    <s v="ENTR MS-380(A)"/>
    <s v="ENTR MS-280 (P/LAGOA BOREVI)"/>
    <n v="79.099999999999994"/>
    <n v="88.8"/>
    <n v="9.6999999999999993"/>
    <x v="2"/>
    <m/>
    <m/>
    <m/>
    <s v="MP082/2003"/>
    <m/>
    <m/>
    <m/>
    <s v="PAV"/>
    <s v="Dourados"/>
  </r>
  <r>
    <x v="0"/>
    <s v="463BMS0150"/>
    <n v="0"/>
    <x v="440"/>
    <s v="0150"/>
    <n v="-55.5195614304156"/>
    <n v="-22.589369969948098"/>
    <n v="-55.639874880421303"/>
    <n v="-22.613072599820502"/>
    <s v="463"/>
    <s v="MS"/>
    <s v="Eixo Principal"/>
    <s v="-"/>
    <s v="463BMS0150"/>
    <s v="ENTR MS-280 (P/LAGOA BOREVI)"/>
    <s v="ENTR MS-386 (SANGA PUITÃ)"/>
    <n v="88.8"/>
    <n v="102.8"/>
    <n v="14"/>
    <x v="2"/>
    <m/>
    <m/>
    <m/>
    <s v="MP082/2003"/>
    <m/>
    <m/>
    <m/>
    <s v="PAV"/>
    <s v="Dourados"/>
  </r>
  <r>
    <x v="0"/>
    <s v="463BMS0170"/>
    <n v="0"/>
    <x v="440"/>
    <s v="0170"/>
    <n v="-55.639874880421303"/>
    <n v="-22.613072599820502"/>
    <n v="-55.682590559706497"/>
    <n v="-22.5845572902866"/>
    <s v="463"/>
    <s v="MS"/>
    <s v="Eixo Principal"/>
    <s v="-"/>
    <s v="463BMS0170"/>
    <s v="ENTR MS-386 (SANGA PUITÃ)"/>
    <s v="INÍCIO DUPLICAÇÃO (BODOQUENA)"/>
    <n v="102.8"/>
    <n v="108.2"/>
    <n v="5.4"/>
    <x v="2"/>
    <m/>
    <m/>
    <m/>
    <s v="MP082/2003"/>
    <m/>
    <m/>
    <m/>
    <s v="PAV"/>
    <s v="Dourados"/>
  </r>
  <r>
    <x v="0"/>
    <s v="463BMS0180"/>
    <n v="0"/>
    <x v="440"/>
    <s v="0180"/>
    <n v="-55.682590559706497"/>
    <n v="-22.5845572902866"/>
    <n v="-55.709813039839901"/>
    <n v="-22.5583835500607"/>
    <s v="463"/>
    <s v="MS"/>
    <s v="Eixo Principal"/>
    <s v="-"/>
    <s v="463BMS0180"/>
    <s v="INÍCIO DUPLICAÇÃO (BODOQUENA)"/>
    <s v="ENTR MS-380(B) (FRONT BRASIL/PARAGUAI) (PONTA PORÃ)"/>
    <n v="108.2"/>
    <n v="112.5"/>
    <n v="4.3"/>
    <x v="0"/>
    <m/>
    <m/>
    <m/>
    <s v="MP082/2003"/>
    <m/>
    <m/>
    <m/>
    <s v="PAV"/>
    <s v="Dourados"/>
  </r>
  <r>
    <x v="0"/>
    <s v="464BMG0010"/>
    <n v="0"/>
    <x v="441"/>
    <s v="0010"/>
    <n v="-49.459182339793102"/>
    <n v="-18.947426689589999"/>
    <n v="-49.457339149581998"/>
    <n v="-18.958997500134501"/>
    <s v="464"/>
    <s v="MG"/>
    <s v="Eixo Principal"/>
    <s v="Coinc"/>
    <s v="464BMG0010"/>
    <s v="ENTR BR-154(A)/365 (ITUIUTABA)"/>
    <s v="ENTR BR-154(B)"/>
    <n v="0"/>
    <n v="1.9"/>
    <n v="1.9"/>
    <x v="1"/>
    <m/>
    <s v="154BMG0095"/>
    <s v="Estadual"/>
    <m/>
    <s v="MG-154"/>
    <s v="PAV"/>
    <s v="Estadual"/>
    <s v="PLA"/>
    <s v="Prata"/>
  </r>
  <r>
    <x v="0"/>
    <s v="464BMG0015"/>
    <n v="0"/>
    <x v="441"/>
    <s v="0015"/>
    <n v="-49.457339149581998"/>
    <n v="-18.958997500134501"/>
    <n v="-49.438903099798097"/>
    <n v="-18.9779974599147"/>
    <s v="464"/>
    <s v="MG"/>
    <s v="Eixo Principal"/>
    <s v="-"/>
    <s v="464BMG0015"/>
    <s v="ENTR BR-154(B)"/>
    <s v="FIM DA TRAV URB DE ITUIUTABA"/>
    <n v="1.9"/>
    <n v="6.6"/>
    <n v="4.7"/>
    <x v="1"/>
    <m/>
    <m/>
    <s v="Federal"/>
    <m/>
    <m/>
    <m/>
    <s v="Federal"/>
    <s v="PLA"/>
    <s v="Prata"/>
  </r>
  <r>
    <x v="0"/>
    <s v="464BMG0020"/>
    <n v="0"/>
    <x v="441"/>
    <s v="0020"/>
    <n v="-49.438903099798097"/>
    <n v="-18.9779974599147"/>
    <n v="-48.9283735001369"/>
    <n v="-19.296927270177299"/>
    <s v="464"/>
    <s v="MG"/>
    <s v="Eixo Principal"/>
    <s v="-"/>
    <s v="464BMG0020"/>
    <s v="FIM DA TRAV URB DE ITUIUTABA"/>
    <s v="ENTR BR-497(A)"/>
    <n v="6.6"/>
    <n v="85.3"/>
    <n v="78.7"/>
    <x v="1"/>
    <m/>
    <m/>
    <s v="Federal"/>
    <m/>
    <m/>
    <m/>
    <s v="Federal"/>
    <s v="PLA"/>
    <s v="Prata"/>
  </r>
  <r>
    <x v="0"/>
    <s v="464BMG0025"/>
    <n v="0"/>
    <x v="441"/>
    <s v="0025"/>
    <n v="-48.9283735001369"/>
    <n v="-19.296927270177299"/>
    <n v="-48.907412080303203"/>
    <n v="-19.297439749744601"/>
    <s v="464"/>
    <s v="MG"/>
    <s v="Eixo Principal"/>
    <s v="-"/>
    <s v="464BMG0025"/>
    <s v="ENTR BR-497(A)"/>
    <s v="ENTR BR-153(A)/497(B)(PRATA)"/>
    <n v="85.3"/>
    <n v="87.6"/>
    <n v="2.2999999999999998"/>
    <x v="1"/>
    <m/>
    <s v="497BMG0025"/>
    <s v="Estadual"/>
    <m/>
    <s v="MGT-497"/>
    <s v="PAV"/>
    <s v="Estadual"/>
    <s v="PLA"/>
    <s v="Prata"/>
  </r>
  <r>
    <x v="0"/>
    <s v="464BMG0030"/>
    <n v="0"/>
    <x v="441"/>
    <s v="0030"/>
    <n v="-48.907412080303203"/>
    <n v="-19.297439749744601"/>
    <n v="-48.862428149839197"/>
    <n v="-19.4838873699061"/>
    <s v="464"/>
    <s v="MG"/>
    <s v="Eixo Principal"/>
    <s v="Coinc"/>
    <s v="464BMG0030"/>
    <s v="ENTR BR-153(A)/497(B)(PRATA)"/>
    <s v="ENTR BR-153(B)"/>
    <n v="87.6"/>
    <n v="109.4"/>
    <n v="21.8"/>
    <x v="2"/>
    <m/>
    <s v="153BMG0850"/>
    <s v="Concessão Federal"/>
    <m/>
    <m/>
    <m/>
    <s v="Federal"/>
    <s v="PAV"/>
    <s v="Prata"/>
  </r>
  <r>
    <x v="0"/>
    <s v="464BMG0035"/>
    <n v="0"/>
    <x v="441"/>
    <s v="0035"/>
    <n v="-48.862428149839197"/>
    <n v="-19.4838873699061"/>
    <n v="-48.496136460429199"/>
    <n v="-19.508226489560698"/>
    <s v="464"/>
    <s v="MG"/>
    <s v="Eixo Principal"/>
    <s v="-"/>
    <s v="464BMG0035"/>
    <s v="ENTR BR-153(B)"/>
    <s v="ENTR BR-455(PATRIMÔNIO)"/>
    <n v="109.4"/>
    <n v="153.80000000000001"/>
    <n v="44.4"/>
    <x v="1"/>
    <m/>
    <m/>
    <s v="Federal"/>
    <m/>
    <m/>
    <m/>
    <s v="Federal"/>
    <s v="PLA"/>
    <s v="Prata"/>
  </r>
  <r>
    <x v="0"/>
    <s v="464BMG0040"/>
    <n v="0"/>
    <x v="441"/>
    <s v="0040"/>
    <n v="-48.496136460429199"/>
    <n v="-19.508226489560698"/>
    <n v="-48.137391809684203"/>
    <n v="-19.762264859635501"/>
    <s v="464"/>
    <s v="MG"/>
    <s v="Eixo Principal"/>
    <s v="-"/>
    <s v="464BMG0040"/>
    <s v="ENTR BR-455(PATRIMÔNIO)"/>
    <s v="ENTR BR-262(A)"/>
    <n v="153.80000000000001"/>
    <n v="219.6"/>
    <n v="65.8"/>
    <x v="1"/>
    <m/>
    <m/>
    <s v="Federal"/>
    <m/>
    <m/>
    <m/>
    <s v="Federal"/>
    <s v="PLA"/>
    <s v="Uberlândia"/>
  </r>
  <r>
    <x v="0"/>
    <s v="464BMG0045"/>
    <n v="0"/>
    <x v="441"/>
    <s v="0045"/>
    <n v="-48.137391809684203"/>
    <n v="-19.762264859635501"/>
    <n v="-48.110548960366202"/>
    <n v="-19.764568929912102"/>
    <s v="464"/>
    <s v="MG"/>
    <s v="Eixo Principal"/>
    <s v="Coinc"/>
    <s v="464BMG0045"/>
    <s v="ENTR BR-262(A)"/>
    <s v="INÍCIO PISTA DUPLA"/>
    <n v="219.6"/>
    <n v="232.1"/>
    <n v="12.5"/>
    <x v="2"/>
    <m/>
    <s v="262BMG1010"/>
    <s v="Concessão Federal"/>
    <m/>
    <m/>
    <m/>
    <s v="Federal"/>
    <s v="PAV"/>
    <s v="Uberlândia"/>
  </r>
  <r>
    <x v="0"/>
    <s v="464BMG0050"/>
    <n v="0"/>
    <x v="441"/>
    <s v="0050"/>
    <n v="-48.110548960366202"/>
    <n v="-19.764568929912102"/>
    <n v="-47.973433199582402"/>
    <n v="-19.770816489589201"/>
    <s v="464"/>
    <s v="MG"/>
    <s v="Eixo Principal"/>
    <s v="Coinc"/>
    <s v="464BMG0050"/>
    <s v="INÍCIO PISTA DUPLA"/>
    <s v="ENTR BR-050(A)/262(A) (UBERABA)"/>
    <n v="232.1"/>
    <n v="236.9"/>
    <n v="4.8"/>
    <x v="0"/>
    <m/>
    <s v="262BMG1005"/>
    <s v="Concessão Federal"/>
    <m/>
    <m/>
    <m/>
    <s v="Federal"/>
    <s v="PAV"/>
    <s v="Uberlândia"/>
  </r>
  <r>
    <x v="0"/>
    <s v="464BMG0055"/>
    <n v="0"/>
    <x v="441"/>
    <s v="0055"/>
    <n v="-47.973433199582402"/>
    <n v="-19.770816489589201"/>
    <n v="-47.923785869722003"/>
    <n v="-19.777893520069799"/>
    <s v="464"/>
    <s v="MG"/>
    <s v="Eixo Principal"/>
    <s v="Coinc"/>
    <s v="464BMG0055"/>
    <s v="ENTR BR-050(A)/262(A) (UBERABA)"/>
    <s v="ENTR BR-262(B)"/>
    <n v="236.9"/>
    <n v="242.7"/>
    <n v="5.8"/>
    <x v="0"/>
    <m/>
    <s v="050BMG0265;262BMG1000"/>
    <s v="Concessão Federal"/>
    <m/>
    <m/>
    <m/>
    <s v="Federal"/>
    <s v="PAV"/>
    <s v="Uberlândia"/>
  </r>
  <r>
    <x v="0"/>
    <s v="464BMG0060"/>
    <n v="0"/>
    <x v="441"/>
    <s v="0060"/>
    <n v="-47.923785869722003"/>
    <n v="-19.777893520069799"/>
    <n v="-47.821348440078303"/>
    <n v="-19.927024229684399"/>
    <s v="464"/>
    <s v="MG"/>
    <s v="Eixo Principal"/>
    <s v="Coinc"/>
    <s v="464BMG0060"/>
    <s v="ENTR BR-262(B)"/>
    <s v="ENTR BR-050(B) (DELTA)"/>
    <n v="242.7"/>
    <n v="262"/>
    <n v="19.3"/>
    <x v="0"/>
    <m/>
    <s v="050BMG0270"/>
    <s v="Concessão Federal"/>
    <m/>
    <m/>
    <m/>
    <s v="Federal"/>
    <s v="PAV"/>
    <s v="Uberlândia"/>
  </r>
  <r>
    <x v="0"/>
    <s v="464BMG0070"/>
    <n v="0"/>
    <x v="441"/>
    <s v="0070"/>
    <n v="-47.821348440078303"/>
    <n v="-19.927024229684399"/>
    <n v="-47.563847830313001"/>
    <n v="-19.928897190153101"/>
    <s v="464"/>
    <s v="MG"/>
    <s v="Eixo Principal"/>
    <s v="-"/>
    <s v="464BMG0070"/>
    <s v="ENTR BR-050(B) (DELTA)"/>
    <s v="CONQUISTA"/>
    <n v="262"/>
    <n v="294.3"/>
    <n v="32.299999999999997"/>
    <x v="1"/>
    <m/>
    <m/>
    <s v="Estadual"/>
    <m/>
    <s v="MGT-464"/>
    <s v="PAV"/>
    <s v="Estadual"/>
    <s v="PLA"/>
    <s v="Uberlândia"/>
  </r>
  <r>
    <x v="0"/>
    <s v="464BMG0085"/>
    <n v="0"/>
    <x v="441"/>
    <s v="0085"/>
    <n v="-47.563847830313001"/>
    <n v="-19.928897190153101"/>
    <n v="-47.430178220348502"/>
    <n v="-19.8682375898928"/>
    <s v="464"/>
    <s v="MG"/>
    <s v="Eixo Principal"/>
    <s v="-"/>
    <s v="464BMG0085"/>
    <s v="CONQUISTA"/>
    <s v="ENTR MG-190 (SACRAMENTO)"/>
    <n v="294.3"/>
    <n v="314"/>
    <n v="19.7"/>
    <x v="1"/>
    <m/>
    <m/>
    <s v="Estadual"/>
    <m/>
    <s v="MGT-464"/>
    <s v="PAV"/>
    <s v="Estadual"/>
    <s v="PLA"/>
    <s v="Uberlândia"/>
  </r>
  <r>
    <x v="0"/>
    <s v="464BMG0090"/>
    <n v="0"/>
    <x v="441"/>
    <s v="0090"/>
    <n v="-47.430178220348502"/>
    <n v="-19.8682375898928"/>
    <n v="-47.353407319592002"/>
    <n v="-19.878223359720199"/>
    <s v="464"/>
    <s v="MG"/>
    <s v="Eixo Principal"/>
    <s v="-"/>
    <s v="464BMG0090"/>
    <s v="ENTR MG-190 (SACRAMENTO)"/>
    <s v="ENTR MG-428"/>
    <n v="314"/>
    <n v="323.39999999999998"/>
    <n v="9.4"/>
    <x v="1"/>
    <m/>
    <m/>
    <s v="Estadual"/>
    <m/>
    <s v="MGT-464"/>
    <s v="PAV"/>
    <s v="Estadual"/>
    <s v="PLA"/>
    <s v="Passos"/>
  </r>
  <r>
    <x v="0"/>
    <s v="464BMG0100"/>
    <n v="0"/>
    <x v="441"/>
    <s v="0100"/>
    <n v="-47.353407319592002"/>
    <n v="-19.878223359720199"/>
    <n v="-47.056136769795998"/>
    <n v="-20.165056519942301"/>
    <s v="464"/>
    <s v="MG"/>
    <s v="Eixo Principal"/>
    <s v="-"/>
    <s v="464BMG0100"/>
    <s v="ENTR MG-428"/>
    <s v="SETE VOLTAS"/>
    <n v="323.39999999999998"/>
    <n v="376.6"/>
    <n v="53.2"/>
    <x v="3"/>
    <m/>
    <m/>
    <s v="Federal"/>
    <m/>
    <m/>
    <m/>
    <s v="Federal"/>
    <s v="N_PAV"/>
    <s v="Passos"/>
  </r>
  <r>
    <x v="0"/>
    <s v="464BMG0105"/>
    <n v="0"/>
    <x v="441"/>
    <s v="0105"/>
    <n v="-47.056136769795998"/>
    <n v="-20.165056519942301"/>
    <n v="-46.840280119931499"/>
    <n v="-20.337853689595999"/>
    <s v="464"/>
    <s v="MG"/>
    <s v="Eixo Principal"/>
    <s v="-"/>
    <s v="464BMG0105"/>
    <s v="SETE VOLTAS"/>
    <s v="ACESSO DELFINÓPOLIS"/>
    <n v="376.6"/>
    <n v="428.7"/>
    <n v="52.1"/>
    <x v="3"/>
    <m/>
    <m/>
    <s v="Federal"/>
    <m/>
    <m/>
    <m/>
    <s v="Federal"/>
    <s v="N_PAV"/>
    <s v="Passos"/>
  </r>
  <r>
    <x v="0"/>
    <s v="464BMG0110"/>
    <n v="0"/>
    <x v="441"/>
    <s v="0110"/>
    <n v="-46.840280119931499"/>
    <n v="-20.337853689595999"/>
    <n v="-46.540941689707097"/>
    <n v="-20.546999459857101"/>
    <s v="464"/>
    <s v="MG"/>
    <s v="Eixo Principal"/>
    <s v="-"/>
    <s v="464BMG0110"/>
    <s v="ACESSO DELFINÓPOLIS"/>
    <s v="ENTR BR-146 (A)"/>
    <n v="428.7"/>
    <n v="478.7"/>
    <n v="50"/>
    <x v="3"/>
    <m/>
    <m/>
    <s v="Federal"/>
    <m/>
    <m/>
    <m/>
    <s v="Federal"/>
    <s v="N_PAV"/>
    <s v="Passos"/>
  </r>
  <r>
    <x v="0"/>
    <s v="464BMG0120"/>
    <n v="0"/>
    <x v="441"/>
    <s v="0120"/>
    <n v="-46.540941689707097"/>
    <n v="-20.546999459857101"/>
    <n v="-46.518415570022498"/>
    <n v="-20.625455260252"/>
    <s v="464"/>
    <s v="MG"/>
    <s v="Eixo Principal"/>
    <s v="Coinc"/>
    <s v="464BMG0120"/>
    <s v="ENTR BR-146(A)"/>
    <s v="ENTR BR-146(B) (SÃO JOÃO BATISTA DO GLÓRIA)"/>
    <n v="478.7"/>
    <n v="489.3"/>
    <n v="10.6"/>
    <x v="3"/>
    <m/>
    <s v="146BMG0165"/>
    <s v="Federal"/>
    <m/>
    <m/>
    <m/>
    <s v="Federal"/>
    <s v="N_PAV"/>
    <s v="Passos"/>
  </r>
  <r>
    <x v="0"/>
    <s v="465BRJ0010"/>
    <n v="0"/>
    <x v="442"/>
    <s v="0010"/>
    <n v="-43.7340733803821"/>
    <n v="-22.713442470093799"/>
    <n v="-43.715831069747999"/>
    <n v="-22.730265729679601"/>
    <s v="465"/>
    <s v="RJ"/>
    <s v="Eixo Principal"/>
    <s v="-"/>
    <s v="465BRJ0010"/>
    <s v="ENTR BR-116"/>
    <s v="ENTR BR-493 (FONTE LIMPA)"/>
    <n v="0"/>
    <n v="2.4"/>
    <n v="2.4"/>
    <x v="2"/>
    <m/>
    <m/>
    <s v="Federal"/>
    <m/>
    <m/>
    <m/>
    <s v="Federal"/>
    <s v="PAV"/>
    <s v="Seropédica"/>
  </r>
  <r>
    <x v="0"/>
    <s v="465BRJ0020"/>
    <n v="0"/>
    <x v="442"/>
    <s v="0020"/>
    <n v="-43.715831069747999"/>
    <n v="-22.730265729679601"/>
    <n v="-43.695622910368897"/>
    <n v="-22.751474079964702"/>
    <s v="465"/>
    <s v="RJ"/>
    <s v="Eixo Principal"/>
    <s v="-"/>
    <s v="465BRJ0020"/>
    <s v="ENTR BR-493 (FONTE LIMPA)"/>
    <s v="INÍCIO DA PISTA DUPLA"/>
    <n v="2.4"/>
    <n v="5.6"/>
    <n v="3.2"/>
    <x v="2"/>
    <m/>
    <m/>
    <s v="Federal"/>
    <m/>
    <m/>
    <m/>
    <s v="Federal"/>
    <s v="PAV"/>
    <s v="Seropédica"/>
  </r>
  <r>
    <x v="0"/>
    <s v="465BRJ0025"/>
    <n v="0"/>
    <x v="442"/>
    <s v="0025"/>
    <n v="-43.695622910368897"/>
    <n v="-22.751474079964702"/>
    <n v="-43.682819980057999"/>
    <n v="-22.764762000266"/>
    <s v="465"/>
    <s v="RJ"/>
    <s v="Eixo Principal"/>
    <s v="-"/>
    <s v="465BRJ0025"/>
    <s v="INÍCIO DA PISTA DUPLA"/>
    <s v="FIM DA PISTA DUPLA"/>
    <n v="5.6"/>
    <n v="7.4"/>
    <n v="1.8"/>
    <x v="0"/>
    <m/>
    <m/>
    <s v="Federal"/>
    <m/>
    <m/>
    <m/>
    <s v="Federal"/>
    <s v="PAV"/>
    <s v="Seropédica"/>
  </r>
  <r>
    <x v="0"/>
    <s v="465BRJ0028"/>
    <n v="0"/>
    <x v="442"/>
    <s v="0028"/>
    <n v="-43.682819980057999"/>
    <n v="-22.764762000266"/>
    <n v="-43.648965300208303"/>
    <n v="-22.794102620339601"/>
    <s v="465"/>
    <s v="RJ"/>
    <s v="Eixo Principal"/>
    <s v="-"/>
    <s v="465BRJ0028"/>
    <s v="FIM DA PISTA DUPLA"/>
    <s v="ENTR RJ-099/109"/>
    <n v="7.4"/>
    <n v="12.3"/>
    <n v="4.9000000000000004"/>
    <x v="2"/>
    <m/>
    <m/>
    <s v="Federal"/>
    <m/>
    <m/>
    <m/>
    <s v="Federal"/>
    <s v="PAV"/>
    <s v="Seropédica"/>
  </r>
  <r>
    <x v="0"/>
    <s v="465BRJ0030"/>
    <n v="0"/>
    <x v="442"/>
    <s v="0030"/>
    <n v="-43.648965300208303"/>
    <n v="-22.794102620339601"/>
    <n v="-43.605955809712697"/>
    <n v="-22.846145110108601"/>
    <s v="465"/>
    <s v="RJ"/>
    <s v="Eixo Principal"/>
    <s v="-"/>
    <s v="465BRJ0030"/>
    <s v="ENTR RJ-099/109"/>
    <s v="ENTR RJ-105"/>
    <n v="12.3"/>
    <n v="19.8"/>
    <n v="7.5"/>
    <x v="2"/>
    <m/>
    <m/>
    <s v="Federal"/>
    <m/>
    <m/>
    <m/>
    <s v="Federal"/>
    <s v="PAV"/>
    <s v="Seropédica"/>
  </r>
  <r>
    <x v="0"/>
    <s v="465BRJ0070"/>
    <n v="0"/>
    <x v="442"/>
    <s v="0070"/>
    <n v="-43.605955809712697"/>
    <n v="-22.846145110108601"/>
    <n v="-43.596418750325"/>
    <n v="-22.868934740145999"/>
    <s v="465"/>
    <s v="RJ"/>
    <s v="Eixo Principal"/>
    <s v="-"/>
    <s v="465BRJ0070"/>
    <s v="ENTR RJ-105"/>
    <s v="ENTR BR-101(A)"/>
    <n v="19.8"/>
    <n v="22.8"/>
    <n v="3"/>
    <x v="2"/>
    <m/>
    <m/>
    <s v="Federal"/>
    <m/>
    <m/>
    <m/>
    <s v="Federal"/>
    <s v="PAV"/>
    <s v="Seropédica"/>
  </r>
  <r>
    <x v="0"/>
    <s v="465BRJ0090"/>
    <n v="0"/>
    <x v="442"/>
    <s v="0090"/>
    <n v="-43.596418750325"/>
    <n v="-22.868934740145999"/>
    <n v="-43.676287159924399"/>
    <n v="-22.893751329659999"/>
    <s v="465"/>
    <s v="RJ"/>
    <s v="Eixo Principal"/>
    <s v="Coinc"/>
    <s v="465BRJ0090"/>
    <s v="ENTR BR-101(A)"/>
    <s v="ENTR BR-101(B) (SANTA CRUZ)"/>
    <n v="22.8"/>
    <n v="32.1"/>
    <n v="9.3000000000000007"/>
    <x v="0"/>
    <m/>
    <s v="101BRJ3270"/>
    <s v="Convênio de Administração"/>
    <m/>
    <m/>
    <m/>
    <s v="Federal"/>
    <s v="PAV"/>
    <s v="Angra dos Reis"/>
  </r>
  <r>
    <x v="0"/>
    <s v="466BPR0005"/>
    <n v="0"/>
    <x v="443"/>
    <s v="0005"/>
    <n v="-51.509837700449403"/>
    <n v="-23.567702109964301"/>
    <n v="-51.519908070401002"/>
    <n v="-23.567105950279299"/>
    <s v="466"/>
    <s v="PR"/>
    <s v="Eixo Principal"/>
    <s v="Coinc"/>
    <s v="466BPR0005"/>
    <s v="ENTR BR-369(A)/376(A) (CONTORNO SUL APUCARANA)"/>
    <s v="ENTR PR-170 (FIM CONTORNO NORTE APUCARANA)"/>
    <n v="0"/>
    <n v="1.3"/>
    <n v="1.3"/>
    <x v="2"/>
    <m/>
    <s v="376BPR0260;369BPR0700"/>
    <s v="Concessão Estadual"/>
    <m/>
    <m/>
    <m/>
    <s v="Federal"/>
    <s v="PAV"/>
    <s v="Londrina"/>
  </r>
  <r>
    <x v="0"/>
    <s v="466BPR0007"/>
    <n v="0"/>
    <x v="443"/>
    <s v="0007"/>
    <n v="-51.519908070401002"/>
    <n v="-23.567105950279299"/>
    <n v="-51.535371180035803"/>
    <n v="-23.562171970060302"/>
    <s v="466"/>
    <s v="PR"/>
    <s v="Eixo Principal"/>
    <s v="Coinc"/>
    <s v="466BPR0007"/>
    <s v="ENTR PR-170 (FIM CONTORNO NORTE APUCARANA)"/>
    <s v="ACESSO PIRAPÓ"/>
    <n v="1.3"/>
    <n v="2.9"/>
    <n v="1.6"/>
    <x v="2"/>
    <m/>
    <s v="369BPR0705;376BPR0255"/>
    <s v="Concessão Estadual"/>
    <m/>
    <m/>
    <m/>
    <s v="Federal"/>
    <s v="PAV"/>
    <s v="Londrina"/>
  </r>
  <r>
    <x v="0"/>
    <s v="466BPR0010"/>
    <n v="0"/>
    <x v="443"/>
    <s v="0010"/>
    <n v="-51.535371180035803"/>
    <n v="-23.562171970060302"/>
    <n v="-51.580674080244499"/>
    <n v="-23.596148009822699"/>
    <s v="466"/>
    <s v="PR"/>
    <s v="Eixo Principal"/>
    <s v="Coinc"/>
    <s v="466BPR0010"/>
    <s v="ACESSO PIRAPÓ"/>
    <s v="ACESSO CAMBIRA"/>
    <n v="2.9"/>
    <n v="9.3000000000000007"/>
    <n v="6.4"/>
    <x v="2"/>
    <m/>
    <s v="376BPR0250;369BPR0710"/>
    <s v="Concessão Estadual"/>
    <m/>
    <m/>
    <m/>
    <s v="Federal"/>
    <s v="PAV"/>
    <s v="Londrina"/>
  </r>
  <r>
    <x v="0"/>
    <s v="466BPR0015"/>
    <n v="0"/>
    <x v="443"/>
    <s v="0015"/>
    <n v="-51.580674080244499"/>
    <n v="-23.596148009822699"/>
    <n v="-51.6276427596056"/>
    <n v="-23.598559669593001"/>
    <s v="466"/>
    <s v="PR"/>
    <s v="Eixo Principal"/>
    <s v="Coinc"/>
    <s v="466BPR0015"/>
    <s v="ACESSO CAMBIRA"/>
    <s v="ACESSO CONTORNO SUL JANDAIA DO SUL"/>
    <n v="9.3000000000000007"/>
    <n v="14.8"/>
    <n v="5.5"/>
    <x v="2"/>
    <m/>
    <s v="376BPR0240;369BPR0715"/>
    <s v="Concessão Estadual"/>
    <m/>
    <m/>
    <m/>
    <s v="Federal"/>
    <s v="PAV"/>
    <s v="Londrina"/>
  </r>
  <r>
    <x v="0"/>
    <s v="466BPR0020"/>
    <n v="0"/>
    <x v="443"/>
    <s v="0020"/>
    <n v="-51.6276427596056"/>
    <n v="-23.598559669593001"/>
    <n v="-51.645537799729603"/>
    <n v="-23.5881645301689"/>
    <s v="466"/>
    <s v="PR"/>
    <s v="Eixo Principal"/>
    <s v="Coinc"/>
    <s v="466BPR0020"/>
    <s v="ACESSO CONTORNO SUL JANDAIA DO SUL"/>
    <s v="ENTR BR-376(B) (JANDAIA DO SUL)"/>
    <n v="14.8"/>
    <n v="17.399999999999999"/>
    <n v="2.6"/>
    <x v="2"/>
    <m/>
    <s v="376BPR0235;369BPR0720"/>
    <s v="Concessão Estadual"/>
    <m/>
    <m/>
    <m/>
    <s v="Federal"/>
    <s v="PAV"/>
    <s v="Londrina"/>
  </r>
  <r>
    <x v="0"/>
    <s v="466BPR0025"/>
    <n v="0"/>
    <x v="443"/>
    <s v="0025"/>
    <n v="-51.645537799729603"/>
    <n v="-23.5881645301689"/>
    <n v="-51.665984040231201"/>
    <n v="-23.602450959643999"/>
    <s v="466"/>
    <s v="PR"/>
    <s v="Eixo Principal"/>
    <s v="Coinc"/>
    <s v="466BPR0025"/>
    <s v="ENTR BR-376(B) (JANDAIA DO SUL)"/>
    <s v="ACESSO SUL JANDAIA DO SUL"/>
    <n v="17.399999999999999"/>
    <n v="20.3"/>
    <n v="2.9"/>
    <x v="2"/>
    <m/>
    <s v="369BPR0725"/>
    <s v="Convênio de Administração"/>
    <m/>
    <m/>
    <m/>
    <s v="Federal"/>
    <s v="PAV"/>
    <s v="Londrina"/>
  </r>
  <r>
    <x v="0"/>
    <s v="466BPR0030"/>
    <n v="0"/>
    <x v="443"/>
    <s v="0030"/>
    <n v="-51.665984040231201"/>
    <n v="-23.602450959643999"/>
    <n v="-51.691912690018498"/>
    <n v="-23.6617008995768"/>
    <s v="466"/>
    <s v="PR"/>
    <s v="Eixo Principal"/>
    <s v="Coinc"/>
    <s v="466BPR0030"/>
    <s v="ACESSO SUL JANDAIA DO SUL"/>
    <s v="ENTR BR-369(B) (SÃO JOSÉ)"/>
    <n v="20.3"/>
    <n v="27.9"/>
    <n v="7.6"/>
    <x v="2"/>
    <m/>
    <s v="369BPR0730"/>
    <s v="Convênio de Administração"/>
    <m/>
    <m/>
    <m/>
    <s v="Federal"/>
    <s v="PAV"/>
    <s v="Londrina"/>
  </r>
  <r>
    <x v="0"/>
    <s v="466BPR0035"/>
    <n v="0"/>
    <x v="443"/>
    <s v="0035"/>
    <n v="-51.691912690018498"/>
    <n v="-23.6617008995768"/>
    <n v="-51.648237679625097"/>
    <n v="-23.7084850704296"/>
    <s v="466"/>
    <s v="PR"/>
    <s v="Eixo Principal"/>
    <s v="-"/>
    <s v="466BPR0035"/>
    <s v="ENTR BR-369(B) (SÃO JOSÉ)"/>
    <s v="MARUMBI"/>
    <n v="27.9"/>
    <n v="34.9"/>
    <n v="7"/>
    <x v="1"/>
    <m/>
    <m/>
    <s v="Estadual"/>
    <m/>
    <s v="PRT-466"/>
    <s v="PAV"/>
    <s v="Estadual"/>
    <s v="PLA"/>
    <s v="Londrina"/>
  </r>
  <r>
    <x v="0"/>
    <s v="466BPR0040"/>
    <n v="0"/>
    <x v="443"/>
    <s v="0040"/>
    <n v="-51.648237679625097"/>
    <n v="-23.7084850704296"/>
    <n v="-51.667476760144297"/>
    <n v="-23.8242523395737"/>
    <s v="466"/>
    <s v="PR"/>
    <s v="Eixo Principal"/>
    <s v="-"/>
    <s v="466BPR0040"/>
    <s v="MARUMBI"/>
    <s v="ENTR R.ORLANDO CARLOS PEREIRA (KALORÉ)"/>
    <n v="34.9"/>
    <n v="49.9"/>
    <n v="15"/>
    <x v="1"/>
    <m/>
    <m/>
    <s v="Estadual"/>
    <m/>
    <s v="PRT-466"/>
    <s v="PAV"/>
    <s v="Estadual"/>
    <s v="PLA"/>
    <s v="Campo Mourão"/>
  </r>
  <r>
    <x v="0"/>
    <s v="466BPR0047"/>
    <n v="0"/>
    <x v="443"/>
    <s v="0047"/>
    <n v="-51.667476760144297"/>
    <n v="-23.8242523395737"/>
    <n v="-51.584165490345001"/>
    <n v="-23.9399340400239"/>
    <s v="466"/>
    <s v="PR"/>
    <s v="Eixo Principal"/>
    <s v="-"/>
    <s v="466BPR0047"/>
    <s v="ENTR R.ORLANDO CARLOS PEREIRA (KALORÉ)"/>
    <s v="BORRAZÓPOLIS"/>
    <n v="49.9"/>
    <n v="63.4"/>
    <n v="13.5"/>
    <x v="1"/>
    <m/>
    <m/>
    <s v="Estadual"/>
    <m/>
    <s v="PRT-466"/>
    <s v="PAV"/>
    <s v="Estadual"/>
    <s v="PLA"/>
    <s v="Campo Mourão"/>
  </r>
  <r>
    <x v="0"/>
    <s v="466BPR0050"/>
    <n v="0"/>
    <x v="443"/>
    <s v="0050"/>
    <n v="-51.584165490345001"/>
    <n v="-23.9399340400239"/>
    <n v="-51.6110758301853"/>
    <n v="-24.038627350072002"/>
    <s v="466"/>
    <s v="PR"/>
    <s v="Eixo Principal"/>
    <s v="-"/>
    <s v="466BPR0050"/>
    <s v="BORRAZÓPOLIS"/>
    <s v="ENTR BR-272 (PORTO UBÁ)"/>
    <n v="63.4"/>
    <n v="76.2"/>
    <n v="12.8"/>
    <x v="1"/>
    <m/>
    <m/>
    <s v="Estadual"/>
    <m/>
    <s v="PRT-466"/>
    <s v="IMP"/>
    <s v="Estadual"/>
    <s v="PLA"/>
    <s v="Campo Mourão"/>
  </r>
  <r>
    <x v="0"/>
    <s v="466BPR0060"/>
    <n v="0"/>
    <x v="443"/>
    <s v="0060"/>
    <n v="-51.611075849970398"/>
    <n v="-24.038627320394401"/>
    <n v="-51.697885520300403"/>
    <n v="-24.142183379858999"/>
    <s v="466"/>
    <s v="PR"/>
    <s v="Eixo Principal"/>
    <s v="-"/>
    <s v="466BPR0060"/>
    <s v="ENTR BR-272 (PORTO UBÁ)"/>
    <s v="ENTR PR-082 (PLACA LUAR)"/>
    <n v="76.2"/>
    <n v="92.5"/>
    <n v="16.3"/>
    <x v="1"/>
    <m/>
    <m/>
    <s v="Estadual"/>
    <m/>
    <s v="PRT-466"/>
    <s v="PAV"/>
    <s v="Estadual"/>
    <s v="PLA"/>
    <s v="Campo Mourão"/>
  </r>
  <r>
    <x v="0"/>
    <s v="466BPR0070"/>
    <n v="0"/>
    <x v="443"/>
    <s v="0070"/>
    <n v="-51.697885520300403"/>
    <n v="-24.142183379858999"/>
    <n v="-51.707363380015899"/>
    <n v="-24.239302569657799"/>
    <s v="466"/>
    <s v="PR"/>
    <s v="Eixo Principal"/>
    <s v="-"/>
    <s v="466BPR0070"/>
    <s v="ENTR PR-082 (PLACA LUAR)"/>
    <s v="ACESSO IVAIPORÃ"/>
    <n v="92.5"/>
    <n v="103.7"/>
    <n v="11.2"/>
    <x v="1"/>
    <m/>
    <m/>
    <s v="Estadual"/>
    <m/>
    <s v="PRT-466"/>
    <s v="PAV"/>
    <s v="Estadual"/>
    <s v="PLA"/>
    <s v="Campo Mourão"/>
  </r>
  <r>
    <x v="0"/>
    <s v="466BPR0080"/>
    <n v="0"/>
    <x v="443"/>
    <s v="0080"/>
    <n v="-51.707363380015899"/>
    <n v="-24.239302569657799"/>
    <n v="-51.698706079721703"/>
    <n v="-24.529114389717201"/>
    <s v="466"/>
    <s v="PR"/>
    <s v="Eixo Principal"/>
    <s v="-"/>
    <s v="466BPR0080"/>
    <s v="ACESSO IVAIPORÃ"/>
    <s v="ENTR BR-487 (P/MANOEL RIBAS)"/>
    <n v="103.7"/>
    <n v="142.80000000000001"/>
    <n v="39.1"/>
    <x v="1"/>
    <m/>
    <m/>
    <s v="Estadual"/>
    <m/>
    <s v="PRT-466"/>
    <s v="PAV"/>
    <s v="Estadual"/>
    <s v="PLA"/>
    <s v="Campo Mourão"/>
  </r>
  <r>
    <x v="0"/>
    <s v="466BPR0090"/>
    <n v="0"/>
    <x v="443"/>
    <s v="0090"/>
    <n v="-51.698706079721703"/>
    <n v="-24.529114389717201"/>
    <n v="-51.775020239992003"/>
    <n v="-24.750267210063601"/>
    <s v="466"/>
    <s v="PR"/>
    <s v="Eixo Principal"/>
    <s v="-"/>
    <s v="466BPR0090"/>
    <s v="ENTR BR-487 (P/MANOEL RIBAS)"/>
    <s v="ENTR PR-239 (PITANGA)"/>
    <n v="142.80000000000001"/>
    <n v="174.6"/>
    <n v="31.8"/>
    <x v="1"/>
    <m/>
    <m/>
    <s v="Estadual"/>
    <m/>
    <s v="PRT-466"/>
    <s v="PAV"/>
    <s v="Estadual"/>
    <s v="PLA"/>
    <s v="Campo Mourão"/>
  </r>
  <r>
    <x v="0"/>
    <s v="466BPR0095"/>
    <n v="0"/>
    <x v="443"/>
    <s v="0095"/>
    <n v="-51.775020239992003"/>
    <n v="-24.750267210063601"/>
    <n v="-51.736574860141602"/>
    <n v="-24.8533393200535"/>
    <s v="466"/>
    <s v="PR"/>
    <s v="Eixo Principal"/>
    <s v="-"/>
    <s v="466BPR0095"/>
    <s v="ENTR PR-239 (PITANGA)"/>
    <s v="ENTR PR-456"/>
    <n v="174.6"/>
    <n v="187.7"/>
    <n v="13.1"/>
    <x v="1"/>
    <m/>
    <m/>
    <s v="Estadual"/>
    <m/>
    <s v="PRT-466"/>
    <s v="PAV"/>
    <s v="Estadual"/>
    <s v="PLA"/>
    <s v="Campo Mourão"/>
  </r>
  <r>
    <x v="0"/>
    <s v="466BPR0100"/>
    <n v="0"/>
    <x v="443"/>
    <s v="0100"/>
    <n v="-51.736574860141602"/>
    <n v="-24.8533393200535"/>
    <n v="-51.5775739696629"/>
    <n v="-24.958685989966298"/>
    <s v="466"/>
    <s v="PR"/>
    <s v="Eixo Principal"/>
    <s v="-"/>
    <s v="466BPR0100"/>
    <s v="ENTR PR-456"/>
    <s v="ENTR PR-820 (P/ BOA VENTURA DE SÃO ROQUE)"/>
    <n v="187.7"/>
    <n v="211.6"/>
    <n v="23.9"/>
    <x v="1"/>
    <m/>
    <m/>
    <s v="Estadual"/>
    <m/>
    <s v="PRT-466"/>
    <s v="PAV"/>
    <s v="Estadual"/>
    <s v="PLA"/>
    <s v="Campo Mourão"/>
  </r>
  <r>
    <x v="0"/>
    <s v="466BPR0110"/>
    <n v="0"/>
    <x v="443"/>
    <s v="0110"/>
    <n v="-51.5775739696629"/>
    <n v="-24.958685989966298"/>
    <n v="-51.4760028803286"/>
    <n v="-25.364199220017898"/>
    <s v="466"/>
    <s v="PR"/>
    <s v="Eixo Principal"/>
    <s v="-"/>
    <s v="466BPR0110"/>
    <s v="ENTR PR-820 (P/ BOA VENTURA DE SÃO ROQUE)"/>
    <s v="ENTR BR-277/373/PR-364 (GUARAPUAVA)"/>
    <n v="211.6"/>
    <n v="260.5"/>
    <n v="48.9"/>
    <x v="1"/>
    <m/>
    <m/>
    <s v="Estadual"/>
    <m/>
    <s v="PRT-466"/>
    <s v="PAV"/>
    <s v="Estadual"/>
    <s v="PLA"/>
    <s v="Campo Mourão"/>
  </r>
  <r>
    <x v="0"/>
    <s v="466BPR0117"/>
    <n v="0"/>
    <x v="443"/>
    <s v="0117"/>
    <n v="-51.4760028803286"/>
    <n v="-25.364199220017898"/>
    <n v="-51.463559259752003"/>
    <n v="-25.390746939719399"/>
    <s v="466"/>
    <s v="PR"/>
    <s v="Eixo Principal"/>
    <s v="-"/>
    <s v="466BPR0117"/>
    <s v="ENTR BR-277/373/PR-364 (GUARAPUAVA)"/>
    <s v="GUARAPUAVA *TRECHO MUNICIPAL*"/>
    <n v="260.5"/>
    <n v="263.39999999999998"/>
    <n v="2.9"/>
    <x v="1"/>
    <m/>
    <m/>
    <s v="Estadual"/>
    <m/>
    <s v="PRT-466"/>
    <s v="PAV"/>
    <s v="Estadual"/>
    <s v="PLA"/>
    <s v="Pato Branco"/>
  </r>
  <r>
    <x v="0"/>
    <s v="466BPR0120"/>
    <n v="0"/>
    <x v="443"/>
    <s v="0120"/>
    <n v="-51.463559259752003"/>
    <n v="-25.390746939719399"/>
    <n v="-51.327091970418003"/>
    <n v="-25.681891575735499"/>
    <s v="466"/>
    <s v="PR"/>
    <s v="Eixo Principal"/>
    <s v="-"/>
    <s v="466BPR0120"/>
    <s v="GUARAPUAVA"/>
    <s v="SÃO DOMINGOS"/>
    <n v="263.39999999999998"/>
    <n v="323.39999999999998"/>
    <n v="60"/>
    <x v="1"/>
    <m/>
    <m/>
    <s v="Federal"/>
    <m/>
    <m/>
    <m/>
    <s v="Federal"/>
    <s v="PLA"/>
    <s v="Pato Branco"/>
  </r>
  <r>
    <x v="0"/>
    <s v="466BPR0130"/>
    <n v="0"/>
    <x v="443"/>
    <s v="0130"/>
    <n v="-51.327091970418003"/>
    <n v="-25.681891575735499"/>
    <n v="-51.1974481216334"/>
    <n v="-25.958478812047399"/>
    <s v="466"/>
    <s v="PR"/>
    <s v="Eixo Principal"/>
    <s v="-"/>
    <s v="466BPR0130"/>
    <s v="SÃO DOMINGOS"/>
    <s v="ENTR PR-281"/>
    <n v="323.39999999999998"/>
    <n v="380.4"/>
    <n v="57"/>
    <x v="1"/>
    <m/>
    <m/>
    <s v="Federal"/>
    <m/>
    <m/>
    <m/>
    <s v="Federal"/>
    <s v="PLA"/>
    <s v="Pato Branco"/>
  </r>
  <r>
    <x v="0"/>
    <s v="466BPR0150"/>
    <n v="0"/>
    <x v="443"/>
    <s v="0150"/>
    <n v="-51.1974481216334"/>
    <n v="-25.958478812047399"/>
    <n v="-51.112932069659202"/>
    <n v="-26.202640259939901"/>
    <s v="466"/>
    <s v="PR"/>
    <s v="Eixo Principal"/>
    <s v="-"/>
    <s v="466BPR0150"/>
    <s v="ENTR PR-281"/>
    <s v="ENTR BR-153(A)/PR-447(A)"/>
    <n v="380.4"/>
    <n v="429.4"/>
    <n v="49"/>
    <x v="1"/>
    <m/>
    <m/>
    <s v="Federal"/>
    <m/>
    <m/>
    <m/>
    <s v="Federal"/>
    <s v="PLA"/>
    <s v="Pato Branco"/>
  </r>
  <r>
    <x v="4"/>
    <s v="466BPR0160"/>
    <s v="BR-476/153/282/480/SC/PR"/>
    <x v="443"/>
    <s v="0160"/>
    <n v="-51.112932069659202"/>
    <n v="-26.202640259939901"/>
    <n v="-51.115758910445301"/>
    <n v="-26.208778769624399"/>
    <s v="466"/>
    <s v="PR"/>
    <s v="Eixo Principal"/>
    <s v="Coinc"/>
    <s v="466BPR0160"/>
    <s v="ENTR BR-153(A)/PR-447(A)"/>
    <s v="ENTR BR-153(B)/PR-447(B)"/>
    <n v="429.4"/>
    <n v="430.2"/>
    <n v="0.8"/>
    <x v="2"/>
    <m/>
    <s v="153BPR1475"/>
    <s v="Federal"/>
    <m/>
    <m/>
    <m/>
    <s v="Federal"/>
    <s v="PAV"/>
    <s v="Colombo"/>
  </r>
  <r>
    <x v="0"/>
    <s v="466BPR0165"/>
    <n v="0"/>
    <x v="443"/>
    <s v="0165"/>
    <n v="-51.115758910445301"/>
    <n v="-26.208778769624399"/>
    <n v="-51.097706839698802"/>
    <n v="-26.2163124002969"/>
    <s v="466"/>
    <s v="PR"/>
    <s v="Eixo Principal"/>
    <s v="-"/>
    <s v="466BPR0165"/>
    <s v="ENTR BR-153(B)/PR-447(B)"/>
    <s v="ENTR BR-476(A) (PONTE MANOEL RIBAS)"/>
    <n v="430.2"/>
    <n v="433.2"/>
    <n v="3"/>
    <x v="1"/>
    <m/>
    <m/>
    <s v="Estadual"/>
    <m/>
    <s v="PRT-466"/>
    <s v="PAV"/>
    <s v="Estadual"/>
    <s v="PLA"/>
    <s v="Colombo"/>
  </r>
  <r>
    <x v="0"/>
    <s v="466BPR0170"/>
    <n v="0"/>
    <x v="443"/>
    <s v="0170"/>
    <n v="-51.097706839698802"/>
    <n v="-26.2163124002969"/>
    <n v="-51.085433280021697"/>
    <n v="-26.232670120429599"/>
    <s v="466"/>
    <s v="PR"/>
    <s v="Eixo Principal"/>
    <s v="-"/>
    <s v="466BPR0170"/>
    <s v="ENTR BR-476(A) (PONTE MANOEL RIBAS)"/>
    <s v="ENTR BR-476(B) (DIV PR/SC) (UNIÃO DA VITÓRIA/PORTO UNIÃO) *TRECHO MUNICIPAL*"/>
    <n v="433.2"/>
    <n v="435.4"/>
    <n v="2.2000000000000002"/>
    <x v="1"/>
    <m/>
    <s v="476BPR0160"/>
    <s v="Estadual"/>
    <m/>
    <s v="PRT-476"/>
    <s v="PAV"/>
    <s v="Estadual"/>
    <s v="PLA"/>
    <s v="Colombo"/>
  </r>
  <r>
    <x v="0"/>
    <s v="467BPR0010"/>
    <n v="0"/>
    <x v="444"/>
    <s v="0010"/>
    <n v="-54.300296450021101"/>
    <n v="-24.485358450232201"/>
    <n v="-54.212599950127498"/>
    <n v="-24.5604306296697"/>
    <s v="467"/>
    <s v="PR"/>
    <s v="Eixo Principal"/>
    <s v="-"/>
    <s v="467BPR0010"/>
    <s v="PORTO MENDES"/>
    <s v="IGUIPORÃ"/>
    <n v="0"/>
    <n v="15.2"/>
    <n v="15.2"/>
    <x v="1"/>
    <m/>
    <m/>
    <s v="Estadual"/>
    <m/>
    <s v="PRT-467"/>
    <s v="PAV"/>
    <s v="Estadual"/>
    <s v="PLA"/>
    <s v="Foz do Iguaçú"/>
  </r>
  <r>
    <x v="0"/>
    <s v="467BPR0015"/>
    <n v="0"/>
    <x v="444"/>
    <s v="0015"/>
    <n v="-54.212599950127498"/>
    <n v="-24.5604306296697"/>
    <n v="-54.200611140092001"/>
    <n v="-24.561281769637901"/>
    <s v="467"/>
    <s v="PR"/>
    <s v="Eixo Principal"/>
    <s v="-"/>
    <s v="467BPR0015"/>
    <s v="IGUIPORÃ"/>
    <s v="ENTR PR-495 (P/ PATO BRAGADO)"/>
    <n v="15.2"/>
    <n v="16.399999999999999"/>
    <n v="1.2"/>
    <x v="1"/>
    <m/>
    <m/>
    <s v="Estadual"/>
    <m/>
    <s v="PRT-467"/>
    <s v="PAV"/>
    <s v="Estadual"/>
    <s v="PLA"/>
    <s v="Foz do Iguaçú"/>
  </r>
  <r>
    <x v="0"/>
    <s v="467BPR0020"/>
    <n v="0"/>
    <x v="444"/>
    <s v="0020"/>
    <n v="-54.200611140092001"/>
    <n v="-24.561281769637901"/>
    <n v="-54.034177969837401"/>
    <n v="-24.568124599570499"/>
    <s v="467"/>
    <s v="PR"/>
    <s v="Eixo Principal"/>
    <s v="-"/>
    <s v="467BPR0020"/>
    <s v="ENTR PR-495 (P/ PATO BRAGADO)"/>
    <s v="ENTR BR-163(A) (MAL CÂNDIDO RONDON)"/>
    <n v="16.399999999999999"/>
    <n v="33.700000000000003"/>
    <n v="17.3"/>
    <x v="1"/>
    <m/>
    <m/>
    <s v="Estadual"/>
    <m/>
    <s v="PRT-467"/>
    <s v="PAV"/>
    <s v="Estadual"/>
    <s v="PLA"/>
    <s v="Foz do Iguaçú"/>
  </r>
  <r>
    <x v="0"/>
    <s v="467BPR0030"/>
    <n v="0"/>
    <x v="444"/>
    <s v="0030"/>
    <n v="-54.034177969837401"/>
    <n v="-24.568124599570499"/>
    <n v="-53.997434340222497"/>
    <n v="-24.571427830130201"/>
    <s v="467"/>
    <s v="PR"/>
    <s v="Eixo Principal"/>
    <s v="Coinc"/>
    <s v="467BPR0030"/>
    <s v="ENTR BR-163(A) (MAL CÂNDIDO RONDON)"/>
    <s v="ENTR PR-239 (QUATRO PONTES)"/>
    <n v="33.700000000000003"/>
    <n v="37.5"/>
    <n v="3.8"/>
    <x v="2"/>
    <s v="EOD"/>
    <s v="163BPR0115"/>
    <s v="Federal"/>
    <m/>
    <m/>
    <m/>
    <s v="Federal"/>
    <s v="PAV"/>
    <s v="Foz do Iguaçú"/>
  </r>
  <r>
    <x v="0"/>
    <s v="467BPR0040"/>
    <n v="0"/>
    <x v="444"/>
    <s v="0040"/>
    <n v="-53.997434340222497"/>
    <n v="-24.571427830130201"/>
    <n v="-53.7114107101361"/>
    <n v="-24.7181330699851"/>
    <s v="467"/>
    <s v="PR"/>
    <s v="Eixo Principal"/>
    <s v="Coinc"/>
    <s v="467BPR0040"/>
    <s v="ENTR PR-239 (QUATRO PONTES)"/>
    <s v="ENTR PR-182/317(A) (TOLEDO)"/>
    <n v="37.5"/>
    <n v="72.599999999999994"/>
    <n v="35.1"/>
    <x v="2"/>
    <s v="EOD"/>
    <s v="163BPR0110"/>
    <s v="Federal"/>
    <m/>
    <m/>
    <m/>
    <s v="Federal"/>
    <s v="PAV"/>
    <s v="Foz do Iguaçú"/>
  </r>
  <r>
    <x v="0"/>
    <s v="467BPR0045"/>
    <n v="0"/>
    <x v="444"/>
    <s v="0045"/>
    <n v="-53.7114107101361"/>
    <n v="-24.7181330699851"/>
    <n v="-53.6944036498085"/>
    <n v="-24.761489169989101"/>
    <s v="467"/>
    <s v="PR"/>
    <s v="Eixo Principal"/>
    <s v="Coinc"/>
    <s v="467BPR0045"/>
    <s v="ENTR PR-182/317(A) (TOLEDO)"/>
    <s v="ENTR PR-317(B)/585 (TOLEDO)"/>
    <n v="72.599999999999994"/>
    <n v="78.099999999999994"/>
    <n v="5.5"/>
    <x v="0"/>
    <m/>
    <s v="163BPR0105"/>
    <s v="Federal"/>
    <m/>
    <m/>
    <m/>
    <s v="Federal"/>
    <s v="PAV"/>
    <s v="Foz do Iguaçú"/>
  </r>
  <r>
    <x v="0"/>
    <s v="467BPR0050"/>
    <n v="0"/>
    <x v="444"/>
    <s v="0050"/>
    <n v="-53.6944036498085"/>
    <n v="-24.761489169989101"/>
    <n v="-53.533479970124397"/>
    <n v="-24.897535060394599"/>
    <s v="467"/>
    <s v="PR"/>
    <s v="Eixo Principal"/>
    <s v="Coinc"/>
    <s v="467BPR0050"/>
    <s v="ENTR PR-317(B)/585 (TOLEDO)"/>
    <s v="ENTR BR-163(B)"/>
    <n v="78.099999999999994"/>
    <n v="102.1"/>
    <n v="24"/>
    <x v="0"/>
    <m/>
    <s v="163BPR0100"/>
    <s v="Federal"/>
    <m/>
    <m/>
    <m/>
    <s v="Federal"/>
    <s v="PAV"/>
    <s v="Foz do Iguaçú"/>
  </r>
  <r>
    <x v="0"/>
    <s v="467BPR0060"/>
    <n v="0"/>
    <x v="444"/>
    <s v="0060"/>
    <n v="-53.533479970124397"/>
    <n v="-24.897535060394599"/>
    <n v="-53.442006430052601"/>
    <n v="-24.929461129727301"/>
    <s v="467"/>
    <s v="PR"/>
    <s v="Eixo Principal"/>
    <s v="-"/>
    <s v="467BPR0060"/>
    <s v="ENTR BR-163(B)"/>
    <s v=" ENTR. PR-486/BR-467 (CASCAVEL) (AV. BARÃO DO RIO BRANCO)"/>
    <n v="102.1"/>
    <n v="111.7"/>
    <n v="9.6"/>
    <x v="0"/>
    <m/>
    <m/>
    <s v="Federal"/>
    <m/>
    <m/>
    <m/>
    <s v="Federal"/>
    <s v="PAV"/>
    <s v="Foz do Iguaçú"/>
  </r>
  <r>
    <x v="0"/>
    <s v="467BPR0070"/>
    <n v="0"/>
    <x v="444"/>
    <s v="0070"/>
    <n v="-53.442006430052601"/>
    <n v="-24.929461129727301"/>
    <n v="-53.405738459961903"/>
    <n v="-24.964749560044101"/>
    <s v="467"/>
    <s v="PR"/>
    <s v="Eixo Principal"/>
    <s v="-"/>
    <s v="467BPR0070"/>
    <s v=" ENTR. PR-486/BR-467 (CASCAVEL) (AV. BARÃO DO RIO BRANCO)"/>
    <s v="ENTR BR-277/369 (CASCAVEL - TREVO DAS CATARATAS)"/>
    <n v="111.7"/>
    <n v="118.2"/>
    <n v="6.5"/>
    <x v="1"/>
    <m/>
    <m/>
    <s v="Estadual"/>
    <m/>
    <s v="PRT-467"/>
    <s v="DUP"/>
    <s v="Estadual"/>
    <s v="PLA"/>
    <s v="Foz do Iguaçú"/>
  </r>
  <r>
    <x v="0"/>
    <s v="468BRS0010"/>
    <n v="0"/>
    <x v="445"/>
    <s v="0010"/>
    <n v="-53.304033859974503"/>
    <n v="-27.8827828102784"/>
    <n v="-53.333057579643501"/>
    <n v="-27.866511200231599"/>
    <s v="468"/>
    <s v="RS"/>
    <s v="Eixo Principal"/>
    <s v="-"/>
    <s v="468BRS0010"/>
    <s v="ENTR RS-569 (PALMEIRA DAS MISSÕES)"/>
    <s v="ENTR BR-158/RS-330(A)"/>
    <n v="0"/>
    <n v="3.9"/>
    <n v="3.9"/>
    <x v="2"/>
    <m/>
    <m/>
    <s v="Federal"/>
    <m/>
    <m/>
    <m/>
    <s v="Federal"/>
    <s v="PAV"/>
    <s v="Cruz Alta"/>
  </r>
  <r>
    <x v="0"/>
    <s v="468BRS0030"/>
    <n v="0"/>
    <x v="445"/>
    <s v="0030"/>
    <n v="-53.333057579643501"/>
    <n v="-27.866511200231599"/>
    <n v="-53.4478437100191"/>
    <n v="-27.767782230265599"/>
    <s v="468"/>
    <s v="RS"/>
    <s v="Eixo Principal"/>
    <s v="-"/>
    <s v="468BRS0030"/>
    <s v="ENTR BR-158/RS-330(A)"/>
    <s v="ENTR RS-330(B)"/>
    <n v="3.9"/>
    <n v="21.6"/>
    <n v="17.7"/>
    <x v="2"/>
    <m/>
    <m/>
    <s v="Federal"/>
    <m/>
    <m/>
    <m/>
    <s v="Federal"/>
    <s v="PAV"/>
    <s v="Cruz Alta"/>
  </r>
  <r>
    <x v="0"/>
    <s v="468BRS0050"/>
    <n v="0"/>
    <x v="445"/>
    <s v="0050"/>
    <n v="-53.4478437100191"/>
    <n v="-27.767782230265599"/>
    <n v="-53.8215251097959"/>
    <n v="-27.764472340226199"/>
    <s v="468"/>
    <s v="RS"/>
    <s v="Eixo Principal"/>
    <s v="-"/>
    <s v="468BRS0050"/>
    <s v="ENTR RS-330(B)"/>
    <s v="ENTR RS-155"/>
    <n v="21.6"/>
    <n v="63.4"/>
    <n v="41.8"/>
    <x v="2"/>
    <m/>
    <m/>
    <s v="Federal"/>
    <m/>
    <m/>
    <m/>
    <s v="Federal"/>
    <s v="PAV"/>
    <s v="Cruz Alta"/>
  </r>
  <r>
    <x v="0"/>
    <s v="468BRS0070"/>
    <n v="0"/>
    <x v="445"/>
    <s v="0070"/>
    <n v="-53.8215251097959"/>
    <n v="-27.764472340226199"/>
    <n v="-53.840825790277897"/>
    <n v="-27.7351893397162"/>
    <s v="468"/>
    <s v="RS"/>
    <s v="Eixo Principal"/>
    <s v="-"/>
    <s v="468BRS0070"/>
    <s v="ENTR RS-155"/>
    <s v="ENTR RS-210"/>
    <n v="63.4"/>
    <n v="67.3"/>
    <n v="3.9"/>
    <x v="2"/>
    <m/>
    <m/>
    <s v="Federal"/>
    <m/>
    <m/>
    <m/>
    <s v="Federal"/>
    <s v="PAV"/>
    <s v="Cruz Alta"/>
  </r>
  <r>
    <x v="0"/>
    <s v="468BRS0090"/>
    <n v="0"/>
    <x v="445"/>
    <s v="0090"/>
    <n v="-53.840825790277897"/>
    <n v="-27.7351893397162"/>
    <n v="-53.847096260184202"/>
    <n v="-27.682680299655999"/>
    <s v="468"/>
    <s v="RS"/>
    <s v="Eixo Principal"/>
    <s v="-"/>
    <s v="468BRS0090"/>
    <s v="ENTR RS-210"/>
    <s v="ENTR RS-518 (P/CAMPO NOVO)"/>
    <n v="67.3"/>
    <n v="73.400000000000006"/>
    <n v="6.1"/>
    <x v="2"/>
    <m/>
    <m/>
    <s v="Federal"/>
    <m/>
    <m/>
    <m/>
    <s v="Federal"/>
    <s v="PAV"/>
    <s v="Cruz Alta"/>
  </r>
  <r>
    <x v="0"/>
    <s v="468BRS0110"/>
    <n v="0"/>
    <x v="445"/>
    <s v="0110"/>
    <n v="-53.847096260184202"/>
    <n v="-27.682680299655999"/>
    <n v="-53.884209729695201"/>
    <n v="-27.511305219859899"/>
    <s v="468"/>
    <s v="RS"/>
    <s v="Eixo Principal"/>
    <s v="-"/>
    <s v="468BRS0110"/>
    <s v="ENTR RS-518 (P/CAMPO NOVO)"/>
    <s v="ENTR BR-472(A) (P/TRÊS PASSOS)"/>
    <n v="73.400000000000006"/>
    <n v="94.2"/>
    <n v="20.8"/>
    <x v="2"/>
    <m/>
    <m/>
    <s v="Federal"/>
    <m/>
    <m/>
    <m/>
    <s v="Federal"/>
    <s v="PAV"/>
    <s v="Cruz Alta"/>
  </r>
  <r>
    <x v="0"/>
    <s v="468BRS0120"/>
    <n v="0"/>
    <x v="445"/>
    <s v="0120"/>
    <n v="-53.884209729695201"/>
    <n v="-27.511305219859899"/>
    <n v="-53.9494855895882"/>
    <n v="-27.432260500221801"/>
    <s v="468"/>
    <s v="RS"/>
    <s v="Eixo Principal"/>
    <s v="-"/>
    <s v="468BRS0120"/>
    <s v="ENTR BR-472(A) (P/TRÊS PASSOS)"/>
    <s v="ENTR BR-472(B)/RS-305"/>
    <n v="94.2"/>
    <n v="106.3"/>
    <n v="12.1"/>
    <x v="2"/>
    <m/>
    <s v="472BRS0040"/>
    <s v="Federal"/>
    <m/>
    <m/>
    <m/>
    <s v="Federal"/>
    <s v="PAV"/>
    <s v="Cruz Alta"/>
  </r>
  <r>
    <x v="0"/>
    <s v="468BRS0125"/>
    <n v="0"/>
    <x v="445"/>
    <s v="0125"/>
    <n v="-53.9494855895882"/>
    <n v="-27.432260500221801"/>
    <n v="-54.077552749659603"/>
    <n v="-27.4030146399136"/>
    <s v="468"/>
    <s v="RS"/>
    <s v="Eixo Principal"/>
    <s v="-"/>
    <s v="468BRS0125"/>
    <s v="ENTR BR-472(B)/RS-305"/>
    <s v="TIRADENTES DO SUL"/>
    <n v="106.3"/>
    <n v="122.3"/>
    <n v="16"/>
    <x v="2"/>
    <m/>
    <m/>
    <s v="Federal"/>
    <m/>
    <m/>
    <m/>
    <s v="Federal"/>
    <s v="PAV"/>
    <s v="Cruz Alta"/>
  </r>
  <r>
    <x v="0"/>
    <s v="468BRS0130"/>
    <n v="0"/>
    <x v="445"/>
    <s v="0130"/>
    <n v="-54.077552749659603"/>
    <n v="-27.4030146399136"/>
    <n v="-54.189701219735397"/>
    <n v="-27.2984420902302"/>
    <s v="468"/>
    <s v="RS"/>
    <s v="Eixo Principal"/>
    <s v="-"/>
    <s v="468BRS0130"/>
    <s v="TIRADENTES DO SUL"/>
    <s v="FRONT BRASIL/ARGENTINA"/>
    <n v="122.3"/>
    <n v="142.19999999999999"/>
    <n v="19.899999999999999"/>
    <x v="2"/>
    <m/>
    <m/>
    <s v="Federal"/>
    <m/>
    <m/>
    <m/>
    <s v="Federal"/>
    <s v="PAV"/>
    <s v="Cruz Alta"/>
  </r>
  <r>
    <x v="0"/>
    <s v="469APR1005"/>
    <n v="0"/>
    <x v="446"/>
    <s v="1005"/>
    <n v="-54.550870250261802"/>
    <n v="-25.574873719946101"/>
    <n v="-54.564440140400102"/>
    <n v="-25.5838436704489"/>
    <s v="469"/>
    <s v="PR"/>
    <s v="Acesso"/>
    <s v="Coinc"/>
    <s v="469APR1005"/>
    <s v="ENTR BR-277(A) (ACESSO PONTE TANCREDO NEVES)"/>
    <s v="ENTR BR-277(B) (ACESSO 2A PONTE SOBRE RIO PARANÁ)"/>
    <n v="0"/>
    <n v="1.8"/>
    <n v="1.8"/>
    <x v="2"/>
    <m/>
    <s v="277APR5010"/>
    <s v="Federal"/>
    <m/>
    <m/>
    <m/>
    <s v="Federal"/>
    <s v="PAV"/>
    <s v="Foz do Iguaçú"/>
  </r>
  <r>
    <x v="0"/>
    <s v="469APR1010"/>
    <n v="0"/>
    <x v="446"/>
    <s v="1010"/>
    <n v="-54.564440140400102"/>
    <n v="-25.5838436704489"/>
    <n v="-54.5622521797942"/>
    <n v="-25.587660760135901"/>
    <s v="469"/>
    <s v="PR"/>
    <s v="Acesso"/>
    <s v="-"/>
    <s v="469APR1010"/>
    <s v="ENTR BR-277(B) (ACESSO 2A PONTE SOBRE RIO PARANÁ)"/>
    <s v="FRONT BRASIL/ARGENTINA (PONTE TANCREDO NEVES)(PORTO MEIRA)"/>
    <n v="1.8"/>
    <n v="2.1"/>
    <n v="0.3"/>
    <x v="2"/>
    <m/>
    <m/>
    <s v="Federal"/>
    <m/>
    <m/>
    <m/>
    <s v="Federal"/>
    <s v="PAV"/>
    <s v="Foz do Iguaçú"/>
  </r>
  <r>
    <x v="0"/>
    <s v="469BPR0010"/>
    <n v="0"/>
    <x v="447"/>
    <s v="0010"/>
    <n v="-54.515652110056799"/>
    <n v="-25.492691950073301"/>
    <n v="-54.550870250261802"/>
    <n v="-25.574873719946101"/>
    <s v="469"/>
    <s v="PR"/>
    <s v="Eixo Principal"/>
    <s v="-"/>
    <s v="469BPR0010"/>
    <s v="ENTR BR-277"/>
    <s v="ACESSO PONTE TANCREDO NEVES"/>
    <n v="0"/>
    <n v="12.7"/>
    <n v="12.7"/>
    <x v="1"/>
    <m/>
    <m/>
    <s v="Federal"/>
    <m/>
    <m/>
    <m/>
    <s v="Federal"/>
    <s v="PLA"/>
    <s v="Foz do Iguaçú"/>
  </r>
  <r>
    <x v="0"/>
    <s v="469BPR0030"/>
    <n v="0"/>
    <x v="447"/>
    <s v="0030"/>
    <n v="-54.525963660194698"/>
    <n v="-25.5828858304166"/>
    <n v="-54.550870250261802"/>
    <n v="-25.574873719946101"/>
    <s v="469"/>
    <s v="PR"/>
    <s v="Eixo Principal"/>
    <s v="-"/>
    <s v="469BPR0030"/>
    <s v="ACESSO PONTE TANCREDO NEVES"/>
    <s v="PONTE S/ RIO TAMANDUÁ"/>
    <n v="12.7"/>
    <n v="15.4"/>
    <n v="2.7"/>
    <x v="2"/>
    <m/>
    <m/>
    <s v="Federal"/>
    <m/>
    <m/>
    <m/>
    <s v="Federal"/>
    <s v="PAV"/>
    <s v="Foz do Iguaçú"/>
  </r>
  <r>
    <x v="0"/>
    <s v="469BPR0040"/>
    <n v="0"/>
    <x v="447"/>
    <s v="0040"/>
    <n v="-54.525963660194698"/>
    <n v="-25.5828858304166"/>
    <n v="-54.481207179967299"/>
    <n v="-25.614114899982599"/>
    <s v="469"/>
    <s v="PR"/>
    <s v="Eixo Principal"/>
    <s v="-"/>
    <s v="469BPR0040"/>
    <s v="PONTE S/ RIO TAMANDUÁ"/>
    <s v="PORTAL ACESSO PARQUE NACIONAL"/>
    <n v="15.4"/>
    <n v="21.4"/>
    <n v="6"/>
    <x v="2"/>
    <m/>
    <m/>
    <s v="Federal"/>
    <m/>
    <m/>
    <m/>
    <s v="Federal"/>
    <s v="PAV"/>
    <s v="Foz do Iguaçú"/>
  </r>
  <r>
    <x v="0"/>
    <s v="469BPR0050"/>
    <n v="0"/>
    <x v="447"/>
    <s v="0050"/>
    <n v="-54.481207179967299"/>
    <n v="-25.614114899982599"/>
    <n v="-54.434857879887197"/>
    <n v="-25.691996080354699"/>
    <s v="469"/>
    <s v="PR"/>
    <s v="Eixo Principal"/>
    <s v="-"/>
    <s v="469BPR0050"/>
    <s v="PORTAL ACESSO PARQUE NACIONAL"/>
    <s v="CATARATAS DO IGUAÇU"/>
    <n v="21.4"/>
    <n v="33"/>
    <n v="11.6"/>
    <x v="2"/>
    <m/>
    <m/>
    <s v="Federal"/>
    <m/>
    <m/>
    <m/>
    <s v="Federal"/>
    <s v="PAV"/>
    <s v="Foz do Iguaçú"/>
  </r>
  <r>
    <x v="0"/>
    <s v="470ASC1005"/>
    <n v="0"/>
    <x v="448"/>
    <s v="1005"/>
    <n v="-48.8379071800722"/>
    <n v="-26.880206009999299"/>
    <n v="-48.824021330220098"/>
    <n v="-26.8957883598449"/>
    <s v="470"/>
    <s v="SC"/>
    <s v="Acesso"/>
    <s v="-"/>
    <s v="470ASC1005"/>
    <s v="ENTR BR-470 (KM 21,8)"/>
    <s v="ENTR SC-470 (INÍCIO DA ÁREA URBANA DE ILHOTA)"/>
    <n v="0"/>
    <n v="2.4"/>
    <n v="2.4"/>
    <x v="2"/>
    <m/>
    <m/>
    <s v="Federal"/>
    <m/>
    <m/>
    <m/>
    <s v="Federal"/>
    <s v="PAV"/>
    <s v="Rio do Sul"/>
  </r>
  <r>
    <x v="0"/>
    <s v="470ASC2005"/>
    <n v="0"/>
    <x v="448"/>
    <s v="2005"/>
    <n v="-48.959951119948101"/>
    <n v="-26.913029840154898"/>
    <n v="-48.957799769843398"/>
    <n v="-26.9290694997575"/>
    <s v="470"/>
    <s v="SC"/>
    <s v="Acesso"/>
    <s v="-"/>
    <s v="470ASC2005"/>
    <s v="ENTR BR-470"/>
    <s v="ACESSO GASPAR"/>
    <n v="0"/>
    <n v="1.7"/>
    <n v="1.7"/>
    <x v="2"/>
    <m/>
    <m/>
    <s v="Federal"/>
    <m/>
    <m/>
    <m/>
    <s v="Federal"/>
    <s v="PAV"/>
    <s v="Rio do Sul"/>
  </r>
  <r>
    <x v="0"/>
    <s v="470BRS0320"/>
    <n v="0"/>
    <x v="449"/>
    <s v="0320"/>
    <n v="-51.471258249668402"/>
    <n v="-27.600790650268198"/>
    <n v="-51.468903130275102"/>
    <n v="-27.605919029739301"/>
    <s v="470"/>
    <s v="RS"/>
    <s v="Eixo Principal"/>
    <s v="-"/>
    <s v="470BRS0320"/>
    <s v="DIV SC/RS (INÍCIO DA PONTE SOBRE O RIO PELOTAS)"/>
    <s v="FIM PONTE SOBRE O RIO PELOTAS"/>
    <n v="0"/>
    <n v="0.6"/>
    <n v="0.6"/>
    <x v="2"/>
    <m/>
    <m/>
    <s v="Federal"/>
    <m/>
    <m/>
    <m/>
    <s v="Federal"/>
    <s v="PAV"/>
    <s v="Vacaria"/>
  </r>
  <r>
    <x v="0"/>
    <s v="470BRS0332"/>
    <n v="0"/>
    <x v="449"/>
    <s v="0332"/>
    <n v="-51.468903130275102"/>
    <n v="-27.605919029739301"/>
    <n v="-51.455894900029499"/>
    <n v="-27.6640460303"/>
    <s v="470"/>
    <s v="RS"/>
    <s v="Eixo Principal"/>
    <s v="-"/>
    <s v="470BRS0332"/>
    <s v="FIM PONTE SOBRE O RIO PELOTAS"/>
    <s v="ENTR RS-343 (BARRACÃO)"/>
    <n v="0.6"/>
    <n v="10.199999999999999"/>
    <n v="9.6"/>
    <x v="2"/>
    <m/>
    <m/>
    <s v="Federal"/>
    <m/>
    <m/>
    <m/>
    <s v="Federal"/>
    <s v="PAV"/>
    <s v="Vacaria"/>
  </r>
  <r>
    <x v="0"/>
    <s v="470BRS0335"/>
    <n v="0"/>
    <x v="449"/>
    <s v="0335"/>
    <n v="-51.455894900029499"/>
    <n v="-27.6640460303"/>
    <n v="-51.465118999841899"/>
    <n v="-27.884815000212001"/>
    <s v="470"/>
    <s v="RS"/>
    <s v="Eixo Principal"/>
    <s v="-"/>
    <s v="470BRS0335"/>
    <s v="ENTR RS-343 (BARRACÃO)"/>
    <s v="ENTR RS-477 (PONTÃO)"/>
    <n v="10.199999999999999"/>
    <n v="36.299999999999997"/>
    <n v="26.1"/>
    <x v="2"/>
    <m/>
    <m/>
    <s v="Federal"/>
    <m/>
    <m/>
    <m/>
    <s v="Federal"/>
    <s v="PAV"/>
    <s v="Vacaria"/>
  </r>
  <r>
    <x v="0"/>
    <s v="470BRS0340"/>
    <n v="0"/>
    <x v="449"/>
    <s v="0340"/>
    <n v="-51.465118999841899"/>
    <n v="-27.884815000212001"/>
    <n v="-51.4518625099468"/>
    <n v="-28.006310129708599"/>
    <s v="470"/>
    <s v="RS"/>
    <s v="Eixo Principal"/>
    <s v="-"/>
    <s v="470BRS0340"/>
    <s v="ENTR RS-477 (PONTÃO)"/>
    <s v="CLEMENTE ARGOLO"/>
    <n v="36.299999999999997"/>
    <n v="50"/>
    <n v="13.7"/>
    <x v="2"/>
    <m/>
    <m/>
    <s v="Federal"/>
    <m/>
    <m/>
    <m/>
    <s v="Federal"/>
    <s v="PAV"/>
    <s v="Vacaria"/>
  </r>
  <r>
    <x v="0"/>
    <s v="470BRS0345"/>
    <n v="0"/>
    <x v="449"/>
    <s v="0345"/>
    <n v="-51.4518625099468"/>
    <n v="-28.006310129708599"/>
    <n v="-51.525486660380999"/>
    <n v="-28.203277510148901"/>
    <s v="470"/>
    <s v="RS"/>
    <s v="Eixo Principal"/>
    <s v="-"/>
    <s v="470BRS0345"/>
    <s v="CLEMENTE ARGOLO"/>
    <s v="ENTR BR-285(A) (LAGOA VERMELHA)"/>
    <n v="50"/>
    <n v="75.599999999999994"/>
    <n v="25.6"/>
    <x v="2"/>
    <m/>
    <m/>
    <s v="Federal"/>
    <m/>
    <m/>
    <m/>
    <s v="Federal"/>
    <s v="PAV"/>
    <s v="Vacaria"/>
  </r>
  <r>
    <x v="0"/>
    <s v="470BRS0350"/>
    <n v="0"/>
    <x v="449"/>
    <s v="0350"/>
    <n v="-51.525486660380999"/>
    <n v="-28.203277510148901"/>
    <n v="-51.461769259943303"/>
    <n v="-28.296498809772199"/>
    <s v="470"/>
    <s v="RS"/>
    <s v="Eixo Principal"/>
    <s v="Coinc"/>
    <s v="470BRS0350"/>
    <s v="ENTR BR-285(A) (LAGOA VERMELHA)"/>
    <s v="ENTR BR-285(B) (BARRETOS)"/>
    <n v="75.599999999999994"/>
    <n v="89"/>
    <n v="13.4"/>
    <x v="2"/>
    <m/>
    <s v="285BRS0130"/>
    <s v="Federal"/>
    <m/>
    <m/>
    <m/>
    <s v="Federal"/>
    <s v="PAV"/>
    <s v="Passo Fundo"/>
  </r>
  <r>
    <x v="0"/>
    <s v="470BRS0370"/>
    <n v="0"/>
    <x v="449"/>
    <s v="0370"/>
    <n v="-51.461769259943303"/>
    <n v="-28.296498809772199"/>
    <n v="-51.490597000251299"/>
    <n v="-28.4056800000319"/>
    <s v="470"/>
    <s v="RS"/>
    <s v="Eixo Principal"/>
    <s v="-"/>
    <s v="470BRS0370"/>
    <s v="ENTR BR-285(B) (BARRETOS)"/>
    <s v="RIO TURVO"/>
    <n v="89"/>
    <n v="105.2"/>
    <n v="16.2"/>
    <x v="5"/>
    <m/>
    <m/>
    <s v="Federal"/>
    <m/>
    <m/>
    <m/>
    <s v="Federal"/>
    <s v="N_PAV"/>
    <s v="Passo Fundo"/>
  </r>
  <r>
    <x v="0"/>
    <s v="470BRS0375"/>
    <n v="0"/>
    <x v="449"/>
    <s v="0375"/>
    <n v="-51.490597000251299"/>
    <n v="-28.4056800000319"/>
    <n v="-51.573229000417903"/>
    <n v="-28.631473000178701"/>
    <s v="470"/>
    <s v="RS"/>
    <s v="Eixo Principal"/>
    <s v="-"/>
    <s v="470BRS0375"/>
    <s v="RIO TURVO"/>
    <s v="ANDRÉ ROCHA"/>
    <n v="105.2"/>
    <n v="135.9"/>
    <n v="30.7"/>
    <x v="5"/>
    <m/>
    <m/>
    <s v="Federal"/>
    <m/>
    <m/>
    <m/>
    <s v="Federal"/>
    <s v="N_PAV"/>
    <s v="Passo Fundo"/>
  </r>
  <r>
    <x v="0"/>
    <s v="470BRS0380"/>
    <n v="0"/>
    <x v="449"/>
    <s v="0380"/>
    <n v="-51.573229000417903"/>
    <n v="-28.631473000178701"/>
    <n v="-51.6281838996671"/>
    <n v="-28.756420900404098"/>
    <s v="470"/>
    <s v="RS"/>
    <s v="Eixo Principal"/>
    <s v="-"/>
    <s v="470BRS0380"/>
    <s v="ANDRÉ ROCHA"/>
    <s v="ENTR RS-324 (NOVA PRATA)"/>
    <n v="135.9"/>
    <n v="153.5"/>
    <n v="17.600000000000001"/>
    <x v="5"/>
    <s v="EOP"/>
    <m/>
    <s v="Federal"/>
    <m/>
    <m/>
    <m/>
    <s v="Federal"/>
    <s v="N_PAV"/>
    <s v="Passo Fundo"/>
  </r>
  <r>
    <x v="0"/>
    <s v="470BRS0385"/>
    <n v="0"/>
    <x v="449"/>
    <s v="0385"/>
    <n v="-51.6281838996671"/>
    <n v="-28.756420900404098"/>
    <n v="-51.609905359844397"/>
    <n v="-28.801598230074202"/>
    <s v="470"/>
    <s v="RS"/>
    <s v="Eixo Principal"/>
    <s v="-"/>
    <s v="470BRS0385"/>
    <s v="ENTR RS-324 (NOVA PRATA)"/>
    <s v="ENTR RS-441 (P/VISTA ALEGRE DO PRATA)"/>
    <n v="153.5"/>
    <n v="159.6"/>
    <n v="6.1"/>
    <x v="2"/>
    <m/>
    <m/>
    <s v="Federal"/>
    <m/>
    <m/>
    <m/>
    <s v="Federal"/>
    <s v="PAV"/>
    <s v="Passo Fundo"/>
  </r>
  <r>
    <x v="0"/>
    <s v="470BRS0388"/>
    <n v="0"/>
    <x v="449"/>
    <s v="0388"/>
    <n v="-51.609905359844397"/>
    <n v="-28.801598230074202"/>
    <n v="-51.548710000166302"/>
    <n v="-28.878834000288801"/>
    <s v="470"/>
    <s v="RS"/>
    <s v="Eixo Principal"/>
    <s v="-"/>
    <s v="470BRS0388"/>
    <s v="ENTR RS-441 (P/VISTA ALEGRE DO PRATA)"/>
    <s v="ENTR RS-437 (P/ANTONIO PRADO)"/>
    <n v="159.6"/>
    <n v="170.8"/>
    <n v="11.2"/>
    <x v="2"/>
    <m/>
    <m/>
    <s v="Federal"/>
    <m/>
    <m/>
    <m/>
    <s v="Federal"/>
    <s v="PAV"/>
    <s v="Passo Fundo"/>
  </r>
  <r>
    <x v="0"/>
    <s v="470BRS0390"/>
    <n v="0"/>
    <x v="449"/>
    <s v="0390"/>
    <n v="-51.548710000166302"/>
    <n v="-28.878834000288801"/>
    <n v="-51.553629000378002"/>
    <n v="-28.899705999632101"/>
    <s v="470"/>
    <s v="RS"/>
    <s v="Eixo Principal"/>
    <s v="-"/>
    <s v="470BRS0390"/>
    <s v="ENTR RS-437 (P/ANTONIO PRADO)"/>
    <s v="ENTR RS-355 (P/FAGUNDES VARELA)"/>
    <n v="170.8"/>
    <n v="172.9"/>
    <n v="2.1"/>
    <x v="2"/>
    <m/>
    <m/>
    <s v="Federal"/>
    <m/>
    <m/>
    <m/>
    <s v="Federal"/>
    <s v="PAV"/>
    <s v="Passo Fundo"/>
  </r>
  <r>
    <x v="0"/>
    <s v="470BRS0395"/>
    <n v="0"/>
    <x v="449"/>
    <s v="0395"/>
    <n v="-51.553629000378002"/>
    <n v="-28.899705999632101"/>
    <n v="-51.552304260333301"/>
    <n v="-28.944977089920702"/>
    <s v="470"/>
    <s v="RS"/>
    <s v="Eixo Principal"/>
    <s v="-"/>
    <s v="470BRS0395"/>
    <s v="ENTR RS-355 (P/FAGUNDES VARELA)"/>
    <s v="ENTR RS-359 (VERANÓPOLIS)"/>
    <n v="172.9"/>
    <n v="179.3"/>
    <n v="6.4"/>
    <x v="2"/>
    <m/>
    <m/>
    <s v="Federal"/>
    <m/>
    <m/>
    <m/>
    <s v="Federal"/>
    <s v="PAV"/>
    <s v="Passo Fundo"/>
  </r>
  <r>
    <x v="0"/>
    <s v="470BRS0400"/>
    <n v="0"/>
    <x v="449"/>
    <s v="0400"/>
    <n v="-51.552304260333301"/>
    <n v="-28.944977089920702"/>
    <n v="-51.543522000140101"/>
    <n v="-29.121234000049"/>
    <s v="470"/>
    <s v="RS"/>
    <s v="Eixo Principal"/>
    <s v="-"/>
    <s v="470BRS0400"/>
    <s v="ENTR RS-359 (VERANÓPOLIS)"/>
    <s v="ENTR RS-431 (P/SÃO VALENTIM DO SUL)"/>
    <n v="179.3"/>
    <n v="210.6"/>
    <n v="31.3"/>
    <x v="2"/>
    <m/>
    <m/>
    <s v="Federal"/>
    <m/>
    <m/>
    <m/>
    <s v="Federal"/>
    <s v="PAV"/>
    <s v="Passo Fundo"/>
  </r>
  <r>
    <x v="0"/>
    <s v="470BRS0410"/>
    <n v="0"/>
    <x v="449"/>
    <s v="0410"/>
    <n v="-51.543522000140101"/>
    <n v="-29.121234000049"/>
    <n v="-51.523252999825999"/>
    <n v="-29.175139000164599"/>
    <s v="470"/>
    <s v="RS"/>
    <s v="Eixo Principal"/>
    <s v="-"/>
    <s v="470BRS0410"/>
    <s v="ENTR RS-431 (P/SÃO VALENTIM DO SUL)"/>
    <s v="ENTR RS-444(A) (BENTO GONÇALVES)"/>
    <n v="210.6"/>
    <n v="218.2"/>
    <n v="7.6"/>
    <x v="2"/>
    <m/>
    <m/>
    <s v="Federal"/>
    <m/>
    <m/>
    <m/>
    <s v="Federal"/>
    <s v="PAV"/>
    <s v="Passo Fundo"/>
  </r>
  <r>
    <x v="0"/>
    <s v="470BRS0415"/>
    <n v="0"/>
    <x v="449"/>
    <s v="0415"/>
    <n v="-51.523252999825999"/>
    <n v="-29.175139000164599"/>
    <n v="-51.518878299893501"/>
    <n v="-29.195906799559101"/>
    <s v="470"/>
    <s v="RS"/>
    <s v="Eixo Principal"/>
    <s v="-"/>
    <s v="470BRS0415"/>
    <s v="ENTR RS-444(A) (BENTO GONÇALVES)"/>
    <s v="ENTR RS-444(B) (P/MONTE BELO DO SUL)"/>
    <n v="218.2"/>
    <n v="221.1"/>
    <n v="2.9"/>
    <x v="2"/>
    <m/>
    <m/>
    <s v="Federal"/>
    <m/>
    <m/>
    <m/>
    <s v="Federal"/>
    <s v="PAV"/>
    <s v="Passo Fundo"/>
  </r>
  <r>
    <x v="0"/>
    <s v="470BRS0420"/>
    <n v="0"/>
    <x v="449"/>
    <s v="0420"/>
    <n v="-51.518878299893501"/>
    <n v="-29.195906799559101"/>
    <n v="-51.516770250346703"/>
    <n v="-29.218603609668801"/>
    <s v="470"/>
    <s v="RS"/>
    <s v="Eixo Principal"/>
    <s v="-"/>
    <s v="470BRS0420"/>
    <s v="ENTR RS-444(B) (P/MONTE BELO DO SUL)"/>
    <s v="ENTR BR-453(A) (P/FARROUPILHA)"/>
    <n v="221.1"/>
    <n v="223.7"/>
    <n v="2.6"/>
    <x v="2"/>
    <m/>
    <m/>
    <s v="Federal"/>
    <m/>
    <m/>
    <m/>
    <s v="Federal"/>
    <s v="PAV"/>
    <s v="Passo Fundo"/>
  </r>
  <r>
    <x v="0"/>
    <s v="470BRS0430"/>
    <n v="0"/>
    <x v="449"/>
    <s v="0430"/>
    <n v="-51.516770250346703"/>
    <n v="-29.218603609668801"/>
    <n v="-51.505755239712499"/>
    <n v="-29.262130540392"/>
    <s v="470"/>
    <s v="RS"/>
    <s v="Eixo Principal"/>
    <s v="Coinc"/>
    <s v="470BRS0430"/>
    <s v="ENTR BR-453(A) (P/FARROUPILHA)"/>
    <s v="ENTR BR-453(B)/RS-025 (GARIBALDI)"/>
    <n v="223.7"/>
    <n v="229"/>
    <n v="5.3"/>
    <x v="2"/>
    <m/>
    <s v="453BRS0130"/>
    <s v="Federal"/>
    <m/>
    <m/>
    <m/>
    <s v="Federal"/>
    <s v="PAV"/>
    <s v="Passo Fundo"/>
  </r>
  <r>
    <x v="0"/>
    <s v="470BRS0450"/>
    <n v="0"/>
    <x v="449"/>
    <s v="0450"/>
    <n v="-51.505755239712499"/>
    <n v="-29.262130540392"/>
    <n v="-51.480843000104301"/>
    <n v="-29.298508000243899"/>
    <s v="470"/>
    <s v="RS"/>
    <s v="Eixo Principal"/>
    <s v="-"/>
    <s v="470BRS0450"/>
    <s v="ENTR BR-453(B)/RS-025 (GARIBALDI)"/>
    <s v="ENTR RS-446 (CARLOS BARBOSA)"/>
    <n v="229"/>
    <n v="234.1"/>
    <n v="5.0999999999999996"/>
    <x v="2"/>
    <m/>
    <m/>
    <s v="Federal"/>
    <m/>
    <m/>
    <m/>
    <s v="Federal"/>
    <s v="PAV"/>
    <s v="Passo Fundo"/>
  </r>
  <r>
    <x v="0"/>
    <s v="470BRS0470"/>
    <n v="0"/>
    <x v="449"/>
    <s v="0470"/>
    <n v="-51.480843000104301"/>
    <n v="-29.298508000243899"/>
    <n v="-51.505108000333898"/>
    <n v="-29.374607000412698"/>
    <s v="470"/>
    <s v="RS"/>
    <s v="Eixo Principal"/>
    <s v="-"/>
    <s v="470BRS0470"/>
    <s v="ENTR RS-446 (CARLOS BARBOSA)"/>
    <s v="ENTR R. FIORAVANTE GOBATTO (BARÃO)"/>
    <n v="234.1"/>
    <n v="246.1"/>
    <n v="12"/>
    <x v="2"/>
    <m/>
    <m/>
    <s v="Federal"/>
    <m/>
    <m/>
    <m/>
    <s v="Federal"/>
    <s v="PAV"/>
    <s v="Passo Fundo"/>
  </r>
  <r>
    <x v="0"/>
    <s v="470BRS0472"/>
    <n v="0"/>
    <x v="449"/>
    <s v="0472"/>
    <n v="-51.505108000333898"/>
    <n v="-29.374607000412698"/>
    <n v="-51.5169769703109"/>
    <n v="-29.410994490403301"/>
    <s v="470"/>
    <s v="RS"/>
    <s v="Eixo Principal"/>
    <s v="-"/>
    <s v="470BRS0472"/>
    <s v="ENTR R. FIORAVANTE GOBATTO (BARÃO)"/>
    <s v="ENTR AV. DUQUE DE CAXIAS (SÃO PEDRO DA SERRA)"/>
    <n v="246.1"/>
    <n v="255.5"/>
    <n v="9.4"/>
    <x v="2"/>
    <m/>
    <m/>
    <s v="Federal"/>
    <m/>
    <m/>
    <m/>
    <s v="Federal"/>
    <s v="PAV"/>
    <s v="Passo Fundo"/>
  </r>
  <r>
    <x v="0"/>
    <s v="470BRS0473"/>
    <n v="0"/>
    <x v="449"/>
    <s v="0473"/>
    <n v="-51.5169769703109"/>
    <n v="-29.410994490403301"/>
    <n v="-51.507984999907698"/>
    <n v="-29.4407140002508"/>
    <s v="470"/>
    <s v="RS"/>
    <s v="Eixo Principal"/>
    <s v="-"/>
    <s v="470BRS0473"/>
    <s v="ENTR AV. DUQUE DE CAXIAS (SÃO PEDRO DA SERRA)"/>
    <s v="ENTR AV. JACOB DAMIÃO MULLER (SALVADOR DO SUL)"/>
    <n v="255.5"/>
    <n v="257"/>
    <n v="1.5"/>
    <x v="2"/>
    <m/>
    <m/>
    <s v="Federal"/>
    <m/>
    <m/>
    <m/>
    <s v="Federal"/>
    <s v="PAV"/>
    <s v="Passo Fundo"/>
  </r>
  <r>
    <x v="0"/>
    <s v="470BRS0475"/>
    <n v="0"/>
    <x v="449"/>
    <s v="0475"/>
    <n v="-51.507984999907698"/>
    <n v="-29.4407140002508"/>
    <n v="-51.453777000208298"/>
    <n v="-29.669667999578401"/>
    <s v="470"/>
    <s v="RS"/>
    <s v="Eixo Principal"/>
    <s v="-"/>
    <s v="470BRS0475"/>
    <s v="ENTR AV. JACOB DAMIÃO MULLER (SALVADOR DO SUL)"/>
    <s v="ENTR BR-287(A)/RS-124(A)/240 (MONTENEGRO)"/>
    <n v="257"/>
    <n v="289.3"/>
    <n v="32.299999999999997"/>
    <x v="2"/>
    <m/>
    <m/>
    <s v="Federal"/>
    <m/>
    <m/>
    <m/>
    <s v="Federal"/>
    <s v="PAV"/>
    <s v="Passo Fundo"/>
  </r>
  <r>
    <x v="0"/>
    <s v="470BRS0480"/>
    <n v="0"/>
    <x v="449"/>
    <s v="0480"/>
    <n v="-51.453777000208298"/>
    <n v="-29.669667999578401"/>
    <n v="-51.474404189701502"/>
    <n v="-29.686069219918501"/>
    <s v="470"/>
    <s v="RS"/>
    <s v="Eixo Principal"/>
    <s v="Coinc"/>
    <s v="470BRS0480"/>
    <s v="ENTR BR-287(A)/RS-124(A)/240 (MONTENEGRO)"/>
    <s v="ENTR BR-287(B)/RS-124(B) (P/TABAÍ - INÍCIO TRAV MONTENEGRO)"/>
    <n v="289.3"/>
    <n v="292.5"/>
    <n v="3.2"/>
    <x v="1"/>
    <m/>
    <s v="287BRS0010"/>
    <s v="Estadual"/>
    <m/>
    <s v="RST-287"/>
    <s v="PAV"/>
    <s v="Estadual"/>
    <s v="PLA"/>
    <s v="Passo Fundo"/>
  </r>
  <r>
    <x v="0"/>
    <s v="470BRS0490"/>
    <n v="0"/>
    <x v="449"/>
    <s v="0490"/>
    <n v="-51.474404189701502"/>
    <n v="-29.686069219918501"/>
    <n v="-51.495552000324402"/>
    <n v="-29.7187440000355"/>
    <s v="470"/>
    <s v="RS"/>
    <s v="Eixo Principal"/>
    <s v="-"/>
    <s v="470BRS0490"/>
    <s v="ENTR BR-287(B)/RS-124(B) (P/TABAÍ - INÍCIO TRAV MONTENEGRO)"/>
    <s v="ENTR RS-124 (P/PÓLO PETROQUÍMICO - FIM TRAV MONTENEGR) *TRECHO MUNICIPAL*"/>
    <n v="292.5"/>
    <n v="297.39999999999998"/>
    <n v="4.9000000000000004"/>
    <x v="1"/>
    <m/>
    <m/>
    <s v="Estadual"/>
    <m/>
    <s v="RST-470"/>
    <s v="PAV"/>
    <s v="Estadual"/>
    <s v="PLA"/>
    <s v="Passo Fundo"/>
  </r>
  <r>
    <x v="0"/>
    <s v="470BRS0510"/>
    <n v="0"/>
    <x v="449"/>
    <s v="0510"/>
    <n v="-51.495552000324402"/>
    <n v="-29.7187440000355"/>
    <n v="-51.593022969834102"/>
    <n v="-29.7585741901467"/>
    <s v="470"/>
    <s v="RS"/>
    <s v="Eixo Principal"/>
    <s v="-"/>
    <s v="470BRS0510"/>
    <s v="ENTR RS-124 (P/PÓLO PETROQUÍMICO - FIM TRAV MONTENEGR)"/>
    <s v="ENTR BR-386 (P/POLO PETROQUÍMICO)"/>
    <n v="297.39999999999998"/>
    <n v="309.89999999999998"/>
    <n v="12.5"/>
    <x v="5"/>
    <m/>
    <m/>
    <s v="Federal"/>
    <m/>
    <m/>
    <m/>
    <s v="Federal"/>
    <s v="N_PAV"/>
    <s v="São Leopoldo"/>
  </r>
  <r>
    <x v="0"/>
    <s v="470BRS0530"/>
    <n v="0"/>
    <x v="449"/>
    <s v="0530"/>
    <n v="-51.593022969834102"/>
    <n v="-29.7585741901467"/>
    <n v="-51.683598550332803"/>
    <n v="-29.776406950420299"/>
    <s v="470"/>
    <s v="RS"/>
    <s v="Eixo Principal"/>
    <s v="-"/>
    <s v="470BRS0530"/>
    <s v="ENTR BR-386 (P/POLO PETROQUÍMICO)"/>
    <s v="ENTR RS-440 (GIL)(P/TABAI)"/>
    <n v="309.89999999999998"/>
    <n v="321.89999999999998"/>
    <n v="12"/>
    <x v="5"/>
    <m/>
    <m/>
    <s v="Federal"/>
    <m/>
    <m/>
    <m/>
    <s v="Federal"/>
    <s v="N_PAV"/>
    <s v="São Leopoldo"/>
  </r>
  <r>
    <x v="0"/>
    <s v="470BRS0535"/>
    <n v="0"/>
    <x v="449"/>
    <s v="0535"/>
    <n v="-51.683598550332803"/>
    <n v="-29.776406950420299"/>
    <n v="-51.707864420206697"/>
    <n v="-29.8652801700437"/>
    <s v="470"/>
    <s v="RS"/>
    <s v="Eixo Principal"/>
    <s v="-"/>
    <s v="470BRS0535"/>
    <s v="ENTR RS-440 (GIL)(P/TABAI)"/>
    <s v="TRIUNFO - ACESSO À BARCA"/>
    <n v="321.89999999999998"/>
    <n v="333.6"/>
    <n v="11.7"/>
    <x v="2"/>
    <m/>
    <m/>
    <s v="Federal"/>
    <m/>
    <m/>
    <m/>
    <s v="Federal"/>
    <s v="PAV"/>
    <s v="São Leopoldo"/>
  </r>
  <r>
    <x v="0"/>
    <s v="470BRS0540"/>
    <n v="0"/>
    <x v="449"/>
    <s v="0540"/>
    <n v="-51.707864420206697"/>
    <n v="-29.8652801700437"/>
    <n v="-51.718214630400801"/>
    <n v="-29.935996330266299"/>
    <s v="470"/>
    <s v="RS"/>
    <s v="Eixo Principal"/>
    <s v="-"/>
    <s v="470BRS0540"/>
    <s v="TRIUNFO - ACESSO À BARCA"/>
    <s v="ENTR TF-10 (ACESSO AO PÓLO PETROQUÍMICO)"/>
    <n v="333.6"/>
    <n v="341.2"/>
    <n v="7.6"/>
    <x v="2"/>
    <m/>
    <m/>
    <s v="Federal"/>
    <m/>
    <m/>
    <m/>
    <s v="Federal"/>
    <s v="PAV"/>
    <s v="São Leopoldo"/>
  </r>
  <r>
    <x v="0"/>
    <s v="470BRS0550"/>
    <n v="0"/>
    <x v="449"/>
    <s v="0550"/>
    <n v="-51.718214630400801"/>
    <n v="-29.935996330266299"/>
    <n v="-51.712415630077203"/>
    <n v="-29.945143699921701"/>
    <s v="470"/>
    <s v="RS"/>
    <s v="Eixo Principal"/>
    <s v="-"/>
    <s v="470BRS0550"/>
    <s v="ENTR TF-10 (ACESSO AO PÓLO PETROQUÍMICO)"/>
    <s v="INÍCIO TRAVESSIA S/RIO TAQUARI"/>
    <n v="341.2"/>
    <n v="342.6"/>
    <n v="1.4"/>
    <x v="2"/>
    <m/>
    <m/>
    <s v="Federal"/>
    <m/>
    <m/>
    <m/>
    <s v="Federal"/>
    <s v="PAV"/>
    <s v="São Leopoldo"/>
  </r>
  <r>
    <x v="0"/>
    <s v="470BRS0560"/>
    <n v="0"/>
    <x v="449"/>
    <s v="0560"/>
    <n v="-51.712415630077203"/>
    <n v="-29.945143699921701"/>
    <n v="-51.709846200441703"/>
    <n v="-29.952007139617699"/>
    <s v="470"/>
    <s v="RS"/>
    <s v="Eixo Principal"/>
    <s v="-"/>
    <s v="470BRS0560"/>
    <s v="INÍCIO TRAVESSIA S/RIO TAQUARI"/>
    <s v="FIM DA TRAVESSIA S/RIO TAQUARI"/>
    <n v="342.6"/>
    <n v="343.5"/>
    <n v="0.9"/>
    <x v="4"/>
    <m/>
    <m/>
    <s v="Federal"/>
    <m/>
    <m/>
    <m/>
    <s v="Federal"/>
    <s v="N_PAV"/>
    <s v="São Leopoldo"/>
  </r>
  <r>
    <x v="0"/>
    <s v="470BRS0565"/>
    <n v="0"/>
    <x v="449"/>
    <s v="0565"/>
    <n v="-51.709846200441703"/>
    <n v="-29.952007139617699"/>
    <n v="-51.728099999915003"/>
    <n v="-29.972047999915201"/>
    <s v="470"/>
    <s v="RS"/>
    <s v="Eixo Principal"/>
    <s v="-"/>
    <s v="470BRS0565"/>
    <s v="FIM DA TRAVESSIA S/RIO TAQUARI"/>
    <s v="ENTR RS-401 (SÃO JERÔNIMO)"/>
    <n v="343.5"/>
    <n v="347.5"/>
    <n v="4"/>
    <x v="2"/>
    <m/>
    <m/>
    <s v="Federal"/>
    <m/>
    <m/>
    <m/>
    <s v="Federal"/>
    <s v="PAV"/>
    <s v="São Leopoldo"/>
  </r>
  <r>
    <x v="0"/>
    <s v="470BRS0570"/>
    <n v="0"/>
    <x v="449"/>
    <s v="0570"/>
    <n v="-51.728099999915003"/>
    <n v="-29.972047999915201"/>
    <n v="-51.746756999635799"/>
    <n v="-30.020294999914199"/>
    <s v="470"/>
    <s v="RS"/>
    <s v="Eixo Principal"/>
    <s v="-"/>
    <s v="470BRS0570"/>
    <s v="ENTR RS-401 (SÃO JERÔNIMO)"/>
    <s v="FIM DA PAVIMENTAÇÃO"/>
    <n v="347.5"/>
    <n v="353.5"/>
    <n v="6"/>
    <x v="2"/>
    <m/>
    <m/>
    <s v="Federal"/>
    <m/>
    <m/>
    <m/>
    <s v="Federal"/>
    <s v="PAV"/>
    <s v="São Leopoldo"/>
  </r>
  <r>
    <x v="0"/>
    <s v="470BRS0580"/>
    <n v="0"/>
    <x v="449"/>
    <s v="0580"/>
    <n v="-51.746756999635799"/>
    <n v="-30.020294999914199"/>
    <n v="-51.833768719750502"/>
    <n v="-30.113662229827899"/>
    <s v="470"/>
    <s v="RS"/>
    <s v="Eixo Principal"/>
    <s v="-"/>
    <s v="470BRS0580"/>
    <s v="FIM DA PAVIMENTAÇÃO"/>
    <s v="ENTR BR-290 (P/PANTANO GRANDE)"/>
    <n v="353.5"/>
    <n v="366.7"/>
    <n v="13.2"/>
    <x v="5"/>
    <m/>
    <m/>
    <s v="Federal"/>
    <m/>
    <m/>
    <m/>
    <s v="Federal"/>
    <s v="N_PAV"/>
    <s v="São Leopoldo"/>
  </r>
  <r>
    <x v="0"/>
    <s v="470BRS0590"/>
    <n v="0"/>
    <x v="449"/>
    <s v="0590"/>
    <n v="-51.833768719750502"/>
    <n v="-30.113662229827899"/>
    <n v="-51.739065910263399"/>
    <n v="-30.389442220282199"/>
    <s v="470"/>
    <s v="RS"/>
    <s v="Eixo Principal"/>
    <s v="-"/>
    <s v="470BRS0590"/>
    <s v="ENTR BR-290 (P/PANTANO GRANDE)"/>
    <s v="BARÃO DO TRIUNFO"/>
    <n v="366.7"/>
    <n v="411.7"/>
    <n v="45"/>
    <x v="1"/>
    <m/>
    <m/>
    <s v="Federal"/>
    <m/>
    <m/>
    <m/>
    <s v="Federal"/>
    <s v="PLA"/>
    <s v="São Leopoldo"/>
  </r>
  <r>
    <x v="0"/>
    <s v="470BRS0600"/>
    <n v="0"/>
    <x v="449"/>
    <s v="0600"/>
    <n v="-51.739065910263399"/>
    <n v="-30.389442220282199"/>
    <n v="-51.8109437796316"/>
    <n v="-30.849124879909201"/>
    <s v="470"/>
    <s v="RS"/>
    <s v="Eixo Principal"/>
    <s v="-"/>
    <s v="470BRS0600"/>
    <s v="BARÃO DO TRIUNFO"/>
    <s v="ENTR RS-350 (CAMAQUÃ)"/>
    <n v="411.7"/>
    <n v="471.7"/>
    <n v="60"/>
    <x v="1"/>
    <m/>
    <m/>
    <s v="Federal"/>
    <m/>
    <m/>
    <m/>
    <s v="Federal"/>
    <s v="PLA"/>
    <s v="São Leopoldo"/>
  </r>
  <r>
    <x v="0"/>
    <s v="470BRS0610"/>
    <n v="0"/>
    <x v="449"/>
    <s v="0610"/>
    <n v="-51.8109437796316"/>
    <n v="-30.849124879909201"/>
    <n v="-51.7876339997092"/>
    <n v="-30.858952860086301"/>
    <s v="470"/>
    <s v="RS"/>
    <s v="Eixo Principal"/>
    <s v="-"/>
    <s v="470BRS0610"/>
    <s v="ENTR RS-350 (CAMAQUÃ)"/>
    <s v="ENTR BR-116 *TRECHO MUNICIPAL*"/>
    <n v="471.7"/>
    <n v="473.4"/>
    <n v="1.7"/>
    <x v="1"/>
    <m/>
    <m/>
    <s v="Estadual"/>
    <m/>
    <s v="RST-470"/>
    <s v="PAV"/>
    <s v="Estadual"/>
    <s v="PLA"/>
    <s v="São Leopoldo"/>
  </r>
  <r>
    <x v="0"/>
    <s v="470BSC0010"/>
    <n v="0"/>
    <x v="450"/>
    <s v="0010"/>
    <n v="-48.661831039970401"/>
    <n v="-26.882326489975402"/>
    <n v="-48.716231699633099"/>
    <n v="-26.841550079972102"/>
    <s v="470"/>
    <s v="SC"/>
    <s v="Eixo Principal"/>
    <s v="-"/>
    <s v="470BSC0010"/>
    <s v="ENTR R. FCO. DE PAULA SEARA (NAVEGANTES)"/>
    <s v="ENTR BR-101"/>
    <n v="0"/>
    <n v="7.4"/>
    <n v="7.4"/>
    <x v="2"/>
    <m/>
    <m/>
    <s v="Federal"/>
    <m/>
    <m/>
    <m/>
    <s v="Federal"/>
    <s v="PAV"/>
    <s v="Rio do Sul"/>
  </r>
  <r>
    <x v="0"/>
    <s v="470BSC0030"/>
    <n v="0"/>
    <x v="450"/>
    <s v="0030"/>
    <n v="-48.716231699633099"/>
    <n v="-26.841550079972102"/>
    <n v="-48.736235339689102"/>
    <n v="-26.833637549633099"/>
    <s v="470"/>
    <s v="SC"/>
    <s v="Eixo Principal"/>
    <s v="-"/>
    <s v="470BSC0030"/>
    <s v="ENTR BR-101"/>
    <s v="ENTR SC-414 (P/LUIZ ALVES)"/>
    <n v="7.4"/>
    <n v="9.9"/>
    <n v="2.5"/>
    <x v="2"/>
    <m/>
    <m/>
    <s v="Federal"/>
    <m/>
    <m/>
    <m/>
    <s v="Federal"/>
    <s v="PAV"/>
    <s v="Rio do Sul"/>
  </r>
  <r>
    <x v="0"/>
    <s v="470BSC0050"/>
    <n v="0"/>
    <x v="450"/>
    <s v="0050"/>
    <n v="-48.736235339689102"/>
    <n v="-26.833637549633099"/>
    <n v="-48.959951119948101"/>
    <n v="-26.913029840154898"/>
    <s v="470"/>
    <s v="SC"/>
    <s v="Eixo Principal"/>
    <s v="-"/>
    <s v="470BSC0050"/>
    <s v="ENTR SC-414 (P/LUIZ ALVES)"/>
    <s v="ACESSO GASPAR"/>
    <n v="9.9"/>
    <n v="35.1"/>
    <n v="25.2"/>
    <x v="2"/>
    <m/>
    <m/>
    <s v="Federal"/>
    <m/>
    <m/>
    <m/>
    <s v="Federal"/>
    <s v="PAV"/>
    <s v="Rio do Sul"/>
  </r>
  <r>
    <x v="0"/>
    <s v="470BSC0060"/>
    <n v="0"/>
    <x v="450"/>
    <s v="0060"/>
    <n v="-48.959951119948101"/>
    <n v="-26.913029840154898"/>
    <n v="-49.084920659660597"/>
    <n v="-26.862760680360999"/>
    <s v="470"/>
    <s v="SC"/>
    <s v="Eixo Principal"/>
    <s v="-"/>
    <s v="470BSC0060"/>
    <s v="ACESSO GASPAR"/>
    <s v="ENTR SC-108 (P/MASSARANDUBA)"/>
    <n v="35.1"/>
    <n v="51.1"/>
    <n v="16"/>
    <x v="2"/>
    <m/>
    <m/>
    <s v="Federal"/>
    <m/>
    <m/>
    <m/>
    <s v="Federal"/>
    <s v="PAV"/>
    <s v="Rio do Sul"/>
  </r>
  <r>
    <x v="0"/>
    <s v="470BSC0090"/>
    <n v="0"/>
    <x v="450"/>
    <s v="0090"/>
    <n v="-49.084920659660597"/>
    <n v="-26.862760680360999"/>
    <n v="-49.114386329565399"/>
    <n v="-26.874136079916099"/>
    <s v="470"/>
    <s v="SC"/>
    <s v="Eixo Principal"/>
    <s v="-"/>
    <s v="470BSC0090"/>
    <s v="ENTR SC-108 (P/MASSARANDUBA)"/>
    <s v="ENTR BR-477(A) (P/BLUMENAU)"/>
    <n v="51.1"/>
    <n v="54.6"/>
    <n v="3.5"/>
    <x v="2"/>
    <m/>
    <m/>
    <s v="Federal"/>
    <m/>
    <m/>
    <m/>
    <s v="Federal"/>
    <s v="PAV"/>
    <s v="Rio do Sul"/>
  </r>
  <r>
    <x v="0"/>
    <s v="470BSC0100"/>
    <n v="0"/>
    <x v="450"/>
    <s v="0100"/>
    <n v="-49.114386329565399"/>
    <n v="-26.874136079916099"/>
    <n v="-49.141713009647603"/>
    <n v="-26.882914900202401"/>
    <s v="470"/>
    <s v="SC"/>
    <s v="Eixo Principal"/>
    <s v="-"/>
    <s v="470BSC0100"/>
    <s v="ENTR BR-477(A) (P/BLUMENAU)"/>
    <s v="ENTR SC-421 (P/POMERODE)"/>
    <n v="54.6"/>
    <n v="57.6"/>
    <n v="3"/>
    <x v="2"/>
    <m/>
    <s v="477BSC0100"/>
    <s v="Federal"/>
    <m/>
    <m/>
    <m/>
    <s v="Federal"/>
    <s v="PAV"/>
    <s v="Rio do Sul"/>
  </r>
  <r>
    <x v="0"/>
    <s v="470BSC0110"/>
    <n v="0"/>
    <x v="450"/>
    <s v="0110"/>
    <n v="-49.141713009647603"/>
    <n v="-26.882914900202401"/>
    <n v="-49.246705520243403"/>
    <n v="-26.883745600379001"/>
    <s v="470"/>
    <s v="SC"/>
    <s v="Eixo Principal"/>
    <s v="-"/>
    <s v="470BSC0110"/>
    <s v="ENTR SC-421 (P/POMERODE)"/>
    <s v="ENTR BR-477(B) (P/TIMBÓ)"/>
    <n v="57.6"/>
    <n v="69"/>
    <n v="11.4"/>
    <x v="2"/>
    <m/>
    <s v="477BSC0090"/>
    <s v="Federal"/>
    <m/>
    <m/>
    <m/>
    <s v="Federal"/>
    <s v="PAV"/>
    <s v="Rio do Sul"/>
  </r>
  <r>
    <x v="0"/>
    <s v="470BSC0130"/>
    <n v="0"/>
    <x v="450"/>
    <s v="0130"/>
    <n v="-49.246705520243403"/>
    <n v="-26.883745600379001"/>
    <n v="-49.359272339646701"/>
    <n v="-26.949628230158599"/>
    <s v="470"/>
    <s v="SC"/>
    <s v="Eixo Principal"/>
    <s v="-"/>
    <s v="470BSC0130"/>
    <s v="ENTR BR-477(B) (P/TIMBÓ)"/>
    <s v="ENTR SC-110(A) (P/RODEIO)"/>
    <n v="69"/>
    <n v="86.2"/>
    <n v="17.2"/>
    <x v="2"/>
    <m/>
    <m/>
    <s v="Federal"/>
    <m/>
    <m/>
    <m/>
    <s v="Federal"/>
    <s v="PAV"/>
    <s v="Rio do Sul"/>
  </r>
  <r>
    <x v="0"/>
    <s v="470BSC0150"/>
    <n v="0"/>
    <x v="450"/>
    <s v="0150"/>
    <n v="-49.359272339646701"/>
    <n v="-26.949628230158599"/>
    <n v="-49.498224970206103"/>
    <n v="-27.078324449813401"/>
    <s v="470"/>
    <s v="SC"/>
    <s v="Eixo Principal"/>
    <s v="-"/>
    <s v="470BSC0150"/>
    <s v="ENTR SC-110(A) (P/RODEIO)"/>
    <s v="ENTR SC-340 (P/IBIRAMA)"/>
    <n v="86.2"/>
    <n v="116.4"/>
    <n v="30.2"/>
    <x v="2"/>
    <m/>
    <m/>
    <s v="Federal"/>
    <m/>
    <m/>
    <m/>
    <s v="Federal"/>
    <s v="PAV"/>
    <s v="Rio do Sul"/>
  </r>
  <r>
    <x v="0"/>
    <s v="470BSC0160"/>
    <n v="0"/>
    <x v="450"/>
    <s v="0160"/>
    <n v="-49.498224970206103"/>
    <n v="-27.078324449813401"/>
    <n v="-49.556499939820199"/>
    <n v="-27.160302400035601"/>
    <s v="470"/>
    <s v="SC"/>
    <s v="Eixo Principal"/>
    <s v="-"/>
    <s v="470BSC0160"/>
    <s v="ENTR SC-340 (P/IBIRAMA)"/>
    <s v="ENTR SC-110(B) (P/LONTRAS)"/>
    <n v="116.4"/>
    <n v="130.30000000000001"/>
    <n v="13.9"/>
    <x v="2"/>
    <m/>
    <m/>
    <s v="Federal"/>
    <m/>
    <m/>
    <m/>
    <s v="Federal"/>
    <s v="PAV"/>
    <s v="Rio do Sul"/>
  </r>
  <r>
    <x v="0"/>
    <s v="470BSC0165"/>
    <n v="0"/>
    <x v="450"/>
    <s v="0165"/>
    <n v="-49.556499939820199"/>
    <n v="-27.160302400035601"/>
    <n v="-49.6606369999975"/>
    <n v="-27.2211830896278"/>
    <s v="470"/>
    <s v="SC"/>
    <s v="Eixo Principal"/>
    <s v="-"/>
    <s v="470BSC0165"/>
    <s v="ENTR SC-110(B) (P/LONTRAS)"/>
    <s v="ENTR SC-350(A) (P/RIO DO SUL)"/>
    <n v="130.30000000000001"/>
    <n v="139.5"/>
    <n v="9.1999999999999993"/>
    <x v="2"/>
    <m/>
    <m/>
    <s v="Federal"/>
    <m/>
    <m/>
    <m/>
    <s v="Federal"/>
    <s v="PAV"/>
    <s v="Rio do Sul"/>
  </r>
  <r>
    <x v="0"/>
    <s v="470BSC0170"/>
    <n v="0"/>
    <x v="450"/>
    <s v="0170"/>
    <n v="-49.6606369999975"/>
    <n v="-27.2211830896278"/>
    <n v="-49.6943564703747"/>
    <n v="-27.246288650200899"/>
    <s v="470"/>
    <s v="SC"/>
    <s v="Eixo Principal"/>
    <s v="-"/>
    <s v="470BSC0170"/>
    <s v="ENTR SC-350(A) (P/RIO DO SUL)"/>
    <s v="ENTR SC-350(B) (P/LAURENTINO)"/>
    <n v="139.5"/>
    <n v="148"/>
    <n v="8.5"/>
    <x v="2"/>
    <m/>
    <m/>
    <s v="Federal"/>
    <m/>
    <m/>
    <m/>
    <s v="Federal"/>
    <s v="PAV"/>
    <s v="Rio do Sul"/>
  </r>
  <r>
    <x v="0"/>
    <s v="470BSC0173"/>
    <n v="0"/>
    <x v="450"/>
    <s v="0173"/>
    <n v="-49.6943564703747"/>
    <n v="-27.246288650200899"/>
    <n v="-49.783130910263203"/>
    <n v="-27.285952730134301"/>
    <s v="470"/>
    <s v="SC"/>
    <s v="Eixo Principal"/>
    <s v="-"/>
    <s v="470BSC0173"/>
    <s v="ENTR SC-350(B) (P/LAURENTINO)"/>
    <s v="ENTR SC-112 (P/TROMBUDO CENTRAL)"/>
    <n v="148"/>
    <n v="158.5"/>
    <n v="10.5"/>
    <x v="2"/>
    <m/>
    <m/>
    <s v="Federal"/>
    <m/>
    <m/>
    <m/>
    <s v="Federal"/>
    <s v="PAV"/>
    <s v="Rio do Sul"/>
  </r>
  <r>
    <x v="0"/>
    <s v="470BSC0175"/>
    <n v="0"/>
    <x v="450"/>
    <s v="0175"/>
    <n v="-49.783130910263203"/>
    <n v="-27.285952730134301"/>
    <n v="-49.959778490384899"/>
    <n v="-27.251019559904702"/>
    <s v="470"/>
    <s v="SC"/>
    <s v="Eixo Principal"/>
    <s v="-"/>
    <s v="470BSC0175"/>
    <s v="ENTR SC-112 (P/TROMBUDO CENTRAL)"/>
    <s v="ENTR SC-114(A) (P/TAIÓ)"/>
    <n v="158.5"/>
    <n v="177.2"/>
    <n v="18.7"/>
    <x v="2"/>
    <m/>
    <m/>
    <s v="Federal"/>
    <m/>
    <m/>
    <m/>
    <s v="Federal"/>
    <s v="PAV"/>
    <s v="Rio do Sul"/>
  </r>
  <r>
    <x v="0"/>
    <s v="470BSC0180"/>
    <n v="0"/>
    <x v="450"/>
    <s v="0180"/>
    <n v="-49.959778490384899"/>
    <n v="-27.251019559904702"/>
    <n v="-50.133894280196799"/>
    <n v="-27.308059079562799"/>
    <s v="470"/>
    <s v="SC"/>
    <s v="Eixo Principal"/>
    <s v="-"/>
    <s v="470BSC0180"/>
    <s v="ENTR SC-114(A) (P/TAIÓ)"/>
    <s v="ENTR SC-114(B) (P/OTACÍLIO COSTA)"/>
    <n v="177.2"/>
    <n v="199.6"/>
    <n v="22.4"/>
    <x v="2"/>
    <m/>
    <m/>
    <s v="Federal"/>
    <m/>
    <m/>
    <m/>
    <s v="Federal"/>
    <s v="PAV"/>
    <s v="Rio do Sul"/>
  </r>
  <r>
    <x v="0"/>
    <s v="470BSC0190"/>
    <n v="0"/>
    <x v="450"/>
    <s v="0190"/>
    <n v="-50.133894280196799"/>
    <n v="-27.308059079562799"/>
    <n v="-50.426082340227701"/>
    <n v="-27.301417980155598"/>
    <s v="470"/>
    <s v="SC"/>
    <s v="Eixo Principal"/>
    <s v="-"/>
    <s v="470BSC0190"/>
    <s v="ENTR SC-114(B) (P/OTACÍLIO COSTA)"/>
    <s v="ENTR BR-116"/>
    <n v="199.6"/>
    <n v="233.5"/>
    <n v="33.9"/>
    <x v="2"/>
    <m/>
    <m/>
    <s v="Federal"/>
    <m/>
    <m/>
    <m/>
    <s v="Federal"/>
    <s v="PAV"/>
    <s v="Rio do Sul"/>
  </r>
  <r>
    <x v="0"/>
    <s v="470BSC0210"/>
    <n v="0"/>
    <x v="450"/>
    <s v="0210"/>
    <n v="-50.426082340227701"/>
    <n v="-27.301417980155598"/>
    <n v="-50.561410229898101"/>
    <n v="-27.312584919558301"/>
    <s v="470"/>
    <s v="SC"/>
    <s v="Eixo Principal"/>
    <s v="-"/>
    <s v="470BSC0210"/>
    <s v="ENTR BR-116"/>
    <s v="ENTR SC-120 (P/CURITIBANOS)"/>
    <n v="233.5"/>
    <n v="249.2"/>
    <n v="15.7"/>
    <x v="2"/>
    <m/>
    <m/>
    <s v="Federal"/>
    <m/>
    <m/>
    <m/>
    <s v="Federal"/>
    <s v="PAV"/>
    <s v="Rio do Sul"/>
  </r>
  <r>
    <x v="0"/>
    <s v="470BSC0230"/>
    <n v="0"/>
    <x v="450"/>
    <s v="0230"/>
    <n v="-50.561410229898101"/>
    <n v="-27.312584919558301"/>
    <n v="-50.960192729610696"/>
    <n v="-27.335458270182901"/>
    <s v="470"/>
    <s v="SC"/>
    <s v="Eixo Principal"/>
    <s v="-"/>
    <s v="470BSC0230"/>
    <s v="ENTR SC-120 (P/CURITIBANOS)"/>
    <s v="ENTR SC-452 (P/FRAIBURGO)"/>
    <n v="249.2"/>
    <n v="289.8"/>
    <n v="40.6"/>
    <x v="2"/>
    <m/>
    <m/>
    <s v="Federal"/>
    <m/>
    <m/>
    <m/>
    <s v="Federal"/>
    <s v="PAV"/>
    <s v="Rio do Sul"/>
  </r>
  <r>
    <x v="0"/>
    <s v="470BSC0250"/>
    <n v="0"/>
    <x v="450"/>
    <s v="0250"/>
    <n v="-50.960192729610696"/>
    <n v="-27.335458270182901"/>
    <n v="-51.066755110259997"/>
    <n v="-27.3742909403745"/>
    <s v="470"/>
    <s v="SC"/>
    <s v="Eixo Principal"/>
    <s v="-"/>
    <s v="470BSC0250"/>
    <s v="ENTR SC-452 (P/FRAIBURGO)"/>
    <s v="ENTR BR-282(A)"/>
    <n v="289.8"/>
    <n v="302.10000000000002"/>
    <n v="12.3"/>
    <x v="2"/>
    <m/>
    <m/>
    <s v="Federal"/>
    <m/>
    <m/>
    <m/>
    <s v="Federal"/>
    <s v="PAV"/>
    <s v="Rio do Sul"/>
  </r>
  <r>
    <x v="0"/>
    <s v="470BSC0270"/>
    <n v="0"/>
    <x v="450"/>
    <s v="0270"/>
    <n v="-51.066755110259997"/>
    <n v="-27.3742909403745"/>
    <n v="-51.1921896804093"/>
    <n v="-27.3933931602661"/>
    <s v="470"/>
    <s v="SC"/>
    <s v="Eixo Principal"/>
    <s v="Coinc"/>
    <s v="470BSC0270"/>
    <s v="ENTR BR-282(A)"/>
    <s v="ENTR BR-282(B)/283(A) (P/CAMPOS NOVOS)"/>
    <n v="302.10000000000002"/>
    <n v="315"/>
    <n v="12.9"/>
    <x v="2"/>
    <m/>
    <s v="282BSC0230"/>
    <s v="Federal"/>
    <m/>
    <m/>
    <m/>
    <s v="Federal"/>
    <s v="PAV"/>
    <s v="Joaçaba"/>
  </r>
  <r>
    <x v="0"/>
    <s v="470BSC0290"/>
    <n v="0"/>
    <x v="450"/>
    <s v="0290"/>
    <n v="-51.1921896804093"/>
    <n v="-27.3933931602661"/>
    <n v="-51.247856640371502"/>
    <n v="-27.447548170111901"/>
    <s v="470"/>
    <s v="SC"/>
    <s v="Eixo Principal"/>
    <s v="Coinc"/>
    <s v="470BSC0290"/>
    <s v="ENTR BR-282(B)/283(A) (P/CAMPOS NOVOS)"/>
    <s v="ENTR SC-284 (P/DISTRITO DE IBICUÍ)"/>
    <n v="315"/>
    <n v="324.10000000000002"/>
    <n v="9.1"/>
    <x v="2"/>
    <m/>
    <s v="283BSC0015"/>
    <s v="Federal"/>
    <m/>
    <m/>
    <m/>
    <s v="Federal"/>
    <s v="PAV"/>
    <s v="Joaçaba"/>
  </r>
  <r>
    <x v="0"/>
    <s v="470BSC0295"/>
    <n v="0"/>
    <x v="450"/>
    <s v="0295"/>
    <n v="-51.247856640371502"/>
    <n v="-27.447548170111901"/>
    <n v="-51.2734290803877"/>
    <n v="-27.466977010280701"/>
    <s v="470"/>
    <s v="SC"/>
    <s v="Eixo Principal"/>
    <s v="Coinc"/>
    <s v="470BSC0295"/>
    <s v="ENTR SC-284 (P/DISTRITO DE IBICUÍ)"/>
    <s v="ENTR SC-135 (P/CELSO RAMOS)"/>
    <n v="324.10000000000002"/>
    <n v="327.5"/>
    <n v="3.4"/>
    <x v="2"/>
    <m/>
    <s v="283BSC0020"/>
    <s v="Federal"/>
    <m/>
    <m/>
    <m/>
    <s v="Federal"/>
    <s v="PAV"/>
    <s v="Joaçaba"/>
  </r>
  <r>
    <x v="0"/>
    <s v="470BSC0300"/>
    <n v="0"/>
    <x v="450"/>
    <s v="0300"/>
    <n v="-51.2734290803877"/>
    <n v="-27.466977010280701"/>
    <n v="-51.388291729579599"/>
    <n v="-27.530013169771902"/>
    <s v="470"/>
    <s v="SC"/>
    <s v="Eixo Principal"/>
    <s v="Coinc"/>
    <s v="470BSC0300"/>
    <s v="ENTR SC-135 (P/CELSO RAMOS)"/>
    <s v="ENTR BR-283(B)/SC-390 (ENCRUZILHADA)"/>
    <n v="327.5"/>
    <n v="341.8"/>
    <n v="14.3"/>
    <x v="2"/>
    <m/>
    <s v="283BSC0025"/>
    <s v="Federal"/>
    <m/>
    <m/>
    <m/>
    <s v="Federal"/>
    <s v="PAV"/>
    <s v="Joaçaba"/>
  </r>
  <r>
    <x v="0"/>
    <s v="470BSC0310"/>
    <n v="0"/>
    <x v="450"/>
    <s v="0310"/>
    <n v="-51.388291729579599"/>
    <n v="-27.530013169771902"/>
    <n v="-51.471258249668402"/>
    <n v="-27.600790650268198"/>
    <s v="470"/>
    <s v="SC"/>
    <s v="Eixo Principal"/>
    <s v="-"/>
    <s v="470BSC0310"/>
    <s v="ENTR BR-283(B)/SC-390 (ENCRUZILHADA)"/>
    <s v="DIV SC/RS (INÍCIO DA PONTE SOBRE O RIO PELOTAS)"/>
    <n v="341.8"/>
    <n v="356.6"/>
    <n v="14.8"/>
    <x v="2"/>
    <m/>
    <m/>
    <s v="Federal"/>
    <m/>
    <m/>
    <m/>
    <s v="Federal"/>
    <s v="PAV"/>
    <s v="Joaçaba"/>
  </r>
  <r>
    <x v="0"/>
    <s v="471BRS0005"/>
    <n v="0"/>
    <x v="451"/>
    <s v="0005"/>
    <n v="-52.476098669617798"/>
    <n v="-28.822922160329298"/>
    <n v="-52.516773889703103"/>
    <n v="-28.853131449956301"/>
    <s v="471"/>
    <s v="RS"/>
    <s v="Eixo Principal"/>
    <s v="Coinc"/>
    <s v="471BRS0005"/>
    <s v="ENTR BR-153(A)/386/RS-332(A) (SOLEDADE)"/>
    <s v="ENTR RS-332(B)/ACESSO SUL DE SOLEDADE"/>
    <n v="0"/>
    <n v="5.8"/>
    <n v="5.8"/>
    <x v="1"/>
    <m/>
    <s v="153BRS1725"/>
    <s v="Estadual"/>
    <m/>
    <s v="RS-332"/>
    <s v="PAV"/>
    <s v="Estadual"/>
    <s v="PLA"/>
    <s v="Passo Fundo"/>
  </r>
  <r>
    <x v="0"/>
    <s v="471BRS0010"/>
    <n v="0"/>
    <x v="451"/>
    <s v="0010"/>
    <n v="-52.516773889703103"/>
    <n v="-28.853131449956301"/>
    <n v="-52.5960624596147"/>
    <n v="-29.0936539899396"/>
    <s v="471"/>
    <s v="RS"/>
    <s v="Eixo Principal"/>
    <s v="Coinc"/>
    <s v="471BRS0010"/>
    <s v="ENTR RS-332(B)/ACESSO SUL DE SOLEDADE"/>
    <s v="BARROS CASSAL"/>
    <n v="5.8"/>
    <n v="41"/>
    <n v="35.200000000000003"/>
    <x v="1"/>
    <m/>
    <s v="153BRS1730"/>
    <s v="Estadual"/>
    <m/>
    <s v="RS-332"/>
    <s v="PAV"/>
    <s v="Estadual"/>
    <s v="PLA"/>
    <s v="Passo Fundo"/>
  </r>
  <r>
    <x v="0"/>
    <s v="471BRS0020"/>
    <n v="0"/>
    <x v="451"/>
    <s v="0020"/>
    <n v="-52.5960624596147"/>
    <n v="-29.0936539899396"/>
    <n v="-52.667645589672098"/>
    <n v="-29.4579902096803"/>
    <s v="471"/>
    <s v="RS"/>
    <s v="Eixo Principal"/>
    <s v="Coinc"/>
    <s v="471BRS0020"/>
    <s v="BARROS CASSAL"/>
    <s v="HERVEIRAS"/>
    <n v="41"/>
    <n v="88.9"/>
    <n v="47.9"/>
    <x v="1"/>
    <m/>
    <s v="153BRS1740"/>
    <s v="Estadual"/>
    <m/>
    <s v="RS-153"/>
    <s v="PAV"/>
    <s v="Estadual"/>
    <s v="PLA"/>
    <s v="Passo Fundo"/>
  </r>
  <r>
    <x v="0"/>
    <s v="471BRS0030"/>
    <n v="0"/>
    <x v="451"/>
    <s v="0030"/>
    <n v="-52.667645589672098"/>
    <n v="-29.4579902096803"/>
    <n v="-52.560991790238802"/>
    <n v="-29.703069150420902"/>
    <s v="471"/>
    <s v="RS"/>
    <s v="Eixo Principal"/>
    <s v="Coinc"/>
    <s v="471BRS0030"/>
    <s v="HERVEIRAS"/>
    <s v="ENTR BR-287(A)/153(B)"/>
    <n v="88.9"/>
    <n v="122.6"/>
    <n v="33.700000000000003"/>
    <x v="1"/>
    <m/>
    <s v="153BRS1750"/>
    <s v="Estadual"/>
    <m/>
    <s v="RS-153"/>
    <s v="PAV"/>
    <s v="Estadual"/>
    <s v="PLA"/>
    <s v="Passo Fundo"/>
  </r>
  <r>
    <x v="0"/>
    <s v="471BRS0040"/>
    <n v="0"/>
    <x v="451"/>
    <s v="0040"/>
    <n v="-52.560991790238802"/>
    <n v="-29.703069150420902"/>
    <n v="-52.449745350067801"/>
    <n v="-29.689495760121101"/>
    <s v="471"/>
    <s v="RS"/>
    <s v="Eixo Principal"/>
    <s v="Coinc"/>
    <s v="471BRS0040"/>
    <s v="ENTR BR-287(A)/153(B)"/>
    <s v="ENTR BR-287(B) (P/ SANTA CRUZ DO SUL)"/>
    <n v="122.6"/>
    <n v="133.6"/>
    <n v="11"/>
    <x v="1"/>
    <m/>
    <s v="287BRS0090"/>
    <s v="Estadual"/>
    <m/>
    <s v="RST-287"/>
    <s v="PAV"/>
    <s v="Estadual"/>
    <s v="PLA"/>
    <s v="Passo Fundo"/>
  </r>
  <r>
    <x v="0"/>
    <s v="471BRS0050"/>
    <n v="0"/>
    <x v="451"/>
    <s v="0050"/>
    <n v="-52.449745350067801"/>
    <n v="-29.689495760121101"/>
    <n v="-52.452204449975298"/>
    <n v="-29.7294542996761"/>
    <s v="471"/>
    <s v="RS"/>
    <s v="Eixo Principal"/>
    <s v="-"/>
    <s v="471BRS0050"/>
    <s v="ENTR BR-287(B) (P/ SANTA CRUZ DO SUL)"/>
    <s v="ENTR RS-409 (P/VERA CRUZ)"/>
    <n v="133.6"/>
    <n v="138.30000000000001"/>
    <n v="4.7"/>
    <x v="2"/>
    <m/>
    <m/>
    <s v="Convênio de Administração"/>
    <m/>
    <m/>
    <m/>
    <s v="Federal"/>
    <s v="PAV"/>
    <s v="São Leopoldo"/>
  </r>
  <r>
    <x v="0"/>
    <s v="471BRS0051"/>
    <n v="0"/>
    <x v="451"/>
    <s v="0051"/>
    <n v="-52.452204449975298"/>
    <n v="-29.7294542996761"/>
    <n v="-52.426907859909697"/>
    <n v="-29.7567362196007"/>
    <s v="471"/>
    <s v="RS"/>
    <s v="Eixo Principal"/>
    <s v="-"/>
    <s v="471BRS0051"/>
    <s v="ENTR RS-409 (P/VERA CRUZ)"/>
    <s v="ACESSO SUL SANTA CRUZ DO SUL"/>
    <n v="138.30000000000001"/>
    <n v="142.80000000000001"/>
    <n v="4.5"/>
    <x v="2"/>
    <m/>
    <m/>
    <s v="Convênio de Administração"/>
    <m/>
    <m/>
    <m/>
    <s v="Federal"/>
    <s v="PAV"/>
    <s v="São Leopoldo"/>
  </r>
  <r>
    <x v="0"/>
    <s v="471BRS0052"/>
    <n v="0"/>
    <x v="451"/>
    <s v="0052"/>
    <n v="-52.426907859909697"/>
    <n v="-29.7567362196007"/>
    <n v="-52.371023930409997"/>
    <n v="-29.9737502996365"/>
    <s v="471"/>
    <s v="RS"/>
    <s v="Eixo Principal"/>
    <s v="-"/>
    <s v="471BRS0052"/>
    <s v="ACESSO SUL SANTA CRUZ DO SUL"/>
    <s v="ENTR RS-403 (RIO PARDO)"/>
    <n v="142.80000000000001"/>
    <n v="168.3"/>
    <n v="25.5"/>
    <x v="2"/>
    <m/>
    <m/>
    <s v="Federal"/>
    <m/>
    <m/>
    <m/>
    <s v="Federal"/>
    <s v="PAV"/>
    <s v="São Leopoldo"/>
  </r>
  <r>
    <x v="0"/>
    <s v="471BRS0070"/>
    <n v="0"/>
    <x v="451"/>
    <s v="0070"/>
    <n v="-52.371023930409997"/>
    <n v="-29.9737502996365"/>
    <n v="-52.3734554400165"/>
    <n v="-30.190155330004401"/>
    <s v="471"/>
    <s v="RS"/>
    <s v="Eixo Principal"/>
    <s v="-"/>
    <s v="471BRS0070"/>
    <s v="ENTR RS-403 (RIO PARDO)"/>
    <s v="ENTR BR-290 (PANTANO GRANDE)"/>
    <n v="168.3"/>
    <n v="192.7"/>
    <n v="24.4"/>
    <x v="2"/>
    <m/>
    <m/>
    <s v="Federal"/>
    <m/>
    <m/>
    <m/>
    <s v="Federal"/>
    <s v="PAV"/>
    <s v="São Leopoldo"/>
  </r>
  <r>
    <x v="0"/>
    <s v="471BRS0090"/>
    <n v="0"/>
    <x v="451"/>
    <s v="0090"/>
    <n v="-52.3734554400165"/>
    <n v="-30.190155330004401"/>
    <n v="-52.368997190367999"/>
    <n v="-30.311746560155498"/>
    <s v="471"/>
    <s v="RS"/>
    <s v="Eixo Principal"/>
    <s v="-"/>
    <s v="471BRS0090"/>
    <s v="ENTR BR-290 (PANTANO GRANDE)"/>
    <s v="ACESSO CAPIVARITA"/>
    <n v="192.7"/>
    <n v="208.4"/>
    <n v="15.7"/>
    <x v="1"/>
    <m/>
    <m/>
    <s v="Estadual"/>
    <m/>
    <s v="RSC-471"/>
    <s v="PAV"/>
    <s v="Estadual"/>
    <s v="PLA"/>
    <s v="Pelotas"/>
  </r>
  <r>
    <x v="0"/>
    <s v="471BRS0095"/>
    <n v="0"/>
    <x v="451"/>
    <s v="0095"/>
    <n v="-52.368997190367999"/>
    <n v="-30.311746560155498"/>
    <n v="-52.493605449931501"/>
    <n v="-30.535136290307399"/>
    <s v="471"/>
    <s v="RS"/>
    <s v="Eixo Principal"/>
    <s v="-"/>
    <s v="471BRS0095"/>
    <s v="ACESSO CAPIVARITA"/>
    <s v="ENTR RS-350(A) (P/ENCRUZILHADA  DO SUL)"/>
    <n v="208.4"/>
    <n v="238.2"/>
    <n v="29.8"/>
    <x v="1"/>
    <m/>
    <m/>
    <s v="Estadual"/>
    <m/>
    <s v="RST-471"/>
    <s v="PAV"/>
    <s v="Estadual"/>
    <s v="PLA"/>
    <s v="Pelotas"/>
  </r>
  <r>
    <x v="0"/>
    <s v="471BRS0102"/>
    <n v="0"/>
    <x v="451"/>
    <s v="0102"/>
    <n v="-52.493605449931501"/>
    <n v="-30.535136290307399"/>
    <n v="-52.492007559701001"/>
    <n v="-30.538345340265199"/>
    <s v="471"/>
    <s v="RS"/>
    <s v="Eixo Principal"/>
    <s v="-"/>
    <s v="471BRS0102"/>
    <s v="ENTR RS-350(A) (P/ENCRUZILHADA  DO SUL)"/>
    <s v="ENTR RS-350(B) (P/DOM FELICIANO)"/>
    <n v="238.2"/>
    <n v="238.5"/>
    <n v="0.3"/>
    <x v="1"/>
    <m/>
    <m/>
    <s v="Estadual"/>
    <m/>
    <s v="RST-471"/>
    <s v="PAV"/>
    <s v="Estadual"/>
    <s v="PLA"/>
    <s v="Pelotas"/>
  </r>
  <r>
    <x v="0"/>
    <s v="471BRS0110"/>
    <n v="0"/>
    <x v="451"/>
    <s v="0110"/>
    <n v="-52.492007559701001"/>
    <n v="-30.538345340265199"/>
    <n v="-52.643650629772701"/>
    <n v="-30.9396393397836"/>
    <s v="471"/>
    <s v="RS"/>
    <s v="Eixo Principal"/>
    <s v="-"/>
    <s v="471BRS0110"/>
    <s v="ENTR RS-350(B) (P/DOM FELICIANO)"/>
    <s v="INÍCIO PONTE S/RIO CAMAQUÃ"/>
    <n v="238.5"/>
    <n v="300.8"/>
    <n v="62.3"/>
    <x v="1"/>
    <m/>
    <m/>
    <s v="Estadual"/>
    <m/>
    <s v="RST-471"/>
    <s v="PAV"/>
    <s v="Estadual"/>
    <s v="PLA"/>
    <s v="Pelotas"/>
  </r>
  <r>
    <x v="0"/>
    <s v="471BRS0125"/>
    <n v="0"/>
    <x v="451"/>
    <s v="0125"/>
    <n v="-52.643650629772701"/>
    <n v="-30.9396393397836"/>
    <n v="-52.850924530442597"/>
    <n v="-31.1707216602763"/>
    <s v="471"/>
    <s v="RS"/>
    <s v="Eixo Principal"/>
    <s v="-"/>
    <s v="471BRS0125"/>
    <s v="INÍCIO PONTE S/RIO CAMAQUÃ"/>
    <s v="ENTR BR-392(A) (P/SANTANA DA BOA VISTA)"/>
    <n v="300.8"/>
    <n v="335.6"/>
    <n v="34.799999999999997"/>
    <x v="1"/>
    <m/>
    <m/>
    <s v="Estadual"/>
    <m/>
    <s v="RST-471"/>
    <s v="PAV"/>
    <s v="Estadual"/>
    <s v="PLA"/>
    <s v="Pelotas"/>
  </r>
  <r>
    <x v="0"/>
    <s v="471BRS0130"/>
    <n v="0"/>
    <x v="451"/>
    <s v="0130"/>
    <n v="-52.850924530442597"/>
    <n v="-31.1707216602763"/>
    <n v="-52.725441360030601"/>
    <n v="-31.3650610697125"/>
    <s v="471"/>
    <s v="RS"/>
    <s v="Eixo Principal"/>
    <s v="Coinc"/>
    <s v="471BRS0130"/>
    <s v="ENTR BR-392(A) (P/SANTANA DA BOA VISTA)"/>
    <s v="ENTR RS-265(A) (P/CANCELÃO)"/>
    <n v="335.6"/>
    <n v="360.9"/>
    <n v="25.3"/>
    <x v="2"/>
    <m/>
    <s v="392BRS0150"/>
    <s v="Concessão Federal"/>
    <m/>
    <m/>
    <m/>
    <s v="Federal"/>
    <s v="PAV"/>
    <s v="Pelotas"/>
  </r>
  <r>
    <x v="0"/>
    <s v="471BRS0140"/>
    <n v="0"/>
    <x v="451"/>
    <s v="0140"/>
    <n v="-52.725441360030601"/>
    <n v="-31.3650610697125"/>
    <n v="-52.696091459852902"/>
    <n v="-31.3913874401781"/>
    <s v="471"/>
    <s v="RS"/>
    <s v="Eixo Principal"/>
    <s v="Coinc"/>
    <s v="471BRS0140"/>
    <s v="ENTR RS-265(A) (P/CANCELÃO)"/>
    <s v="ENTR BR-265(B) (P/CANGUÇU)"/>
    <n v="360.9"/>
    <n v="365.2"/>
    <n v="4.3"/>
    <x v="2"/>
    <m/>
    <s v="392BRS0130"/>
    <s v="Concessão Federal"/>
    <m/>
    <m/>
    <m/>
    <s v="Federal"/>
    <s v="PAV"/>
    <s v="Pelotas"/>
  </r>
  <r>
    <x v="0"/>
    <s v="471BRS0150"/>
    <n v="0"/>
    <x v="451"/>
    <s v="0150"/>
    <n v="-52.696091459852902"/>
    <n v="-31.3913874401781"/>
    <n v="-52.384862709746201"/>
    <n v="-31.725837930176201"/>
    <s v="471"/>
    <s v="RS"/>
    <s v="Eixo Principal"/>
    <s v="Coinc"/>
    <s v="471BRS0150"/>
    <s v="ENTR BR-265(B) (P/CANGUÇU)"/>
    <s v="ENTR BR-116(A)/293(A)/392(B) (P/PELOTAS)"/>
    <n v="365.2"/>
    <n v="414.6"/>
    <n v="49.4"/>
    <x v="2"/>
    <m/>
    <s v="392BRS0110"/>
    <s v="Concessão Federal"/>
    <m/>
    <m/>
    <m/>
    <s v="Federal"/>
    <s v="PAV"/>
    <s v="Pelotas"/>
  </r>
  <r>
    <x v="0"/>
    <s v="471BRS0170"/>
    <n v="0"/>
    <x v="451"/>
    <s v="0170"/>
    <n v="-52.384862709746201"/>
    <n v="-31.725837930176201"/>
    <n v="-52.4041712404103"/>
    <n v="-31.7453258899777"/>
    <s v="471"/>
    <s v="RS"/>
    <s v="Eixo Principal"/>
    <s v="Coinc"/>
    <s v="471BRS0170"/>
    <s v="ENTR BR-116(A)/293(A)/392(B) (P/PELOTAS)"/>
    <s v="ENTR BR-116(B)/293(B)"/>
    <n v="414.6"/>
    <n v="417.5"/>
    <n v="2.9"/>
    <x v="2"/>
    <s v="EOD"/>
    <s v="392BRS0100;293BRS0011;116BRS3370"/>
    <s v="Concessão Federal"/>
    <m/>
    <m/>
    <m/>
    <s v="Federal"/>
    <s v="PAV"/>
    <s v="Pelotas"/>
  </r>
  <r>
    <x v="0"/>
    <s v="471BRS0180"/>
    <n v="0"/>
    <x v="451"/>
    <s v="0180"/>
    <n v="-52.4041712404103"/>
    <n v="-31.7453258899777"/>
    <n v="-52.359581579925901"/>
    <n v="-31.7778190097394"/>
    <s v="471"/>
    <s v="RS"/>
    <s v="Eixo Principal"/>
    <s v="Coinc"/>
    <s v="471BRS0180"/>
    <s v="ENTR BR-116(B)/293(B)"/>
    <s v="ACESSO PELOTAS"/>
    <n v="417.5"/>
    <n v="423.7"/>
    <n v="6.2"/>
    <x v="2"/>
    <s v="EOD"/>
    <s v="392BRS0090"/>
    <s v="Concessão Federal"/>
    <m/>
    <m/>
    <m/>
    <s v="Federal"/>
    <s v="PAV"/>
    <s v="Pelotas"/>
  </r>
  <r>
    <x v="0"/>
    <s v="471BRS0190"/>
    <n v="0"/>
    <x v="451"/>
    <s v="0190"/>
    <n v="-52.359581579925901"/>
    <n v="-31.7778190097394"/>
    <n v="-52.264658389772798"/>
    <n v="-32.074825249685396"/>
    <s v="471"/>
    <s v="RS"/>
    <s v="Eixo Principal"/>
    <s v="Coinc"/>
    <s v="471BRS0190"/>
    <s v="ACESSO PELOTAS"/>
    <s v="ENTR BR-392(B) (QUINTA)"/>
    <n v="423.7"/>
    <n v="459"/>
    <n v="35.299999999999997"/>
    <x v="0"/>
    <m/>
    <s v="392BRS0070"/>
    <s v="Concessão Federal"/>
    <m/>
    <m/>
    <m/>
    <s v="Federal"/>
    <s v="PAV"/>
    <s v="Pelotas"/>
  </r>
  <r>
    <x v="0"/>
    <s v="471BRS0210"/>
    <n v="0"/>
    <x v="451"/>
    <s v="0210"/>
    <n v="-52.264658389772798"/>
    <n v="-32.074825249685396"/>
    <n v="-52.454129509968801"/>
    <n v="-32.2099534098219"/>
    <s v="471"/>
    <s v="RS"/>
    <s v="Eixo Principal"/>
    <s v="-"/>
    <s v="471BRS0210"/>
    <s v="ENTR BR-392(B) (QUINTA)"/>
    <s v="ENTR BR-473 (SARANDI)"/>
    <n v="459"/>
    <n v="483.1"/>
    <n v="24.1"/>
    <x v="2"/>
    <m/>
    <m/>
    <s v="Federal"/>
    <m/>
    <m/>
    <m/>
    <s v="Federal"/>
    <s v="PAV"/>
    <s v="Pelotas"/>
  </r>
  <r>
    <x v="0"/>
    <s v="471BRS0230"/>
    <n v="0"/>
    <x v="451"/>
    <s v="0230"/>
    <n v="-52.454129509968801"/>
    <n v="-32.2099534098219"/>
    <n v="-52.8436938399986"/>
    <n v="-33.0204461600621"/>
    <s v="471"/>
    <s v="RS"/>
    <s v="Eixo Principal"/>
    <s v="-"/>
    <s v="471BRS0230"/>
    <s v="ENTR BR-473 (SARANDI)"/>
    <s v="ACESSO P/ LAGOA MIRIM (CURRAL ALTO)"/>
    <n v="483.1"/>
    <n v="574.20000000000005"/>
    <n v="91.1"/>
    <x v="2"/>
    <m/>
    <m/>
    <s v="Federal"/>
    <m/>
    <m/>
    <m/>
    <s v="Federal"/>
    <s v="PAV"/>
    <s v="Pelotas"/>
  </r>
  <r>
    <x v="0"/>
    <s v="471BRS0250"/>
    <n v="0"/>
    <x v="451"/>
    <s v="0250"/>
    <n v="-52.8436938399986"/>
    <n v="-33.0204461600621"/>
    <n v="-53.345299389654997"/>
    <n v="-33.530626169861797"/>
    <s v="471"/>
    <s v="RS"/>
    <s v="Eixo Principal"/>
    <s v="-"/>
    <s v="471BRS0250"/>
    <s v="ACESSO P/ LAGOA MIRIM (CURRAL ALTO)"/>
    <s v="ENTR R. JUSTINO AMONTE ANACKER (SANTA VITÓRIA DO PALMAR)"/>
    <n v="574.20000000000005"/>
    <n v="659.6"/>
    <n v="85.4"/>
    <x v="2"/>
    <m/>
    <m/>
    <s v="Federal"/>
    <m/>
    <m/>
    <m/>
    <s v="Federal"/>
    <s v="PAV"/>
    <s v="Pelotas"/>
  </r>
  <r>
    <x v="0"/>
    <s v="471BRS0270"/>
    <n v="0"/>
    <x v="451"/>
    <s v="0270"/>
    <n v="-53.345299389654997"/>
    <n v="-33.530626169861797"/>
    <n v="-53.447258020241399"/>
    <n v="-33.693081359916697"/>
    <s v="471"/>
    <s v="RS"/>
    <s v="Eixo Principal"/>
    <s v="-"/>
    <s v="471BRS0270"/>
    <s v="ENTR R. JUSTINO AMONTE ANACKER (SANTA VITÓRIA DO PALMAR)"/>
    <s v="ENTR AV. URUGUAI (FRONT BRASIL/URUGUAI) (CHUÍ)"/>
    <n v="659.6"/>
    <n v="680.3"/>
    <n v="20.7"/>
    <x v="2"/>
    <m/>
    <m/>
    <s v="Federal"/>
    <m/>
    <m/>
    <m/>
    <s v="Federal"/>
    <s v="PAV"/>
    <s v="Pelotas"/>
  </r>
  <r>
    <x v="0"/>
    <s v="472BRS0010"/>
    <n v="0"/>
    <x v="452"/>
    <s v="0010"/>
    <n v="-53.421561319998801"/>
    <n v="-27.4224668399726"/>
    <n v="-53.5597106401339"/>
    <n v="-27.3539204101987"/>
    <s v="472"/>
    <s v="RS"/>
    <s v="Eixo Principal"/>
    <s v="-"/>
    <s v="472BRS0010"/>
    <s v="ENTR BR-158/386 (P/FREDERICO WESTPHALEN)"/>
    <s v="ENTR RS-528 (PALMITINHO)"/>
    <n v="0"/>
    <n v="16.399999999999999"/>
    <n v="16.399999999999999"/>
    <x v="1"/>
    <m/>
    <m/>
    <s v="Estadual"/>
    <m/>
    <s v="RST-472"/>
    <s v="PAV"/>
    <s v="Estadual"/>
    <s v="PLA"/>
    <s v="Cruz Alta"/>
  </r>
  <r>
    <x v="0"/>
    <s v="472BRS0015"/>
    <n v="0"/>
    <x v="452"/>
    <s v="0015"/>
    <n v="-53.5597106401339"/>
    <n v="-27.3539204101987"/>
    <n v="-53.730081879575003"/>
    <n v="-27.341461359953701"/>
    <s v="472"/>
    <s v="RS"/>
    <s v="Eixo Principal"/>
    <s v="-"/>
    <s v="472BRS0015"/>
    <s v="ENTR RS-528 (PALMITINHO)"/>
    <s v="ENTR BR-163 (P/ITAPIRANGA)"/>
    <n v="16.399999999999999"/>
    <n v="38.5"/>
    <n v="22.1"/>
    <x v="1"/>
    <m/>
    <m/>
    <s v="Estadual"/>
    <m/>
    <s v="RST-472"/>
    <s v="PAV"/>
    <s v="Estadual"/>
    <s v="PLA"/>
    <s v="Cruz Alta"/>
  </r>
  <r>
    <x v="0"/>
    <s v="472BRS0017"/>
    <n v="0"/>
    <x v="452"/>
    <s v="0017"/>
    <n v="-53.730081879575003"/>
    <n v="-27.341461359953701"/>
    <n v="-53.769624040217202"/>
    <n v="-27.364257570330501"/>
    <s v="472"/>
    <s v="RS"/>
    <s v="Eixo Principal"/>
    <s v="-"/>
    <s v="472BRS0017"/>
    <s v="ENTR BR-163 (P/ITAPIRANGA)"/>
    <s v="ENTR RS-330 (TENENTE PORTELA)"/>
    <n v="38.5"/>
    <n v="44.1"/>
    <n v="5.6"/>
    <x v="1"/>
    <m/>
    <m/>
    <s v="Estadual"/>
    <m/>
    <s v="RST-472"/>
    <s v="PAV"/>
    <s v="Estadual"/>
    <s v="PLA"/>
    <s v="Cruz Alta"/>
  </r>
  <r>
    <x v="0"/>
    <s v="472BRS0030"/>
    <n v="0"/>
    <x v="452"/>
    <s v="0030"/>
    <n v="-53.769624040217202"/>
    <n v="-27.364257570330501"/>
    <n v="-53.882174920036498"/>
    <n v="-27.388428659754801"/>
    <s v="472"/>
    <s v="RS"/>
    <s v="Eixo Principal"/>
    <s v="-"/>
    <s v="472BRS0030"/>
    <s v="ENTR RS-330 (TENENTE PORTELA)"/>
    <s v="INÍCIO PONTE S/ RIO TURVO"/>
    <n v="44.1"/>
    <n v="58.4"/>
    <n v="14.3"/>
    <x v="1"/>
    <m/>
    <m/>
    <s v="Estadual"/>
    <m/>
    <s v="RST-472"/>
    <s v="PAV"/>
    <s v="Estadual"/>
    <s v="PLA"/>
    <s v="Cruz Alta"/>
  </r>
  <r>
    <x v="0"/>
    <s v="472BRS0035"/>
    <n v="0"/>
    <x v="452"/>
    <s v="0035"/>
    <n v="-53.882174920036498"/>
    <n v="-27.388428659754801"/>
    <n v="-53.9494855895882"/>
    <n v="-27.432260500221801"/>
    <s v="472"/>
    <s v="RS"/>
    <s v="Eixo Principal"/>
    <s v="-"/>
    <s v="472BRS0035"/>
    <s v="INÍCIO PONTE S/ RIO TURVO"/>
    <s v="ENTR BR-468(A)/RS-305 (P/TRÊS PASSOS)"/>
    <n v="58.4"/>
    <n v="67.900000000000006"/>
    <n v="9.5"/>
    <x v="1"/>
    <m/>
    <m/>
    <s v="Estadual"/>
    <m/>
    <s v="RST-472"/>
    <s v="PAV"/>
    <s v="Estadual"/>
    <s v="PLA"/>
    <s v="Cruz Alta"/>
  </r>
  <r>
    <x v="0"/>
    <s v="472BRS0040"/>
    <n v="0"/>
    <x v="452"/>
    <s v="0040"/>
    <n v="-53.9494855895882"/>
    <n v="-27.432260500221801"/>
    <n v="-53.884209729695201"/>
    <n v="-27.511305219859899"/>
    <s v="472"/>
    <s v="RS"/>
    <s v="Eixo Principal"/>
    <s v="Coinc"/>
    <s v="472BRS0040"/>
    <s v="ENTR BR-468(A)/RS-305 (P/TRÊS PASSOS)"/>
    <s v="ENTR BR-468(B)"/>
    <n v="67.900000000000006"/>
    <n v="80"/>
    <n v="12.1"/>
    <x v="2"/>
    <m/>
    <s v="468BRS0120"/>
    <s v="Federal"/>
    <m/>
    <m/>
    <m/>
    <s v="Federal"/>
    <s v="PAV"/>
    <s v="Cruz Alta"/>
  </r>
  <r>
    <x v="0"/>
    <s v="472BRS0050"/>
    <n v="0"/>
    <x v="452"/>
    <s v="0050"/>
    <n v="-53.884209729695201"/>
    <n v="-27.511305219859899"/>
    <n v="-53.932741039567297"/>
    <n v="-27.559960580416401"/>
    <s v="472"/>
    <s v="RS"/>
    <s v="Eixo Principal"/>
    <s v="-"/>
    <s v="472BRS0050"/>
    <s v="ENTR BR-468(B)"/>
    <s v="ENTR RS-207(A) (P/BOM PROGRESSO)"/>
    <n v="80"/>
    <n v="87.9"/>
    <n v="7.9"/>
    <x v="1"/>
    <m/>
    <m/>
    <s v="Estadual"/>
    <m/>
    <s v="RST-472"/>
    <s v="IMP"/>
    <s v="Estadual"/>
    <s v="PLA"/>
    <s v="Cruz Alta"/>
  </r>
  <r>
    <x v="0"/>
    <s v="472BRS0055"/>
    <n v="0"/>
    <x v="452"/>
    <s v="0055"/>
    <n v="-53.932741039567297"/>
    <n v="-27.559960580416401"/>
    <n v="-53.971206690136597"/>
    <n v="-27.571692640302999"/>
    <s v="472"/>
    <s v="RS"/>
    <s v="Eixo Principal"/>
    <s v="-"/>
    <s v="472BRS0055"/>
    <s v="ENTR RS-207(A) (P/BOM PROGRESSO)"/>
    <s v="ENTR RS-207(B) (HUMAITÁ)"/>
    <n v="87.9"/>
    <n v="92"/>
    <n v="4.0999999999999996"/>
    <x v="1"/>
    <m/>
    <m/>
    <s v="Estadual"/>
    <m/>
    <s v="RST-472"/>
    <s v="PAV"/>
    <s v="Estadual"/>
    <s v="PLA"/>
    <s v="Cruz Alta"/>
  </r>
  <r>
    <x v="0"/>
    <s v="472BRS0060"/>
    <n v="0"/>
    <x v="452"/>
    <s v="0060"/>
    <n v="-53.971206690136597"/>
    <n v="-27.571692640302999"/>
    <n v="-54.107841800158802"/>
    <n v="-27.673709400368399"/>
    <s v="472"/>
    <s v="RS"/>
    <s v="Eixo Principal"/>
    <s v="-"/>
    <s v="472BRS0060"/>
    <s v="ENTR RS-207(B) (HUMAITÁ)"/>
    <s v="ENTR RS-210 (BOA VISTA DO BURICÁ)"/>
    <n v="92"/>
    <n v="114.6"/>
    <n v="22.6"/>
    <x v="1"/>
    <m/>
    <m/>
    <s v="Estadual"/>
    <m/>
    <s v="RST-472"/>
    <s v="IMP"/>
    <s v="Estadual"/>
    <s v="PLA"/>
    <s v="Cruz Alta"/>
  </r>
  <r>
    <x v="0"/>
    <s v="472BRS0070"/>
    <n v="0"/>
    <x v="452"/>
    <s v="0070"/>
    <n v="-54.107841800158802"/>
    <n v="-27.673709400368399"/>
    <n v="-54.243258030233797"/>
    <n v="-27.753098060327201"/>
    <s v="472"/>
    <s v="RS"/>
    <s v="Eixo Principal"/>
    <s v="-"/>
    <s v="472BRS0070"/>
    <s v="ENTR RS-210 (BOA VISTA DO BURICÁ)"/>
    <s v="ENTR RS-342 (P/TRÊS DE MAIO)"/>
    <n v="114.6"/>
    <n v="132.4"/>
    <n v="17.8"/>
    <x v="2"/>
    <m/>
    <m/>
    <s v="Federal"/>
    <m/>
    <m/>
    <m/>
    <s v="Federal"/>
    <s v="PAV"/>
    <s v="Cruz Alta"/>
  </r>
  <r>
    <x v="0"/>
    <s v="472BRS0090"/>
    <n v="0"/>
    <x v="452"/>
    <s v="0090"/>
    <n v="-54.243258030233797"/>
    <n v="-27.753098060327201"/>
    <n v="-54.434653820117603"/>
    <n v="-27.8415233995851"/>
    <s v="472"/>
    <s v="RS"/>
    <s v="Eixo Principal"/>
    <s v="-"/>
    <s v="472BRS0090"/>
    <s v="ENTR RS-342 (P/TRÊS DE MAIO)"/>
    <s v="ENTR RS-162 (P/TRÊS PASSOS)"/>
    <n v="132.4"/>
    <n v="156.69999999999999"/>
    <n v="24.3"/>
    <x v="2"/>
    <m/>
    <m/>
    <s v="Federal"/>
    <m/>
    <m/>
    <m/>
    <s v="Federal"/>
    <s v="PAV"/>
    <s v="Cruz Alta"/>
  </r>
  <r>
    <x v="0"/>
    <s v="472BRS0095"/>
    <n v="0"/>
    <x v="452"/>
    <s v="0095"/>
    <n v="-54.434653820117603"/>
    <n v="-27.8415233995851"/>
    <n v="-54.468514629746302"/>
    <n v="-27.906739600252301"/>
    <s v="472"/>
    <s v="RS"/>
    <s v="Eixo Principal"/>
    <s v="-"/>
    <s v="472BRS0095"/>
    <s v="ENTR RS-162 (P/TRÊS PASSOS)"/>
    <s v="ENTR RS-344(A) (P/SANTA ROSA)"/>
    <n v="156.69999999999999"/>
    <n v="167.1"/>
    <n v="10.4"/>
    <x v="2"/>
    <m/>
    <m/>
    <s v="Federal"/>
    <m/>
    <m/>
    <m/>
    <s v="Federal"/>
    <s v="PAV"/>
    <s v="Cruz Alta"/>
  </r>
  <r>
    <x v="0"/>
    <s v="472BRS0100"/>
    <n v="0"/>
    <x v="452"/>
    <s v="0100"/>
    <n v="-54.468514629746302"/>
    <n v="-27.906739600252301"/>
    <n v="-54.497347179628598"/>
    <n v="-27.8611522903458"/>
    <s v="472"/>
    <s v="RS"/>
    <s v="Eixo Principal"/>
    <s v="-"/>
    <s v="472BRS0100"/>
    <s v="ENTR RS-344(A) (P/SANTA ROSA)"/>
    <s v="ENTR RS-344(B) (P/SANTO CRISTO)"/>
    <n v="167.1"/>
    <n v="173.5"/>
    <n v="6.4"/>
    <x v="1"/>
    <m/>
    <m/>
    <s v="Estadual"/>
    <m/>
    <s v="RS-344"/>
    <s v="PAV"/>
    <s v="Estadual"/>
    <s v="PLA"/>
    <s v="Cruz Alta"/>
  </r>
  <r>
    <x v="0"/>
    <s v="472BRS0110"/>
    <n v="0"/>
    <x v="452"/>
    <s v="0110"/>
    <n v="-54.497347179628598"/>
    <n v="-27.8611522903458"/>
    <n v="-54.644553529821501"/>
    <n v="-27.836607240331801"/>
    <s v="472"/>
    <s v="RS"/>
    <s v="Eixo Principal"/>
    <s v="-"/>
    <s v="472BRS0110"/>
    <s v="ENTR RS-344(B) (P/SANTO CRISTO)"/>
    <s v="ENTR R. D. PEDRO II (SANTO CRISTO)"/>
    <n v="173.5"/>
    <n v="189.4"/>
    <n v="15.9"/>
    <x v="2"/>
    <m/>
    <m/>
    <s v="Federal"/>
    <m/>
    <m/>
    <m/>
    <s v="Federal"/>
    <s v="PAV"/>
    <s v="Cruz Alta"/>
  </r>
  <r>
    <x v="0"/>
    <s v="472BRS0113"/>
    <n v="0"/>
    <x v="452"/>
    <s v="0113"/>
    <n v="-54.644553529821501"/>
    <n v="-27.836607240331801"/>
    <n v="-54.691536279975303"/>
    <n v="-27.825147229860701"/>
    <s v="472"/>
    <s v="RS"/>
    <s v="Eixo Principal"/>
    <s v="-"/>
    <s v="472BRS0113"/>
    <s v="ENTR R. D. PEDRO II (SANTO CRISTO)"/>
    <s v="ENTR RS-540 (P/ALECRIM)"/>
    <n v="189.4"/>
    <n v="194.9"/>
    <n v="5.5"/>
    <x v="1"/>
    <m/>
    <m/>
    <s v="Estadual"/>
    <m/>
    <s v="RST-472"/>
    <s v="PAV"/>
    <s v="Estadual"/>
    <s v="PLA"/>
    <s v="Cruz Alta"/>
  </r>
  <r>
    <x v="0"/>
    <s v="472BRS0115"/>
    <n v="0"/>
    <x v="452"/>
    <s v="0115"/>
    <n v="-54.691536279975303"/>
    <n v="-27.825147229860701"/>
    <n v="-54.761772140171999"/>
    <n v="-27.804434960005299"/>
    <s v="472"/>
    <s v="RS"/>
    <s v="Eixo Principal"/>
    <s v="-"/>
    <s v="472BRS0115"/>
    <s v="ENTR RS-540 (P/ALECRIM)"/>
    <s v="ENTR RS-575 (P/PORTO VERA CRUZ)"/>
    <n v="194.9"/>
    <n v="203.4"/>
    <n v="8.5"/>
    <x v="1"/>
    <m/>
    <m/>
    <s v="Estadual"/>
    <m/>
    <s v="RST-472"/>
    <s v="PAV"/>
    <s v="Estadual"/>
    <s v="PLA"/>
    <s v="Cruz Alta"/>
  </r>
  <r>
    <x v="0"/>
    <s v="472BRS0120"/>
    <n v="0"/>
    <x v="452"/>
    <s v="0120"/>
    <n v="-54.761772140171999"/>
    <n v="-27.804434960005299"/>
    <n v="-55.013464199712899"/>
    <n v="-27.868163610062499"/>
    <s v="472"/>
    <s v="RS"/>
    <s v="Eixo Principal"/>
    <s v="-"/>
    <s v="472BRS0120"/>
    <s v="ENTR RS-575 (P/PORTO VERA CRUZ)"/>
    <s v="ENTR RS-168 (PORTO LUCENA)"/>
    <n v="203.4"/>
    <n v="234"/>
    <n v="30.6"/>
    <x v="1"/>
    <m/>
    <m/>
    <s v="Estadual"/>
    <m/>
    <s v="RST-472"/>
    <s v="PAV"/>
    <s v="Estadual"/>
    <s v="PLA"/>
    <s v="Cruz Alta"/>
  </r>
  <r>
    <x v="0"/>
    <s v="472BRS0130"/>
    <n v="0"/>
    <x v="452"/>
    <s v="0130"/>
    <n v="-55.013464199712899"/>
    <n v="-27.868163610062499"/>
    <n v="-55.137706070078998"/>
    <n v="-27.914091530099899"/>
    <s v="472"/>
    <s v="RS"/>
    <s v="Eixo Principal"/>
    <s v="-"/>
    <s v="472BRS0130"/>
    <s v="ENTR RS-168 (PORTO LUCENA)"/>
    <s v="ENTR BR-392 (PORTO XAVIER)"/>
    <n v="234"/>
    <n v="249.4"/>
    <n v="15.4"/>
    <x v="1"/>
    <m/>
    <m/>
    <s v="Estadual"/>
    <m/>
    <s v="RST-472"/>
    <s v="EOP"/>
    <s v="Estadual"/>
    <s v="PLA"/>
    <s v="Cruz Alta"/>
  </r>
  <r>
    <x v="0"/>
    <s v="472BRS0150"/>
    <n v="0"/>
    <x v="452"/>
    <s v="0150"/>
    <n v="-55.137706070078998"/>
    <n v="-27.914091530099899"/>
    <n v="-55.268414940097301"/>
    <n v="-28.184757020320198"/>
    <s v="472"/>
    <s v="RS"/>
    <s v="Eixo Principal"/>
    <s v="-"/>
    <s v="472BRS0150"/>
    <s v="ENTR BR-392 (PORTO XAVIER)"/>
    <s v="ENTR RS-561 (SÃO NICOLAU)"/>
    <n v="249.4"/>
    <n v="284.39999999999998"/>
    <n v="35"/>
    <x v="1"/>
    <m/>
    <m/>
    <s v="Federal"/>
    <m/>
    <m/>
    <m/>
    <s v="Federal"/>
    <s v="PLA"/>
    <s v="Cruz Alta"/>
  </r>
  <r>
    <x v="0"/>
    <s v="472BRS0170"/>
    <n v="0"/>
    <x v="452"/>
    <s v="0170"/>
    <n v="-55.268414940097301"/>
    <n v="-28.184757020320198"/>
    <n v="-55.585968349659503"/>
    <n v="-28.485132390447401"/>
    <s v="472"/>
    <s v="RS"/>
    <s v="Eixo Principal"/>
    <s v="-"/>
    <s v="472BRS0170"/>
    <s v="ENTR RS-561 (SÃO NICOLAU)"/>
    <s v="AMÁLIA CAMARGO"/>
    <n v="284.39999999999998"/>
    <n v="344.4"/>
    <n v="60"/>
    <x v="1"/>
    <m/>
    <m/>
    <s v="Federal"/>
    <m/>
    <m/>
    <m/>
    <s v="Federal"/>
    <s v="PLA"/>
    <s v="Cruz Alta"/>
  </r>
  <r>
    <x v="0"/>
    <s v="472BRS0180"/>
    <n v="0"/>
    <x v="452"/>
    <s v="0180"/>
    <n v="-55.585968349659503"/>
    <n v="-28.485132390447401"/>
    <n v="-55.965770250196798"/>
    <n v="-28.672843770323698"/>
    <s v="472"/>
    <s v="RS"/>
    <s v="Eixo Principal"/>
    <s v="-"/>
    <s v="472BRS0180"/>
    <s v="AMÁLIA CAMARGO"/>
    <s v="ENTR BR-285/287 (P/SÃO BORJA)"/>
    <n v="344.4"/>
    <n v="404.4"/>
    <n v="60"/>
    <x v="1"/>
    <m/>
    <m/>
    <s v="Federal"/>
    <m/>
    <m/>
    <m/>
    <s v="Federal"/>
    <s v="PLA"/>
    <s v="Cruz Alta"/>
  </r>
  <r>
    <x v="0"/>
    <s v="472BRS0185"/>
    <n v="0"/>
    <x v="452"/>
    <s v="0185"/>
    <n v="-55.965770250196798"/>
    <n v="-28.672843770323698"/>
    <n v="-55.994560020228697"/>
    <n v="-28.684665190446101"/>
    <s v="472"/>
    <s v="RS"/>
    <s v="Eixo Principal"/>
    <s v="-"/>
    <s v="472BRS0185"/>
    <s v="ENTR BR-285/287 (P/SÃO BORJA)"/>
    <s v="ACESSO SUL SÃO BORJA"/>
    <n v="404.4"/>
    <n v="407.5"/>
    <n v="3.1"/>
    <x v="2"/>
    <m/>
    <m/>
    <s v="Federal"/>
    <m/>
    <m/>
    <m/>
    <s v="Federal"/>
    <s v="PAV"/>
    <s v="Uruguaiana"/>
  </r>
  <r>
    <x v="0"/>
    <s v="472BRS0190"/>
    <n v="0"/>
    <x v="452"/>
    <s v="0190"/>
    <n v="-55.994560020228697"/>
    <n v="-28.684665190446101"/>
    <n v="-56.404384750355902"/>
    <n v="-29.1639295399162"/>
    <s v="472"/>
    <s v="RS"/>
    <s v="Eixo Principal"/>
    <s v="-"/>
    <s v="472BRS0190"/>
    <s v="ACESSO SUL SÃO BORJA"/>
    <s v="ENTR RS-529 (P/ TUPARAÍ)"/>
    <n v="407.5"/>
    <n v="477.7"/>
    <n v="70.2"/>
    <x v="2"/>
    <m/>
    <m/>
    <s v="Federal"/>
    <m/>
    <m/>
    <m/>
    <s v="Federal"/>
    <s v="PAV"/>
    <s v="Uruguaiana"/>
  </r>
  <r>
    <x v="0"/>
    <s v="472BRS0200"/>
    <n v="0"/>
    <x v="452"/>
    <s v="0200"/>
    <n v="-56.404384750355902"/>
    <n v="-29.1639295399162"/>
    <n v="-56.509844490230897"/>
    <n v="-29.163961449661102"/>
    <s v="472"/>
    <s v="RS"/>
    <s v="Eixo Principal"/>
    <s v="-"/>
    <s v="472BRS0200"/>
    <s v="ENTR RS-529 (P/ TUPARAÍ)"/>
    <s v="ACESSO LESTE A  ITAQUI"/>
    <n v="477.7"/>
    <n v="488.2"/>
    <n v="10.5"/>
    <x v="2"/>
    <m/>
    <m/>
    <s v="Federal"/>
    <m/>
    <m/>
    <m/>
    <s v="Federal"/>
    <s v="PAV"/>
    <s v="Uruguaiana"/>
  </r>
  <r>
    <x v="0"/>
    <s v="472BRS0210"/>
    <n v="0"/>
    <x v="452"/>
    <s v="0210"/>
    <n v="-56.509844490230897"/>
    <n v="-29.163961449661102"/>
    <n v="-56.680201940367198"/>
    <n v="-29.403105290276802"/>
    <s v="472"/>
    <s v="RS"/>
    <s v="Eixo Principal"/>
    <s v="-"/>
    <s v="472BRS0210"/>
    <s v="ACESSO LESTE A  ITAQUI"/>
    <s v="INÍCIO DA PONTE S/RIO IBICUÍ"/>
    <n v="488.2"/>
    <n v="519.6"/>
    <n v="31.4"/>
    <x v="2"/>
    <m/>
    <m/>
    <s v="Federal"/>
    <m/>
    <m/>
    <m/>
    <s v="Federal"/>
    <s v="PAV"/>
    <s v="Uruguaiana"/>
  </r>
  <r>
    <x v="0"/>
    <s v="472BRS0215"/>
    <n v="0"/>
    <x v="452"/>
    <s v="0215"/>
    <n v="-56.680201940367198"/>
    <n v="-29.403105290276802"/>
    <n v="-57.059302810376302"/>
    <n v="-29.759801729665998"/>
    <s v="472"/>
    <s v="RS"/>
    <s v="Eixo Principal"/>
    <s v="-"/>
    <s v="472BRS0215"/>
    <s v="INÍCIO DA PONTE S/RIO IBICUÍ"/>
    <s v="ENTR BR-290(A)/293(A) (URUGUAIANA)"/>
    <n v="519.6"/>
    <n v="582.1"/>
    <n v="62.5"/>
    <x v="2"/>
    <m/>
    <m/>
    <s v="Federal"/>
    <m/>
    <m/>
    <m/>
    <s v="Federal"/>
    <s v="PAV"/>
    <s v="Uruguaiana"/>
  </r>
  <r>
    <x v="0"/>
    <s v="472BRS0220"/>
    <n v="0"/>
    <x v="452"/>
    <s v="0220"/>
    <n v="-57.059302810376302"/>
    <n v="-29.759801729665998"/>
    <n v="-57.0581474396526"/>
    <n v="-29.7711462402068"/>
    <s v="472"/>
    <s v="RS"/>
    <s v="Eixo Principal"/>
    <s v="Coinc"/>
    <s v="472BRS0220"/>
    <s v="ENTR BR-290(A)/293(A) (URUGUAIANA)"/>
    <s v="ENTR BR-290(B)/293(B)"/>
    <n v="582.1"/>
    <n v="583.4"/>
    <n v="1.3"/>
    <x v="2"/>
    <m/>
    <s v="293BRS0240;290BRS0420"/>
    <s v="Federal"/>
    <m/>
    <m/>
    <m/>
    <s v="Federal"/>
    <s v="PAV"/>
    <s v="Uruguaiana"/>
  </r>
  <r>
    <x v="0"/>
    <s v="472BRS0225"/>
    <n v="0"/>
    <x v="452"/>
    <s v="0225"/>
    <n v="-57.0581474396526"/>
    <n v="-29.7711462402068"/>
    <n v="-57.089915970245698"/>
    <n v="-29.788128599755002"/>
    <s v="472"/>
    <s v="RS"/>
    <s v="Eixo Principal"/>
    <s v="-"/>
    <s v="472BRS0225"/>
    <s v="ENTR BR-290(B)/293(B)"/>
    <s v="ACESSO SUL URUGUAIANA"/>
    <n v="583.4"/>
    <n v="587.4"/>
    <n v="4"/>
    <x v="2"/>
    <m/>
    <m/>
    <s v="Federal"/>
    <m/>
    <m/>
    <m/>
    <s v="Federal"/>
    <s v="PAV"/>
    <s v="Uruguaiana"/>
  </r>
  <r>
    <x v="0"/>
    <s v="472BRS0230"/>
    <n v="0"/>
    <x v="452"/>
    <s v="0230"/>
    <n v="-57.089915970245698"/>
    <n v="-29.788128599755002"/>
    <n v="-57.5575123104447"/>
    <n v="-30.2100664397143"/>
    <s v="472"/>
    <s v="RS"/>
    <s v="Eixo Principal"/>
    <s v="-"/>
    <s v="472BRS0230"/>
    <s v="ACESSO SUL URUGUAIANA"/>
    <s v="FRONT BRASIL/URUGUAI"/>
    <n v="587.4"/>
    <n v="656.6"/>
    <n v="69.2"/>
    <x v="2"/>
    <m/>
    <m/>
    <s v="Federal"/>
    <m/>
    <m/>
    <m/>
    <s v="Federal"/>
    <s v="PAV"/>
    <s v="Uruguaiana"/>
  </r>
  <r>
    <x v="0"/>
    <s v="473BRS0010"/>
    <n v="0"/>
    <x v="453"/>
    <s v="0010"/>
    <n v="-54.332361370180998"/>
    <n v="-30.352979549666401"/>
    <n v="-54.278480550137203"/>
    <n v="-30.358727429826899"/>
    <s v="473"/>
    <s v="RS"/>
    <s v="Eixo Principal"/>
    <s v="Coinc"/>
    <s v="473BRS0010"/>
    <s v="ENTR BR-290(A)/RS-630 (SÃO GABRIEL)"/>
    <s v="ENTR BR-290(B) (P/PANTANO GRANDE)"/>
    <n v="0"/>
    <n v="5.5"/>
    <n v="5.5"/>
    <x v="2"/>
    <m/>
    <s v="290BRS0270"/>
    <s v="Federal"/>
    <m/>
    <m/>
    <m/>
    <s v="Federal"/>
    <s v="PAV"/>
    <s v="Uruguaiana"/>
  </r>
  <r>
    <x v="0"/>
    <s v="473BRS0030"/>
    <n v="0"/>
    <x v="453"/>
    <s v="0030"/>
    <n v="-54.278480550137203"/>
    <n v="-30.358727429826899"/>
    <n v="-54.097338070295599"/>
    <n v="-30.894440279794999"/>
    <s v="473"/>
    <s v="RS"/>
    <s v="Eixo Principal"/>
    <s v="-"/>
    <s v="473BRS0030"/>
    <s v="ENTR BR-290(B) (P/PANTANO GRANDE)"/>
    <s v="ENTR RS-357 (TABULEIRO)"/>
    <n v="5.5"/>
    <n v="82.5"/>
    <n v="77"/>
    <x v="1"/>
    <m/>
    <m/>
    <s v="Estadual"/>
    <m/>
    <s v="RST-473"/>
    <s v="IMP"/>
    <s v="Estadual"/>
    <s v="PLA"/>
    <s v="Santana do Livramento"/>
  </r>
  <r>
    <x v="0"/>
    <s v="473BRS0050"/>
    <n v="0"/>
    <x v="453"/>
    <s v="0050"/>
    <n v="-54.097338070295599"/>
    <n v="-30.894440279794999"/>
    <n v="-54.139415790306401"/>
    <n v="-31.2650814296641"/>
    <s v="473"/>
    <s v="RS"/>
    <s v="Eixo Principal"/>
    <s v="-"/>
    <s v="473BRS0050"/>
    <s v="ENTR RS-357 (TABULEIRO)"/>
    <s v="ENTR BR-293 (P/DOM PEDRITO)"/>
    <n v="82.5"/>
    <n v="129.5"/>
    <n v="47"/>
    <x v="1"/>
    <m/>
    <m/>
    <s v="Estadual"/>
    <m/>
    <s v="RST-473"/>
    <s v="IMP"/>
    <s v="Estadual"/>
    <s v="PLA"/>
    <s v="Santana do Livramento"/>
  </r>
  <r>
    <x v="0"/>
    <s v="473BRS0070"/>
    <n v="0"/>
    <x v="453"/>
    <s v="0070"/>
    <n v="-54.139415790306401"/>
    <n v="-31.2650814296641"/>
    <n v="-54.121848689765102"/>
    <n v="-31.302540030198202"/>
    <s v="473"/>
    <s v="RS"/>
    <s v="Eixo Principal"/>
    <s v="-"/>
    <s v="473BRS0070"/>
    <s v="ENTR BR-293 (P/DOM PEDRITO)"/>
    <s v="ACESSO OESTE BAGÉ"/>
    <n v="129.5"/>
    <n v="134.30000000000001"/>
    <n v="4.8"/>
    <x v="1"/>
    <m/>
    <m/>
    <s v="Estadual"/>
    <m/>
    <s v="RST-473"/>
    <s v="PAV"/>
    <s v="Estadual"/>
    <s v="PLA"/>
    <s v="Santana do Livramento"/>
  </r>
  <r>
    <x v="0"/>
    <s v="473BRS0090"/>
    <n v="0"/>
    <x v="453"/>
    <s v="0090"/>
    <n v="-54.121848689765102"/>
    <n v="-31.302540030198202"/>
    <n v="-54.105688600148703"/>
    <n v="-31.344752969573801"/>
    <s v="473"/>
    <s v="RS"/>
    <s v="Eixo Principal"/>
    <s v="-"/>
    <s v="473BRS0090"/>
    <s v="ACESSO OESTE BAGÉ"/>
    <s v="ACESSO SUL BAGÉ *TRECHO MUNICIPAL*"/>
    <n v="134.30000000000001"/>
    <n v="139.80000000000001"/>
    <n v="5.5"/>
    <x v="1"/>
    <m/>
    <m/>
    <s v="Estadual"/>
    <m/>
    <s v="RST-473"/>
    <s v="PAV"/>
    <s v="Estadual"/>
    <s v="PLA"/>
    <s v="Santana do Livramento"/>
  </r>
  <r>
    <x v="0"/>
    <s v="473BRS0110"/>
    <n v="0"/>
    <x v="453"/>
    <s v="0110"/>
    <n v="-54.105688600148703"/>
    <n v="-31.344752969573801"/>
    <n v="-54.122941310293101"/>
    <n v="-31.3841424604061"/>
    <s v="473"/>
    <s v="RS"/>
    <s v="Eixo Principal"/>
    <s v="-"/>
    <s v="473BRS0110"/>
    <s v="ACESSO SUL BAGÉ"/>
    <s v="ENTR BR-153(A) (AEROPORTO DE BAGÉ)"/>
    <n v="139.80000000000001"/>
    <n v="146.19999999999999"/>
    <n v="6.4"/>
    <x v="1"/>
    <m/>
    <m/>
    <s v="Estadual"/>
    <m/>
    <s v="RSC-473"/>
    <s v="PAV"/>
    <s v="Estadual"/>
    <s v="PLA"/>
    <s v="Santana do Livramento"/>
  </r>
  <r>
    <x v="0"/>
    <s v="473BRS0120"/>
    <n v="0"/>
    <x v="453"/>
    <s v="0120"/>
    <n v="-54.122941310293101"/>
    <n v="-31.3841424604061"/>
    <n v="-54.150887759962103"/>
    <n v="-31.6422919499134"/>
    <s v="473"/>
    <s v="RS"/>
    <s v="Eixo Principal"/>
    <s v="Coinc"/>
    <s v="473BRS0120"/>
    <s v="ENTR BR-153(A) (AEROPORTO DE BAGÉ)"/>
    <s v="ENTR RS-647 (P/ COLÔNIA NOVA)"/>
    <n v="146.19999999999999"/>
    <n v="176.3"/>
    <n v="30.1"/>
    <x v="2"/>
    <m/>
    <s v="153BRS1930"/>
    <s v="Federal"/>
    <m/>
    <m/>
    <m/>
    <s v="Federal"/>
    <s v="PAV"/>
    <s v="Santana do Livramento"/>
  </r>
  <r>
    <x v="0"/>
    <s v="473BRS0130"/>
    <n v="0"/>
    <x v="453"/>
    <s v="0130"/>
    <n v="-54.150887759962103"/>
    <n v="-31.6422919499134"/>
    <n v="-54.166569519967297"/>
    <n v="-31.8670977300761"/>
    <s v="473"/>
    <s v="RS"/>
    <s v="Eixo Principal"/>
    <s v="Coinc"/>
    <s v="473BRS0130"/>
    <s v="ENTR RS-647 (P/ COLÔNIA NOVA)"/>
    <s v="ENTR BR-153(B) (ACEGUÁ)"/>
    <n v="176.3"/>
    <n v="201"/>
    <n v="24.7"/>
    <x v="2"/>
    <m/>
    <s v="153BRS1940"/>
    <s v="Federal"/>
    <m/>
    <m/>
    <m/>
    <s v="Federal"/>
    <s v="PAV"/>
    <s v="Santana do Livramento"/>
  </r>
  <r>
    <x v="0"/>
    <s v="473BRS0150"/>
    <n v="0"/>
    <x v="453"/>
    <s v="0150"/>
    <n v="-54.166569519967297"/>
    <n v="-31.8670977300761"/>
    <n v="-53.392321559792002"/>
    <n v="-32.032481010190402"/>
    <s v="473"/>
    <s v="RS"/>
    <s v="Eixo Principal"/>
    <s v="-"/>
    <s v="473BRS0150"/>
    <s v="ENTR BR-153(B) (ACEGUÁ)"/>
    <s v="CONTORNO DE HERVAL"/>
    <n v="201"/>
    <n v="286"/>
    <n v="85"/>
    <x v="1"/>
    <m/>
    <m/>
    <s v="Federal"/>
    <m/>
    <m/>
    <m/>
    <s v="Federal"/>
    <s v="PLA"/>
    <s v="Pelotas"/>
  </r>
  <r>
    <x v="0"/>
    <s v="473BRS0160"/>
    <n v="0"/>
    <x v="453"/>
    <s v="0160"/>
    <n v="-53.392321559792002"/>
    <n v="-32.032481010190402"/>
    <n v="-53.3883642298252"/>
    <n v="-32.0275323998003"/>
    <s v="473"/>
    <s v="RS"/>
    <s v="Eixo Principal"/>
    <s v="-"/>
    <s v="473BRS0160"/>
    <s v="CONTORNO DE HERVAL"/>
    <s v="ENTR RS-655 (HERVAL)"/>
    <n v="286"/>
    <n v="286.8"/>
    <n v="0.8"/>
    <x v="1"/>
    <m/>
    <m/>
    <s v="Estadual"/>
    <m/>
    <s v="RST-473"/>
    <s v="IMP"/>
    <s v="Estadual"/>
    <s v="PLA"/>
    <s v="Pelotas"/>
  </r>
  <r>
    <x v="0"/>
    <s v="473BRS0170"/>
    <n v="0"/>
    <x v="453"/>
    <s v="0170"/>
    <n v="-53.3883642298252"/>
    <n v="-32.0275323998003"/>
    <n v="-53.181886439607403"/>
    <n v="-32.065461770244397"/>
    <s v="473"/>
    <s v="RS"/>
    <s v="Eixo Principal"/>
    <s v="-"/>
    <s v="473BRS0170"/>
    <s v="ENTR RS-655 (HERVAL)"/>
    <s v="ENTR RS-602 (AIROSA GALVÃO)"/>
    <n v="286.8"/>
    <n v="310.39999999999998"/>
    <n v="23.6"/>
    <x v="1"/>
    <m/>
    <m/>
    <s v="Estadual"/>
    <m/>
    <s v="RST-473"/>
    <s v="PAV"/>
    <s v="Estadual"/>
    <s v="PLA"/>
    <s v="Pelotas"/>
  </r>
  <r>
    <x v="0"/>
    <s v="473BRS0190"/>
    <n v="0"/>
    <x v="453"/>
    <s v="0190"/>
    <n v="-53.181886439607403"/>
    <n v="-32.065461770244397"/>
    <n v="-53.009282679951603"/>
    <n v="-32.028378800341301"/>
    <s v="473"/>
    <s v="RS"/>
    <s v="Eixo Principal"/>
    <s v="-"/>
    <s v="473BRS0190"/>
    <s v="ENTR RS-602 (AIROSA GALVÃO)"/>
    <s v="ENTR RS-704 (ESTIVA)"/>
    <n v="310.39999999999998"/>
    <n v="329.5"/>
    <n v="19.100000000000001"/>
    <x v="1"/>
    <m/>
    <m/>
    <s v="Estadual"/>
    <m/>
    <s v="RST-473"/>
    <s v="IMP"/>
    <s v="Estadual"/>
    <s v="PLA"/>
    <s v="Pelotas"/>
  </r>
  <r>
    <x v="0"/>
    <s v="473BRS0195"/>
    <n v="0"/>
    <x v="453"/>
    <s v="0195"/>
    <n v="-53.009282679951603"/>
    <n v="-32.028378800341301"/>
    <n v="-52.913509369661597"/>
    <n v="-32.031288150327804"/>
    <s v="473"/>
    <s v="RS"/>
    <s v="Eixo Principal"/>
    <s v="-"/>
    <s v="473BRS0195"/>
    <s v="ENTR RS-704 (ESTIVA)"/>
    <s v="ACESSO CONDE MATARAZZO"/>
    <n v="329.5"/>
    <n v="343.3"/>
    <n v="13.8"/>
    <x v="1"/>
    <m/>
    <m/>
    <s v="Estadual"/>
    <m/>
    <s v="RST-473"/>
    <s v="IMP"/>
    <s v="Estadual"/>
    <s v="PLA"/>
    <s v="Pelotas"/>
  </r>
  <r>
    <x v="0"/>
    <s v="473BRS0210"/>
    <n v="0"/>
    <x v="453"/>
    <s v="0210"/>
    <n v="-52.913509369661597"/>
    <n v="-32.031288150327804"/>
    <n v="-52.853100580427302"/>
    <n v="-32.041047839586"/>
    <s v="473"/>
    <s v="RS"/>
    <s v="Eixo Principal"/>
    <s v="-"/>
    <s v="473BRS0210"/>
    <s v="ACESSO CONDE MATARAZZO"/>
    <s v="ENTR BR-116 (P/JAGUARÃO)"/>
    <n v="343.3"/>
    <n v="349.2"/>
    <n v="5.9"/>
    <x v="1"/>
    <m/>
    <m/>
    <s v="Estadual"/>
    <m/>
    <s v="RST-473"/>
    <s v="IMP"/>
    <s v="Estadual"/>
    <s v="PLA"/>
    <s v="Pelotas"/>
  </r>
  <r>
    <x v="0"/>
    <s v="473BRS0230"/>
    <n v="0"/>
    <x v="453"/>
    <s v="0230"/>
    <n v="-52.853100580427302"/>
    <n v="-32.041047839586"/>
    <n v="-52.594851119583403"/>
    <n v="-32.118747970242502"/>
    <s v="473"/>
    <s v="RS"/>
    <s v="Eixo Principal"/>
    <s v="-"/>
    <s v="473BRS0230"/>
    <s v="ENTR BR-116 (P/JAGUARÃO)"/>
    <s v="INIC TRV CANAL S GONÇALO (S ISABEL SUL)"/>
    <n v="349.2"/>
    <n v="375.4"/>
    <n v="26.2"/>
    <x v="1"/>
    <m/>
    <m/>
    <s v="Estadual"/>
    <m/>
    <s v="RST-473"/>
    <s v="IMP"/>
    <s v="Estadual"/>
    <s v="PLA"/>
    <s v="Pelotas"/>
  </r>
  <r>
    <x v="0"/>
    <s v="473BRS0250"/>
    <n v="0"/>
    <x v="453"/>
    <s v="0250"/>
    <n v="-52.594851119583403"/>
    <n v="-32.118747970242502"/>
    <n v="-52.5938558200899"/>
    <n v="-32.120903580435801"/>
    <s v="473"/>
    <s v="RS"/>
    <s v="Eixo Principal"/>
    <s v="-"/>
    <s v="473BRS0250"/>
    <s v="INIC TRV CANAL S GONÇALO (S ISABEL SUL)"/>
    <s v="FIM TRAVESSIA CANAL SÃO GONÇALO"/>
    <n v="375.4"/>
    <n v="375.7"/>
    <n v="0.3"/>
    <x v="4"/>
    <m/>
    <m/>
    <s v="Federal"/>
    <m/>
    <m/>
    <m/>
    <s v="Federal"/>
    <s v="N_PAV"/>
    <s v="Pelotas"/>
  </r>
  <r>
    <x v="0"/>
    <s v="473BRS0270"/>
    <n v="0"/>
    <x v="453"/>
    <s v="0270"/>
    <n v="-52.5938558200899"/>
    <n v="-32.120903580435801"/>
    <n v="-52.454129509968801"/>
    <n v="-32.2099534098219"/>
    <s v="473"/>
    <s v="RS"/>
    <s v="Eixo Principal"/>
    <s v="-"/>
    <s v="473BRS0270"/>
    <s v="FIM TRAVESSIA CANAL SÃO GONÇALO"/>
    <s v="ENTR BR-471 (SARANDI)"/>
    <n v="375.7"/>
    <n v="392.8"/>
    <n v="17.100000000000001"/>
    <x v="1"/>
    <m/>
    <m/>
    <s v="Estadual"/>
    <m/>
    <s v="RST-473"/>
    <s v="IMP"/>
    <s v="Estadual"/>
    <s v="PLA"/>
    <s v="Pelotas"/>
  </r>
  <r>
    <x v="0"/>
    <s v="474BMG0010"/>
    <n v="0"/>
    <x v="454"/>
    <s v="0010"/>
    <n v="-41.0948609002103"/>
    <n v="-19.486486669624"/>
    <n v="-41.226668169800099"/>
    <n v="-19.5655582996757"/>
    <s v="474"/>
    <s v="MG"/>
    <s v="Eixo Principal"/>
    <s v="-"/>
    <s v="474BMG0010"/>
    <s v="ENTR BR-259 (AIMORÉS)"/>
    <s v="CONCEIÇÃO DO CAPIM"/>
    <n v="0"/>
    <n v="17.399999999999999"/>
    <n v="17.399999999999999"/>
    <x v="2"/>
    <m/>
    <m/>
    <s v="Federal"/>
    <m/>
    <m/>
    <m/>
    <s v="Federal"/>
    <s v="PAV"/>
    <s v="Caratinga"/>
  </r>
  <r>
    <x v="0"/>
    <s v="474BMG0012"/>
    <n v="0"/>
    <x v="454"/>
    <s v="0012"/>
    <n v="-41.226668169800099"/>
    <n v="-19.5655582996757"/>
    <n v="-41.298314569861397"/>
    <n v="-19.642059250034301"/>
    <s v="474"/>
    <s v="MG"/>
    <s v="Eixo Principal"/>
    <s v="-"/>
    <s v="474BMG0012"/>
    <s v="CONCEIÇÃO DO CAPIM"/>
    <s v="EXPEDICIONÁRIO ALÍCIO"/>
    <n v="17.399999999999999"/>
    <n v="31.1"/>
    <n v="13.7"/>
    <x v="2"/>
    <m/>
    <m/>
    <s v="Federal"/>
    <m/>
    <m/>
    <m/>
    <s v="Federal"/>
    <s v="PAV"/>
    <s v="Caratinga"/>
  </r>
  <r>
    <x v="0"/>
    <s v="474BMG0015"/>
    <n v="0"/>
    <x v="454"/>
    <s v="0015"/>
    <n v="-41.298314569861397"/>
    <n v="-19.642059250034301"/>
    <n v="-41.3394695198024"/>
    <n v="-19.651927670025799"/>
    <s v="474"/>
    <s v="MG"/>
    <s v="Eixo Principal"/>
    <s v="-"/>
    <s v="474BMG0015"/>
    <s v="EXPEDICIONÁRIO ALÍCIO"/>
    <s v="ENTR MG-108(A) (P/MUTUM)"/>
    <n v="31.1"/>
    <n v="37"/>
    <n v="5.9"/>
    <x v="2"/>
    <m/>
    <m/>
    <s v="Federal"/>
    <m/>
    <m/>
    <m/>
    <s v="Federal"/>
    <s v="PAV"/>
    <s v="Caratinga"/>
  </r>
  <r>
    <x v="0"/>
    <s v="474BMG0020"/>
    <n v="0"/>
    <x v="454"/>
    <s v="0020"/>
    <n v="-41.3394695198024"/>
    <n v="-19.651927670025799"/>
    <n v="-41.564020840389396"/>
    <n v="-19.671383520433"/>
    <s v="474"/>
    <s v="MG"/>
    <s v="Eixo Principal"/>
    <s v="-"/>
    <s v="474BMG0020"/>
    <s v="ENTR MG-108(A) (P/MUTUM)"/>
    <s v="ENTR MG-108(B) (P/POCRANE)"/>
    <n v="37"/>
    <n v="64.900000000000006"/>
    <n v="27.9"/>
    <x v="2"/>
    <m/>
    <m/>
    <s v="Federal"/>
    <m/>
    <m/>
    <m/>
    <s v="Federal"/>
    <s v="PAV"/>
    <s v="Caratinga"/>
  </r>
  <r>
    <x v="0"/>
    <s v="474BMG0025"/>
    <n v="0"/>
    <x v="454"/>
    <s v="0025"/>
    <n v="-41.564020840389396"/>
    <n v="-19.671383520433"/>
    <n v="-41.7162632798264"/>
    <n v="-19.801315340230701"/>
    <s v="474"/>
    <s v="MG"/>
    <s v="Eixo Principal"/>
    <s v="-"/>
    <s v="474BMG0025"/>
    <s v="ENTR MG-108(B) (P/POCRANE)"/>
    <s v="ENTR MG-111 (IPANEMA)"/>
    <n v="64.900000000000006"/>
    <n v="89.4"/>
    <n v="24.5"/>
    <x v="2"/>
    <m/>
    <m/>
    <s v="Federal"/>
    <m/>
    <m/>
    <m/>
    <s v="Federal"/>
    <s v="PAV"/>
    <s v="Caratinga"/>
  </r>
  <r>
    <x v="0"/>
    <s v="474BMG0035"/>
    <n v="0"/>
    <x v="454"/>
    <s v="0035"/>
    <n v="-41.7162632798264"/>
    <n v="-19.801315340230701"/>
    <n v="-41.764683390326098"/>
    <n v="-19.813951459792001"/>
    <s v="474"/>
    <s v="MG"/>
    <s v="Eixo Principal"/>
    <s v="-"/>
    <s v="474BMG0035"/>
    <s v="ENTR MG-111 (IPANEMA)"/>
    <s v="FIM DO TRECHO PAVIMENTADO"/>
    <n v="89.4"/>
    <n v="95.1"/>
    <n v="5.7"/>
    <x v="2"/>
    <m/>
    <m/>
    <s v="Federal"/>
    <m/>
    <m/>
    <m/>
    <s v="Federal"/>
    <s v="PAV"/>
    <s v="Caratinga"/>
  </r>
  <r>
    <x v="0"/>
    <s v="474BMG0037"/>
    <n v="0"/>
    <x v="454"/>
    <s v="0037"/>
    <n v="-41.764683390326098"/>
    <n v="-19.813951459792001"/>
    <n v="-41.782472299656803"/>
    <n v="-19.802536269733"/>
    <s v="474"/>
    <s v="MG"/>
    <s v="Eixo Principal"/>
    <s v="-"/>
    <s v="474BMG0037"/>
    <s v="FIM DO TRECHO PAVIMENTADO"/>
    <s v="INÍCIO DO TRECHO PAVIMENTADO"/>
    <n v="95.1"/>
    <n v="98.6"/>
    <n v="3.5"/>
    <x v="2"/>
    <m/>
    <m/>
    <s v="Federal"/>
    <m/>
    <m/>
    <m/>
    <s v="Federal"/>
    <s v="PAV"/>
    <s v="Caratinga"/>
  </r>
  <r>
    <x v="0"/>
    <s v="474BMG0039"/>
    <n v="0"/>
    <x v="454"/>
    <s v="0039"/>
    <n v="-41.782472299656803"/>
    <n v="-19.802536269733"/>
    <n v="-41.797721750158502"/>
    <n v="-19.7258149198226"/>
    <s v="474"/>
    <s v="MG"/>
    <s v="Eixo Principal"/>
    <s v="-"/>
    <s v="474BMG0039"/>
    <s v="INÍCIO DO TRECHO PAVIMENTADO"/>
    <s v="FIM DO TRECHO PAVIMENTADO"/>
    <n v="98.6"/>
    <n v="110.5"/>
    <n v="11.9"/>
    <x v="2"/>
    <m/>
    <m/>
    <s v="Federal"/>
    <m/>
    <m/>
    <m/>
    <s v="Federal"/>
    <s v="PAV"/>
    <s v="Caratinga"/>
  </r>
  <r>
    <x v="0"/>
    <s v="474BMG0040"/>
    <n v="0"/>
    <x v="454"/>
    <s v="0040"/>
    <n v="-41.797721750158502"/>
    <n v="-19.7258149198226"/>
    <n v="-41.8364818495576"/>
    <n v="-19.694157960021801"/>
    <s v="474"/>
    <s v="MG"/>
    <s v="Eixo Principal"/>
    <s v="-"/>
    <s v="474BMG0040"/>
    <s v="FIM DO TRECHO PAVIMENTADO"/>
    <s v="ACESSO SANTO ANTÔNIO DO MANHUAÇU"/>
    <n v="110.5"/>
    <n v="118"/>
    <n v="7.5"/>
    <x v="5"/>
    <s v="EOP"/>
    <m/>
    <s v="Federal"/>
    <m/>
    <m/>
    <m/>
    <s v="Federal"/>
    <s v="N_PAV"/>
    <s v="Caratinga"/>
  </r>
  <r>
    <x v="0"/>
    <s v="474BMG0045"/>
    <n v="0"/>
    <x v="454"/>
    <s v="0045"/>
    <n v="-41.8364818495576"/>
    <n v="-19.694157960021801"/>
    <n v="-41.9188740796749"/>
    <n v="-19.729625680081"/>
    <s v="474"/>
    <s v="MG"/>
    <s v="Eixo Principal"/>
    <s v="-"/>
    <s v="474BMG0045"/>
    <s v="ACESSO SANTO ANTÔNIO DO MANHUAÇU"/>
    <s v="SÃO JOÃO DO JACUTINGA"/>
    <n v="118"/>
    <n v="130.19999999999999"/>
    <n v="12.2"/>
    <x v="2"/>
    <m/>
    <m/>
    <s v="Federal"/>
    <m/>
    <m/>
    <m/>
    <s v="Federal"/>
    <s v="PAV"/>
    <s v="Caratinga"/>
  </r>
  <r>
    <x v="0"/>
    <s v="474BMG0047"/>
    <n v="0"/>
    <x v="454"/>
    <s v="0047"/>
    <n v="-41.9188740796749"/>
    <n v="-19.729625680081"/>
    <n v="-42.077622349691602"/>
    <n v="-19.760033879959501"/>
    <s v="474"/>
    <s v="MG"/>
    <s v="Eixo Principal"/>
    <s v="-"/>
    <s v="474BMG0047"/>
    <s v="SÃO JOÃO DO JACUTINGA"/>
    <s v="ENTR R SANTOS DUMOND (PIEDADE DE CARATINGA)"/>
    <n v="130.19999999999999"/>
    <n v="152.5"/>
    <n v="22.3"/>
    <x v="2"/>
    <m/>
    <m/>
    <s v="Federal"/>
    <m/>
    <m/>
    <m/>
    <s v="Federal"/>
    <s v="PAV"/>
    <s v="Caratinga"/>
  </r>
  <r>
    <x v="0"/>
    <s v="474BMG0050"/>
    <n v="0"/>
    <x v="454"/>
    <s v="0050"/>
    <n v="-42.077622349691602"/>
    <n v="-19.760033879959501"/>
    <n v="-42.132825270269898"/>
    <n v="-19.752747720231"/>
    <s v="474"/>
    <s v="MG"/>
    <s v="Eixo Principal"/>
    <s v="-"/>
    <s v="474BMG0050"/>
    <s v="ENTR R SANTOS DUMOND (PIEDADE DE CARATINGA)"/>
    <s v="ENTR BR-116 (CARATINGA)"/>
    <n v="152.5"/>
    <n v="160.5"/>
    <n v="8"/>
    <x v="2"/>
    <m/>
    <m/>
    <s v="Federal"/>
    <m/>
    <m/>
    <m/>
    <s v="Federal"/>
    <s v="PAV"/>
    <s v="Caratinga"/>
  </r>
  <r>
    <x v="0"/>
    <s v="475BSC0010"/>
    <n v="0"/>
    <x v="455"/>
    <s v="0010"/>
    <n v="-50.305758180195802"/>
    <n v="-27.7980098498746"/>
    <n v="-50.253295889593502"/>
    <n v="-27.782809950218901"/>
    <s v="475"/>
    <s v="SC"/>
    <s v="Eixo Principal"/>
    <s v="Coinc"/>
    <s v="475BSC0010"/>
    <s v="ENTR BR-282(A)/AV.LUIZ DE CAMÕES (LAGES)"/>
    <s v="ENTR SC-114(A) (P/PAINEL)"/>
    <n v="0"/>
    <n v="5.5"/>
    <n v="5.5"/>
    <x v="2"/>
    <m/>
    <s v="282BSC0190"/>
    <s v="Federal"/>
    <m/>
    <m/>
    <m/>
    <s v="Federal"/>
    <s v="PAV"/>
    <s v="Lages"/>
  </r>
  <r>
    <x v="0"/>
    <s v="475BSC0020"/>
    <n v="0"/>
    <x v="455"/>
    <s v="0020"/>
    <n v="-50.253295889593502"/>
    <n v="-27.782809950218901"/>
    <n v="-50.202096620362603"/>
    <n v="-27.773464379877101"/>
    <s v="475"/>
    <s v="SC"/>
    <s v="Eixo Principal"/>
    <s v="Coinc"/>
    <s v="475BSC0020"/>
    <s v="ENTR SC-114(A) (P/PAINEL)"/>
    <s v="ENTR SC-114(B) (ÍNDIOS)"/>
    <n v="5.5"/>
    <n v="10.7"/>
    <n v="5.2"/>
    <x v="2"/>
    <m/>
    <s v="282BSC0180"/>
    <s v="Federal"/>
    <m/>
    <m/>
    <m/>
    <s v="Federal"/>
    <s v="PAV"/>
    <s v="Lages"/>
  </r>
  <r>
    <x v="0"/>
    <s v="475BSC0030"/>
    <n v="0"/>
    <x v="455"/>
    <s v="0030"/>
    <n v="-50.202096620362603"/>
    <n v="-27.773464379877101"/>
    <n v="-49.947836410022198"/>
    <n v="-27.738605009813199"/>
    <s v="475"/>
    <s v="SC"/>
    <s v="Eixo Principal"/>
    <s v="Coinc"/>
    <s v="475BSC0030"/>
    <s v="ENTR SC-114(B) (ÍNDIOS)"/>
    <s v="ACESSO P/ BOCAINA DO SUL"/>
    <n v="10.7"/>
    <n v="36.799999999999997"/>
    <n v="26.1"/>
    <x v="2"/>
    <m/>
    <s v="282BSC0175"/>
    <s v="Federal"/>
    <m/>
    <m/>
    <m/>
    <s v="Federal"/>
    <s v="PAV"/>
    <s v="Lages"/>
  </r>
  <r>
    <x v="0"/>
    <s v="475BSC0060"/>
    <n v="0"/>
    <x v="455"/>
    <s v="0060"/>
    <n v="-49.947836410022198"/>
    <n v="-27.738605009813199"/>
    <n v="-49.816344430151197"/>
    <n v="-27.748728080036798"/>
    <s v="475"/>
    <s v="SC"/>
    <s v="Eixo Principal"/>
    <s v="Coinc"/>
    <s v="475BSC0060"/>
    <s v="ACESSO P/ BOCAINA DO SUL"/>
    <s v="ENTR BR-282(B) (P/RIO RUFINO - ESTRADA CAPITÃO-MOR)"/>
    <n v="36.799999999999997"/>
    <n v="50.8"/>
    <n v="14"/>
    <x v="2"/>
    <m/>
    <s v="282BSC0150"/>
    <s v="Federal"/>
    <m/>
    <m/>
    <m/>
    <s v="Federal"/>
    <s v="PAV"/>
    <s v="Lages"/>
  </r>
  <r>
    <x v="0"/>
    <s v="475BSC0070"/>
    <n v="0"/>
    <x v="455"/>
    <s v="0070"/>
    <n v="-49.816344430151197"/>
    <n v="-27.748728080036798"/>
    <n v="-49.781055030365302"/>
    <n v="-27.860965320393099"/>
    <s v="475"/>
    <s v="SC"/>
    <s v="Eixo Principal"/>
    <s v="-"/>
    <s v="475BSC0070"/>
    <s v="ENTR BR-282(B) (P/RIO RUFINO - ESTRADA CAPITÃO-MOR)"/>
    <s v="ENTR SC-112(B)/370 (RIO RUFINO)"/>
    <n v="50.8"/>
    <n v="66.8"/>
    <n v="16"/>
    <x v="1"/>
    <m/>
    <m/>
    <s v="Estadual"/>
    <m/>
    <s v="SC-112"/>
    <s v="PAV"/>
    <s v="Estadual"/>
    <s v="PLA"/>
    <s v="Tubarão"/>
  </r>
  <r>
    <x v="0"/>
    <s v="475BSC0080"/>
    <n v="0"/>
    <x v="455"/>
    <s v="0080"/>
    <n v="-49.781055179652697"/>
    <n v="-27.860965189991401"/>
    <n v="-49.582913280123698"/>
    <n v="-27.9904084099201"/>
    <s v="475"/>
    <s v="SC"/>
    <s v="Eixo Principal"/>
    <s v="-"/>
    <s v="475BSC0080"/>
    <s v="ENTR SC-112(B)/370 (RIO RUFINO)"/>
    <s v="ENTR SC-110 (URUBICÍ)"/>
    <n v="66.8"/>
    <n v="97.1"/>
    <n v="30.3"/>
    <x v="1"/>
    <m/>
    <m/>
    <s v="Estadual"/>
    <m/>
    <s v="SC-370"/>
    <s v="LEN"/>
    <s v="Estadual"/>
    <s v="PLA"/>
    <s v="Tubarão"/>
  </r>
  <r>
    <x v="0"/>
    <s v="475BSC0090"/>
    <n v="0"/>
    <x v="455"/>
    <s v="0090"/>
    <n v="-49.582913280123698"/>
    <n v="-27.9904084099201"/>
    <n v="-49.212955759800401"/>
    <n v="-28.186587420373002"/>
    <s v="475"/>
    <s v="SC"/>
    <s v="Eixo Principal"/>
    <s v="-"/>
    <s v="475BSC0090"/>
    <s v="ENTR SC-110 (URUBICÍ)"/>
    <s v="GRÃO-PARÁ"/>
    <n v="97.1"/>
    <n v="151.19999999999999"/>
    <n v="54.1"/>
    <x v="1"/>
    <m/>
    <m/>
    <s v="Estadual"/>
    <m/>
    <s v="SC-370"/>
    <s v="PAV"/>
    <s v="Estadual"/>
    <s v="PLA"/>
    <s v="Tubarão"/>
  </r>
  <r>
    <x v="0"/>
    <s v="475BSC0105"/>
    <n v="0"/>
    <x v="455"/>
    <s v="0105"/>
    <n v="-49.212955759800401"/>
    <n v="-28.186587420373002"/>
    <n v="-49.168610410042298"/>
    <n v="-28.273815789866699"/>
    <s v="475"/>
    <s v="SC"/>
    <s v="Eixo Principal"/>
    <s v="-"/>
    <s v="475BSC0105"/>
    <s v="GRÃO-PARÁ"/>
    <s v="ENTR SC-108(A) (BRAÇO DO NORTE)"/>
    <n v="151.19999999999999"/>
    <n v="165.8"/>
    <n v="14.6"/>
    <x v="1"/>
    <m/>
    <m/>
    <s v="Estadual"/>
    <m/>
    <s v="SC-370"/>
    <s v="PAV"/>
    <s v="Estadual"/>
    <s v="PLA"/>
    <s v="Tubarão"/>
  </r>
  <r>
    <x v="0"/>
    <s v="475BSC0120"/>
    <n v="0"/>
    <x v="455"/>
    <s v="0120"/>
    <n v="-49.168610410042298"/>
    <n v="-28.273815789866699"/>
    <n v="-49.157460160258097"/>
    <n v="-28.2846403097024"/>
    <s v="475"/>
    <s v="SC"/>
    <s v="Eixo Principal"/>
    <s v="-"/>
    <s v="475BSC0120"/>
    <s v="ENTR SC-108(A) (BRAÇO DO NORTE)"/>
    <s v="ENTR SC-108(B) (P/SÃO LUDGERO)"/>
    <n v="165.8"/>
    <n v="167.5"/>
    <n v="1.7"/>
    <x v="1"/>
    <m/>
    <m/>
    <s v="Estadual"/>
    <m/>
    <s v="SC-370"/>
    <s v="PAV"/>
    <s v="Estadual"/>
    <s v="PLA"/>
    <s v="Tubarão"/>
  </r>
  <r>
    <x v="0"/>
    <s v="475BSC0130"/>
    <n v="0"/>
    <x v="455"/>
    <s v="0130"/>
    <n v="-49.157460160258097"/>
    <n v="-28.2846403097024"/>
    <n v="-49.032890780185298"/>
    <n v="-28.332115620339501"/>
    <s v="475"/>
    <s v="SC"/>
    <s v="Eixo Principal"/>
    <s v="-"/>
    <s v="475BSC0130"/>
    <s v="ENTR SC-108(B) (P/SÃO LUDGERO)"/>
    <s v="ENTR SC-435 (GRAVATAL)"/>
    <n v="167.5"/>
    <n v="182.8"/>
    <n v="15.3"/>
    <x v="1"/>
    <m/>
    <m/>
    <s v="Estadual"/>
    <m/>
    <s v="SC-370"/>
    <s v="PAV"/>
    <s v="Estadual"/>
    <s v="PLA"/>
    <s v="Tubarão"/>
  </r>
  <r>
    <x v="0"/>
    <s v="475BSC0150"/>
    <n v="0"/>
    <x v="455"/>
    <s v="0150"/>
    <n v="-49.032890780185298"/>
    <n v="-28.332115620339501"/>
    <n v="-49.015584000101398"/>
    <n v="-28.469274689774998"/>
    <s v="475"/>
    <s v="SC"/>
    <s v="Eixo Principal"/>
    <s v="-"/>
    <s v="475BSC0150"/>
    <s v="ENTR SC-435 (GRAVATAL)"/>
    <s v="ENTR BR-101 (TUBARÃO)"/>
    <n v="182.8"/>
    <n v="199.6"/>
    <n v="16.8"/>
    <x v="1"/>
    <m/>
    <m/>
    <s v="Estadual"/>
    <m/>
    <s v="SC-370"/>
    <s v="PAV"/>
    <s v="Estadual"/>
    <s v="PLA"/>
    <s v="Tubarão"/>
  </r>
  <r>
    <x v="0"/>
    <s v="476APR1005"/>
    <n v="0"/>
    <x v="456"/>
    <s v="1005"/>
    <n v="-51.074701089983201"/>
    <n v="-26.214278089761901"/>
    <n v="-51.080576240401101"/>
    <n v="-26.218491710324098"/>
    <s v="476"/>
    <s v="PR"/>
    <s v="Acesso"/>
    <s v="-"/>
    <s v="476APR1005"/>
    <s v="ACESSO PONTE DOMICIO SCARAMELLA"/>
    <s v="PONTE DOMICIO SCARAMELLA"/>
    <n v="0"/>
    <n v="0.7"/>
    <n v="0.7"/>
    <x v="1"/>
    <m/>
    <m/>
    <s v="Estadual"/>
    <m/>
    <s v="PR-835"/>
    <s v="PAV"/>
    <s v="Estadual"/>
    <s v="PLA"/>
    <s v="Colombo"/>
  </r>
  <r>
    <x v="0"/>
    <s v="476BPR0030"/>
    <n v="0"/>
    <x v="457"/>
    <s v="0030"/>
    <n v="-49.003881429883997"/>
    <n v="-24.656088699933399"/>
    <n v="-48.995210440109702"/>
    <n v="-24.656488720178199"/>
    <s v="476"/>
    <s v="PR"/>
    <s v="Eixo Principal"/>
    <s v="-"/>
    <s v="476BPR0030"/>
    <s v="INÍCIO PONTE S/RIO RIBEIRA DE IGUAPE (RIBEIRA) (DIV PR/SP)"/>
    <s v="INÍCIO PISTA DUPLA ADRIANÓPOLIS"/>
    <n v="0"/>
    <n v="0.9"/>
    <n v="0.9"/>
    <x v="2"/>
    <m/>
    <m/>
    <s v="Federal"/>
    <m/>
    <m/>
    <m/>
    <s v="Federal"/>
    <s v="PAV"/>
    <s v="Colombo"/>
  </r>
  <r>
    <x v="0"/>
    <s v="476BPR0033"/>
    <n v="0"/>
    <x v="457"/>
    <s v="0033"/>
    <n v="-48.995210440109702"/>
    <n v="-24.656488720178199"/>
    <n v="-48.9893461597973"/>
    <n v="-24.666476290448301"/>
    <s v="476"/>
    <s v="PR"/>
    <s v="Eixo Principal"/>
    <s v="-"/>
    <s v="476BPR0033"/>
    <s v="INÍCIO PISTA DUPLA ADRIANÓPOLIS"/>
    <s v="FIM PISTA DUPLA ADRIANÓPOLIS"/>
    <n v="0.9"/>
    <n v="2.2999999999999998"/>
    <n v="1.4"/>
    <x v="0"/>
    <m/>
    <m/>
    <s v="Federal"/>
    <m/>
    <m/>
    <m/>
    <s v="Federal"/>
    <s v="PAV"/>
    <s v="Colombo"/>
  </r>
  <r>
    <x v="0"/>
    <s v="476BPR0036"/>
    <n v="0"/>
    <x v="457"/>
    <s v="0036"/>
    <n v="-48.9893461597973"/>
    <n v="-24.666476290448301"/>
    <n v="-49.096913149721999"/>
    <n v="-24.958926599982501"/>
    <s v="476"/>
    <s v="PR"/>
    <s v="Eixo Principal"/>
    <s v="-"/>
    <s v="476BPR0036"/>
    <s v="FIM PISTA DUPLA ADRIANÓPOLIS"/>
    <s v="ENTR PR-340 (TUNAS DO PARANÁ)"/>
    <n v="2.2999999999999998"/>
    <n v="53.3"/>
    <n v="51"/>
    <x v="2"/>
    <m/>
    <m/>
    <s v="Federal"/>
    <m/>
    <m/>
    <m/>
    <s v="Federal"/>
    <s v="PAV"/>
    <s v="Colombo"/>
  </r>
  <r>
    <x v="0"/>
    <s v="476BPR0040"/>
    <n v="0"/>
    <x v="457"/>
    <s v="0040"/>
    <n v="-49.096913149721999"/>
    <n v="-24.958926599982501"/>
    <n v="-49.112390879635299"/>
    <n v="-25.212015560269801"/>
    <s v="476"/>
    <s v="PR"/>
    <s v="Eixo Principal"/>
    <s v="-"/>
    <s v="476BPR0040"/>
    <s v="ENTR PR-340 (TUNAS DO PARANÁ)"/>
    <s v="ENTR R.LAURO DE CARVALHO OSÓRIO (BOCAIÚVA DO SUL)"/>
    <n v="53.3"/>
    <n v="93.3"/>
    <n v="40"/>
    <x v="2"/>
    <m/>
    <m/>
    <s v="Federal"/>
    <m/>
    <m/>
    <m/>
    <s v="Federal"/>
    <s v="PAV"/>
    <s v="Colombo"/>
  </r>
  <r>
    <x v="0"/>
    <s v="476BPR0050"/>
    <n v="0"/>
    <x v="457"/>
    <s v="0050"/>
    <n v="-49.112390879635299"/>
    <n v="-25.212015560269801"/>
    <n v="-49.143860519647198"/>
    <n v="-25.3080528800363"/>
    <s v="476"/>
    <s v="PR"/>
    <s v="Eixo Principal"/>
    <s v="-"/>
    <s v="476BPR0050"/>
    <s v="ENTR R.LAURO DE CARVALHO OSÓRIO (BOCAIÚVA DO SUL)"/>
    <s v="ESCOLA RURAL IMBUIAL DA ROSEIRA (P/ROSEIRA)"/>
    <n v="93.3"/>
    <n v="109.6"/>
    <n v="16.3"/>
    <x v="2"/>
    <m/>
    <m/>
    <s v="Federal"/>
    <m/>
    <m/>
    <m/>
    <s v="Federal"/>
    <s v="PAV"/>
    <s v="Colombo"/>
  </r>
  <r>
    <x v="0"/>
    <s v="476BPR0052"/>
    <n v="0"/>
    <x v="457"/>
    <s v="0052"/>
    <n v="-49.143860519647198"/>
    <n v="-25.3080528800363"/>
    <n v="-49.167264859685403"/>
    <n v="-25.3497069896857"/>
    <s v="476"/>
    <s v="PR"/>
    <s v="Eixo Principal"/>
    <s v="-"/>
    <s v="476BPR0052"/>
    <s v="ESCOLA RURAL IMBUIAL DA ROSEIRA (P/ROSEIRA)"/>
    <s v="INÍCIO DA PISTA DUPLA"/>
    <n v="109.6"/>
    <n v="116.1"/>
    <n v="6.5"/>
    <x v="2"/>
    <m/>
    <m/>
    <s v="Federal"/>
    <m/>
    <m/>
    <m/>
    <s v="Federal"/>
    <s v="PAV"/>
    <s v="Colombo"/>
  </r>
  <r>
    <x v="0"/>
    <s v="476BPR0055"/>
    <n v="0"/>
    <x v="457"/>
    <s v="0055"/>
    <n v="-49.167264859685403"/>
    <n v="-25.3497069896857"/>
    <n v="-49.1959601397485"/>
    <n v="-25.377217350000599"/>
    <s v="476"/>
    <s v="PR"/>
    <s v="Eixo Principal"/>
    <s v="-"/>
    <s v="476BPR0055"/>
    <s v="INÍCIO DA PISTA DUPLA"/>
    <s v="PONTE S/ RIO ATUBA"/>
    <n v="116.1"/>
    <n v="120.9"/>
    <n v="4.8"/>
    <x v="0"/>
    <m/>
    <m/>
    <s v="Federal"/>
    <m/>
    <m/>
    <m/>
    <s v="Federal"/>
    <s v="PAV"/>
    <s v="Colombo"/>
  </r>
  <r>
    <x v="0"/>
    <s v="476BPR0058"/>
    <n v="0"/>
    <x v="457"/>
    <s v="0058"/>
    <n v="-49.1959601397485"/>
    <n v="-25.377217350000599"/>
    <n v="-49.205974669894999"/>
    <n v="-25.388517929558699"/>
    <s v="476"/>
    <s v="PR"/>
    <s v="Eixo Principal"/>
    <s v="-"/>
    <s v="476BPR0058"/>
    <s v="PONTE S/ RIO ATUBA"/>
    <s v="ENTR BR-116 (CURITIBA ACESSO NORTE/ATUBÁ)"/>
    <n v="120.9"/>
    <n v="122.4"/>
    <n v="1.5"/>
    <x v="0"/>
    <m/>
    <m/>
    <s v="Federal"/>
    <m/>
    <m/>
    <m/>
    <s v="Federal"/>
    <s v="PAV"/>
    <s v="Colombo"/>
  </r>
  <r>
    <x v="0"/>
    <s v="476BPR0060"/>
    <n v="0"/>
    <x v="457"/>
    <s v="0060"/>
    <n v="-49.205974669894999"/>
    <n v="-25.388517929558699"/>
    <n v="-49.228702520105102"/>
    <n v="-25.428528750301499"/>
    <s v="476"/>
    <s v="PR"/>
    <s v="Eixo Principal"/>
    <s v="-"/>
    <s v="476BPR0060"/>
    <s v="ENTR BR-116 (CURITIBA ACESSO NORTE/ATUBÁ)"/>
    <s v="ENTR PR-415 (P/PIRAQUARA)"/>
    <n v="122.4"/>
    <n v="127.4"/>
    <n v="5"/>
    <x v="0"/>
    <m/>
    <m/>
    <s v="Convênio de Administração"/>
    <m/>
    <m/>
    <m/>
    <s v="Federal"/>
    <s v="PAV"/>
    <s v="Colombo"/>
  </r>
  <r>
    <x v="0"/>
    <s v="476BPR0065"/>
    <n v="0"/>
    <x v="457"/>
    <s v="0065"/>
    <n v="-49.228702520105102"/>
    <n v="-25.428528750301499"/>
    <n v="-49.233897089678898"/>
    <n v="-25.443626399738399"/>
    <s v="476"/>
    <s v="PR"/>
    <s v="Eixo Principal"/>
    <s v="-"/>
    <s v="476BPR0065"/>
    <s v="ENTR PR-415 (P/PIRAQUARA)"/>
    <s v="ENTR BR-277 (ACESSO SUL CURITIBA)"/>
    <n v="127.4"/>
    <n v="129.30000000000001"/>
    <n v="1.9"/>
    <x v="0"/>
    <m/>
    <m/>
    <s v="Convênio de Administração"/>
    <m/>
    <m/>
    <m/>
    <s v="Federal"/>
    <s v="PAV"/>
    <s v="Colombo"/>
  </r>
  <r>
    <x v="0"/>
    <s v="476BPR0070"/>
    <n v="0"/>
    <x v="457"/>
    <s v="0070"/>
    <n v="-49.233897089678898"/>
    <n v="-25.443626399738399"/>
    <n v="-49.253662209743098"/>
    <n v="-25.468431209932302"/>
    <s v="476"/>
    <s v="PR"/>
    <s v="Eixo Principal"/>
    <s v="-"/>
    <s v="476BPR0070"/>
    <s v="ENTR BR-277 (ACESSO SUL CURITIBA)"/>
    <s v="AV MARECHAL FLORIANO PEIXOTO"/>
    <n v="129.30000000000001"/>
    <n v="132.9"/>
    <n v="3.6"/>
    <x v="0"/>
    <m/>
    <m/>
    <s v="Convênio de Administração"/>
    <m/>
    <m/>
    <m/>
    <s v="Federal"/>
    <s v="PAV"/>
    <s v="Colombo"/>
  </r>
  <r>
    <x v="0"/>
    <s v="476BPR0080"/>
    <n v="0"/>
    <x v="457"/>
    <s v="0080"/>
    <n v="-49.253662209743098"/>
    <n v="-25.468431209932302"/>
    <n v="-49.303409099949903"/>
    <n v="-25.544169439867598"/>
    <s v="476"/>
    <s v="PR"/>
    <s v="Eixo Principal"/>
    <s v="-"/>
    <s v="476BPR0080"/>
    <s v="AV MARECHAL FLORIANO PEIXOTO"/>
    <s v="ENTR BR-116/277/376(A) (CURITIBA SUL/PINHEIRINHO)"/>
    <n v="132.9"/>
    <n v="142.80000000000001"/>
    <n v="9.9"/>
    <x v="0"/>
    <m/>
    <m/>
    <s v="Convênio de Administração"/>
    <m/>
    <m/>
    <m/>
    <s v="Federal"/>
    <s v="PAV"/>
    <s v="Colombo"/>
  </r>
  <r>
    <x v="0"/>
    <s v="476BPR0085"/>
    <n v="0"/>
    <x v="457"/>
    <s v="0085"/>
    <n v="-49.303409099949903"/>
    <n v="-25.544169439867598"/>
    <n v="-49.310956240238198"/>
    <n v="-25.540531309871898"/>
    <s v="476"/>
    <s v="PR"/>
    <s v="Eixo Principal"/>
    <s v="Coinc"/>
    <s v="476BPR0085"/>
    <s v="ENTR BR-116/277/376(A) (CURITIBA SUL/PINHEIRINHO)"/>
    <s v="ENTR BR-376(B)/277 (P/ARAUCÁRIA)"/>
    <n v="142.80000000000001"/>
    <n v="143.69999999999999"/>
    <n v="0.9"/>
    <x v="0"/>
    <m/>
    <s v="277BPR0051;376BPR0460"/>
    <s v="Federal"/>
    <m/>
    <m/>
    <m/>
    <s v="Federal"/>
    <s v="PAV"/>
    <s v="Colombo"/>
  </r>
  <r>
    <x v="0"/>
    <s v="476BPR0090"/>
    <n v="0"/>
    <x v="457"/>
    <s v="0090"/>
    <n v="-49.310956240238198"/>
    <n v="-25.540531309871898"/>
    <n v="-49.3792644899642"/>
    <n v="-25.565424140311698"/>
    <s v="476"/>
    <s v="PR"/>
    <s v="Eixo Principal"/>
    <s v="-"/>
    <s v="476BPR0090"/>
    <s v="ENTR BR-376(B)/277 (P/ARAUCÁRIA)"/>
    <s v="AV ARAUCÁRIAS"/>
    <n v="143.69999999999999"/>
    <n v="151.30000000000001"/>
    <n v="7.6"/>
    <x v="0"/>
    <m/>
    <m/>
    <s v="Federal"/>
    <m/>
    <m/>
    <m/>
    <s v="Federal"/>
    <s v="PAV"/>
    <s v="Colombo"/>
  </r>
  <r>
    <x v="0"/>
    <s v="476BPR0091"/>
    <n v="0"/>
    <x v="457"/>
    <s v="0091"/>
    <n v="-49.3792644899642"/>
    <n v="-25.565424140311698"/>
    <n v="-49.385425149950599"/>
    <n v="-25.571498999579099"/>
    <s v="476"/>
    <s v="PR"/>
    <s v="Eixo Principal"/>
    <s v="-"/>
    <s v="476BPR0091"/>
    <s v="AV ARAUCÁRIAS"/>
    <s v="ENTR PR-423 (ARAUCÁRIA)"/>
    <n v="151.30000000000001"/>
    <n v="152.19999999999999"/>
    <n v="0.9"/>
    <x v="0"/>
    <m/>
    <m/>
    <s v="Federal"/>
    <m/>
    <m/>
    <m/>
    <s v="Federal"/>
    <s v="PAV"/>
    <s v="Colombo"/>
  </r>
  <r>
    <x v="0"/>
    <s v="476BPR0093"/>
    <n v="0"/>
    <x v="457"/>
    <s v="0093"/>
    <n v="-49.385425149950599"/>
    <n v="-25.571498999579099"/>
    <n v="-49.417736319775301"/>
    <n v="-25.5991576697906"/>
    <s v="476"/>
    <s v="PR"/>
    <s v="Eixo Principal"/>
    <s v="-"/>
    <s v="476BPR0093"/>
    <s v="ENTR PR-423 (ARAUCÁRIA)"/>
    <s v="FIM PISTA DUPLA"/>
    <n v="152.19999999999999"/>
    <n v="156"/>
    <n v="3.8"/>
    <x v="0"/>
    <m/>
    <m/>
    <s v="Federal"/>
    <m/>
    <m/>
    <m/>
    <s v="Federal"/>
    <s v="PAV"/>
    <s v="Colombo"/>
  </r>
  <r>
    <x v="0"/>
    <s v="476BPR0094"/>
    <n v="0"/>
    <x v="457"/>
    <s v="0094"/>
    <n v="-49.417736319775301"/>
    <n v="-25.5991576697906"/>
    <n v="-49.523185249799297"/>
    <n v="-25.679462620203701"/>
    <s v="476"/>
    <s v="PR"/>
    <s v="Eixo Principal"/>
    <s v="-"/>
    <s v="476BPR0094"/>
    <s v="FIM PISTA DUPLA"/>
    <s v="ENTR PR-510 (P/CONTENDA)"/>
    <n v="156"/>
    <n v="172.7"/>
    <n v="16.7"/>
    <x v="2"/>
    <m/>
    <m/>
    <s v="Concessão Estadual"/>
    <m/>
    <m/>
    <m/>
    <s v="Federal"/>
    <s v="PAV"/>
    <s v="Colombo"/>
  </r>
  <r>
    <x v="0"/>
    <s v="476BPR0095"/>
    <n v="0"/>
    <x v="457"/>
    <s v="0095"/>
    <n v="-49.523185249799297"/>
    <n v="-25.679462620203701"/>
    <n v="-49.724347839880799"/>
    <n v="-25.7522972603102"/>
    <s v="476"/>
    <s v="PR"/>
    <s v="Eixo Principal"/>
    <s v="-"/>
    <s v="476BPR0095"/>
    <s v="ENTR PR-510 (P/CONTENDA)"/>
    <s v="ENTR AV CAETANO MUNHOZ DA ROCHA (LAPA)"/>
    <n v="172.7"/>
    <n v="195.8"/>
    <n v="23.1"/>
    <x v="2"/>
    <m/>
    <m/>
    <s v="Concessão Estadual"/>
    <m/>
    <m/>
    <m/>
    <s v="Federal"/>
    <s v="PAV"/>
    <s v="Colombo"/>
  </r>
  <r>
    <x v="0"/>
    <s v="476BPR0100"/>
    <n v="0"/>
    <x v="457"/>
    <s v="0100"/>
    <n v="-49.724347839880799"/>
    <n v="-25.7522972603102"/>
    <n v="-49.737286360077398"/>
    <n v="-25.763539599772599"/>
    <s v="476"/>
    <s v="PR"/>
    <s v="Eixo Principal"/>
    <s v="-"/>
    <s v="476BPR0100"/>
    <s v="ENTR AV CAETANO MUNHOZ DA ROCHA (LAPA)"/>
    <s v="ENTR PR-427 (P/PORTOAMAZONAS)(LAPA)"/>
    <n v="195.8"/>
    <n v="197.7"/>
    <n v="1.9"/>
    <x v="2"/>
    <m/>
    <m/>
    <s v="Concessão Estadual"/>
    <m/>
    <m/>
    <m/>
    <s v="Federal"/>
    <s v="PAV"/>
    <s v="Colombo"/>
  </r>
  <r>
    <x v="4"/>
    <s v="476BPR0110"/>
    <s v="BR-476/153/282/480/SC/PR"/>
    <x v="457"/>
    <s v="0110"/>
    <n v="-49.737286360077398"/>
    <n v="-25.763539599772599"/>
    <n v="-50.223553470416199"/>
    <n v="-25.889308009956601"/>
    <s v="476"/>
    <s v="PR"/>
    <s v="Eixo Principal"/>
    <s v="-"/>
    <s v="476BPR0110"/>
    <s v="ENTR PR-427 (P/PORTOAMAZONAS)(LAPA)"/>
    <s v="ENTR PR-281(A) (P/ANTÔNIO OLINTO)"/>
    <n v="197.7"/>
    <n v="257.7"/>
    <n v="60"/>
    <x v="2"/>
    <m/>
    <m/>
    <s v="Federal"/>
    <m/>
    <m/>
    <m/>
    <s v="Federal"/>
    <s v="PAV"/>
    <s v="Colombo"/>
  </r>
  <r>
    <x v="4"/>
    <s v="476BPR0120"/>
    <s v="BR-476/153/282/480/SC/PR"/>
    <x v="457"/>
    <s v="0120"/>
    <n v="-50.223553470416199"/>
    <n v="-25.889308009956601"/>
    <n v="-50.376281409759201"/>
    <n v="-25.894375579968901"/>
    <s v="476"/>
    <s v="PR"/>
    <s v="Eixo Principal"/>
    <s v="-"/>
    <s v="476BPR0120"/>
    <s v="ENTR PR-281(A) (P/ANTÔNIO OLINTO)"/>
    <s v="ENTR PR-151(A) (P/LAJEADO)"/>
    <n v="257.7"/>
    <n v="273.8"/>
    <n v="16.100000000000001"/>
    <x v="2"/>
    <m/>
    <m/>
    <s v="Federal"/>
    <m/>
    <m/>
    <m/>
    <s v="Federal"/>
    <s v="PAV"/>
    <s v="Colombo"/>
  </r>
  <r>
    <x v="4"/>
    <s v="476BPR0125"/>
    <s v="BR-476/153/282/480/SC/PR"/>
    <x v="457"/>
    <s v="0125"/>
    <n v="-50.376281409759201"/>
    <n v="-25.894375579968901"/>
    <n v="-50.395505559733699"/>
    <n v="-25.868761709984799"/>
    <s v="476"/>
    <s v="PR"/>
    <s v="Eixo Principal"/>
    <s v="-"/>
    <s v="476BPR0125"/>
    <s v="ENTR PR-151(A) (P/LAJEADO)"/>
    <s v="ENTR PR-151(B)/364 (SÃO MATEUS DO SUL)"/>
    <n v="273.8"/>
    <n v="277.89999999999998"/>
    <n v="4.0999999999999996"/>
    <x v="2"/>
    <m/>
    <m/>
    <s v="Federal"/>
    <m/>
    <m/>
    <m/>
    <s v="Federal"/>
    <s v="PAV"/>
    <s v="Colombo"/>
  </r>
  <r>
    <x v="4"/>
    <s v="476BPR0130"/>
    <s v="BR-476/153/282/480/SC/PR"/>
    <x v="457"/>
    <s v="0130"/>
    <n v="-50.395505559733699"/>
    <n v="-25.868761709984799"/>
    <n v="-50.615466420438899"/>
    <n v="-26.012456499867501"/>
    <s v="476"/>
    <s v="PR"/>
    <s v="Eixo Principal"/>
    <s v="-"/>
    <s v="476BPR0130"/>
    <s v="ENTR PR-151(B)/364 (SÃO MATEUS DO SUL)"/>
    <s v="ENTR PR-281(B) (P/RIO CLARO DO SUL)"/>
    <n v="277.89999999999998"/>
    <n v="306.10000000000002"/>
    <n v="28.2"/>
    <x v="2"/>
    <m/>
    <m/>
    <s v="Federal"/>
    <m/>
    <m/>
    <m/>
    <s v="Federal"/>
    <s v="PAV"/>
    <s v="Colombo"/>
  </r>
  <r>
    <x v="4"/>
    <s v="476BPR0140"/>
    <s v="BR-476/153/282/480/SC/PR"/>
    <x v="457"/>
    <s v="0140"/>
    <n v="-50.615466420438899"/>
    <n v="-26.012456499867501"/>
    <n v="-50.774563229908999"/>
    <n v="-26.0930610899972"/>
    <s v="476"/>
    <s v="PR"/>
    <s v="Eixo Principal"/>
    <s v="-"/>
    <s v="476BPR0140"/>
    <s v="ENTR PR-281(B) (P/RIO CLARO DO SUL)"/>
    <s v="ENTR BR-153(A) (P/PAULO FRONTIN)"/>
    <n v="306.10000000000002"/>
    <n v="325.39999999999998"/>
    <n v="19.3"/>
    <x v="2"/>
    <m/>
    <m/>
    <s v="Federal"/>
    <m/>
    <m/>
    <m/>
    <s v="Federal"/>
    <s v="PAV"/>
    <s v="Colombo"/>
  </r>
  <r>
    <x v="4"/>
    <s v="476BPR0145"/>
    <s v="BR-476/153/282/480/SC/PR"/>
    <x v="457"/>
    <s v="0145"/>
    <n v="-50.774563229908999"/>
    <n v="-26.0930610899972"/>
    <n v="-50.912578230001202"/>
    <n v="-26.1720213300203"/>
    <s v="476"/>
    <s v="PR"/>
    <s v="Eixo Principal"/>
    <s v="Coinc"/>
    <s v="476BPR0145"/>
    <s v="ENTR BR-153(A) (P/PAULO FRONTIN)"/>
    <s v="ENTR PR-160"/>
    <n v="325.39999999999998"/>
    <n v="342.4"/>
    <n v="17"/>
    <x v="2"/>
    <m/>
    <s v="153BPR1448"/>
    <s v="Federal"/>
    <m/>
    <m/>
    <m/>
    <s v="Federal"/>
    <s v="PAV"/>
    <s v="Colombo"/>
  </r>
  <r>
    <x v="4"/>
    <s v="476BPR0148"/>
    <s v="BR-476/153/282/480/SC/PR"/>
    <x v="457"/>
    <s v="0148"/>
    <n v="-50.912578230001202"/>
    <n v="-26.1720213300203"/>
    <n v="-50.926112649978698"/>
    <n v="-26.181635869599599"/>
    <s v="476"/>
    <s v="PR"/>
    <s v="Eixo Principal"/>
    <s v="Coinc"/>
    <s v="476BPR0148"/>
    <s v="ENTR PR-160"/>
    <s v="ENTR PR-831 (P/PAULA FREITAS)"/>
    <n v="342.4"/>
    <n v="344.1"/>
    <n v="1.7"/>
    <x v="2"/>
    <m/>
    <s v="153BPR1449"/>
    <s v="Federal"/>
    <m/>
    <m/>
    <m/>
    <s v="Federal"/>
    <s v="PAV"/>
    <s v="Colombo"/>
  </r>
  <r>
    <x v="4"/>
    <s v="476BPR0150"/>
    <s v="BR-476/153/282/480/SC/PR"/>
    <x v="457"/>
    <s v="0150"/>
    <n v="-50.926112649978698"/>
    <n v="-26.181635869599599"/>
    <n v="-51.060156350035399"/>
    <n v="-26.201471080126201"/>
    <s v="476"/>
    <s v="PR"/>
    <s v="Eixo Principal"/>
    <s v="Coinc"/>
    <s v="476BPR0150"/>
    <s v="ENTR PR-831 (P/PAULA FREITAS)"/>
    <s v="ENTR BR-153(B)"/>
    <n v="344.1"/>
    <n v="358.9"/>
    <n v="14.8"/>
    <x v="2"/>
    <m/>
    <s v="153BPR1450"/>
    <s v="Federal"/>
    <m/>
    <m/>
    <m/>
    <s v="Federal"/>
    <s v="PAV"/>
    <s v="Colombo"/>
  </r>
  <r>
    <x v="0"/>
    <s v="476BPR0153"/>
    <n v="0"/>
    <x v="457"/>
    <s v="0153"/>
    <n v="-51.060156350035399"/>
    <n v="-26.201471080126201"/>
    <n v="-51.074701089983201"/>
    <n v="-26.214278089761901"/>
    <s v="476"/>
    <s v="PR"/>
    <s v="Eixo Principal"/>
    <s v="-"/>
    <s v="476BPR0153"/>
    <s v="ENTR BR-153(B)"/>
    <s v="ENTR PR-835 (ACESSO PONTE DOMICIO SCARAMELLA)"/>
    <n v="358.9"/>
    <n v="361.2"/>
    <n v="2.2999999999999998"/>
    <x v="1"/>
    <m/>
    <m/>
    <s v="Estadual"/>
    <m/>
    <s v="PRT-476"/>
    <s v="PAV"/>
    <s v="Estadual"/>
    <s v="PLA"/>
    <s v="Colombo"/>
  </r>
  <r>
    <x v="0"/>
    <s v="476BPR0157"/>
    <n v="0"/>
    <x v="457"/>
    <s v="0157"/>
    <n v="-51.074701089983201"/>
    <n v="-26.214278089761901"/>
    <n v="-51.097706839698802"/>
    <n v="-26.2163124002969"/>
    <s v="476"/>
    <s v="PR"/>
    <s v="Eixo Principal"/>
    <s v="-"/>
    <s v="476BPR0157"/>
    <s v="ENTR PR-835 (ACESSO PONTE DOMICIO SCARAMELLA)"/>
    <s v="ENTR BR-466(A) (PONTE MANOEL RIBAS)"/>
    <n v="361.2"/>
    <n v="363.9"/>
    <n v="2.7"/>
    <x v="1"/>
    <m/>
    <m/>
    <s v="Estadual"/>
    <m/>
    <s v="PRT-476"/>
    <s v="PAV"/>
    <s v="Estadual"/>
    <s v="PLA"/>
    <s v="Colombo"/>
  </r>
  <r>
    <x v="0"/>
    <s v="476BPR0160"/>
    <n v="0"/>
    <x v="457"/>
    <s v="0160"/>
    <n v="-51.097706839698802"/>
    <n v="-26.2163124002969"/>
    <n v="-51.085433280021697"/>
    <n v="-26.232670120429599"/>
    <s v="476"/>
    <s v="PR"/>
    <s v="Eixo Principal"/>
    <s v="Coinc"/>
    <s v="476BPR0160"/>
    <s v="ENTR BR-466(A) (PONTE MANOEL RIBAS)"/>
    <s v="ENTR BR-466(B) (DIV PR/SC) (UNIÃO DA VITÓRIA/PORTO UNIÃO) *TRECHO MUNICIPAL*"/>
    <n v="363.9"/>
    <n v="366.1"/>
    <n v="2.2000000000000002"/>
    <x v="1"/>
    <m/>
    <s v="466BPR0170"/>
    <s v="Estadual"/>
    <m/>
    <s v="PRT-476"/>
    <s v="PAV"/>
    <s v="Estadual"/>
    <s v="PLA"/>
    <s v="Colombo"/>
  </r>
  <r>
    <x v="0"/>
    <s v="476BSP0010"/>
    <n v="0"/>
    <x v="458"/>
    <s v="0010"/>
    <n v="-48.838771630006697"/>
    <n v="-24.5221376804095"/>
    <n v="-49.003881429883997"/>
    <n v="-24.656088699933399"/>
    <s v="476"/>
    <s v="SP"/>
    <s v="Eixo Principal"/>
    <s v="Coinc"/>
    <s v="476BSP0010"/>
    <s v="ENTR SP-165 (APIAÍ)"/>
    <s v="INÍCIO PONTE S/RIO RIBEIRA DE IGUAPE (RIBEIRA) (DIV SP/PR)"/>
    <n v="0"/>
    <n v="33.799999999999997"/>
    <n v="33.799999999999997"/>
    <x v="1"/>
    <m/>
    <s v="373BSP0230"/>
    <s v="Estadual"/>
    <m/>
    <s v="SP-250"/>
    <s v="PAV"/>
    <s v="Estadual"/>
    <s v="PLA"/>
    <s v="Taubaté"/>
  </r>
  <r>
    <x v="0"/>
    <s v="477BSC0010"/>
    <n v="0"/>
    <x v="459"/>
    <s v="0010"/>
    <n v="-50.375665289621303"/>
    <n v="-26.189524610172501"/>
    <n v="-50.215109560357803"/>
    <n v="-26.381929219957399"/>
    <s v="477"/>
    <s v="SC"/>
    <s v="Eixo Principal"/>
    <s v="-"/>
    <s v="477BSC0010"/>
    <s v="ENTR BR-280 (CANOINHAS)"/>
    <s v="ENTR BR-116(A)"/>
    <n v="0"/>
    <n v="34.5"/>
    <n v="34.5"/>
    <x v="1"/>
    <m/>
    <m/>
    <s v="Estadual"/>
    <m/>
    <s v="SCT-477"/>
    <s v="PAV"/>
    <s v="Estadual"/>
    <s v="PLA"/>
    <s v="Mafra"/>
  </r>
  <r>
    <x v="0"/>
    <s v="477BSC0020"/>
    <n v="0"/>
    <x v="459"/>
    <s v="0020"/>
    <n v="-50.215109560357803"/>
    <n v="-26.381929219957399"/>
    <n v="-50.162808779901198"/>
    <n v="-26.394689939688899"/>
    <s v="477"/>
    <s v="SC"/>
    <s v="Eixo Principal"/>
    <s v="Coinc"/>
    <s v="477BSC0020"/>
    <s v="ENTR BR-116(A)"/>
    <s v="ENTR BR-116(B) (PAPANDUVA)"/>
    <n v="34.5"/>
    <n v="40.5"/>
    <n v="6"/>
    <x v="2"/>
    <m/>
    <s v="116BSC2890"/>
    <s v="Concessão Federal"/>
    <m/>
    <m/>
    <m/>
    <s v="Federal"/>
    <s v="PAV"/>
    <s v="Mafra"/>
  </r>
  <r>
    <x v="0"/>
    <s v="477BSC0025"/>
    <n v="0"/>
    <x v="459"/>
    <s v="0025"/>
    <n v="-50.162808779901198"/>
    <n v="-26.394689939688899"/>
    <n v="-50.114645590421603"/>
    <n v="-26.429685430238301"/>
    <s v="477"/>
    <s v="SC"/>
    <s v="Eixo Principal"/>
    <s v="-"/>
    <s v="477BSC0025"/>
    <s v="ENTR BR-116(B) (PAPANDUVA)"/>
    <s v="ENTR SC-423 (P/RODEIOZINHO)"/>
    <n v="40.5"/>
    <n v="47"/>
    <n v="6.5"/>
    <x v="1"/>
    <m/>
    <m/>
    <s v="Estadual"/>
    <m/>
    <s v="SCT-477"/>
    <s v="PAV"/>
    <s v="Estadual"/>
    <s v="PLA"/>
    <s v="Mafra"/>
  </r>
  <r>
    <x v="0"/>
    <s v="477BSC0030"/>
    <n v="0"/>
    <x v="459"/>
    <s v="0030"/>
    <n v="-50.114645590421603"/>
    <n v="-26.429685430238301"/>
    <n v="-49.896067949975802"/>
    <n v="-26.4495058496152"/>
    <s v="477"/>
    <s v="SC"/>
    <s v="Eixo Principal"/>
    <s v="-"/>
    <s v="477BSC0030"/>
    <s v="ENTR SC-423 (P/RODEIOZINHO)"/>
    <s v="ENTR SC-114(A) (P/ITAIÓPOLIS)"/>
    <n v="47"/>
    <n v="72.2"/>
    <n v="25.2"/>
    <x v="1"/>
    <m/>
    <m/>
    <s v="Estadual"/>
    <m/>
    <s v="SCT-477"/>
    <s v="LEN"/>
    <s v="Estadual"/>
    <s v="PLA"/>
    <s v="Mafra"/>
  </r>
  <r>
    <x v="0"/>
    <s v="477BSC0045"/>
    <n v="0"/>
    <x v="459"/>
    <s v="0045"/>
    <n v="-49.896067949975802"/>
    <n v="-26.4495058496152"/>
    <n v="-49.851478660012098"/>
    <n v="-26.518664089975701"/>
    <s v="477"/>
    <s v="SC"/>
    <s v="Eixo Principal"/>
    <s v="-"/>
    <s v="477BSC0045"/>
    <s v="ENTR SC-114(A) (P/ITAIÓPOLIS)"/>
    <s v="ENTR SC-114(B) (P/SANTA TEREZINHA)"/>
    <n v="72.2"/>
    <n v="84.3"/>
    <n v="12.1"/>
    <x v="1"/>
    <m/>
    <m/>
    <s v="Estadual"/>
    <m/>
    <s v="SCT-477"/>
    <s v="PAV"/>
    <s v="Estadual"/>
    <s v="PLA"/>
    <s v="Mafra"/>
  </r>
  <r>
    <x v="0"/>
    <s v="477BSC0050"/>
    <n v="0"/>
    <x v="459"/>
    <s v="0050"/>
    <n v="-49.851478660012098"/>
    <n v="-26.518664089975701"/>
    <n v="-49.6994597003048"/>
    <n v="-26.6917061099489"/>
    <s v="477"/>
    <s v="SC"/>
    <s v="Eixo Principal"/>
    <s v="-"/>
    <s v="477BSC0050"/>
    <s v="ENTR SC-114(B) (P/SANTA TEREZINHA)"/>
    <s v="ENTR SC-112 (P/RIO NEGRINHO)"/>
    <n v="84.3"/>
    <n v="113.3"/>
    <n v="29"/>
    <x v="1"/>
    <m/>
    <m/>
    <s v="Estadual"/>
    <m/>
    <s v="SCT-477"/>
    <s v="LEN"/>
    <s v="Estadual"/>
    <s v="PLA"/>
    <s v="Mafra"/>
  </r>
  <r>
    <x v="0"/>
    <s v="477BSC0055"/>
    <n v="0"/>
    <x v="459"/>
    <s v="0055"/>
    <n v="-49.6994597003048"/>
    <n v="-26.6917061099489"/>
    <n v="-49.4854814302237"/>
    <n v="-26.714420509898499"/>
    <s v="477"/>
    <s v="SC"/>
    <s v="Eixo Principal"/>
    <s v="-"/>
    <s v="477BSC0055"/>
    <s v="ENTR SC-112 (P/RIO NEGRINHO)"/>
    <s v="DOUTOR PEDRINHO (PREF. MUNICIPAL)"/>
    <n v="113.3"/>
    <n v="143.80000000000001"/>
    <n v="30.5"/>
    <x v="1"/>
    <m/>
    <m/>
    <s v="Estadual"/>
    <m/>
    <s v="SCT-477"/>
    <s v="LEN"/>
    <s v="Estadual"/>
    <s v="PLA"/>
    <s v="Rio do Sul"/>
  </r>
  <r>
    <x v="0"/>
    <s v="477BSC0060"/>
    <n v="0"/>
    <x v="459"/>
    <s v="0060"/>
    <n v="-49.4854814302237"/>
    <n v="-26.714420509898499"/>
    <n v="-49.364618419804103"/>
    <n v="-26.7818543101282"/>
    <s v="477"/>
    <s v="SC"/>
    <s v="Eixo Principal"/>
    <s v="-"/>
    <s v="477BSC0060"/>
    <s v="DOUTOR PEDRINHO (PREF. MUNICIPAL)"/>
    <s v="BENEDITO NOVO (PREF.MUNICIPAL)"/>
    <n v="143.80000000000001"/>
    <n v="166.9"/>
    <n v="23.1"/>
    <x v="1"/>
    <m/>
    <m/>
    <s v="Estadual"/>
    <m/>
    <s v="SCT-477"/>
    <s v="PAV"/>
    <s v="Estadual"/>
    <s v="PLA"/>
    <s v="Rio do Sul"/>
  </r>
  <r>
    <x v="0"/>
    <s v="477BSC0061"/>
    <n v="0"/>
    <x v="459"/>
    <s v="0061"/>
    <n v="-49.364618419804103"/>
    <n v="-26.7818543101282"/>
    <n v="-49.279144179760003"/>
    <n v="-26.820176550307501"/>
    <s v="477"/>
    <s v="SC"/>
    <s v="Eixo Principal"/>
    <s v="-"/>
    <s v="477BSC0061"/>
    <s v="BENEDITO NOVO (PREF.MUNICIPAL)"/>
    <s v="ACESSO SUL P/RIO DOS CEDROS"/>
    <n v="166.9"/>
    <n v="180.1"/>
    <n v="13.2"/>
    <x v="1"/>
    <m/>
    <m/>
    <s v="Estadual"/>
    <m/>
    <s v="SCT-477"/>
    <s v="PAV"/>
    <s v="Estadual"/>
    <s v="PLA"/>
    <s v="Rio do Sul"/>
  </r>
  <r>
    <x v="0"/>
    <s v="477BSC0067"/>
    <n v="0"/>
    <x v="459"/>
    <s v="0067"/>
    <n v="-49.279144179760003"/>
    <n v="-26.820176550307501"/>
    <n v="-49.2734203600615"/>
    <n v="-26.838002029669799"/>
    <s v="477"/>
    <s v="SC"/>
    <s v="Eixo Principal"/>
    <s v="-"/>
    <s v="477BSC0067"/>
    <s v="ACESSO SUL P/RIO DOS CEDROS"/>
    <s v="ENTR SC-110 (TIMBÓ)"/>
    <n v="180.1"/>
    <n v="182.4"/>
    <n v="2.2999999999999998"/>
    <x v="1"/>
    <m/>
    <m/>
    <s v="Estadual"/>
    <m/>
    <s v="SCT-477"/>
    <s v="PAV"/>
    <s v="Estadual"/>
    <s v="PLA"/>
    <s v="Rio do Sul"/>
  </r>
  <r>
    <x v="0"/>
    <s v="477BSC0070"/>
    <n v="0"/>
    <x v="459"/>
    <s v="0070"/>
    <n v="-49.2734203600615"/>
    <n v="-26.838002029669799"/>
    <n v="-49.246705520243403"/>
    <n v="-26.883745600379001"/>
    <s v="477"/>
    <s v="SC"/>
    <s v="Eixo Principal"/>
    <s v="-"/>
    <s v="477BSC0070"/>
    <s v="ENTR SC-110 (TIMBÓ)"/>
    <s v="ENTR BR-470(A)"/>
    <n v="182.4"/>
    <n v="188.8"/>
    <n v="6.4"/>
    <x v="1"/>
    <m/>
    <m/>
    <s v="Estadual"/>
    <m/>
    <s v="SCT-477"/>
    <s v="PAV"/>
    <s v="Estadual"/>
    <s v="PLA"/>
    <s v="Rio do Sul"/>
  </r>
  <r>
    <x v="0"/>
    <s v="477BSC0090"/>
    <n v="0"/>
    <x v="459"/>
    <s v="0090"/>
    <n v="-49.246705520243403"/>
    <n v="-26.883745600379001"/>
    <n v="-49.141713009647603"/>
    <n v="-26.882914900202401"/>
    <s v="477"/>
    <s v="SC"/>
    <s v="Eixo Principal"/>
    <s v="Coinc"/>
    <s v="477BSC0090"/>
    <s v="ENTR BR-470(A)"/>
    <s v="ENTR SC-421 (P/POMERODE)"/>
    <n v="188.8"/>
    <n v="200.2"/>
    <n v="11.4"/>
    <x v="2"/>
    <m/>
    <s v="470BSC0110"/>
    <s v="Federal"/>
    <m/>
    <m/>
    <m/>
    <s v="Federal"/>
    <s v="PAV"/>
    <s v="Rio do Sul"/>
  </r>
  <r>
    <x v="0"/>
    <s v="477BSC0100"/>
    <n v="0"/>
    <x v="459"/>
    <s v="0100"/>
    <n v="-49.141713009647603"/>
    <n v="-26.882914900202401"/>
    <n v="-49.114386329565399"/>
    <n v="-26.874136079916099"/>
    <s v="477"/>
    <s v="SC"/>
    <s v="Eixo Principal"/>
    <s v="Coinc"/>
    <s v="477BSC0100"/>
    <s v="ENTR SC-421 (P/POMERODE)"/>
    <s v="ENTR BR-470(B)"/>
    <n v="200.2"/>
    <n v="203.2"/>
    <n v="3"/>
    <x v="2"/>
    <m/>
    <s v="470BSC0100"/>
    <s v="Federal"/>
    <m/>
    <m/>
    <m/>
    <s v="Federal"/>
    <s v="PAV"/>
    <s v="Rio do Sul"/>
  </r>
  <r>
    <x v="0"/>
    <s v="477BSC0110"/>
    <n v="0"/>
    <x v="459"/>
    <s v="0110"/>
    <n v="-49.114386329565399"/>
    <n v="-26.874136079916099"/>
    <n v="-49.081018860132197"/>
    <n v="-26.890519939743299"/>
    <s v="477"/>
    <s v="SC"/>
    <s v="Eixo Principal"/>
    <s v="-"/>
    <s v="477BSC0110"/>
    <s v="ENTR BR-470(B)"/>
    <s v="BLUMENAU (RETORNO R. 2 DE SETEMBRO/TEKA)"/>
    <n v="203.2"/>
    <n v="208.6"/>
    <n v="5.4"/>
    <x v="2"/>
    <m/>
    <m/>
    <s v="Federal"/>
    <m/>
    <m/>
    <m/>
    <s v="Federal"/>
    <s v="PAV"/>
    <s v="Rio do Sul"/>
  </r>
  <r>
    <x v="0"/>
    <s v="478BSP0010"/>
    <n v="0"/>
    <x v="460"/>
    <s v="0010"/>
    <n v="-47.3757730802634"/>
    <n v="-22.545735199719601"/>
    <n v="-47.419775589571699"/>
    <n v="-22.7662352696419"/>
    <s v="478"/>
    <s v="SP"/>
    <s v="Eixo Principal"/>
    <s v="-"/>
    <s v="478BSP0010"/>
    <s v="ENTR BR-050/373 (LIMEIRA)"/>
    <s v="ENTR SP-304 (SANTA BÁRBARA DO OESTE)"/>
    <n v="0"/>
    <n v="29.9"/>
    <n v="29.9"/>
    <x v="1"/>
    <m/>
    <m/>
    <s v="Federal"/>
    <m/>
    <m/>
    <m/>
    <s v="Federal"/>
    <s v="PLA"/>
    <s v="Taubaté"/>
  </r>
  <r>
    <x v="0"/>
    <s v="478BSP0030"/>
    <n v="0"/>
    <x v="460"/>
    <s v="0030"/>
    <n v="-47.419775589571699"/>
    <n v="-22.7662352696419"/>
    <n v="-47.510238129785797"/>
    <n v="-22.906059530322999"/>
    <s v="478"/>
    <s v="SP"/>
    <s v="Eixo Principal"/>
    <s v="-"/>
    <s v="478BSP0030"/>
    <s v="ENTR SP-304 (SANTA BÁRBARA DO OESTE)"/>
    <s v="ENTR SP-308 (P/PIRACICABA)"/>
    <n v="29.9"/>
    <n v="49.9"/>
    <n v="20"/>
    <x v="1"/>
    <m/>
    <m/>
    <s v="Estadual"/>
    <m/>
    <s v="SP-306"/>
    <s v="PAV"/>
    <s v="Estadual"/>
    <s v="PLA"/>
    <s v="Taubaté"/>
  </r>
  <r>
    <x v="0"/>
    <s v="478BSP0050"/>
    <n v="0"/>
    <x v="460"/>
    <s v="0050"/>
    <n v="-47.510238129785797"/>
    <n v="-22.906059530322999"/>
    <n v="-47.457649960177399"/>
    <n v="-22.997836679718901"/>
    <s v="478"/>
    <s v="SP"/>
    <s v="Eixo Principal"/>
    <s v="-"/>
    <s v="478BSP0050"/>
    <s v="ENTR SP-308 (P/PIRACICABA)"/>
    <s v="ENTR SP-101 (P/CAPIVARI)"/>
    <n v="49.9"/>
    <n v="61.6"/>
    <n v="11.7"/>
    <x v="1"/>
    <m/>
    <m/>
    <s v="Estadual"/>
    <m/>
    <s v="SP-308"/>
    <s v="PAV"/>
    <s v="Estadual"/>
    <s v="PLA"/>
    <s v="Taubaté"/>
  </r>
  <r>
    <x v="0"/>
    <s v="478BSP0070"/>
    <n v="0"/>
    <x v="460"/>
    <s v="0070"/>
    <n v="-47.457649960177399"/>
    <n v="-22.997836679718901"/>
    <n v="-47.518990429964298"/>
    <n v="-23.233223970309901"/>
    <s v="478"/>
    <s v="SP"/>
    <s v="Eixo Principal"/>
    <s v="-"/>
    <s v="478BSP0070"/>
    <s v="ENTR SP-101 (P/CAPIVARI)"/>
    <s v="ENTR SP-300 (PORTO FELIZ) *TRECHO MUNICIPAL*"/>
    <n v="61.6"/>
    <n v="85.2"/>
    <n v="23.6"/>
    <x v="1"/>
    <m/>
    <m/>
    <s v="Estadual"/>
    <m/>
    <s v="SPT-478"/>
    <s v="IMP"/>
    <s v="Estadual"/>
    <s v="PLA"/>
    <s v="Taubaté"/>
  </r>
  <r>
    <x v="0"/>
    <s v="478BSP0090"/>
    <n v="0"/>
    <x v="460"/>
    <s v="0090"/>
    <n v="-47.518990429964298"/>
    <n v="-23.233223970309901"/>
    <n v="-47.5203706896555"/>
    <n v="-23.255369850338202"/>
    <s v="478"/>
    <s v="SP"/>
    <s v="Eixo Principal"/>
    <s v="-"/>
    <s v="478BSP0090"/>
    <s v="ENTR SP-300 (PORTO FELIZ)"/>
    <s v="FIM PISTA DUPLA"/>
    <n v="85.2"/>
    <n v="87.5"/>
    <n v="2.2999999999999998"/>
    <x v="1"/>
    <m/>
    <m/>
    <s v="Estadual"/>
    <m/>
    <s v="SP-097"/>
    <s v="DUP"/>
    <s v="Estadual"/>
    <s v="PLA"/>
    <s v="Taubaté"/>
  </r>
  <r>
    <x v="0"/>
    <s v="478BSP0100"/>
    <n v="0"/>
    <x v="460"/>
    <s v="0100"/>
    <n v="-47.5203706896555"/>
    <n v="-23.255369850338202"/>
    <n v="-47.529354040056802"/>
    <n v="-23.344125909882699"/>
    <s v="478"/>
    <s v="SP"/>
    <s v="Eixo Principal"/>
    <s v="-"/>
    <s v="478BSP0100"/>
    <s v="FIM PISTA DUPLA"/>
    <s v="ENTR BR-374"/>
    <n v="87.5"/>
    <n v="97.7"/>
    <n v="10.199999999999999"/>
    <x v="1"/>
    <m/>
    <m/>
    <s v="Estadual"/>
    <m/>
    <s v="SP-097"/>
    <s v="PAV"/>
    <s v="Estadual"/>
    <s v="PLA"/>
    <s v="Taubaté"/>
  </r>
  <r>
    <x v="0"/>
    <s v="478BSP0110"/>
    <n v="0"/>
    <x v="460"/>
    <s v="0110"/>
    <n v="-47.529354040056802"/>
    <n v="-23.344125909882699"/>
    <n v="-47.488569650369001"/>
    <n v="-23.534122299804199"/>
    <s v="478"/>
    <s v="SP"/>
    <s v="Eixo Principal"/>
    <s v="-"/>
    <s v="478BSP0110"/>
    <s v="ENTR BR-374"/>
    <s v="ENTR BR-272/SP-079/264(A) (SOROCABA)"/>
    <n v="97.7"/>
    <n v="115.7"/>
    <n v="18"/>
    <x v="1"/>
    <m/>
    <m/>
    <s v="Estadual"/>
    <m/>
    <s v="SP-097"/>
    <s v="PAV"/>
    <s v="Estadual"/>
    <s v="PLA"/>
    <s v="Taubaté"/>
  </r>
  <r>
    <x v="0"/>
    <s v="478BSP0130"/>
    <n v="0"/>
    <x v="460"/>
    <s v="0130"/>
    <n v="-47.488569650369001"/>
    <n v="-23.534122299804199"/>
    <n v="-47.494133260341599"/>
    <n v="-23.564604389780602"/>
    <s v="478"/>
    <s v="SP"/>
    <s v="Eixo Principal"/>
    <s v="-"/>
    <s v="478BSP0130"/>
    <s v="ENTR BR-272/SP-079/264(A) (SOROCABA)"/>
    <s v="ENTR SP-264(B) (P/SALTO DE PIRAPORA)"/>
    <n v="115.7"/>
    <n v="119.6"/>
    <n v="3.9"/>
    <x v="1"/>
    <m/>
    <m/>
    <s v="Estadual"/>
    <m/>
    <s v="SP-079"/>
    <s v="PAV"/>
    <s v="Estadual"/>
    <s v="PLA"/>
    <s v="Taubaté"/>
  </r>
  <r>
    <x v="0"/>
    <s v="478BSP0135"/>
    <n v="0"/>
    <x v="460"/>
    <s v="0135"/>
    <n v="-47.494133260341599"/>
    <n v="-23.564604389780602"/>
    <n v="-47.467140289892399"/>
    <n v="-23.606975660198401"/>
    <s v="478"/>
    <s v="SP"/>
    <s v="Eixo Principal"/>
    <s v="-"/>
    <s v="478BSP0135"/>
    <s v="ENTR SP-264(B) (P/SALTO DE PIRAPORA)"/>
    <s v="ACESSO SUL VOTORANTIM"/>
    <n v="119.6"/>
    <n v="125.5"/>
    <n v="5.9"/>
    <x v="1"/>
    <m/>
    <m/>
    <s v="Estadual"/>
    <m/>
    <s v="SP-079"/>
    <s v="PAV"/>
    <s v="Estadual"/>
    <s v="PLA"/>
    <s v="Taubaté"/>
  </r>
  <r>
    <x v="0"/>
    <s v="478BSP0140"/>
    <n v="0"/>
    <x v="460"/>
    <s v="0140"/>
    <n v="-47.467140289892399"/>
    <n v="-23.606975660198401"/>
    <n v="-47.4451671102738"/>
    <n v="-23.697759070424599"/>
    <s v="478"/>
    <s v="SP"/>
    <s v="Eixo Principal"/>
    <s v="-"/>
    <s v="478BSP0140"/>
    <s v="ACESSO SUL VOTORANTIM"/>
    <s v="ACESSO PIEDADE"/>
    <n v="125.5"/>
    <n v="138.19999999999999"/>
    <n v="12.7"/>
    <x v="1"/>
    <m/>
    <m/>
    <s v="Estadual"/>
    <m/>
    <s v="SP-079"/>
    <s v="PAV"/>
    <s v="Estadual"/>
    <s v="PLA"/>
    <s v="Taubaté"/>
  </r>
  <r>
    <x v="0"/>
    <s v="478BSP0145"/>
    <n v="0"/>
    <x v="460"/>
    <s v="0145"/>
    <n v="-47.4451671102738"/>
    <n v="-23.697759070424599"/>
    <n v="-47.433218269707297"/>
    <n v="-23.7293388603001"/>
    <s v="478"/>
    <s v="SP"/>
    <s v="Eixo Principal"/>
    <s v="-"/>
    <s v="478BSP0145"/>
    <s v="ACESSO PIEDADE"/>
    <s v="ENTR SP-250(A) (P/ PIEDADE)"/>
    <n v="138.19999999999999"/>
    <n v="142.19999999999999"/>
    <n v="4"/>
    <x v="1"/>
    <m/>
    <m/>
    <s v="Estadual"/>
    <m/>
    <s v="SP-079"/>
    <s v="PAV"/>
    <s v="Estadual"/>
    <s v="PLA"/>
    <s v="Taubaté"/>
  </r>
  <r>
    <x v="0"/>
    <s v="478BSP0150"/>
    <n v="0"/>
    <x v="460"/>
    <s v="0150"/>
    <n v="-47.433218269707297"/>
    <n v="-23.7293388603001"/>
    <n v="-47.426799649983799"/>
    <n v="-23.743791950338199"/>
    <s v="478"/>
    <s v="SP"/>
    <s v="Eixo Principal"/>
    <s v="-"/>
    <s v="478BSP0150"/>
    <s v="ENTR SP-250(A) (P/ PIEDADE)"/>
    <s v="ENTR SP-250(B) (P/PILAR DO SUL)"/>
    <n v="142.19999999999999"/>
    <n v="143.30000000000001"/>
    <n v="1.1000000000000001"/>
    <x v="1"/>
    <m/>
    <m/>
    <s v="Estadual"/>
    <m/>
    <s v="SP-079"/>
    <s v="PAV"/>
    <s v="Estadual"/>
    <s v="PLA"/>
    <s v="Taubaté"/>
  </r>
  <r>
    <x v="0"/>
    <s v="478BSP0155"/>
    <n v="0"/>
    <x v="460"/>
    <s v="0155"/>
    <n v="-47.426799649983799"/>
    <n v="-23.743791950338199"/>
    <n v="-47.506511809572302"/>
    <n v="-23.961515840083901"/>
    <s v="478"/>
    <s v="SP"/>
    <s v="Eixo Principal"/>
    <s v="-"/>
    <s v="478BSP0155"/>
    <s v="ENTR SP-250(B) (P/PILAR DO SUL)"/>
    <s v="TAPIRAÍ"/>
    <n v="143.30000000000001"/>
    <n v="176.3"/>
    <n v="33"/>
    <x v="1"/>
    <m/>
    <m/>
    <s v="Estadual"/>
    <m/>
    <s v="SP-079"/>
    <s v="PAV"/>
    <s v="Estadual"/>
    <s v="PLA"/>
    <s v="Taubaté"/>
  </r>
  <r>
    <x v="0"/>
    <s v="478BSP0160"/>
    <n v="0"/>
    <x v="460"/>
    <s v="0160"/>
    <n v="-47.506511809572302"/>
    <n v="-23.961515840083901"/>
    <n v="-47.632775599614199"/>
    <n v="-24.331640889715199"/>
    <s v="478"/>
    <s v="SP"/>
    <s v="Eixo Principal"/>
    <s v="-"/>
    <s v="478BSP0160"/>
    <s v="TAPIRAÍ"/>
    <s v="ENTR BR-116(A) (JUQUIÁ)"/>
    <n v="176.3"/>
    <n v="234.8"/>
    <n v="58.5"/>
    <x v="1"/>
    <m/>
    <m/>
    <s v="Estadual"/>
    <m/>
    <s v="SP-079"/>
    <s v="PAV"/>
    <s v="Estadual"/>
    <s v="PLA"/>
    <s v="Taubaté"/>
  </r>
  <r>
    <x v="0"/>
    <s v="478BSP0170"/>
    <n v="0"/>
    <x v="460"/>
    <s v="0170"/>
    <n v="-47.632775599614199"/>
    <n v="-24.331640889715199"/>
    <n v="-47.849136270022797"/>
    <n v="-24.508783409926298"/>
    <s v="478"/>
    <s v="SP"/>
    <s v="Eixo Principal"/>
    <s v="Coinc"/>
    <s v="478BSP0170"/>
    <s v="ENTR BR-116(A) (JUQUIÁ)"/>
    <s v="ENTR SP-139 (REGISTRO)"/>
    <n v="234.8"/>
    <n v="267.3"/>
    <n v="32.5"/>
    <x v="0"/>
    <m/>
    <s v="116BSP2630"/>
    <s v="Concessão Federal"/>
    <m/>
    <m/>
    <m/>
    <s v="Federal"/>
    <s v="PAV"/>
    <s v="Taubaté"/>
  </r>
  <r>
    <x v="0"/>
    <s v="478BSP0190"/>
    <n v="0"/>
    <x v="460"/>
    <s v="0190"/>
    <n v="-47.849136270022797"/>
    <n v="-24.508783409926298"/>
    <n v="-47.917868589663598"/>
    <n v="-24.643775290397201"/>
    <s v="478"/>
    <s v="SP"/>
    <s v="Eixo Principal"/>
    <s v="Coinc"/>
    <s v="478BSP0190"/>
    <s v="ENTR SP-139 (REGISTRO)"/>
    <s v="ENTR BR-116(B)"/>
    <n v="267.3"/>
    <n v="286.2"/>
    <n v="18.899999999999999"/>
    <x v="0"/>
    <m/>
    <s v="116BSP2650"/>
    <s v="Concessão Federal"/>
    <m/>
    <m/>
    <m/>
    <s v="Federal"/>
    <s v="PAV"/>
    <s v="Taubaté"/>
  </r>
  <r>
    <x v="0"/>
    <s v="478BSP0210"/>
    <n v="0"/>
    <x v="460"/>
    <s v="0210"/>
    <n v="-47.917868589663598"/>
    <n v="-24.643775290397201"/>
    <n v="-47.885076039727402"/>
    <n v="-24.7086447997176"/>
    <s v="478"/>
    <s v="SP"/>
    <s v="Eixo Principal"/>
    <s v="-"/>
    <s v="478BSP0210"/>
    <s v="ENTR BR-116(B)"/>
    <s v="ENTR SP-222 (PARIQUERA-AÇÚ)"/>
    <n v="286.2"/>
    <n v="294.3"/>
    <n v="8.1"/>
    <x v="1"/>
    <m/>
    <m/>
    <s v="Estadual"/>
    <m/>
    <s v="SP-226"/>
    <s v="PAV"/>
    <s v="Estadual"/>
    <s v="PLA"/>
    <s v="Taubaté"/>
  </r>
  <r>
    <x v="0"/>
    <s v="478BSP0230"/>
    <n v="0"/>
    <x v="460"/>
    <s v="0230"/>
    <n v="-47.885076039727402"/>
    <n v="-24.7086447997176"/>
    <n v="-47.9525054899363"/>
    <n v="-24.923723000016299"/>
    <s v="478"/>
    <s v="SP"/>
    <s v="Eixo Principal"/>
    <s v="-"/>
    <s v="478BSP0230"/>
    <s v="ENTR SP-222 (PARIQUERA-AÇÚ)"/>
    <s v="ENTR BR-101"/>
    <n v="294.3"/>
    <n v="322.2"/>
    <n v="27.9"/>
    <x v="1"/>
    <m/>
    <m/>
    <s v="Estadual"/>
    <m/>
    <s v="SP-226"/>
    <s v="PAV"/>
    <s v="Estadual"/>
    <s v="PLA"/>
    <s v="Taubaté"/>
  </r>
  <r>
    <x v="0"/>
    <s v="479BDF0090"/>
    <n v="0"/>
    <x v="461"/>
    <s v="0090"/>
    <n v="-47.318600360218298"/>
    <n v="-15.71737208975"/>
    <n v="-47.336225129785802"/>
    <n v="-15.7202163396123"/>
    <s v="479"/>
    <s v="DF"/>
    <s v="Eixo Principal"/>
    <s v="-"/>
    <s v="479BDF0090"/>
    <s v="ENTR DF-250(A) (DIV GO/DF)"/>
    <s v="ENTR VICINAL-145"/>
    <n v="0"/>
    <n v="1.9"/>
    <n v="1.9"/>
    <x v="1"/>
    <m/>
    <m/>
    <s v="Distrital"/>
    <m/>
    <s v="DF-250"/>
    <s v="IMP"/>
    <s v="Distrital"/>
    <s v="PLA"/>
    <s v="Brasília"/>
  </r>
  <r>
    <x v="0"/>
    <s v="479BDF0092"/>
    <n v="0"/>
    <x v="461"/>
    <s v="0092"/>
    <n v="-47.336225129785802"/>
    <n v="-15.7202163396123"/>
    <n v="-47.354212870227698"/>
    <n v="-15.721745529732299"/>
    <s v="479"/>
    <s v="DF"/>
    <s v="Eixo Principal"/>
    <s v="-"/>
    <s v="479BDF0092"/>
    <s v="ENTR VICINAL-145"/>
    <s v="ENTR VICINAL-159"/>
    <n v="1.9"/>
    <n v="4"/>
    <n v="2.1"/>
    <x v="1"/>
    <m/>
    <m/>
    <s v="Distrital"/>
    <m/>
    <s v="DF-250"/>
    <s v="IMP"/>
    <s v="Distrital"/>
    <s v="PLA"/>
    <s v="Brasília"/>
  </r>
  <r>
    <x v="0"/>
    <s v="479BDF0094"/>
    <n v="0"/>
    <x v="461"/>
    <s v="0094"/>
    <n v="-47.354212870227698"/>
    <n v="-15.721745529732299"/>
    <n v="-47.389871080186097"/>
    <n v="-15.7159889198527"/>
    <s v="479"/>
    <s v="DF"/>
    <s v="Eixo Principal"/>
    <s v="-"/>
    <s v="479BDF0094"/>
    <s v="ENTR VICINAL-159"/>
    <s v="ENTR DF-100"/>
    <n v="4"/>
    <n v="8"/>
    <n v="4"/>
    <x v="1"/>
    <m/>
    <m/>
    <s v="Distrital"/>
    <m/>
    <s v="DF-250"/>
    <s v="IMP"/>
    <s v="Distrital"/>
    <s v="PLA"/>
    <s v="Brasília"/>
  </r>
  <r>
    <x v="0"/>
    <s v="479BDF0096"/>
    <n v="0"/>
    <x v="461"/>
    <s v="0096"/>
    <n v="-47.389871080186097"/>
    <n v="-15.7159889198527"/>
    <n v="-47.399234270045397"/>
    <n v="-15.7143684998063"/>
    <s v="479"/>
    <s v="DF"/>
    <s v="Eixo Principal"/>
    <s v="-"/>
    <s v="479BDF0096"/>
    <s v="ENTR DF-100"/>
    <s v="ENTR VICINAL-155"/>
    <n v="8"/>
    <n v="8.9"/>
    <n v="0.9"/>
    <x v="1"/>
    <m/>
    <m/>
    <s v="Distrital"/>
    <m/>
    <s v="DF-250"/>
    <s v="PAV"/>
    <s v="Distrital"/>
    <s v="PLA"/>
    <s v="Brasília"/>
  </r>
  <r>
    <x v="0"/>
    <s v="479BDF0098"/>
    <n v="0"/>
    <x v="461"/>
    <s v="0098"/>
    <n v="-47.399234270045397"/>
    <n v="-15.7143684998063"/>
    <n v="-47.431440249767597"/>
    <n v="-15.708867720069099"/>
    <s v="479"/>
    <s v="DF"/>
    <s v="Eixo Principal"/>
    <s v="-"/>
    <s v="479BDF0098"/>
    <s v="ENTR VICINAL-155"/>
    <s v="ENTR DF-105(A)"/>
    <n v="8.9"/>
    <n v="12.4"/>
    <n v="3.5"/>
    <x v="1"/>
    <m/>
    <m/>
    <s v="Distrital"/>
    <m/>
    <s v="DF-250"/>
    <s v="PAV"/>
    <s v="Distrital"/>
    <s v="PLA"/>
    <s v="Brasília"/>
  </r>
  <r>
    <x v="0"/>
    <s v="479BDF0100"/>
    <n v="0"/>
    <x v="461"/>
    <s v="0100"/>
    <n v="-47.431440249767597"/>
    <n v="-15.708867720069099"/>
    <n v="-47.438266589731299"/>
    <n v="-15.7064701400848"/>
    <s v="479"/>
    <s v="DF"/>
    <s v="Eixo Principal"/>
    <s v="-"/>
    <s v="479BDF0100"/>
    <s v="ENTR DF-105(A)"/>
    <s v="ENTR DF-105(B)"/>
    <n v="12.4"/>
    <n v="13.1"/>
    <n v="0.7"/>
    <x v="1"/>
    <m/>
    <m/>
    <s v="Distrital"/>
    <m/>
    <s v="DF-250"/>
    <s v="PAV"/>
    <s v="Distrital"/>
    <s v="PLA"/>
    <s v="Brasília"/>
  </r>
  <r>
    <x v="0"/>
    <s v="479BDF0102"/>
    <n v="0"/>
    <x v="461"/>
    <s v="0102"/>
    <n v="-47.438266589731299"/>
    <n v="-15.7064701400848"/>
    <n v="-47.444147559661999"/>
    <n v="-15.704234830173201"/>
    <s v="479"/>
    <s v="DF"/>
    <s v="Eixo Principal"/>
    <s v="-"/>
    <s v="479BDF0102"/>
    <s v="ENTR DF-105(B)"/>
    <s v="ENTR VICINAL-151"/>
    <n v="13.1"/>
    <n v="13.8"/>
    <n v="0.7"/>
    <x v="1"/>
    <m/>
    <m/>
    <s v="Distrital"/>
    <m/>
    <s v="DF-250"/>
    <s v="PAV"/>
    <s v="Distrital"/>
    <s v="PLA"/>
    <s v="Brasília"/>
  </r>
  <r>
    <x v="0"/>
    <s v="479BDF0106"/>
    <n v="0"/>
    <x v="461"/>
    <s v="0106"/>
    <n v="-47.444147559661999"/>
    <n v="-15.704234830173201"/>
    <n v="-47.489395059834102"/>
    <n v="-15.6870007296998"/>
    <s v="479"/>
    <s v="DF"/>
    <s v="Eixo Principal"/>
    <s v="-"/>
    <s v="479BDF0106"/>
    <s v="ENTR VICINAL-151"/>
    <s v="ENTR DF-110"/>
    <n v="13.8"/>
    <n v="19"/>
    <n v="5.2"/>
    <x v="1"/>
    <m/>
    <m/>
    <s v="Distrital"/>
    <m/>
    <s v="DF-250"/>
    <s v="PAV"/>
    <s v="Distrital"/>
    <s v="PLA"/>
    <s v="Brasília"/>
  </r>
  <r>
    <x v="0"/>
    <s v="479BDF0110"/>
    <n v="0"/>
    <x v="461"/>
    <s v="0110"/>
    <n v="-47.489395059834102"/>
    <n v="-15.6870007296998"/>
    <n v="-47.5161054695917"/>
    <n v="-15.6878395804322"/>
    <s v="479"/>
    <s v="DF"/>
    <s v="Eixo Principal"/>
    <s v="-"/>
    <s v="479BDF0110"/>
    <s v="ENTR DF-110"/>
    <s v="ENTR DF-133"/>
    <n v="19"/>
    <n v="21.7"/>
    <n v="2.7"/>
    <x v="1"/>
    <m/>
    <m/>
    <s v="Distrital"/>
    <m/>
    <s v="DF-250"/>
    <s v="PAV"/>
    <s v="Distrital"/>
    <s v="PLA"/>
    <s v="Brasília"/>
  </r>
  <r>
    <x v="0"/>
    <s v="479BDF0112"/>
    <n v="0"/>
    <x v="461"/>
    <s v="0112"/>
    <n v="-47.5161054695917"/>
    <n v="-15.6878395804322"/>
    <n v="-47.519443619927003"/>
    <n v="-15.689426069957101"/>
    <s v="479"/>
    <s v="DF"/>
    <s v="Eixo Principal"/>
    <s v="-"/>
    <s v="479BDF0112"/>
    <s v="ENTR DF-133"/>
    <s v="ENTR DF-310"/>
    <n v="21.7"/>
    <n v="22.2"/>
    <n v="0.5"/>
    <x v="1"/>
    <m/>
    <m/>
    <s v="Distrital"/>
    <m/>
    <s v="DF-250"/>
    <s v="PAV"/>
    <s v="Distrital"/>
    <s v="PLA"/>
    <s v="Brasília"/>
  </r>
  <r>
    <x v="0"/>
    <s v="479BDF0114"/>
    <n v="0"/>
    <x v="461"/>
    <s v="0114"/>
    <n v="-47.519443619927003"/>
    <n v="-15.689426069957101"/>
    <n v="-47.570157019630599"/>
    <n v="-15.7137249098766"/>
    <s v="479"/>
    <s v="DF"/>
    <s v="Eixo Principal"/>
    <s v="-"/>
    <s v="479BDF0114"/>
    <s v="ENTR DF-310"/>
    <s v="ENTR DF-320"/>
    <n v="22.2"/>
    <n v="28.3"/>
    <n v="6.1"/>
    <x v="1"/>
    <m/>
    <m/>
    <s v="Distrital"/>
    <m/>
    <s v="DF-250"/>
    <s v="PAV"/>
    <s v="Distrital"/>
    <s v="PLA"/>
    <s v="Brasília"/>
  </r>
  <r>
    <x v="0"/>
    <s v="479BDF0116"/>
    <n v="0"/>
    <x v="461"/>
    <s v="0116"/>
    <n v="-47.570157019630599"/>
    <n v="-15.7137249098766"/>
    <n v="-47.604358700193799"/>
    <n v="-15.7279988297821"/>
    <s v="479"/>
    <s v="DF"/>
    <s v="Eixo Principal"/>
    <s v="-"/>
    <s v="479BDF0116"/>
    <s v="ENTR DF-320"/>
    <s v="ENTR DF-120"/>
    <n v="28.3"/>
    <n v="32.299999999999997"/>
    <n v="4"/>
    <x v="1"/>
    <m/>
    <m/>
    <s v="Distrital"/>
    <m/>
    <s v="DF-250"/>
    <s v="PAV"/>
    <s v="Distrital"/>
    <s v="PLA"/>
    <s v="Brasília"/>
  </r>
  <r>
    <x v="0"/>
    <s v="479BDF0118"/>
    <n v="0"/>
    <x v="461"/>
    <s v="0118"/>
    <n v="-47.604358700193799"/>
    <n v="-15.7279988297821"/>
    <n v="-47.659752670049599"/>
    <n v="-15.726708780186"/>
    <s v="479"/>
    <s v="DF"/>
    <s v="Eixo Principal"/>
    <s v="-"/>
    <s v="479BDF0118"/>
    <s v="ENTR DF-120"/>
    <s v="ENTR DF-130"/>
    <n v="32.299999999999997"/>
    <n v="38.700000000000003"/>
    <n v="6.4"/>
    <x v="1"/>
    <m/>
    <m/>
    <s v="Distrital"/>
    <m/>
    <s v="DF-250"/>
    <s v="PAV"/>
    <s v="Distrital"/>
    <s v="PLA"/>
    <s v="Brasília"/>
  </r>
  <r>
    <x v="0"/>
    <s v="479BDF0130"/>
    <n v="0"/>
    <x v="461"/>
    <s v="0130"/>
    <n v="-47.659752670049599"/>
    <n v="-15.726708780186"/>
    <n v="-47.699171739584003"/>
    <n v="-15.740555690292799"/>
    <s v="479"/>
    <s v="DF"/>
    <s v="Eixo Principal"/>
    <s v="-"/>
    <s v="479BDF0130"/>
    <s v="ENTR DF-130"/>
    <s v="ENTR DF-330"/>
    <n v="38.700000000000003"/>
    <n v="43.5"/>
    <n v="4.8"/>
    <x v="1"/>
    <m/>
    <m/>
    <s v="Distrital"/>
    <m/>
    <s v="DF-250"/>
    <s v="PAV"/>
    <s v="Distrital"/>
    <s v="PLA"/>
    <s v="Brasília"/>
  </r>
  <r>
    <x v="0"/>
    <s v="479BDF0132"/>
    <n v="0"/>
    <x v="461"/>
    <s v="0132"/>
    <n v="-47.699171739584003"/>
    <n v="-15.740555690292799"/>
    <n v="-47.777446959709302"/>
    <n v="-15.757384219905701"/>
    <s v="479"/>
    <s v="DF"/>
    <s v="Eixo Principal"/>
    <s v="-"/>
    <s v="479BDF0132"/>
    <s v="ENTR DF-330"/>
    <s v="ENTR DF-001/015/250(B) (BRASILIA )"/>
    <n v="43.5"/>
    <n v="53.1"/>
    <n v="9.6"/>
    <x v="1"/>
    <m/>
    <m/>
    <s v="Distrital"/>
    <m/>
    <s v="DF-250"/>
    <s v="PAV"/>
    <s v="Distrital"/>
    <s v="PLA"/>
    <s v="Brasília"/>
  </r>
  <r>
    <x v="0"/>
    <s v="479BGO0050"/>
    <n v="0"/>
    <x v="462"/>
    <s v="0050"/>
    <n v="-46.803901400129398"/>
    <n v="-15.871925560216299"/>
    <n v="-46.948124049785001"/>
    <n v="-15.794570860057"/>
    <s v="479"/>
    <s v="GO"/>
    <s v="Eixo Principal"/>
    <s v="-"/>
    <s v="479BGO0050"/>
    <s v="DIV MG/GO"/>
    <s v="ENTR GO-346 (CABECEIRAS)"/>
    <n v="0"/>
    <n v="20.7"/>
    <n v="20.7"/>
    <x v="1"/>
    <m/>
    <m/>
    <s v="Estadual"/>
    <m/>
    <s v="GOT-346"/>
    <s v="IMP"/>
    <s v="Estadual"/>
    <s v="PLA"/>
    <s v="Brasília"/>
  </r>
  <r>
    <x v="0"/>
    <s v="479BGO0070"/>
    <n v="0"/>
    <x v="462"/>
    <s v="0070"/>
    <n v="-46.948124049785001"/>
    <n v="-15.794570860057"/>
    <n v="-47.318600360218298"/>
    <n v="-15.71737208975"/>
    <s v="479"/>
    <s v="GO"/>
    <s v="Eixo Principal"/>
    <s v="-"/>
    <s v="479BGO0070"/>
    <s v="ENTR GO-346 (CABECEIRAS)"/>
    <s v="DIV GO/DF"/>
    <n v="20.7"/>
    <n v="66.599999999999994"/>
    <n v="45.9"/>
    <x v="1"/>
    <m/>
    <m/>
    <s v="Estadual"/>
    <m/>
    <s v="GOT-479"/>
    <s v="IMP"/>
    <s v="Estadual"/>
    <s v="PLA"/>
    <s v="Brasília"/>
  </r>
  <r>
    <x v="0"/>
    <s v="479BMG0010"/>
    <n v="0"/>
    <x v="463"/>
    <s v="0010"/>
    <n v="-44.368622889634501"/>
    <n v="-15.479129289784799"/>
    <n v="-44.761668339722"/>
    <n v="-15.500092410236499"/>
    <s v="479"/>
    <s v="MG"/>
    <s v="Eixo Principal"/>
    <s v="-"/>
    <s v="479BMG0010"/>
    <s v="ENTR BR-135 (JANUÁRIA)"/>
    <s v="PANDEIRO"/>
    <n v="0"/>
    <n v="52.1"/>
    <n v="52.1"/>
    <x v="1"/>
    <m/>
    <m/>
    <s v="Estadual"/>
    <m/>
    <s v="MGT-479"/>
    <s v="IMP"/>
    <s v="Estadual"/>
    <s v="PLA"/>
    <s v="Montes Claros"/>
  </r>
  <r>
    <x v="0"/>
    <s v="479BMG0020"/>
    <n v="0"/>
    <x v="463"/>
    <s v="0020"/>
    <n v="-44.761668339722"/>
    <n v="-15.500092410236499"/>
    <n v="-45.396483499713703"/>
    <n v="-15.509342399731899"/>
    <s v="479"/>
    <s v="MG"/>
    <s v="Eixo Principal"/>
    <s v="-"/>
    <s v="479BMG0020"/>
    <s v="PANDEIRO"/>
    <s v="SERRA DAS ARARAS"/>
    <n v="52.1"/>
    <n v="128"/>
    <n v="75.900000000000006"/>
    <x v="1"/>
    <m/>
    <m/>
    <s v="Estadual"/>
    <m/>
    <s v="MGT-479"/>
    <s v="IMP"/>
    <s v="Estadual"/>
    <s v="PLA"/>
    <s v="Montes Claros"/>
  </r>
  <r>
    <x v="0"/>
    <s v="479BMG0025"/>
    <n v="0"/>
    <x v="463"/>
    <s v="0025"/>
    <n v="-45.396483499713703"/>
    <n v="-15.509342399731899"/>
    <n v="-45.629121710298598"/>
    <n v="-15.2939998203353"/>
    <s v="479"/>
    <s v="MG"/>
    <s v="Eixo Principal"/>
    <s v="-"/>
    <s v="479BMG0025"/>
    <s v="SERRA DAS ARARAS"/>
    <s v="CHAPADA GAÚCHA"/>
    <n v="128"/>
    <n v="168.1"/>
    <n v="40.1"/>
    <x v="1"/>
    <m/>
    <m/>
    <s v="Estadual"/>
    <m/>
    <s v="MGT-479"/>
    <s v="IMP"/>
    <s v="Estadual"/>
    <s v="PLA"/>
    <s v="Patos de Minas"/>
  </r>
  <r>
    <x v="0"/>
    <s v="479BMG0030"/>
    <n v="0"/>
    <x v="463"/>
    <s v="0030"/>
    <n v="-45.629121710298598"/>
    <n v="-15.2939998203353"/>
    <n v="-46.048038339897403"/>
    <n v="-15.909651959969899"/>
    <s v="479"/>
    <s v="MG"/>
    <s v="Eixo Principal"/>
    <s v="-"/>
    <s v="479BMG0030"/>
    <s v="CHAPADA GAÚCHA"/>
    <s v="ENTR MG-202(A)"/>
    <n v="168.1"/>
    <n v="259.39999999999998"/>
    <n v="91.3"/>
    <x v="1"/>
    <m/>
    <m/>
    <s v="Estadual"/>
    <m/>
    <s v="MGT-479"/>
    <s v="EOP"/>
    <s v="Estadual"/>
    <s v="PLA"/>
    <s v="Patos de Minas"/>
  </r>
  <r>
    <x v="0"/>
    <s v="479BMG0033"/>
    <n v="0"/>
    <x v="463"/>
    <s v="0033"/>
    <n v="-46.048038339897403"/>
    <n v="-15.909651959969899"/>
    <n v="-46.098961859901799"/>
    <n v="-15.903588989739999"/>
    <s v="479"/>
    <s v="MG"/>
    <s v="Eixo Principal"/>
    <s v="-"/>
    <s v="479BMG0033"/>
    <s v="ENTR MG-202(A)"/>
    <s v="ARINOS"/>
    <n v="259.39999999999998"/>
    <n v="266.7"/>
    <n v="7.3"/>
    <x v="1"/>
    <m/>
    <m/>
    <s v="Estadual"/>
    <m/>
    <s v="MG-202"/>
    <s v="EOP"/>
    <s v="Estadual"/>
    <s v="PLA"/>
    <s v="Patos de Minas"/>
  </r>
  <r>
    <x v="0"/>
    <s v="479BMG0035"/>
    <n v="0"/>
    <x v="463"/>
    <s v="0035"/>
    <n v="-46.098961859901799"/>
    <n v="-15.903588989739999"/>
    <n v="-46.441105110212597"/>
    <n v="-15.8694979096007"/>
    <s v="479"/>
    <s v="MG"/>
    <s v="Eixo Principal"/>
    <s v="-"/>
    <s v="479BMG0035"/>
    <s v="ARINOS"/>
    <s v="ENTR MG-628 (FAROFA)"/>
    <n v="266.7"/>
    <n v="311.39999999999998"/>
    <n v="44.7"/>
    <x v="1"/>
    <m/>
    <m/>
    <s v="Estadual"/>
    <m/>
    <s v="MG-202"/>
    <s v="PAV"/>
    <s v="Estadual"/>
    <s v="PLA"/>
    <s v="Patos de Minas"/>
  </r>
  <r>
    <x v="0"/>
    <s v="479BMG0037"/>
    <n v="0"/>
    <x v="463"/>
    <s v="0037"/>
    <n v="-46.441105110212597"/>
    <n v="-15.8694979096007"/>
    <n v="-46.596998369978699"/>
    <n v="-15.788328979598701"/>
    <s v="479"/>
    <s v="MG"/>
    <s v="Eixo Principal"/>
    <s v="-"/>
    <s v="479BMG0037"/>
    <s v="ENTR MG-628 (FAROFA)"/>
    <s v="ENTR MG-202(B) (FAROFÃO)"/>
    <n v="311.39999999999998"/>
    <n v="331.7"/>
    <n v="20.3"/>
    <x v="1"/>
    <m/>
    <m/>
    <s v="Estadual"/>
    <m/>
    <s v="MG-202"/>
    <s v="PAV"/>
    <s v="Estadual"/>
    <s v="PLA"/>
    <s v="Patos de Minas"/>
  </r>
  <r>
    <x v="0"/>
    <s v="479BMG0040"/>
    <n v="0"/>
    <x v="463"/>
    <s v="0040"/>
    <n v="-46.596998369978699"/>
    <n v="-15.788328979598701"/>
    <n v="-46.803901400129398"/>
    <n v="-15.871925560216299"/>
    <s v="479"/>
    <s v="MG"/>
    <s v="Eixo Principal"/>
    <s v="-"/>
    <s v="479BMG0040"/>
    <s v="ENTR MG-202(B) (FAROFÃO)"/>
    <s v="DIV MG/GO"/>
    <n v="331.7"/>
    <n v="357.4"/>
    <n v="25.7"/>
    <x v="1"/>
    <m/>
    <m/>
    <s v="Estadual"/>
    <m/>
    <s v="MGT-479"/>
    <s v="PAV"/>
    <s v="Estadual"/>
    <s v="PLA"/>
    <s v="Patos de Minas"/>
  </r>
  <r>
    <x v="0"/>
    <s v="480BPR0010"/>
    <n v="0"/>
    <x v="464"/>
    <s v="0010"/>
    <n v="-52.680305529576501"/>
    <n v="-26.205557419639099"/>
    <n v="-52.711695719881497"/>
    <n v="-26.270467910165902"/>
    <s v="480"/>
    <s v="PR"/>
    <s v="Eixo Principal"/>
    <s v="Coinc"/>
    <s v="480BPR0010"/>
    <s v="ENTR BR-158(A) (PATO BRANCO)"/>
    <s v="ENTR BR-280(A)"/>
    <n v="0"/>
    <n v="8.4"/>
    <n v="8.4"/>
    <x v="2"/>
    <m/>
    <s v="158BPR0990"/>
    <s v="Federal"/>
    <m/>
    <m/>
    <m/>
    <s v="Federal"/>
    <s v="PAV"/>
    <s v="Pato Branco"/>
  </r>
  <r>
    <x v="0"/>
    <s v="480BPR0030"/>
    <n v="0"/>
    <x v="464"/>
    <s v="0030"/>
    <n v="-52.711695719881497"/>
    <n v="-26.270467910165902"/>
    <n v="-52.7873754902865"/>
    <n v="-26.258168420336201"/>
    <s v="480"/>
    <s v="PR"/>
    <s v="Eixo Principal"/>
    <s v="Coinc"/>
    <s v="480BPR0030"/>
    <s v="ENTR BR-280(A)"/>
    <s v="ENTR BR-280(B) (VITORINO)"/>
    <n v="8.4"/>
    <n v="16.8"/>
    <n v="8.4"/>
    <x v="1"/>
    <m/>
    <s v="158BPR1010;280BPR0290"/>
    <s v="Estadual"/>
    <m/>
    <s v="PRT-158"/>
    <s v="PAV"/>
    <s v="Estadual"/>
    <s v="PLA"/>
    <s v="Pato Branco"/>
  </r>
  <r>
    <x v="0"/>
    <s v="480BPR0050"/>
    <n v="0"/>
    <x v="464"/>
    <s v="0050"/>
    <n v="-52.7873754902865"/>
    <n v="-26.258168420336201"/>
    <n v="-52.852709350156303"/>
    <n v="-26.347135639797798"/>
    <s v="480"/>
    <s v="PR"/>
    <s v="Eixo Principal"/>
    <s v="Coinc"/>
    <s v="480BPR0050"/>
    <s v="ENTR BR-280(B) (VITORINO)"/>
    <s v="ENTR BR-158(B) (DIV PR/SC)"/>
    <n v="16.8"/>
    <n v="29.8"/>
    <n v="13"/>
    <x v="1"/>
    <m/>
    <s v="158BPR1030"/>
    <s v="Estadual"/>
    <m/>
    <s v="PRT-158"/>
    <s v="PAV"/>
    <s v="Estadual"/>
    <s v="PLA"/>
    <s v="Pato Branco"/>
  </r>
  <r>
    <x v="0"/>
    <s v="480BRS0170"/>
    <n v="0"/>
    <x v="465"/>
    <s v="0170"/>
    <n v="-52.692844419834003"/>
    <n v="-27.281008649629399"/>
    <n v="-52.688005399929203"/>
    <n v="-27.296393359965499"/>
    <s v="480"/>
    <s v="RS"/>
    <s v="Eixo Principal"/>
    <s v="-"/>
    <s v="480BRS0170"/>
    <s v="DIV SC/RS (PRAIA GRANDE)"/>
    <s v="ENTR RS-406 (GÔIO EN)"/>
    <n v="0"/>
    <n v="1.7"/>
    <n v="1.7"/>
    <x v="1"/>
    <m/>
    <m/>
    <s v="Estadual"/>
    <m/>
    <s v="RST-480"/>
    <s v="PAV"/>
    <s v="Estadual"/>
    <s v="PLA"/>
    <s v="Passo Fundo"/>
  </r>
  <r>
    <x v="0"/>
    <s v="480BRS0171"/>
    <n v="0"/>
    <x v="465"/>
    <s v="0171"/>
    <n v="-52.688005399929203"/>
    <n v="-27.296393359965499"/>
    <n v="-52.5783251902552"/>
    <n v="-27.3868276596687"/>
    <s v="480"/>
    <s v="RS"/>
    <s v="Eixo Principal"/>
    <s v="-"/>
    <s v="480BRS0171"/>
    <s v="ENTR RS-406 (GÔIO EN)"/>
    <s v="ENTR R. TIRADENTES (ERVAL GRANDE)"/>
    <n v="1.7"/>
    <n v="21.6"/>
    <n v="19.899999999999999"/>
    <x v="1"/>
    <m/>
    <m/>
    <s v="Estadual"/>
    <m/>
    <s v="RST-480"/>
    <s v="PAV"/>
    <s v="Estadual"/>
    <s v="PLA"/>
    <s v="Passo Fundo"/>
  </r>
  <r>
    <x v="0"/>
    <s v="480BRS0172"/>
    <n v="0"/>
    <x v="465"/>
    <s v="0172"/>
    <n v="-52.5783251902552"/>
    <n v="-27.3868276596687"/>
    <n v="-52.5575464398162"/>
    <n v="-27.5139471600333"/>
    <s v="480"/>
    <s v="RS"/>
    <s v="Eixo Principal"/>
    <s v="-"/>
    <s v="480BRS0172"/>
    <s v="ENTR R. TIRADENTES (ERVAL GRANDE)"/>
    <s v="ENTR RS-487 (P/BENJAMIN CONSTANT DO SUL)"/>
    <n v="21.6"/>
    <n v="37.799999999999997"/>
    <n v="16.2"/>
    <x v="1"/>
    <m/>
    <m/>
    <s v="Estadual"/>
    <m/>
    <s v="RST-480"/>
    <s v="PAV"/>
    <s v="Estadual"/>
    <s v="PLA"/>
    <s v="Passo Fundo"/>
  </r>
  <r>
    <x v="0"/>
    <s v="480BRS0173"/>
    <n v="0"/>
    <x v="465"/>
    <s v="0173"/>
    <n v="-52.5575464398162"/>
    <n v="-27.5139471600333"/>
    <n v="-52.535727490331297"/>
    <n v="-27.5490814699338"/>
    <s v="480"/>
    <s v="RS"/>
    <s v="Eixo Principal"/>
    <s v="-"/>
    <s v="480BRS0173"/>
    <s v="ENTR RS-487 (P/BENJAMIN CONSTANT DO SUL)"/>
    <s v="ACESSO NORTE P/SÃO VALENTIM"/>
    <n v="37.799999999999997"/>
    <n v="43"/>
    <n v="5.2"/>
    <x v="1"/>
    <m/>
    <m/>
    <s v="Estadual"/>
    <m/>
    <s v="RST-480"/>
    <s v="PAV"/>
    <s v="Estadual"/>
    <s v="PLA"/>
    <s v="Passo Fundo"/>
  </r>
  <r>
    <x v="0"/>
    <s v="480BRS0174"/>
    <n v="0"/>
    <x v="465"/>
    <s v="0174"/>
    <n v="-52.535727490331297"/>
    <n v="-27.5490814699338"/>
    <n v="-52.403078699921998"/>
    <n v="-27.601688129603399"/>
    <s v="480"/>
    <s v="RS"/>
    <s v="Eixo Principal"/>
    <s v="-"/>
    <s v="480BRS0174"/>
    <s v="ACESSO NORTE P/SÃO VALENTIM"/>
    <s v="ENTR RS-137 (P/ITATIBA DO SUL)"/>
    <n v="43"/>
    <n v="59"/>
    <n v="16"/>
    <x v="1"/>
    <m/>
    <m/>
    <s v="Estadual"/>
    <m/>
    <s v="RST-480"/>
    <s v="PAV"/>
    <s v="Estadual"/>
    <s v="PLA"/>
    <s v="Passo Fundo"/>
  </r>
  <r>
    <x v="0"/>
    <s v="480BRS0175"/>
    <n v="0"/>
    <x v="465"/>
    <s v="0175"/>
    <n v="-52.403078699921998"/>
    <n v="-27.601688129603399"/>
    <n v="-52.373530250120801"/>
    <n v="-27.6224966503001"/>
    <s v="480"/>
    <s v="RS"/>
    <s v="Eixo Principal"/>
    <s v="-"/>
    <s v="480BRS0175"/>
    <s v="ENTR RS-137 (P/ITATIBA DO SUL)"/>
    <s v="BARÃO DO COTEGIPE"/>
    <n v="59"/>
    <n v="63.9"/>
    <n v="4.9000000000000004"/>
    <x v="1"/>
    <m/>
    <m/>
    <s v="Estadual"/>
    <m/>
    <s v="RST-480"/>
    <s v="PAV"/>
    <s v="Estadual"/>
    <s v="PLA"/>
    <s v="Passo Fundo"/>
  </r>
  <r>
    <x v="0"/>
    <s v="480BRS0176"/>
    <n v="0"/>
    <x v="465"/>
    <s v="0176"/>
    <n v="-52.373530250120801"/>
    <n v="-27.6224966503001"/>
    <n v="-52.294768260246897"/>
    <n v="-27.640731779847702"/>
    <s v="480"/>
    <s v="RS"/>
    <s v="Eixo Principal"/>
    <s v="-"/>
    <s v="480BRS0176"/>
    <s v="BARÃO DO COTEGIPE"/>
    <s v="ENTR AV. CALDAS JR (ERECHIM)"/>
    <n v="63.9"/>
    <n v="73.099999999999994"/>
    <n v="9.1999999999999993"/>
    <x v="2"/>
    <m/>
    <m/>
    <s v="Federal"/>
    <m/>
    <m/>
    <m/>
    <s v="Federal"/>
    <s v="PAV"/>
    <s v="Passo Fundo"/>
  </r>
  <r>
    <x v="0"/>
    <s v="480BRS0177"/>
    <n v="0"/>
    <x v="465"/>
    <s v="0177"/>
    <n v="-52.294768260246897"/>
    <n v="-27.640731779847702"/>
    <n v="-52.286386880050401"/>
    <n v="-27.662476230393601"/>
    <s v="480"/>
    <s v="RS"/>
    <s v="Eixo Principal"/>
    <s v="-"/>
    <s v="480BRS0177"/>
    <s v="ENTR AV CALDAS JR (ERECHIM)"/>
    <s v="ENTR BR-153/RS-211 (FIM URB ERECHIM)"/>
    <n v="73.099999999999994"/>
    <n v="76.2"/>
    <n v="3.1"/>
    <x v="1"/>
    <m/>
    <m/>
    <s v="Municipal"/>
    <m/>
    <s v="AV. CALDAS"/>
    <s v="PAV"/>
    <s v="Estadual"/>
    <s v="PLA"/>
    <s v="Passo Fundo"/>
  </r>
  <r>
    <x v="0"/>
    <s v="480BSC0070"/>
    <n v="0"/>
    <x v="466"/>
    <s v="0070"/>
    <n v="-52.852709350156303"/>
    <n v="-26.347135639797798"/>
    <n v="-52.642841489942697"/>
    <n v="-26.473322730259699"/>
    <s v="480"/>
    <s v="SC"/>
    <s v="Eixo Principal"/>
    <s v="-"/>
    <s v="480BSC0070"/>
    <s v="ENTR BR-158/SC-157 (DIV PR/SC) (SÃO LOURENÇO DO OESTE)"/>
    <s v="ENTR SC-482 (P/CORONEL MARTINS)"/>
    <n v="0"/>
    <n v="33.6"/>
    <n v="33.6"/>
    <x v="1"/>
    <m/>
    <m/>
    <s v="Estadual"/>
    <m/>
    <s v="SCT-480"/>
    <s v="PAV"/>
    <s v="Estadual"/>
    <s v="PLA"/>
    <s v="Chapecó"/>
  </r>
  <r>
    <x v="0"/>
    <s v="480BSC0075"/>
    <n v="0"/>
    <x v="466"/>
    <s v="0075"/>
    <n v="-52.642841489942697"/>
    <n v="-26.473322730259699"/>
    <n v="-52.533374149797098"/>
    <n v="-26.5572430704113"/>
    <s v="480"/>
    <s v="SC"/>
    <s v="Eixo Principal"/>
    <s v="-"/>
    <s v="480BSC0075"/>
    <s v="ENTR SC-482 (P/CORONEL MARTINS)"/>
    <s v="ENTR R. MAJ.AZAMBUJA/R. BENJAMIN CONSTANT (SÃO DOMINGOS)"/>
    <n v="33.6"/>
    <n v="48.9"/>
    <n v="15.3"/>
    <x v="1"/>
    <m/>
    <m/>
    <s v="Estadual"/>
    <m/>
    <s v="SCT-480"/>
    <s v="PAV"/>
    <s v="Estadual"/>
    <s v="PLA"/>
    <s v="Chapecó"/>
  </r>
  <r>
    <x v="0"/>
    <s v="480BSC0080"/>
    <n v="0"/>
    <x v="466"/>
    <s v="0080"/>
    <n v="-52.533374149797098"/>
    <n v="-26.5572430704113"/>
    <n v="-52.454738039828598"/>
    <n v="-26.632785589882999"/>
    <s v="480"/>
    <s v="SC"/>
    <s v="Eixo Principal"/>
    <s v="-"/>
    <s v="480BSC0080"/>
    <s v="ENTR R. MAJ.AZAMBUJA/R. BENJAMIN CONSTANT (SÃO DOMINGOS)"/>
    <s v="ENTR SC-479 (IPUAÇÚ)"/>
    <n v="48.9"/>
    <n v="62.2"/>
    <n v="13.3"/>
    <x v="1"/>
    <m/>
    <m/>
    <s v="Estadual"/>
    <m/>
    <s v="SCT-480"/>
    <s v="PAV"/>
    <s v="Estadual"/>
    <s v="PLA"/>
    <s v="Chapecó"/>
  </r>
  <r>
    <x v="0"/>
    <s v="480BSC0085"/>
    <n v="0"/>
    <x v="466"/>
    <s v="0085"/>
    <n v="-52.454738039828598"/>
    <n v="-26.632785589882999"/>
    <n v="-52.390907619790703"/>
    <n v="-26.735136619858999"/>
    <s v="480"/>
    <s v="SC"/>
    <s v="Eixo Principal"/>
    <s v="-"/>
    <s v="480BSC0085"/>
    <s v="ENTR SC-479 (IPUAÇÚ)"/>
    <s v="ENTR SC-155(A) (BOM JESUS)"/>
    <n v="62.2"/>
    <n v="76.400000000000006"/>
    <n v="14.2"/>
    <x v="1"/>
    <m/>
    <m/>
    <s v="Estadual"/>
    <m/>
    <s v="SCT-480"/>
    <s v="PAV"/>
    <s v="Estadual"/>
    <s v="PLA"/>
    <s v="Chapecó"/>
  </r>
  <r>
    <x v="0"/>
    <s v="480BSC0090"/>
    <n v="0"/>
    <x v="466"/>
    <s v="0090"/>
    <n v="-52.390907619790703"/>
    <n v="-26.735136619858999"/>
    <n v="-52.435227519634203"/>
    <n v="-26.885530140403599"/>
    <s v="480"/>
    <s v="SC"/>
    <s v="Eixo Principal"/>
    <s v="-"/>
    <s v="480BSC0090"/>
    <s v="ENTR SC-155(A) (BOM JESUS)"/>
    <s v="ENTR BR-282(A)/SC-155(B)"/>
    <n v="76.400000000000006"/>
    <n v="95.5"/>
    <n v="19.100000000000001"/>
    <x v="1"/>
    <m/>
    <m/>
    <s v="Estadual"/>
    <m/>
    <s v="SCT-480"/>
    <s v="PAV"/>
    <s v="Estadual"/>
    <s v="PLA"/>
    <s v="Chapecó"/>
  </r>
  <r>
    <x v="4"/>
    <s v="480BSC0110"/>
    <s v="BR-476/153/282/480/SC/PR"/>
    <x v="466"/>
    <s v="0110"/>
    <n v="-52.435227519634203"/>
    <n v="-26.885530140403599"/>
    <n v="-52.646308880050697"/>
    <n v="-26.999640750420198"/>
    <s v="480"/>
    <s v="SC"/>
    <s v="Eixo Principal"/>
    <s v="Coinc"/>
    <s v="480BSC0110"/>
    <s v="ENTR BR-282(A)/SC-155(B)"/>
    <s v="ENTR BR-282(B)/SC-157 (P/CHAPECÓ)"/>
    <n v="95.5"/>
    <n v="124.2"/>
    <n v="28.7"/>
    <x v="2"/>
    <m/>
    <s v="282BSC0350"/>
    <s v="Federal"/>
    <m/>
    <m/>
    <m/>
    <s v="Federal"/>
    <s v="PAV"/>
    <s v="Chapecó"/>
  </r>
  <r>
    <x v="4"/>
    <s v="480BSC0130"/>
    <s v="BR-476/153/282/480/SC/PR"/>
    <x v="466"/>
    <s v="0130"/>
    <n v="-52.646308880050697"/>
    <n v="-26.999640750420198"/>
    <n v="-52.631344000225297"/>
    <n v="-27.064089379721"/>
    <s v="480"/>
    <s v="SC"/>
    <s v="Eixo Principal"/>
    <s v="-"/>
    <s v="480BSC0130"/>
    <s v="ENTR BR-282(B)/SC-157 (P/CHAPECÓ)"/>
    <s v="ENTR AV. LEOPOLDO SANDER"/>
    <n v="124.2"/>
    <n v="131.80000000000001"/>
    <n v="7.6"/>
    <x v="0"/>
    <m/>
    <m/>
    <s v="Federal"/>
    <m/>
    <m/>
    <m/>
    <s v="Federal"/>
    <s v="PAV"/>
    <s v="Chapecó"/>
  </r>
  <r>
    <x v="0"/>
    <s v="480BSC0135"/>
    <n v="0"/>
    <x v="466"/>
    <s v="0135"/>
    <n v="-52.631344000225297"/>
    <n v="-27.064089379721"/>
    <n v="-52.626586979605399"/>
    <n v="-27.0734521495969"/>
    <s v="480"/>
    <s v="SC"/>
    <s v="Eixo Principal"/>
    <s v="-"/>
    <s v="480BSC0135"/>
    <s v="ENTR AV. LEOPOLDO SANDER"/>
    <s v="ENTR R. AMPARO (CHAPECÓ)"/>
    <n v="131.80000000000001"/>
    <n v="133"/>
    <n v="1.2"/>
    <x v="0"/>
    <m/>
    <m/>
    <s v="Federal"/>
    <m/>
    <m/>
    <m/>
    <s v="Federal"/>
    <s v="PAV"/>
    <s v="Chapecó"/>
  </r>
  <r>
    <x v="0"/>
    <s v="480BSC0140"/>
    <n v="0"/>
    <x v="466"/>
    <s v="0140"/>
    <n v="-52.626586979605399"/>
    <n v="-27.0734521495969"/>
    <n v="-52.622694640045502"/>
    <n v="-27.0931230503884"/>
    <s v="480"/>
    <s v="SC"/>
    <s v="Eixo Principal"/>
    <s v="-"/>
    <s v="480BSC0140"/>
    <s v="ENTR R. AMPARO (CHAPECÓ)"/>
    <s v="ENTR BR-283(A) (CHAPECÓ) *TRECHO MUNICIPAL*"/>
    <n v="133"/>
    <n v="135.30000000000001"/>
    <n v="2.2999999999999998"/>
    <x v="1"/>
    <m/>
    <m/>
    <s v="Estadual"/>
    <m/>
    <s v="SCT-480"/>
    <s v="PAV"/>
    <s v="Estadual"/>
    <s v="PLA"/>
    <s v="Chapecó"/>
  </r>
  <r>
    <x v="0"/>
    <s v="480BSC0150"/>
    <n v="0"/>
    <x v="466"/>
    <s v="0150"/>
    <n v="-52.622694640045502"/>
    <n v="-27.0931230503884"/>
    <n v="-52.618126639832397"/>
    <n v="-27.108834450249599"/>
    <s v="480"/>
    <s v="SC"/>
    <s v="Eixo Principal"/>
    <s v="Coinc"/>
    <s v="480BSC0150"/>
    <s v="ENTR BR-283(A) (CHAPECÓ)"/>
    <s v="ENTR BR-283(B) (CHAPECÓ) *TRECHO MUNICIPAL*"/>
    <n v="135.30000000000001"/>
    <n v="137.1"/>
    <n v="1.8"/>
    <x v="1"/>
    <m/>
    <s v="283BSC0125"/>
    <s v="Estadual"/>
    <m/>
    <s v="SCT-283"/>
    <s v="PAV"/>
    <s v="Estadual"/>
    <s v="PLA"/>
    <s v="Chapecó"/>
  </r>
  <r>
    <x v="0"/>
    <s v="480BSC0160"/>
    <n v="0"/>
    <x v="466"/>
    <s v="0160"/>
    <n v="-52.618126639832397"/>
    <n v="-27.108834450249599"/>
    <n v="-52.692844419834003"/>
    <n v="-27.281008649629399"/>
    <s v="480"/>
    <s v="SC"/>
    <s v="Eixo Principal"/>
    <s v="-"/>
    <s v="480BSC0160"/>
    <s v="ENTR BR-283(B) (CHAPECÓ)"/>
    <s v="DIV SC/RS (P/PRAIA GRANDE/GÔIO EN)"/>
    <n v="137.1"/>
    <n v="160.1"/>
    <n v="23"/>
    <x v="1"/>
    <m/>
    <m/>
    <s v="Estadual"/>
    <m/>
    <s v="SCT-480"/>
    <s v="PAV"/>
    <s v="Estadual"/>
    <s v="PLA"/>
    <s v="Chapecó"/>
  </r>
  <r>
    <x v="0"/>
    <s v="481BRS0010"/>
    <n v="0"/>
    <x v="467"/>
    <s v="0010"/>
    <n v="-53.596888600028798"/>
    <n v="-28.7385899702508"/>
    <n v="-53.456369229955897"/>
    <n v="-28.850170760372201"/>
    <s v="481"/>
    <s v="RS"/>
    <s v="Eixo Principal"/>
    <s v="-"/>
    <s v="481BRS0010"/>
    <s v="ENTR BR-158/377/RS-342 (CRUZ ALTA)"/>
    <s v="P/BOA VISTA DO INCRA"/>
    <n v="0"/>
    <n v="30"/>
    <n v="30"/>
    <x v="1"/>
    <m/>
    <m/>
    <s v="Estadual"/>
    <m/>
    <s v="RST-481"/>
    <s v="PAV"/>
    <s v="Estadual"/>
    <s v="PLA"/>
    <s v="Cruz Alta"/>
  </r>
  <r>
    <x v="0"/>
    <s v="481BRS0015"/>
    <n v="0"/>
    <x v="467"/>
    <s v="0015"/>
    <n v="-53.456369229955897"/>
    <n v="-28.850170760372201"/>
    <n v="-53.179041119551897"/>
    <n v="-29.090124329873898"/>
    <s v="481"/>
    <s v="RS"/>
    <s v="Eixo Principal"/>
    <s v="-"/>
    <s v="481BRS0015"/>
    <s v="P/BOA VISTA DO INCRA"/>
    <s v="ACESSO P/ SALTO DO JACUÍ "/>
    <n v="30"/>
    <n v="69"/>
    <n v="39"/>
    <x v="1"/>
    <m/>
    <m/>
    <s v="Estadual"/>
    <m/>
    <s v="RST-481"/>
    <s v="PAV"/>
    <s v="Estadual"/>
    <s v="PLA"/>
    <s v="Cruz Alta"/>
  </r>
  <r>
    <x v="0"/>
    <s v="481BRS0020"/>
    <n v="0"/>
    <x v="467"/>
    <s v="0020"/>
    <n v="-53.179041119551897"/>
    <n v="-29.090124329873898"/>
    <n v="-53.068591430150299"/>
    <n v="-29.244276959913702"/>
    <s v="481"/>
    <s v="RS"/>
    <s v="Eixo Principal"/>
    <s v="-"/>
    <s v="481BRS0020"/>
    <s v="ACESSO P/ SALTO DO JACUÍ"/>
    <s v="ENTR RS-525 (P/TUNAS)"/>
    <n v="69"/>
    <n v="97.6"/>
    <n v="28.6"/>
    <x v="1"/>
    <m/>
    <m/>
    <s v="Estadual"/>
    <m/>
    <s v="RST-481"/>
    <s v="PAV"/>
    <s v="Estadual"/>
    <s v="PLA"/>
    <s v="Cruz Alta"/>
  </r>
  <r>
    <x v="0"/>
    <s v="481BRS0025"/>
    <n v="0"/>
    <x v="467"/>
    <s v="0025"/>
    <n v="-53.068591430150299"/>
    <n v="-29.244276959913702"/>
    <n v="-53.080781289924502"/>
    <n v="-29.333440239675198"/>
    <s v="481"/>
    <s v="RS"/>
    <s v="Eixo Principal"/>
    <s v="-"/>
    <s v="481BRS0025"/>
    <s v="ENTR RS-525 (P/TUNAS)"/>
    <s v="ENTR R. 25 DE JULHO (ARROIO DO TIGRE)"/>
    <n v="97.6"/>
    <n v="107.6"/>
    <n v="10"/>
    <x v="1"/>
    <m/>
    <m/>
    <s v="Estadual"/>
    <m/>
    <s v="RST-481"/>
    <s v="PAV"/>
    <s v="Estadual"/>
    <s v="PLA"/>
    <s v="Cruz Alta"/>
  </r>
  <r>
    <x v="0"/>
    <s v="481BRS0030"/>
    <n v="0"/>
    <x v="467"/>
    <s v="0030"/>
    <n v="-53.080781289924502"/>
    <n v="-29.333440239675198"/>
    <n v="-53.014070800027298"/>
    <n v="-29.407262740083301"/>
    <s v="481"/>
    <s v="RS"/>
    <s v="Eixo Principal"/>
    <s v="-"/>
    <s v="481BRS0030"/>
    <s v="ENTR R. 25 DE JULHO (ARROIO DO TIGRE)"/>
    <s v="ENTR RS-400 (SOBRADINHO)"/>
    <n v="107.6"/>
    <n v="119.2"/>
    <n v="11.6"/>
    <x v="1"/>
    <m/>
    <m/>
    <s v="Estadual"/>
    <m/>
    <s v="RST-481"/>
    <s v="PAV"/>
    <s v="Estadual"/>
    <s v="PLA"/>
    <s v="Cruz Alta"/>
  </r>
  <r>
    <x v="0"/>
    <s v="481BRS0050"/>
    <n v="0"/>
    <x v="467"/>
    <s v="0050"/>
    <n v="-53.014070800027298"/>
    <n v="-29.407262740083301"/>
    <n v="-52.949779099725603"/>
    <n v="-29.634994770292298"/>
    <s v="481"/>
    <s v="RS"/>
    <s v="Eixo Principal"/>
    <s v="-"/>
    <s v="481BRS0050"/>
    <s v="ENTR RS-400 (SOBRADINHO)"/>
    <s v="CERRO BRANCO"/>
    <n v="119.2"/>
    <n v="162.69999999999999"/>
    <n v="43.5"/>
    <x v="1"/>
    <m/>
    <m/>
    <s v="Estadual"/>
    <m/>
    <s v="RST-481"/>
    <s v="IMP"/>
    <s v="Estadual"/>
    <s v="PLA"/>
    <s v="Cruz Alta"/>
  </r>
  <r>
    <x v="0"/>
    <s v="481BRS0060"/>
    <n v="0"/>
    <x v="467"/>
    <s v="0060"/>
    <n v="-52.949779099725603"/>
    <n v="-29.634994770292298"/>
    <n v="-52.946089540199999"/>
    <n v="-29.731983650125301"/>
    <s v="481"/>
    <s v="RS"/>
    <s v="Eixo Principal"/>
    <s v="-"/>
    <s v="481BRS0060"/>
    <s v="CERRO BRANCO"/>
    <s v="ENTR BR-153/287 (NOVO CABRAIS)"/>
    <n v="162.69999999999999"/>
    <n v="175.2"/>
    <n v="12.5"/>
    <x v="1"/>
    <m/>
    <m/>
    <s v="Estadual"/>
    <m/>
    <s v="RST-481"/>
    <s v="PAV"/>
    <s v="Estadual"/>
    <s v="PLA"/>
    <s v="Cruz Alta"/>
  </r>
  <r>
    <x v="0"/>
    <s v="482BES0010"/>
    <n v="0"/>
    <x v="468"/>
    <s v="0010"/>
    <n v="-41.078275079631098"/>
    <n v="-20.925250320345899"/>
    <n v="-41.112956779631602"/>
    <n v="-20.864561100014701"/>
    <s v="482"/>
    <s v="ES"/>
    <s v="Eixo Principal"/>
    <s v="-"/>
    <s v="482BES0010"/>
    <s v="ENTR BR-101 (SAFRA)"/>
    <s v="INÍCIO PISTA DUPLA"/>
    <n v="0"/>
    <n v="8.1999999999999993"/>
    <n v="8.1999999999999993"/>
    <x v="1"/>
    <m/>
    <m/>
    <s v="Estadual"/>
    <m/>
    <s v="ES-482"/>
    <s v="PAV"/>
    <s v="Estadual"/>
    <s v="PLA"/>
    <s v="Santa Isabel"/>
  </r>
  <r>
    <x v="0"/>
    <s v="482BES0012"/>
    <n v="0"/>
    <x v="468"/>
    <s v="0012"/>
    <n v="-41.112956779631602"/>
    <n v="-20.864561100014701"/>
    <n v="-41.1211571397901"/>
    <n v="-20.856749050028601"/>
    <s v="482"/>
    <s v="ES"/>
    <s v="Eixo Principal"/>
    <s v="-"/>
    <s v="482BES0012"/>
    <s v="INÍCIO PISTA DUPLA"/>
    <s v="ACESSO I (CACHOEIRO DO ITAPEMIRIM)"/>
    <n v="8.1999999999999993"/>
    <n v="9.5"/>
    <n v="1.3"/>
    <x v="0"/>
    <m/>
    <m/>
    <s v="Federal"/>
    <m/>
    <m/>
    <m/>
    <s v="Federal"/>
    <s v="PAV"/>
    <s v="Santa Isabel"/>
  </r>
  <r>
    <x v="0"/>
    <s v="482BES0015"/>
    <n v="0"/>
    <x v="468"/>
    <s v="0015"/>
    <n v="-41.1211571397901"/>
    <n v="-20.856749050028601"/>
    <n v="-41.081040340239397"/>
    <n v="-20.8578591003171"/>
    <s v="482"/>
    <s v="ES"/>
    <s v="Eixo Principal"/>
    <s v="-"/>
    <s v="482BES0015"/>
    <s v="ACESSO I (CACHOEIRO DO ITAPEMIRIM)"/>
    <s v="ENTR ES-488 (ACESSO I CACHOEIRO DO ITAPEMIRIM)"/>
    <n v="9.5"/>
    <n v="14.5"/>
    <n v="5"/>
    <x v="1"/>
    <m/>
    <m/>
    <s v="Federal"/>
    <m/>
    <m/>
    <m/>
    <s v="Federal"/>
    <s v="PLA"/>
    <s v="Santa Isabel"/>
  </r>
  <r>
    <x v="0"/>
    <s v="482BES0020"/>
    <n v="0"/>
    <x v="468"/>
    <s v="0020"/>
    <n v="-41.081040340239397"/>
    <n v="-20.8578591003171"/>
    <n v="-41.081742889722499"/>
    <n v="-20.801831329652"/>
    <s v="482"/>
    <s v="ES"/>
    <s v="Eixo Principal"/>
    <s v="-"/>
    <s v="482BES0020"/>
    <s v="ENTR ES-488 (ACESSO I CACHOEIRO DO ITAPEMIRIM)"/>
    <s v="ENTR ES-164(A) (ACESSO III CACHOEIRO DO ITAPEMIRIM)"/>
    <n v="14.5"/>
    <n v="21.5"/>
    <n v="7"/>
    <x v="2"/>
    <m/>
    <m/>
    <s v="Federal"/>
    <m/>
    <m/>
    <m/>
    <s v="Federal"/>
    <s v="PAV"/>
    <s v="Santa Isabel"/>
  </r>
  <r>
    <x v="0"/>
    <s v="482BES0022"/>
    <n v="0"/>
    <x v="468"/>
    <s v="0022"/>
    <n v="-41.081742889722499"/>
    <n v="-20.801831329652"/>
    <n v="-41.079706650141702"/>
    <n v="-20.7889639503259"/>
    <s v="482"/>
    <s v="ES"/>
    <s v="Eixo Principal"/>
    <s v="-"/>
    <s v="482BES0022"/>
    <s v="ENTR ES-164(A) (ACESSO III CACHOEIRO DO ITAPEMIRIM)"/>
    <s v="ENTR ES-164(B) (P/SANTA ROSA)"/>
    <n v="21.5"/>
    <n v="23"/>
    <n v="1.5"/>
    <x v="1"/>
    <m/>
    <m/>
    <s v="Estadual"/>
    <m/>
    <s v="ES-164"/>
    <s v="PAV"/>
    <s v="Estadual"/>
    <s v="PLA"/>
    <s v="Santa Isabel"/>
  </r>
  <r>
    <x v="0"/>
    <s v="482BES0025"/>
    <n v="0"/>
    <x v="468"/>
    <s v="0025"/>
    <n v="-41.079706650141702"/>
    <n v="-20.7889639503259"/>
    <n v="-41.154883540343"/>
    <n v="-20.7939673896832"/>
    <s v="482"/>
    <s v="ES"/>
    <s v="Eixo Principal"/>
    <s v="-"/>
    <s v="482BES0025"/>
    <s v="ENTR ES-164(B) (P/SANTA ROSA)"/>
    <s v="MORRO GRANDE (ACESSO IV C. ITAPEMIRIM)"/>
    <n v="23"/>
    <n v="32.4"/>
    <n v="9.4"/>
    <x v="1"/>
    <m/>
    <m/>
    <s v="Estadual"/>
    <m/>
    <s v="EST-488"/>
    <s v="PAV"/>
    <s v="Estadual"/>
    <s v="PLA"/>
    <s v="Santa Isabel"/>
  </r>
  <r>
    <x v="0"/>
    <s v="482BES0030"/>
    <n v="0"/>
    <x v="468"/>
    <s v="0030"/>
    <n v="-41.154883540343"/>
    <n v="-20.7939673896832"/>
    <n v="-41.187141419940502"/>
    <n v="-20.753375120365401"/>
    <s v="482"/>
    <s v="ES"/>
    <s v="Eixo Principal"/>
    <s v="-"/>
    <s v="482BES0030"/>
    <s v="MORRO GRANDE (ACESSO IV C. ITAPEMIRIM)"/>
    <s v="ENTR ES-166 (COUTINHO)"/>
    <n v="32.4"/>
    <n v="38.9"/>
    <n v="6.5"/>
    <x v="1"/>
    <m/>
    <m/>
    <s v="Estadual"/>
    <m/>
    <s v="EST-482"/>
    <s v="PAV"/>
    <s v="Estadual"/>
    <s v="PLA"/>
    <s v="Santa Isabel"/>
  </r>
  <r>
    <x v="0"/>
    <s v="482BES0050"/>
    <n v="0"/>
    <x v="468"/>
    <s v="0050"/>
    <n v="-41.187141419940502"/>
    <n v="-20.753375120365401"/>
    <n v="-41.265566000370498"/>
    <n v="-20.761162279815299"/>
    <s v="482"/>
    <s v="ES"/>
    <s v="Eixo Principal"/>
    <s v="-"/>
    <s v="482BES0050"/>
    <s v="ENTR ES-166 (COUTINHO)"/>
    <s v="ENTR ES-483 (P/BURARAMA)"/>
    <n v="38.9"/>
    <n v="48"/>
    <n v="9.1"/>
    <x v="2"/>
    <m/>
    <m/>
    <s v="Federal"/>
    <m/>
    <m/>
    <m/>
    <s v="Federal"/>
    <s v="PAV"/>
    <s v="Santa Isabel"/>
  </r>
  <r>
    <x v="0"/>
    <s v="482BES0055"/>
    <n v="0"/>
    <x v="468"/>
    <s v="0055"/>
    <n v="-41.265566000370498"/>
    <n v="-20.761162279815299"/>
    <n v="-41.370670419903803"/>
    <n v="-20.8004579200969"/>
    <s v="482"/>
    <s v="ES"/>
    <s v="Eixo Principal"/>
    <s v="-"/>
    <s v="482BES0055"/>
    <s v="ENTR ES-483 (P/BURARAMA)"/>
    <s v="ENTR ES-177 (JERÔNIMO MONTEIRO)"/>
    <n v="48"/>
    <n v="60.8"/>
    <n v="12.8"/>
    <x v="2"/>
    <m/>
    <m/>
    <s v="Federal"/>
    <m/>
    <m/>
    <m/>
    <s v="Federal"/>
    <s v="PAV"/>
    <s v="Santa Isabel"/>
  </r>
  <r>
    <x v="0"/>
    <s v="482BES0070"/>
    <n v="0"/>
    <x v="468"/>
    <s v="0070"/>
    <n v="-41.370670419903803"/>
    <n v="-20.8004579200969"/>
    <n v="-41.484467900373197"/>
    <n v="-20.746813680207101"/>
    <s v="482"/>
    <s v="ES"/>
    <s v="Eixo Principal"/>
    <s v="-"/>
    <s v="482BES0070"/>
    <s v="ENTR ES-177 (JERÔNIMO MONTEIRO)"/>
    <s v="ENTR ES-181(A)"/>
    <n v="60.8"/>
    <n v="76.099999999999994"/>
    <n v="15.3"/>
    <x v="2"/>
    <m/>
    <m/>
    <s v="Federal"/>
    <m/>
    <m/>
    <m/>
    <s v="Federal"/>
    <s v="PAV"/>
    <s v="Santa Isabel"/>
  </r>
  <r>
    <x v="0"/>
    <s v="482BES0075"/>
    <n v="0"/>
    <x v="468"/>
    <s v="0075"/>
    <n v="-41.484467900373197"/>
    <n v="-20.746813680207101"/>
    <n v="-41.531767639964499"/>
    <n v="-20.762273900320199"/>
    <s v="482"/>
    <s v="ES"/>
    <s v="Eixo Principal"/>
    <s v="-"/>
    <s v="482BES0075"/>
    <s v="ENTR ES-181(A)"/>
    <s v="ENTR ES-181(B)/387(A) (ALEGRE)"/>
    <n v="76.099999999999994"/>
    <n v="83.2"/>
    <n v="7.1"/>
    <x v="2"/>
    <m/>
    <m/>
    <s v="Federal"/>
    <m/>
    <m/>
    <m/>
    <s v="Federal"/>
    <s v="PAV"/>
    <s v="Santa Isabel"/>
  </r>
  <r>
    <x v="0"/>
    <s v="482BES0090"/>
    <n v="0"/>
    <x v="468"/>
    <s v="0090"/>
    <n v="-41.531767639964499"/>
    <n v="-20.762273900320199"/>
    <n v="-41.591599030270899"/>
    <n v="-20.763522019925201"/>
    <s v="482"/>
    <s v="ES"/>
    <s v="Eixo Principal"/>
    <s v="-"/>
    <s v="482BES0090"/>
    <s v="ENTR ES-181(B)/387(A) (ALEGRE)"/>
    <s v="ENTR ES-387(B) (CELINA)"/>
    <n v="83.2"/>
    <n v="95"/>
    <n v="11.8"/>
    <x v="2"/>
    <m/>
    <m/>
    <s v="Federal"/>
    <m/>
    <m/>
    <m/>
    <s v="Federal"/>
    <s v="PAV"/>
    <s v="Santa Isabel"/>
  </r>
  <r>
    <x v="0"/>
    <s v="482BES0110"/>
    <n v="0"/>
    <x v="468"/>
    <s v="0110"/>
    <n v="-41.591599030270899"/>
    <n v="-20.763522019925201"/>
    <n v="-41.677697510431599"/>
    <n v="-20.775713279943801"/>
    <s v="482"/>
    <s v="ES"/>
    <s v="Eixo Principal"/>
    <s v="-"/>
    <s v="482BES0110"/>
    <s v="ENTR ES-387(B) (CELINA)"/>
    <s v="ENTR BR-484(A)/ES-185 (GUAÇUÍ)"/>
    <n v="95"/>
    <n v="106.2"/>
    <n v="11.2"/>
    <x v="2"/>
    <m/>
    <m/>
    <s v="Federal"/>
    <m/>
    <m/>
    <m/>
    <s v="Federal"/>
    <s v="PAV"/>
    <s v="Santa Isabel"/>
  </r>
  <r>
    <x v="0"/>
    <s v="482BES0120"/>
    <n v="0"/>
    <x v="468"/>
    <s v="0120"/>
    <n v="-41.677697510431599"/>
    <n v="-20.775713279943801"/>
    <n v="-41.6949861296061"/>
    <n v="-20.7959870799397"/>
    <s v="482"/>
    <s v="ES"/>
    <s v="Eixo Principal"/>
    <s v="-"/>
    <s v="482BES0120"/>
    <s v="ENTR BR-484(A)/ES-185 (GUAÇUÍ)"/>
    <s v="ENTR BR-484(B)"/>
    <n v="106.2"/>
    <n v="109.3"/>
    <n v="3.1"/>
    <x v="2"/>
    <m/>
    <s v="484BES0140"/>
    <s v="Federal"/>
    <m/>
    <m/>
    <m/>
    <s v="Federal"/>
    <s v="PAV"/>
    <s v="Santa Isabel"/>
  </r>
  <r>
    <x v="0"/>
    <s v="482BES0130"/>
    <n v="0"/>
    <x v="468"/>
    <s v="0130"/>
    <n v="-41.6949861296061"/>
    <n v="-20.7959870799397"/>
    <n v="-41.850216890297098"/>
    <n v="-20.694793740039"/>
    <s v="482"/>
    <s v="ES"/>
    <s v="Eixo Principal"/>
    <s v="-"/>
    <s v="482BES0130"/>
    <s v="ENTR BR-484(B)"/>
    <s v="ENTR ES-190 (DIV ES/MG) (DORES DO RIO PRETO)"/>
    <n v="109.3"/>
    <n v="136.19999999999999"/>
    <n v="26.9"/>
    <x v="2"/>
    <m/>
    <m/>
    <s v="Federal"/>
    <m/>
    <m/>
    <m/>
    <s v="Federal"/>
    <s v="PAV"/>
    <s v="Santa Isabel"/>
  </r>
  <r>
    <x v="0"/>
    <s v="482BMG0150"/>
    <n v="0"/>
    <x v="469"/>
    <s v="0150"/>
    <n v="-41.850216890297098"/>
    <n v="-20.694793740039"/>
    <n v="-41.909020940064202"/>
    <n v="-20.652051830227698"/>
    <s v="482"/>
    <s v="MG"/>
    <s v="Eixo Principal"/>
    <s v="-"/>
    <s v="482BMG0150"/>
    <s v="DIV ES/MG"/>
    <s v="ESPERA FELIZ"/>
    <n v="0"/>
    <n v="9.3000000000000007"/>
    <n v="9.3000000000000007"/>
    <x v="1"/>
    <m/>
    <m/>
    <s v="Estadual"/>
    <m/>
    <s v="MGT-482"/>
    <s v="PAV"/>
    <s v="Estadual"/>
    <s v="PLA"/>
    <s v="Leopoldina"/>
  </r>
  <r>
    <x v="0"/>
    <s v="482BMG0160"/>
    <n v="0"/>
    <x v="469"/>
    <s v="0160"/>
    <n v="-41.909020940064202"/>
    <n v="-20.652051830227698"/>
    <n v="-41.9843742098018"/>
    <n v="-20.632623300325001"/>
    <s v="482"/>
    <s v="MG"/>
    <s v="Eixo Principal"/>
    <s v="-"/>
    <s v="482BMG0160"/>
    <s v="ESPERA FELIZ"/>
    <s v="ENTR MG-111(A)"/>
    <n v="9.3000000000000007"/>
    <n v="19.7"/>
    <n v="10.4"/>
    <x v="1"/>
    <m/>
    <m/>
    <s v="Estadual"/>
    <m/>
    <s v="MGT-482"/>
    <s v="PAV"/>
    <s v="Estadual"/>
    <s v="PLA"/>
    <s v="Leopoldina"/>
  </r>
  <r>
    <x v="0"/>
    <s v="482BMG0170"/>
    <n v="0"/>
    <x v="469"/>
    <s v="0170"/>
    <n v="-41.9843742098018"/>
    <n v="-20.632623300325001"/>
    <n v="-42.035402249913801"/>
    <n v="-20.7125112198169"/>
    <s v="482"/>
    <s v="MG"/>
    <s v="Eixo Principal"/>
    <s v="-"/>
    <s v="482BMG0170"/>
    <s v="ENTR MG-111(A)"/>
    <s v="ENTR MG-111(B) (CARANGOLA)"/>
    <n v="19.7"/>
    <n v="33.5"/>
    <n v="13.8"/>
    <x v="1"/>
    <m/>
    <m/>
    <s v="Estadual"/>
    <m/>
    <s v="MGT-482"/>
    <s v="PAV"/>
    <s v="Estadual"/>
    <s v="PLA"/>
    <s v="Leopoldina"/>
  </r>
  <r>
    <x v="0"/>
    <s v="482BMG0190"/>
    <n v="0"/>
    <x v="469"/>
    <s v="0190"/>
    <n v="-42.035402249913801"/>
    <n v="-20.7125112198169"/>
    <n v="-42.280491210001202"/>
    <n v="-20.726677849702899"/>
    <s v="482"/>
    <s v="MG"/>
    <s v="Eixo Principal"/>
    <s v="-"/>
    <s v="482BMG0190"/>
    <s v="ENTR MG-111(B) (CARANGOLA)"/>
    <s v="ENTR BR-116 (FERVEDOURO)"/>
    <n v="33.5"/>
    <n v="62.4"/>
    <n v="28.9"/>
    <x v="1"/>
    <m/>
    <m/>
    <s v="Estadual"/>
    <m/>
    <s v="MGT-482"/>
    <s v="PAV"/>
    <s v="Estadual"/>
    <s v="PLA"/>
    <s v="Leopoldina"/>
  </r>
  <r>
    <x v="0"/>
    <s v="482BMG0210"/>
    <n v="0"/>
    <x v="469"/>
    <s v="0210"/>
    <n v="-42.280491210001202"/>
    <n v="-20.726677849702899"/>
    <n v="-42.521133609828198"/>
    <n v="-20.6683164903137"/>
    <s v="482"/>
    <s v="MG"/>
    <s v="Eixo Principal"/>
    <s v="-"/>
    <s v="482BMG0210"/>
    <s v="ENTR BR-116 (FERVEDOURO)"/>
    <s v="ARAPONGA"/>
    <n v="62.4"/>
    <n v="105.1"/>
    <n v="42.7"/>
    <x v="1"/>
    <m/>
    <m/>
    <s v="Federal"/>
    <m/>
    <m/>
    <m/>
    <s v="Federal"/>
    <s v="PLA"/>
    <s v="Leopoldina"/>
  </r>
  <r>
    <x v="0"/>
    <s v="482BMG0220"/>
    <n v="0"/>
    <x v="469"/>
    <s v="0220"/>
    <n v="-42.521133609828198"/>
    <n v="-20.6683164903137"/>
    <n v="-42.865028660344301"/>
    <n v="-20.7441631497095"/>
    <s v="482"/>
    <s v="MG"/>
    <s v="Eixo Principal"/>
    <s v="-"/>
    <s v="482BMG0220"/>
    <s v="ARAPONGA"/>
    <s v="ENTR BR-120/356(A)/MG-280 (VIÇOSA)"/>
    <n v="105.1"/>
    <n v="150.1"/>
    <n v="45"/>
    <x v="1"/>
    <m/>
    <m/>
    <s v="Federal"/>
    <m/>
    <m/>
    <m/>
    <s v="Federal"/>
    <s v="PLA"/>
    <s v="Leopoldina"/>
  </r>
  <r>
    <x v="0"/>
    <s v="482BMG0230"/>
    <n v="0"/>
    <x v="469"/>
    <s v="0230"/>
    <n v="-42.865028660344301"/>
    <n v="-20.7441631497095"/>
    <n v="-43.088821599737003"/>
    <n v="-20.669454499625399"/>
    <s v="482"/>
    <s v="MG"/>
    <s v="Eixo Principal"/>
    <s v="Coinc"/>
    <s v="482BMG0230"/>
    <s v="ENTR BR-120/356(A)/MG-280 (VIÇOSA)"/>
    <s v="ENTR BR-356(B) (PORTO FIRME)"/>
    <n v="150.1"/>
    <n v="180"/>
    <n v="29.9"/>
    <x v="1"/>
    <m/>
    <s v="356BMG0150"/>
    <s v="Estadual"/>
    <m/>
    <s v="MG-482"/>
    <s v="PAV"/>
    <s v="Estadual"/>
    <s v="PLA"/>
    <s v="Leopoldina"/>
  </r>
  <r>
    <x v="0"/>
    <s v="482BMG0250"/>
    <n v="0"/>
    <x v="469"/>
    <s v="0250"/>
    <n v="-43.088821599737003"/>
    <n v="-20.669454499625399"/>
    <n v="-43.300401809595698"/>
    <n v="-20.6867196401992"/>
    <s v="482"/>
    <s v="MG"/>
    <s v="Eixo Principal"/>
    <s v="-"/>
    <s v="482BMG0250"/>
    <s v="ENTR BR-356(B) (PORTO FIRME)"/>
    <s v="PIRANGA"/>
    <n v="180"/>
    <n v="209.9"/>
    <n v="29.9"/>
    <x v="1"/>
    <m/>
    <m/>
    <s v="Estadual"/>
    <m/>
    <s v="MGT-482"/>
    <s v="PAV"/>
    <s v="Estadual"/>
    <s v="PLA"/>
    <s v="Contagem"/>
  </r>
  <r>
    <x v="0"/>
    <s v="482BMG0270"/>
    <n v="0"/>
    <x v="469"/>
    <s v="0270"/>
    <n v="-43.300401809595698"/>
    <n v="-20.6867196401992"/>
    <n v="-43.497009470210799"/>
    <n v="-20.69664675984"/>
    <s v="482"/>
    <s v="MG"/>
    <s v="Eixo Principal"/>
    <s v="-"/>
    <s v="482BMG0270"/>
    <s v="PIRANGA"/>
    <s v="CATAS ALTAS DA NORUEGA"/>
    <n v="209.9"/>
    <n v="238.9"/>
    <n v="29"/>
    <x v="1"/>
    <m/>
    <m/>
    <s v="Estadual"/>
    <m/>
    <s v="MGT-482"/>
    <s v="PAV"/>
    <s v="Estadual"/>
    <s v="PLA"/>
    <s v="Contagem"/>
  </r>
  <r>
    <x v="0"/>
    <s v="482BMG0290"/>
    <n v="0"/>
    <x v="469"/>
    <s v="0290"/>
    <n v="-43.497009470210799"/>
    <n v="-20.69664675984"/>
    <n v="-43.607692119995299"/>
    <n v="-20.676635489935801"/>
    <s v="482"/>
    <s v="MG"/>
    <s v="Eixo Principal"/>
    <s v="-"/>
    <s v="482BMG0290"/>
    <s v="CATAS ALTAS DA NORUEGA"/>
    <s v="ITAVERAVA"/>
    <n v="238.9"/>
    <n v="255.3"/>
    <n v="16.399999999999999"/>
    <x v="1"/>
    <m/>
    <m/>
    <s v="Estadual"/>
    <m/>
    <s v="MGT-482"/>
    <s v="PAV"/>
    <s v="Estadual"/>
    <s v="PLA"/>
    <s v="Contagem"/>
  </r>
  <r>
    <x v="0"/>
    <s v="482BMG0295"/>
    <n v="0"/>
    <x v="469"/>
    <s v="0295"/>
    <n v="-43.607692119995299"/>
    <n v="-20.676635489935801"/>
    <n v="-43.805832860298203"/>
    <n v="-20.655641289813602"/>
    <s v="482"/>
    <s v="MG"/>
    <s v="Eixo Principal"/>
    <s v="-"/>
    <s v="482BMG0295"/>
    <s v="ITAVERAVA"/>
    <s v="ENTR BR-040 (CONSELHEIRO LAFAIETE)"/>
    <n v="255.3"/>
    <n v="283.10000000000002"/>
    <n v="27.8"/>
    <x v="1"/>
    <m/>
    <m/>
    <s v="Estadual"/>
    <m/>
    <s v="MGT-482"/>
    <s v="PAV"/>
    <s v="Estadual"/>
    <s v="PLA"/>
    <s v="Contagem"/>
  </r>
  <r>
    <x v="0"/>
    <s v="483BGO0030"/>
    <n v="0"/>
    <x v="470"/>
    <s v="0030"/>
    <n v="-49.216545480189701"/>
    <n v="-18.358221179563699"/>
    <n v="-49.294341230363401"/>
    <n v="-18.3947463503637"/>
    <s v="483"/>
    <s v="GO"/>
    <s v="Eixo Principal"/>
    <s v="Coinc"/>
    <s v="483BGO0030"/>
    <s v="ENTR BR-153/154(A)/452(A)/GO-419(A)"/>
    <s v="ENTR GO-206(A)/419(B)"/>
    <n v="0"/>
    <n v="9"/>
    <n v="9"/>
    <x v="2"/>
    <m/>
    <s v="452BGO0070;154BGO0020"/>
    <m/>
    <s v="MP082/2003"/>
    <m/>
    <m/>
    <m/>
    <s v="PAV"/>
    <s v="Rio Verde"/>
  </r>
  <r>
    <x v="0"/>
    <s v="483BGO0035"/>
    <n v="0"/>
    <x v="470"/>
    <s v="0035"/>
    <n v="-49.294341230363401"/>
    <n v="-18.3947463503637"/>
    <n v="-49.345498170304197"/>
    <n v="-18.382338510214002"/>
    <s v="483"/>
    <s v="GO"/>
    <s v="Eixo Principal"/>
    <s v="Coinc"/>
    <s v="483BGO0035"/>
    <s v="ENTR GO-206(A)/419(B)"/>
    <s v="ENTR BR-452(B)"/>
    <n v="9"/>
    <n v="15.5"/>
    <n v="6.5"/>
    <x v="2"/>
    <m/>
    <s v="452BGO0060;154BGO0025"/>
    <m/>
    <s v="MP082/2005"/>
    <m/>
    <m/>
    <m/>
    <s v="PAV"/>
    <s v="Rio Verde"/>
  </r>
  <r>
    <x v="0"/>
    <s v="483BGO0040"/>
    <n v="0"/>
    <x v="470"/>
    <s v="0040"/>
    <n v="-49.345498170304197"/>
    <n v="-18.382338510214002"/>
    <n v="-49.4668014096573"/>
    <n v="-18.4860614199984"/>
    <s v="483"/>
    <s v="GO"/>
    <s v="Eixo Principal"/>
    <s v="Coinc"/>
    <s v="483BGO0040"/>
    <s v="ENTR BR-452(B)"/>
    <s v="CACHOEIRA DOURADA"/>
    <n v="15.5"/>
    <n v="34.1"/>
    <n v="18.600000000000001"/>
    <x v="1"/>
    <m/>
    <s v="154BGO0030"/>
    <s v="Estadual"/>
    <m/>
    <s v="GO-206"/>
    <s v="PAV"/>
    <s v="Estadual"/>
    <s v="PLA"/>
    <s v="Rio Verde"/>
  </r>
  <r>
    <x v="0"/>
    <s v="483BGO0042"/>
    <n v="0"/>
    <x v="470"/>
    <s v="0042"/>
    <n v="-49.4668014096573"/>
    <n v="-18.4860614199984"/>
    <n v="-49.478990530188703"/>
    <n v="-18.491456319853199"/>
    <s v="483"/>
    <s v="GO"/>
    <s v="Eixo Principal"/>
    <s v="Coinc"/>
    <s v="483BGO0042"/>
    <s v="CACHOEIRA DOURADA"/>
    <s v="FIM TRAVESSIA URBANA CACHOEIRA DOURADA"/>
    <n v="34.1"/>
    <n v="35.1"/>
    <n v="1"/>
    <x v="1"/>
    <m/>
    <s v="154BGO0035"/>
    <s v="Estadual"/>
    <m/>
    <s v="GO-206"/>
    <s v="PAV"/>
    <s v="Estadual"/>
    <s v="PLA"/>
    <s v="Rio Verde"/>
  </r>
  <r>
    <x v="0"/>
    <s v="483BGO0045"/>
    <n v="0"/>
    <x v="470"/>
    <s v="0045"/>
    <n v="-49.478990530188703"/>
    <n v="-18.491456319853199"/>
    <n v="-49.512286699571398"/>
    <n v="-18.4781649704369"/>
    <s v="483"/>
    <s v="GO"/>
    <s v="Eixo Principal"/>
    <s v="Coinc"/>
    <s v="483BGO0045"/>
    <s v="FIM TRAVESSIA URBANA CACHOEIRA DOURADA"/>
    <s v="ENTR BR-154(B)"/>
    <n v="35.1"/>
    <n v="39.1"/>
    <n v="4"/>
    <x v="1"/>
    <m/>
    <s v="154BGO0040"/>
    <s v="Estadual"/>
    <m/>
    <s v="GO-206"/>
    <s v="PAV"/>
    <s v="Estadual"/>
    <s v="PLA"/>
    <s v="Rio Verde"/>
  </r>
  <r>
    <x v="0"/>
    <s v="483BGO0050"/>
    <n v="0"/>
    <x v="470"/>
    <s v="0050"/>
    <n v="-49.512286699571398"/>
    <n v="-18.4781649704369"/>
    <n v="-49.680353640308198"/>
    <n v="-18.496974720007302"/>
    <s v="483"/>
    <s v="GO"/>
    <s v="Eixo Principal"/>
    <s v="-"/>
    <s v="483BGO0050"/>
    <s v="ENTR BR-154(B)"/>
    <s v="ALMERINDONÓPOLIS"/>
    <n v="39.1"/>
    <n v="57.4"/>
    <n v="18.3"/>
    <x v="1"/>
    <m/>
    <m/>
    <s v="Estadual"/>
    <m/>
    <s v="GO-206"/>
    <s v="PAV"/>
    <s v="Estadual"/>
    <s v="PLA"/>
    <s v="Rio Verde"/>
  </r>
  <r>
    <x v="0"/>
    <s v="483BGO0055"/>
    <n v="0"/>
    <x v="470"/>
    <s v="0055"/>
    <n v="-49.680353640308198"/>
    <n v="-18.496974720007302"/>
    <n v="-49.989384289952902"/>
    <n v="-18.490394400381199"/>
    <s v="483"/>
    <s v="GO"/>
    <s v="Eixo Principal"/>
    <s v="-"/>
    <s v="483BGO0055"/>
    <s v="ALMERINDONÓPOLIS"/>
    <s v="ENTR GO-040 (INACIOLÂNDIA)"/>
    <n v="57.4"/>
    <n v="91.3"/>
    <n v="33.9"/>
    <x v="1"/>
    <m/>
    <m/>
    <s v="Estadual"/>
    <m/>
    <s v="GO-206"/>
    <s v="PAV"/>
    <s v="Estadual"/>
    <s v="PLA"/>
    <s v="Rio Verde"/>
  </r>
  <r>
    <x v="0"/>
    <s v="483BGO0060"/>
    <n v="0"/>
    <x v="470"/>
    <s v="0060"/>
    <n v="-49.989384289952902"/>
    <n v="-18.490394400381199"/>
    <n v="-50.133633310428799"/>
    <n v="-18.446556209801201"/>
    <s v="483"/>
    <s v="GO"/>
    <s v="Eixo Principal"/>
    <s v="-"/>
    <s v="483BGO0060"/>
    <s v="ENTR GO-040 (INACIOLÂNDIA)"/>
    <s v="GOUVELÂNDIA"/>
    <n v="91.3"/>
    <n v="108.7"/>
    <n v="17.399999999999999"/>
    <x v="1"/>
    <m/>
    <m/>
    <s v="Estadual"/>
    <m/>
    <s v="GO-206"/>
    <s v="PAV"/>
    <s v="Estadual"/>
    <s v="PLA"/>
    <s v="Rio Verde"/>
  </r>
  <r>
    <x v="0"/>
    <s v="483BGO0065"/>
    <n v="0"/>
    <x v="470"/>
    <s v="0065"/>
    <n v="-50.133633310428799"/>
    <n v="-18.446556209801201"/>
    <n v="-50.414324840318997"/>
    <n v="-18.443347899985501"/>
    <s v="483"/>
    <s v="GO"/>
    <s v="Eixo Principal"/>
    <s v="-"/>
    <s v="483BGO0065"/>
    <s v="GOUVELÂNDIA"/>
    <s v="ENTR GO-164/206(B) (P/QUIRINÓPOLIS)"/>
    <n v="108.7"/>
    <n v="138"/>
    <n v="29.3"/>
    <x v="1"/>
    <m/>
    <m/>
    <s v="Estadual"/>
    <m/>
    <s v="GO-206"/>
    <s v="PAV"/>
    <s v="Estadual"/>
    <s v="PLA"/>
    <s v="Rio Verde"/>
  </r>
  <r>
    <x v="0"/>
    <s v="483BGO0070"/>
    <n v="0"/>
    <x v="470"/>
    <s v="0070"/>
    <n v="-50.414324840318997"/>
    <n v="-18.443347899985501"/>
    <n v="-50.6604892798563"/>
    <n v="-18.919421700351101"/>
    <s v="483"/>
    <s v="GO"/>
    <s v="Eixo Principal"/>
    <s v="-"/>
    <s v="483BGO0070"/>
    <s v="ENTR GO-164/206(B) (P/QUIRINÓPOLIS)"/>
    <s v="ENTR BR-364(A) (PARANAIGUARA)"/>
    <n v="138"/>
    <n v="202.8"/>
    <n v="64.8"/>
    <x v="1"/>
    <m/>
    <m/>
    <s v="Estadual"/>
    <m/>
    <s v="GO-164"/>
    <s v="PAV"/>
    <s v="Estadual"/>
    <s v="PLA"/>
    <s v="Rio Verde"/>
  </r>
  <r>
    <x v="0"/>
    <s v="483BGO0075"/>
    <n v="0"/>
    <x v="470"/>
    <s v="0075"/>
    <n v="-50.6604892798563"/>
    <n v="-18.919421700351101"/>
    <n v="-50.622718860087197"/>
    <n v="-18.955792179665298"/>
    <s v="483"/>
    <s v="GO"/>
    <s v="Eixo Principal"/>
    <s v="Coinc"/>
    <s v="483BGO0075"/>
    <s v="ENTR BR-364(A) (PARANAIGUARA)"/>
    <s v="ENTR BR-364(B)"/>
    <n v="202.8"/>
    <n v="208.8"/>
    <n v="6"/>
    <x v="2"/>
    <m/>
    <s v="364BGO0395"/>
    <s v="Federal"/>
    <m/>
    <m/>
    <m/>
    <s v="Federal"/>
    <s v="PAV"/>
    <s v="Jataí"/>
  </r>
  <r>
    <x v="0"/>
    <s v="483BGO0078"/>
    <n v="0"/>
    <x v="470"/>
    <s v="0078"/>
    <n v="-50.622718860087197"/>
    <n v="-18.955792179665298"/>
    <n v="-50.673980550362003"/>
    <n v="-19.011352939586398"/>
    <s v="483"/>
    <s v="GO"/>
    <s v="Eixo Principal"/>
    <s v="-"/>
    <s v="483BGO0078"/>
    <s v="ENTR BR-364(B)"/>
    <s v="INÍCIO PISTA DUPLA (ITAGUAÇU)"/>
    <n v="208.8"/>
    <n v="217.4"/>
    <n v="8.6"/>
    <x v="1"/>
    <m/>
    <m/>
    <s v="Estadual"/>
    <m/>
    <s v="GO-164"/>
    <s v="PAV"/>
    <s v="Estadual"/>
    <s v="PLA"/>
    <s v="Jataí"/>
  </r>
  <r>
    <x v="0"/>
    <s v="483BGO0080"/>
    <n v="0"/>
    <x v="470"/>
    <s v="0080"/>
    <n v="-50.673980550362003"/>
    <n v="-19.011352939586398"/>
    <n v="-50.682087979976203"/>
    <n v="-19.0131838603468"/>
    <s v="483"/>
    <s v="GO"/>
    <s v="Eixo Principal"/>
    <s v="-"/>
    <s v="483BGO0080"/>
    <s v="INÍCIO PISTA DUPLA (ITAGUAÇU)"/>
    <s v="FIM PISTA DUPLA (ITAGUAÇU)"/>
    <n v="217.4"/>
    <n v="218.6"/>
    <n v="1.2"/>
    <x v="1"/>
    <m/>
    <m/>
    <s v="Estadual"/>
    <m/>
    <s v="GO-164"/>
    <s v="DUP"/>
    <s v="Estadual"/>
    <s v="PLA"/>
    <s v="Jataí"/>
  </r>
  <r>
    <x v="0"/>
    <s v="483BGO0090"/>
    <n v="0"/>
    <x v="470"/>
    <s v="0090"/>
    <n v="-50.682087979976203"/>
    <n v="-19.0131838603468"/>
    <n v="-50.792708019859099"/>
    <n v="-19.178841500234999"/>
    <s v="483"/>
    <s v="GO"/>
    <s v="Eixo Principal"/>
    <s v="-"/>
    <s v="483BGO0090"/>
    <s v="FIM PISTA DUPLA (ITAGUAÇU)"/>
    <s v="ENTR GO-406"/>
    <n v="218.6"/>
    <n v="241.2"/>
    <n v="22.6"/>
    <x v="1"/>
    <m/>
    <m/>
    <s v="Estadual"/>
    <m/>
    <s v="GO-164"/>
    <s v="LEN"/>
    <s v="Estadual"/>
    <s v="PLA"/>
    <s v="Jataí"/>
  </r>
  <r>
    <x v="0"/>
    <s v="483BGO0091"/>
    <n v="0"/>
    <x v="470"/>
    <s v="0091"/>
    <n v="-50.792708029751701"/>
    <n v="-19.178841500234999"/>
    <n v="-51.083738200057802"/>
    <n v="-19.2962459698755"/>
    <s v="483"/>
    <s v="GO"/>
    <s v="Eixo Principal"/>
    <s v="-"/>
    <s v="483BGO0091"/>
    <s v="ENTR GO-406"/>
    <s v="ENTR GO-302"/>
    <n v="241.2"/>
    <n v="281.89999999999998"/>
    <n v="40.700000000000003"/>
    <x v="1"/>
    <m/>
    <m/>
    <s v="Estadual"/>
    <m/>
    <s v="GO-164"/>
    <s v="LEN"/>
    <s v="Estadual"/>
    <s v="PLA"/>
    <s v="Jataí"/>
  </r>
  <r>
    <x v="0"/>
    <s v="483BGO0092"/>
    <n v="0"/>
    <x v="470"/>
    <s v="0092"/>
    <n v="-51.083738200057802"/>
    <n v="-19.2962459698755"/>
    <n v="-51.089592389976701"/>
    <n v="-19.308022260219101"/>
    <s v="483"/>
    <s v="GO"/>
    <s v="Eixo Principal"/>
    <s v="-"/>
    <s v="483BGO0092"/>
    <s v="ENTR GO-302"/>
    <s v="ENTR GO-164(B) (DIV GO/MS) (RIO APORÉ)"/>
    <n v="281.89999999999998"/>
    <n v="283.39999999999998"/>
    <n v="1.5"/>
    <x v="1"/>
    <m/>
    <m/>
    <s v="Estadual"/>
    <m/>
    <s v="GO-164"/>
    <s v="LEN"/>
    <s v="Estadual"/>
    <s v="PLA"/>
    <s v="Jataí"/>
  </r>
  <r>
    <x v="0"/>
    <s v="483BMS0110"/>
    <n v="0"/>
    <x v="471"/>
    <s v="0110"/>
    <n v="-51.089592389976701"/>
    <n v="-19.308022260219101"/>
    <n v="-51.1404879302737"/>
    <n v="-19.655738799905599"/>
    <s v="483"/>
    <s v="MS"/>
    <s v="Eixo Principal"/>
    <s v="-"/>
    <s v="483BMS0110"/>
    <s v="DIV GO/MS (RIO APORÉ)"/>
    <s v="ENTR BR-497(A)"/>
    <n v="0"/>
    <n v="42.9"/>
    <n v="42.9"/>
    <x v="1"/>
    <m/>
    <m/>
    <m/>
    <s v="MP082/2003"/>
    <s v="MST-483"/>
    <s v="IMP"/>
    <m/>
    <s v="PLA"/>
    <s v="Três Lagoas"/>
  </r>
  <r>
    <x v="0"/>
    <s v="483BMS0115"/>
    <n v="0"/>
    <x v="471"/>
    <s v="0115"/>
    <n v="-51.1404879302737"/>
    <n v="-19.655738799905599"/>
    <n v="-51.203968450183702"/>
    <n v="-19.656205219795002"/>
    <s v="483"/>
    <s v="MS"/>
    <s v="Eixo Principal"/>
    <s v="-"/>
    <s v="483BMS0115"/>
    <s v="ENTR BR-497(A)"/>
    <s v="ENTR BR-158/497(B) (PARANAÍBA)"/>
    <n v="42.9"/>
    <n v="49.7"/>
    <n v="6.8"/>
    <x v="1"/>
    <m/>
    <s v="497BMS0095"/>
    <m/>
    <s v="MP082/2003"/>
    <s v="MST-483"/>
    <s v="PAV"/>
    <m/>
    <s v="PLA"/>
    <s v="Três Lagoas"/>
  </r>
  <r>
    <x v="0"/>
    <s v="484BES0010"/>
    <n v="0"/>
    <x v="472"/>
    <s v="0010"/>
    <n v="-40.601230540257099"/>
    <n v="-19.518301769810702"/>
    <n v="-40.635823860282798"/>
    <n v="-19.540734940065299"/>
    <s v="484"/>
    <s v="ES"/>
    <s v="Eixo Principal"/>
    <s v="-"/>
    <s v="484BES0010"/>
    <s v="ENTR BR-259 (COLATINA)"/>
    <s v="ENTR ES-080"/>
    <n v="0"/>
    <n v="8"/>
    <n v="8"/>
    <x v="1"/>
    <m/>
    <m/>
    <s v="Estadual"/>
    <m/>
    <s v="EST-484"/>
    <s v="PAV"/>
    <s v="Estadual"/>
    <s v="PLA"/>
    <s v="Santa Isabel"/>
  </r>
  <r>
    <x v="0"/>
    <s v="484BES0020"/>
    <n v="0"/>
    <x v="472"/>
    <s v="0020"/>
    <n v="-40.635823860282798"/>
    <n v="-19.540734940065299"/>
    <n v="-40.783966189787797"/>
    <n v="-19.702195429575301"/>
    <s v="484"/>
    <s v="ES"/>
    <s v="Eixo Principal"/>
    <s v="-"/>
    <s v="484BES0020"/>
    <s v="ENTR ES-080"/>
    <s v="ENTR ES-357(A) (ITAÇU)"/>
    <n v="8"/>
    <n v="39.6"/>
    <n v="31.6"/>
    <x v="1"/>
    <m/>
    <m/>
    <s v="Federal"/>
    <m/>
    <m/>
    <m/>
    <s v="Federal"/>
    <s v="PLA"/>
    <s v="Santa Isabel"/>
  </r>
  <r>
    <x v="0"/>
    <s v="484BES0025"/>
    <n v="0"/>
    <x v="472"/>
    <s v="0025"/>
    <n v="-40.783966189787797"/>
    <n v="-19.702195429575301"/>
    <n v="-40.854788979927399"/>
    <n v="-19.801530139704099"/>
    <s v="484"/>
    <s v="ES"/>
    <s v="Eixo Principal"/>
    <s v="-"/>
    <s v="484BES0025"/>
    <s v="ENTR ES-357(A) (ITAÇU)"/>
    <s v="ENTR ES-164(A)/260/357(B) (ITAGUAÇU)"/>
    <n v="39.6"/>
    <n v="57.4"/>
    <n v="17.8"/>
    <x v="1"/>
    <m/>
    <m/>
    <s v="Federal"/>
    <m/>
    <m/>
    <m/>
    <s v="Federal"/>
    <s v="PLA"/>
    <s v="Santa Isabel"/>
  </r>
  <r>
    <x v="0"/>
    <s v="484BES0030"/>
    <n v="0"/>
    <x v="472"/>
    <s v="0030"/>
    <n v="-40.854788979927399"/>
    <n v="-19.801530139704099"/>
    <n v="-40.881990010330597"/>
    <n v="-19.8350681601673"/>
    <s v="484"/>
    <s v="ES"/>
    <s v="Eixo Principal"/>
    <s v="-"/>
    <s v="484BES0030"/>
    <s v="ENTR ES-164(A)/260/357(B) (ITAGUAÇU)"/>
    <s v="ENTR ES-261"/>
    <n v="57.4"/>
    <n v="63.3"/>
    <n v="5.9"/>
    <x v="1"/>
    <m/>
    <m/>
    <s v="Estadual"/>
    <m/>
    <s v="ES-164"/>
    <s v="PAV"/>
    <s v="Estadual"/>
    <s v="PLA"/>
    <s v="Santa Isabel"/>
  </r>
  <r>
    <x v="0"/>
    <s v="484BES0050"/>
    <n v="0"/>
    <x v="472"/>
    <s v="0050"/>
    <n v="-40.881990010330597"/>
    <n v="-19.8350681601673"/>
    <n v="-40.875967130078898"/>
    <n v="-19.8745169100273"/>
    <s v="484"/>
    <s v="ES"/>
    <s v="Eixo Principal"/>
    <s v="-"/>
    <s v="484BES0050"/>
    <s v="ENTR ES-261"/>
    <s v="ENTR ES-164(B) (ITARANA)"/>
    <n v="63.3"/>
    <n v="68.099999999999994"/>
    <n v="4.8"/>
    <x v="1"/>
    <m/>
    <m/>
    <s v="Estadual"/>
    <m/>
    <s v="ES-164"/>
    <s v="LEN"/>
    <s v="Estadual"/>
    <s v="PLA"/>
    <s v="Santa Isabel"/>
  </r>
  <r>
    <x v="0"/>
    <s v="484BES0055"/>
    <n v="0"/>
    <x v="472"/>
    <s v="0055"/>
    <n v="-40.875967130078898"/>
    <n v="-19.8745169100273"/>
    <n v="-41.030284860357902"/>
    <n v="-20.004442520006201"/>
    <s v="484"/>
    <s v="ES"/>
    <s v="Eixo Principal"/>
    <s v="-"/>
    <s v="484BES0055"/>
    <s v="ENTR ES-164(B) (ITARANA)"/>
    <s v="ENTR ES-460 (SERRA PELADA)"/>
    <n v="68.099999999999994"/>
    <n v="96.5"/>
    <n v="28.4"/>
    <x v="3"/>
    <m/>
    <m/>
    <s v="Federal"/>
    <m/>
    <m/>
    <m/>
    <s v="Federal"/>
    <s v="N_PAV"/>
    <s v="Santa Isabel"/>
  </r>
  <r>
    <x v="0"/>
    <s v="484BES0060"/>
    <n v="0"/>
    <x v="472"/>
    <s v="0060"/>
    <n v="-41.030284860357902"/>
    <n v="-20.004442520006201"/>
    <n v="-41.114606430342398"/>
    <n v="-20.0653954602322"/>
    <s v="484"/>
    <s v="ES"/>
    <s v="Eixo Principal"/>
    <s v="-"/>
    <s v="484BES0060"/>
    <s v="ENTR ES-460 (SERRA PELADA)"/>
    <s v="ENTR ES-165/264(A) (AFONSO CLÁUDIO)"/>
    <n v="96.5"/>
    <n v="111.8"/>
    <n v="15.3"/>
    <x v="2"/>
    <m/>
    <m/>
    <s v="Federal"/>
    <m/>
    <m/>
    <m/>
    <s v="Federal"/>
    <s v="PAV"/>
    <s v="Santa Isabel"/>
  </r>
  <r>
    <x v="0"/>
    <s v="484BES0065"/>
    <n v="0"/>
    <x v="472"/>
    <s v="0065"/>
    <n v="-41.114606430342398"/>
    <n v="-20.0653954602322"/>
    <n v="-41.119928059732104"/>
    <n v="-20.0992877704142"/>
    <s v="484"/>
    <s v="ES"/>
    <s v="Eixo Principal"/>
    <s v="-"/>
    <s v="484BES0065"/>
    <s v="ENTR ES-165/264(A) (AFONSO CLÁUDIO)"/>
    <s v="ENTR ES-264(B)"/>
    <n v="111.8"/>
    <n v="116.8"/>
    <n v="5"/>
    <x v="1"/>
    <m/>
    <m/>
    <s v="Estadual"/>
    <m/>
    <s v="ES-264"/>
    <s v="PAV"/>
    <s v="Estadual"/>
    <s v="PLA"/>
    <s v="Santa Isabel"/>
  </r>
  <r>
    <x v="0"/>
    <s v="484BES0070"/>
    <n v="0"/>
    <x v="472"/>
    <s v="0070"/>
    <n v="-41.119928059732104"/>
    <n v="-20.0992877704142"/>
    <n v="-41.2280256901334"/>
    <n v="-20.294282989768099"/>
    <s v="484"/>
    <s v="ES"/>
    <s v="Eixo Principal"/>
    <s v="-"/>
    <s v="484BES0070"/>
    <s v="ENTR ES-264(B)"/>
    <s v="ENTR BR-262(A)"/>
    <n v="116.8"/>
    <n v="149.30000000000001"/>
    <n v="32.5"/>
    <x v="1"/>
    <m/>
    <m/>
    <s v="Estadual"/>
    <m/>
    <s v="EST-484"/>
    <s v="LEN"/>
    <s v="Estadual"/>
    <s v="PLA"/>
    <s v="Santa Isabel"/>
  </r>
  <r>
    <x v="0"/>
    <s v="484BES0090"/>
    <n v="0"/>
    <x v="472"/>
    <s v="0090"/>
    <n v="-41.2280256901334"/>
    <n v="-20.294282989768099"/>
    <n v="-41.362616980189401"/>
    <n v="-20.232582620291598"/>
    <s v="484"/>
    <s v="ES"/>
    <s v="Eixo Principal"/>
    <s v="Coinc"/>
    <s v="484BES0090"/>
    <s v="ENTR BR-262(A)"/>
    <s v="ENTR BR-262(B)/ES-181"/>
    <n v="149.30000000000001"/>
    <n v="167.9"/>
    <n v="18.600000000000001"/>
    <x v="2"/>
    <m/>
    <s v="262BES0195"/>
    <s v="Federal"/>
    <m/>
    <m/>
    <m/>
    <s v="Federal"/>
    <s v="PAV"/>
    <s v="Santa Isabel"/>
  </r>
  <r>
    <x v="0"/>
    <s v="484BES0095"/>
    <n v="0"/>
    <x v="472"/>
    <s v="0095"/>
    <n v="-41.362616980189401"/>
    <n v="-20.232582620291598"/>
    <n v="-41.496315530337398"/>
    <n v="-20.4423892501637"/>
    <s v="484"/>
    <s v="ES"/>
    <s v="Eixo Principal"/>
    <s v="-"/>
    <s v="484BES0095"/>
    <s v="ENTR BR-262(B)/ES-181"/>
    <s v="ENTR ES-379 (P/MUNIZ FREIRE)"/>
    <n v="167.9"/>
    <n v="194.9"/>
    <n v="27"/>
    <x v="1"/>
    <m/>
    <m/>
    <s v="Federal"/>
    <m/>
    <m/>
    <m/>
    <s v="Federal"/>
    <s v="PLA"/>
    <s v="Santa Isabel"/>
  </r>
  <r>
    <x v="0"/>
    <s v="484BES0110"/>
    <n v="0"/>
    <x v="472"/>
    <s v="0110"/>
    <n v="-41.496315530337398"/>
    <n v="-20.4423892501637"/>
    <n v="-41.619517350045598"/>
    <n v="-20.6425027900716"/>
    <s v="484"/>
    <s v="ES"/>
    <s v="Eixo Principal"/>
    <s v="-"/>
    <s v="484BES0110"/>
    <s v="ENTR ES-379 (P/MUNIZ FREIRE)"/>
    <s v="ENTR ES-185/387 (PRATINHA)"/>
    <n v="194.9"/>
    <n v="241.7"/>
    <n v="46.8"/>
    <x v="1"/>
    <m/>
    <m/>
    <s v="Federal"/>
    <m/>
    <m/>
    <m/>
    <s v="Federal"/>
    <s v="PLA"/>
    <s v="Santa Isabel"/>
  </r>
  <r>
    <x v="0"/>
    <s v="484BES0130"/>
    <n v="0"/>
    <x v="472"/>
    <s v="0130"/>
    <n v="-41.619517350045598"/>
    <n v="-20.6425027900716"/>
    <n v="-41.677697510431599"/>
    <n v="-20.775713279943801"/>
    <s v="484"/>
    <s v="ES"/>
    <s v="Eixo Principal"/>
    <s v="-"/>
    <s v="484BES0130"/>
    <s v="ENTR ES-185/387 (PRATINHA)"/>
    <s v="ENTR BR-482(A) (GUAÇUÍ)"/>
    <n v="241.7"/>
    <n v="250.3"/>
    <n v="8.6"/>
    <x v="1"/>
    <m/>
    <m/>
    <s v="Federal"/>
    <m/>
    <m/>
    <m/>
    <s v="Federal"/>
    <s v="PLA"/>
    <s v="Santa Isabel"/>
  </r>
  <r>
    <x v="0"/>
    <s v="484BES0140"/>
    <n v="0"/>
    <x v="472"/>
    <s v="0140"/>
    <n v="-41.677697510431599"/>
    <n v="-20.775713279943801"/>
    <n v="-41.6949861296061"/>
    <n v="-20.7959870799397"/>
    <s v="484"/>
    <s v="ES"/>
    <s v="Eixo Principal"/>
    <s v="Coinc"/>
    <s v="484BES0140"/>
    <s v="ENTR BR-482(A) (GUAÇUÍ)"/>
    <s v="ENTR BR-482(B)"/>
    <n v="250.3"/>
    <n v="253.4"/>
    <n v="3.1"/>
    <x v="2"/>
    <m/>
    <s v="482BES0120"/>
    <s v="Federal"/>
    <m/>
    <m/>
    <m/>
    <s v="Federal"/>
    <s v="PAV"/>
    <s v="Santa Isabel"/>
  </r>
  <r>
    <x v="0"/>
    <s v="484BES0150"/>
    <n v="0"/>
    <x v="472"/>
    <s v="0150"/>
    <n v="-41.6949861296061"/>
    <n v="-20.7959870799397"/>
    <n v="-41.645351869593"/>
    <n v="-21.002003019723499"/>
    <s v="484"/>
    <s v="ES"/>
    <s v="Eixo Principal"/>
    <s v="-"/>
    <s v="484BES0150"/>
    <s v="ENTR BR-482(B)"/>
    <s v="ENTR ES-181"/>
    <n v="253.4"/>
    <n v="283.2"/>
    <n v="29.8"/>
    <x v="1"/>
    <m/>
    <m/>
    <s v="Estadual"/>
    <m/>
    <s v="EST-484"/>
    <s v="PAV"/>
    <s v="Estadual"/>
    <s v="PLA"/>
    <s v="Santa Isabel"/>
  </r>
  <r>
    <x v="0"/>
    <s v="484BES0152"/>
    <n v="0"/>
    <x v="472"/>
    <s v="0152"/>
    <n v="-41.645351869593"/>
    <n v="-21.002003019723499"/>
    <n v="-41.6494377297673"/>
    <n v="-21.021849380044699"/>
    <s v="484"/>
    <s v="ES"/>
    <s v="Eixo Principal"/>
    <s v="-"/>
    <s v="484BES0152"/>
    <s v="ENTR ES-181"/>
    <s v="ENTR ES-494 (SÃO JOSÉ DOS CALÇADOS)"/>
    <n v="283.2"/>
    <n v="285.7"/>
    <n v="2.5"/>
    <x v="1"/>
    <m/>
    <m/>
    <s v="Estadual"/>
    <m/>
    <s v="EST-484"/>
    <s v="PAV"/>
    <s v="Estadual"/>
    <s v="PLA"/>
    <s v="Santa Isabel"/>
  </r>
  <r>
    <x v="0"/>
    <s v="484BES0153"/>
    <n v="0"/>
    <x v="472"/>
    <s v="0153"/>
    <n v="-41.6494377297673"/>
    <n v="-21.021849380044699"/>
    <n v="-41.678054509807701"/>
    <n v="-21.133017230260901"/>
    <s v="484"/>
    <s v="ES"/>
    <s v="Eixo Principal"/>
    <s v="-"/>
    <s v="484BES0153"/>
    <s v="ENTR ES-494 (SÃO JOSÉ DOS CALÇADOS)"/>
    <s v="ENTR ES-297(A) (P/BOM JESUS DO NORTE)"/>
    <n v="285.7"/>
    <n v="300.89999999999998"/>
    <n v="15.2"/>
    <x v="1"/>
    <m/>
    <m/>
    <s v="Estadual"/>
    <m/>
    <s v="EST-484"/>
    <s v="PAV"/>
    <s v="Estadual"/>
    <s v="PLA"/>
    <s v="Santa Isabel"/>
  </r>
  <r>
    <x v="0"/>
    <s v="484BES0154"/>
    <n v="0"/>
    <x v="472"/>
    <s v="0154"/>
    <n v="-41.678054509807701"/>
    <n v="-21.133017230260901"/>
    <n v="-41.6641050599005"/>
    <n v="-21.123134049696599"/>
    <s v="484"/>
    <s v="ES"/>
    <s v="Eixo Principal"/>
    <s v="-"/>
    <s v="484BES0154"/>
    <s v="ENTR ES-297(A) (P/BOM JESUS DO NORTE)"/>
    <s v="ENTR BR-393(A)"/>
    <n v="300.89999999999998"/>
    <n v="302.89999999999998"/>
    <n v="2"/>
    <x v="1"/>
    <m/>
    <m/>
    <s v="Estadual"/>
    <m/>
    <s v="EST-484"/>
    <s v="PAV"/>
    <s v="Estadual"/>
    <s v="PLA"/>
    <s v="Santa Isabel"/>
  </r>
  <r>
    <x v="0"/>
    <s v="484BES0155"/>
    <n v="0"/>
    <x v="472"/>
    <s v="0155"/>
    <n v="-41.6641050599005"/>
    <n v="-21.123134049696599"/>
    <n v="-41.655960949638001"/>
    <n v="-21.1311086998065"/>
    <s v="484"/>
    <s v="ES"/>
    <s v="Eixo Principal"/>
    <s v="Coinc"/>
    <s v="484BES0155"/>
    <s v="ENTR BR-393(A)"/>
    <s v="ENTR ES-297(B)"/>
    <n v="302.89999999999998"/>
    <n v="304.2"/>
    <n v="1.3"/>
    <x v="1"/>
    <m/>
    <s v="393BES0060"/>
    <s v="Estadual"/>
    <m/>
    <s v="ES-297"/>
    <s v="PAV"/>
    <s v="Estadual"/>
    <s v="PLA"/>
    <s v="Santa Isabel"/>
  </r>
  <r>
    <x v="0"/>
    <s v="484BES0159"/>
    <n v="0"/>
    <x v="472"/>
    <s v="0159"/>
    <n v="-41.655960949638001"/>
    <n v="-21.1311086998065"/>
    <n v="-41.6615893296837"/>
    <n v="-21.135253679613498"/>
    <s v="484"/>
    <s v="ES"/>
    <s v="Eixo Principal"/>
    <s v="Coinc"/>
    <s v="484BES0159"/>
    <s v="ENTR ES-297(B)"/>
    <s v="ENTR BR-393(B) (DIV ES/RJ) (BOM JESUS DO ITABAPOANA)"/>
    <n v="304.2"/>
    <n v="305.10000000000002"/>
    <n v="0.9"/>
    <x v="1"/>
    <m/>
    <s v="393BES0070"/>
    <s v="Estadual"/>
    <m/>
    <s v="ES-393"/>
    <s v="PAV"/>
    <s v="Estadual"/>
    <s v="PLA"/>
    <s v="Santa Isabel"/>
  </r>
  <r>
    <x v="0"/>
    <s v="484BRJ0170"/>
    <n v="0"/>
    <x v="473"/>
    <s v="0170"/>
    <n v="-41.6615893296837"/>
    <n v="-21.135253679613498"/>
    <n v="-41.661897410437099"/>
    <n v="-21.1353855004404"/>
    <s v="484"/>
    <s v="RJ"/>
    <s v="Eixo Principal"/>
    <s v="Coinc"/>
    <s v="484BRJ0170"/>
    <s v="ENTR BR-393(A) (DIV ES/RJ) (BOM JESUS DO ITABAPOANA)"/>
    <s v="ENTR RJ-230(A)"/>
    <n v="0"/>
    <n v="1"/>
    <n v="1"/>
    <x v="1"/>
    <m/>
    <s v="393BRJ0090"/>
    <s v="Estadual"/>
    <m/>
    <s v="RJT-393"/>
    <s v="PAV"/>
    <s v="Estadual"/>
    <s v="PLA"/>
    <s v="Campos"/>
  </r>
  <r>
    <x v="0"/>
    <s v="484BRJ0174"/>
    <n v="0"/>
    <x v="473"/>
    <s v="0174"/>
    <n v="-41.661897410437099"/>
    <n v="-21.1353855004404"/>
    <n v="-41.769656769843998"/>
    <n v="-21.258934249815699"/>
    <s v="484"/>
    <s v="RJ"/>
    <s v="Eixo Principal"/>
    <s v="Coinc"/>
    <s v="484BRJ0174"/>
    <s v="ENTR RJ-230(A)"/>
    <s v="ENTR BR-356(A)/393(B)"/>
    <n v="1"/>
    <n v="21.4"/>
    <n v="20.399999999999999"/>
    <x v="1"/>
    <m/>
    <s v="393BRJ0092"/>
    <s v="Estadual"/>
    <m/>
    <s v="RJ-230"/>
    <s v="PAV"/>
    <s v="Estadual"/>
    <s v="PLA"/>
    <s v="Campos"/>
  </r>
  <r>
    <x v="0"/>
    <s v="484BRJ0190"/>
    <n v="0"/>
    <x v="473"/>
    <s v="0190"/>
    <n v="-41.769656769843998"/>
    <n v="-21.258934249815699"/>
    <n v="-41.884558640268999"/>
    <n v="-21.213570710120099"/>
    <s v="484"/>
    <s v="RJ"/>
    <s v="Eixo Principal"/>
    <s v="Coinc"/>
    <s v="484BRJ0190"/>
    <s v="ENTR BR-356(A)/393(B)"/>
    <s v="ENTR BR-356(B) (ITAPERUNA)"/>
    <n v="21.4"/>
    <n v="36.799999999999997"/>
    <n v="15.4"/>
    <x v="2"/>
    <m/>
    <s v="356BRJ0310"/>
    <s v="Federal"/>
    <m/>
    <m/>
    <m/>
    <s v="Federal"/>
    <s v="PAV"/>
    <s v="Campos"/>
  </r>
  <r>
    <x v="0"/>
    <s v="485BMG0060"/>
    <n v="0"/>
    <x v="474"/>
    <s v="0060"/>
    <n v="-44.732174430205703"/>
    <n v="-22.363219689836701"/>
    <n v="-44.761340999987098"/>
    <n v="-22.376369860080899"/>
    <s v="485"/>
    <s v="MG"/>
    <s v="Eixo Principal"/>
    <s v="-"/>
    <s v="485BMG0060"/>
    <s v="DIV RJ/MG"/>
    <s v="ENTR BR-354 (GARGANTA DO REGISTRO)"/>
    <n v="0"/>
    <n v="13.5"/>
    <n v="13.5"/>
    <x v="1"/>
    <m/>
    <m/>
    <s v="Estadual"/>
    <m/>
    <s v="MG-485"/>
    <s v="IMP"/>
    <s v="Estadual"/>
    <s v="PLA"/>
    <s v="Caxambu"/>
  </r>
  <r>
    <x v="0"/>
    <s v="485BRJ0010"/>
    <n v="0"/>
    <x v="475"/>
    <s v="0010"/>
    <n v="-44.563270369931502"/>
    <n v="-22.4922770700306"/>
    <n v="-44.608840939857402"/>
    <n v="-22.448190689948301"/>
    <s v="485"/>
    <s v="RJ"/>
    <s v="Eixo Principal"/>
    <s v="-"/>
    <s v="485BRJ0010"/>
    <s v="ENTR BR-116 (ITATIAIA)"/>
    <s v="BARRO BRANCO(S.PARQ.NAC)"/>
    <n v="0"/>
    <n v="9"/>
    <n v="9"/>
    <x v="2"/>
    <m/>
    <m/>
    <s v="Federal"/>
    <m/>
    <m/>
    <m/>
    <s v="Federal"/>
    <s v="PAV"/>
    <s v="Seropédica"/>
  </r>
  <r>
    <x v="0"/>
    <s v="485BRJ0030"/>
    <n v="0"/>
    <x v="475"/>
    <s v="0030"/>
    <n v="-44.608840939857402"/>
    <n v="-22.448190689948301"/>
    <n v="-44.610788750000701"/>
    <n v="-22.439198459641101"/>
    <s v="485"/>
    <s v="RJ"/>
    <s v="Eixo Principal"/>
    <s v="-"/>
    <s v="485BRJ0030"/>
    <s v="BARRO BRANCO(S.PARQ.NAC)"/>
    <s v="JARDIM MAROMBAS"/>
    <n v="9"/>
    <n v="13.7"/>
    <n v="4.7"/>
    <x v="5"/>
    <m/>
    <m/>
    <s v="Federal"/>
    <m/>
    <m/>
    <m/>
    <s v="Federal"/>
    <s v="N_PAV"/>
    <s v="Seropédica"/>
  </r>
  <r>
    <x v="0"/>
    <s v="485BRJ0040"/>
    <n v="0"/>
    <x v="475"/>
    <s v="0040"/>
    <n v="-44.610788750000701"/>
    <n v="-22.439198459641101"/>
    <n v="-44.638205791264198"/>
    <n v="-22.422937515553802"/>
    <s v="485"/>
    <s v="RJ"/>
    <s v="Eixo Principal"/>
    <s v="-"/>
    <s v="485BRJ0040"/>
    <s v="JARDIM MAROMBAS"/>
    <s v="MACIEIRAS"/>
    <n v="13.7"/>
    <n v="23"/>
    <n v="9.3000000000000007"/>
    <x v="1"/>
    <m/>
    <m/>
    <s v="Federal"/>
    <m/>
    <m/>
    <m/>
    <s v="Federal"/>
    <s v="PLA"/>
    <s v="Seropédica"/>
  </r>
  <r>
    <x v="0"/>
    <s v="485BRJ0045"/>
    <n v="0"/>
    <x v="475"/>
    <s v="0045"/>
    <n v="-44.638205791264198"/>
    <n v="-22.422937515553802"/>
    <n v="-44.6797905299089"/>
    <n v="-22.3856351101721"/>
    <s v="485"/>
    <s v="RJ"/>
    <s v="Eixo Principal"/>
    <s v="-"/>
    <s v="485BRJ0045"/>
    <s v="MACIEIRAS"/>
    <s v="INICIO DA IMPLANTACAO"/>
    <n v="23"/>
    <n v="34"/>
    <n v="11"/>
    <x v="1"/>
    <m/>
    <m/>
    <s v="Federal"/>
    <m/>
    <m/>
    <m/>
    <s v="Federal"/>
    <s v="PLA"/>
    <s v="Seropédica"/>
  </r>
  <r>
    <x v="0"/>
    <s v="485BRJ0050"/>
    <n v="0"/>
    <x v="475"/>
    <s v="0050"/>
    <n v="-44.6797905299089"/>
    <n v="-22.3856351101721"/>
    <n v="-44.732174430205703"/>
    <n v="-22.363219689836701"/>
    <s v="485"/>
    <s v="RJ"/>
    <s v="Eixo Principal"/>
    <s v="-"/>
    <s v="485BRJ0050"/>
    <s v="INICIO DA IMPLANTACAO"/>
    <s v="DIV RJ/MG"/>
    <n v="34"/>
    <n v="37.9"/>
    <n v="3.9"/>
    <x v="5"/>
    <m/>
    <m/>
    <s v="Federal"/>
    <m/>
    <m/>
    <m/>
    <s v="Federal"/>
    <s v="N_PAV"/>
    <s v="Seropédica"/>
  </r>
  <r>
    <x v="0"/>
    <s v="486BSC0010"/>
    <n v="0"/>
    <x v="476"/>
    <s v="0010"/>
    <n v="-48.659042489619097"/>
    <n v="-26.902370409766501"/>
    <n v="-48.709621230235499"/>
    <n v="-26.918468929997001"/>
    <s v="486"/>
    <s v="SC"/>
    <s v="Eixo Principal"/>
    <s v="-"/>
    <s v="486BSC0010"/>
    <s v="ENTR R. DR PEDRO FERREIRA (PORTO DE ITAJAÍ)"/>
    <s v="ENTR BR-101(A)"/>
    <n v="0"/>
    <n v="5.3"/>
    <n v="5.3"/>
    <x v="1"/>
    <m/>
    <m/>
    <s v="Estadual"/>
    <m/>
    <s v="SCT-486"/>
    <s v="DUP"/>
    <s v="Estadual"/>
    <s v="PLA"/>
    <s v="São José"/>
  </r>
  <r>
    <x v="0"/>
    <s v="486BSC0030"/>
    <n v="0"/>
    <x v="476"/>
    <s v="0030"/>
    <n v="-48.709621230235499"/>
    <n v="-26.918468929997001"/>
    <n v="-48.6980955701544"/>
    <n v="-26.937370569595998"/>
    <s v="486"/>
    <s v="SC"/>
    <s v="Eixo Principal"/>
    <s v="Coinc"/>
    <s v="486BSC0030"/>
    <s v="ENTR BR-101(A)"/>
    <s v="ENTR BR-101(B)"/>
    <n v="5.3"/>
    <n v="7.7"/>
    <n v="2.4"/>
    <x v="0"/>
    <m/>
    <s v="101BSC3970"/>
    <s v="Concessão Federal"/>
    <m/>
    <m/>
    <m/>
    <s v="Federal"/>
    <s v="PAV"/>
    <s v="São José"/>
  </r>
  <r>
    <x v="0"/>
    <s v="486BSC0050"/>
    <n v="0"/>
    <x v="476"/>
    <s v="0050"/>
    <n v="-48.6980955701544"/>
    <n v="-26.937370569595998"/>
    <n v="-48.915564799775602"/>
    <n v="-27.1036277497208"/>
    <s v="486"/>
    <s v="SC"/>
    <s v="Eixo Principal"/>
    <s v="-"/>
    <s v="486BSC0050"/>
    <s v="ENTR BR-101(B)"/>
    <s v="ENTR SC-108 (BRUSQUE)"/>
    <n v="7.7"/>
    <n v="37.700000000000003"/>
    <n v="30"/>
    <x v="1"/>
    <m/>
    <m/>
    <s v="Estadual"/>
    <m/>
    <s v="SCT-486"/>
    <s v="PAV"/>
    <s v="Estadual"/>
    <s v="PLA"/>
    <s v="São José"/>
  </r>
  <r>
    <x v="0"/>
    <s v="486BSC0070"/>
    <n v="0"/>
    <x v="476"/>
    <s v="0070"/>
    <n v="-48.915564799775602"/>
    <n v="-27.1036277497208"/>
    <n v="-49.074537470427799"/>
    <n v="-27.199981620055599"/>
    <s v="486"/>
    <s v="SC"/>
    <s v="Eixo Principal"/>
    <s v="-"/>
    <s v="486BSC0070"/>
    <s v="ENTR SC-108 (BRUSQUE)"/>
    <s v="BOTUVERÁ (PREF. MUNICIPAL)"/>
    <n v="37.700000000000003"/>
    <n v="58.9"/>
    <n v="21.2"/>
    <x v="1"/>
    <m/>
    <m/>
    <s v="Estadual"/>
    <m/>
    <s v="SCT-486"/>
    <s v="PAV"/>
    <s v="Estadual"/>
    <s v="PLA"/>
    <s v="São José"/>
  </r>
  <r>
    <x v="0"/>
    <s v="486BSC0075"/>
    <n v="0"/>
    <x v="476"/>
    <s v="0075"/>
    <n v="-49.074537470427799"/>
    <n v="-27.199981620055599"/>
    <n v="-49.149963849651797"/>
    <n v="-27.202919299585901"/>
    <s v="486"/>
    <s v="SC"/>
    <s v="Eixo Principal"/>
    <s v="-"/>
    <s v="486BSC0075"/>
    <s v="BOTUVERÁ (PREF. MUNICIPAL)"/>
    <s v="LOCALIDADE RIBEIRÃO DO OURO"/>
    <n v="58.9"/>
    <n v="71.5"/>
    <n v="12.6"/>
    <x v="1"/>
    <m/>
    <m/>
    <s v="Estadual"/>
    <m/>
    <s v="SCT-486"/>
    <s v="PAV"/>
    <s v="Estadual"/>
    <s v="PLA"/>
    <s v="São José"/>
  </r>
  <r>
    <x v="0"/>
    <s v="486BSC0080"/>
    <n v="0"/>
    <x v="476"/>
    <s v="0080"/>
    <n v="-49.149963849651797"/>
    <n v="-27.202919299585901"/>
    <n v="-49.327695530124501"/>
    <n v="-27.334073459922099"/>
    <s v="486"/>
    <s v="SC"/>
    <s v="Eixo Principal"/>
    <s v="-"/>
    <s v="486BSC0080"/>
    <s v="LOCALIDADE RIBEIRÃO DO OURO"/>
    <s v="ENTR SC-110(A) (P/PRESIDENTE NEREU)"/>
    <n v="71.5"/>
    <n v="105"/>
    <n v="33.5"/>
    <x v="1"/>
    <m/>
    <m/>
    <s v="Estadual"/>
    <m/>
    <s v="SCT-486"/>
    <s v="LEN"/>
    <s v="Estadual"/>
    <s v="PLA"/>
    <s v="São José"/>
  </r>
  <r>
    <x v="0"/>
    <s v="486BSC0085"/>
    <n v="0"/>
    <x v="476"/>
    <s v="0085"/>
    <n v="-49.327695530124501"/>
    <n v="-27.334073459922099"/>
    <n v="-49.361209529695898"/>
    <n v="-27.385268280206901"/>
    <s v="486"/>
    <s v="SC"/>
    <s v="Eixo Principal"/>
    <s v="-"/>
    <s v="486BSC0085"/>
    <s v="ENTR SC-110(A) (P/PRESIDENTE NEREU)"/>
    <s v="ENTR R. GILBERTO COMANDOLLI (VIDAL RAMOS)"/>
    <n v="105"/>
    <n v="113.8"/>
    <n v="8.8000000000000007"/>
    <x v="1"/>
    <m/>
    <m/>
    <s v="Estadual"/>
    <m/>
    <s v="SC-110/486"/>
    <s v="PAV"/>
    <s v="Estadual"/>
    <s v="PLA"/>
    <s v="São José"/>
  </r>
  <r>
    <x v="0"/>
    <s v="486BSC0090"/>
    <n v="0"/>
    <x v="476"/>
    <s v="0090"/>
    <n v="-49.361209529695898"/>
    <n v="-27.385268280206901"/>
    <n v="-49.444898520150502"/>
    <n v="-27.444262780302999"/>
    <s v="486"/>
    <s v="SC"/>
    <s v="Eixo Principal"/>
    <s v="-"/>
    <s v="486BSC0090"/>
    <s v="ENTR R. GILBERTO COMANDOLLI (VIDAL RAMOS)"/>
    <s v="ENTR SC-110(B)/281 (P/IMBUIA)"/>
    <n v="113.8"/>
    <n v="125.8"/>
    <n v="12"/>
    <x v="1"/>
    <m/>
    <m/>
    <s v="Estadual"/>
    <m/>
    <s v="SC-110/486"/>
    <s v="PAV"/>
    <s v="Estadual"/>
    <s v="PLA"/>
    <s v="São José"/>
  </r>
  <r>
    <x v="0"/>
    <s v="486BSC0095"/>
    <n v="0"/>
    <x v="476"/>
    <s v="0095"/>
    <n v="-49.444898520150502"/>
    <n v="-27.444262780302999"/>
    <n v="-49.4858991095562"/>
    <n v="-27.504647529759598"/>
    <s v="486"/>
    <s v="SC"/>
    <s v="Eixo Principal"/>
    <s v="-"/>
    <s v="486BSC0095"/>
    <s v="ENTR SC-110(B)/281 (P/IMBUIA)"/>
    <s v="ENTR SC-350"/>
    <n v="125.8"/>
    <n v="133.6"/>
    <n v="7.8"/>
    <x v="1"/>
    <m/>
    <m/>
    <s v="Federal"/>
    <m/>
    <m/>
    <m/>
    <s v="Federal"/>
    <s v="PLA"/>
    <s v="Lages"/>
  </r>
  <r>
    <x v="0"/>
    <s v="486BSC0110"/>
    <n v="0"/>
    <x v="476"/>
    <s v="0110"/>
    <n v="-49.4858991095562"/>
    <n v="-27.504647529759598"/>
    <n v="-49.4887957898937"/>
    <n v="-27.804022119924799"/>
    <s v="486"/>
    <s v="SC"/>
    <s v="Eixo Principal"/>
    <s v="-"/>
    <s v="486BSC0110"/>
    <s v="ENTR SC-350"/>
    <s v="ENTR BR-282 (BOM RETIRO)"/>
    <n v="133.6"/>
    <n v="167.1"/>
    <n v="33.5"/>
    <x v="1"/>
    <m/>
    <m/>
    <s v="Federal"/>
    <m/>
    <m/>
    <m/>
    <s v="Federal"/>
    <s v="PLA"/>
    <s v="Lages"/>
  </r>
  <r>
    <x v="0"/>
    <s v="487BMS0010"/>
    <n v="0"/>
    <x v="477"/>
    <s v="0010"/>
    <n v="-54.564587249701702"/>
    <n v="-22.9706355198133"/>
    <n v="-54.606326699617398"/>
    <n v="-22.867445839653701"/>
    <s v="487"/>
    <s v="MS"/>
    <s v="Eixo Principal"/>
    <s v="-"/>
    <s v="487BMS0010"/>
    <s v="ENTR MS-289 (PORTO FELICIDADE)"/>
    <s v="ENTR BR-163(A)/MS-283 (JUTÍ)"/>
    <n v="0"/>
    <n v="14"/>
    <n v="14"/>
    <x v="1"/>
    <m/>
    <m/>
    <s v="Estadual"/>
    <m/>
    <s v="MS-289"/>
    <s v="PAV"/>
    <s v="Estadual"/>
    <s v="PLA"/>
    <s v="Dourados"/>
  </r>
  <r>
    <x v="0"/>
    <s v="487BMS0012"/>
    <n v="0"/>
    <x v="477"/>
    <s v="0012"/>
    <n v="-54.606326699617398"/>
    <n v="-22.867445839653701"/>
    <n v="-54.330482469690097"/>
    <n v="-23.010335790264399"/>
    <s v="487"/>
    <s v="MS"/>
    <s v="Eixo Principal"/>
    <s v="Coinc"/>
    <s v="487BMS0012"/>
    <s v="ENTR BR-163(A)/MS-283 (JUTÍ)"/>
    <s v="ACESSO P/ MS-145"/>
    <n v="14"/>
    <n v="47.4"/>
    <n v="33.4"/>
    <x v="2"/>
    <m/>
    <s v="163BMS0230"/>
    <s v="Concessão Federal"/>
    <m/>
    <m/>
    <m/>
    <s v="Federal"/>
    <s v="PAV"/>
    <s v="Dourados"/>
  </r>
  <r>
    <x v="0"/>
    <s v="487BMS0030"/>
    <n v="0"/>
    <x v="477"/>
    <s v="0030"/>
    <n v="-54.330482469690097"/>
    <n v="-23.010335790264399"/>
    <n v="-54.2339578001123"/>
    <n v="-23.056721639691801"/>
    <s v="487"/>
    <s v="MS"/>
    <s v="Eixo Principal"/>
    <s v="Coinc"/>
    <s v="487BMS0030"/>
    <s v="ACESSO P/ MS-145"/>
    <s v="ACESSO NAVIRAÍ (CONTORNO)"/>
    <n v="47.4"/>
    <n v="58.8"/>
    <n v="11.4"/>
    <x v="2"/>
    <m/>
    <s v="163BMS0222"/>
    <s v="Concessão Federal"/>
    <m/>
    <m/>
    <m/>
    <s v="Federal"/>
    <s v="PAV"/>
    <s v="Dourados"/>
  </r>
  <r>
    <x v="0"/>
    <s v="487BMS0040"/>
    <n v="0"/>
    <x v="477"/>
    <s v="0040"/>
    <n v="-54.2339578001123"/>
    <n v="-23.056721639691801"/>
    <n v="-54.228265040299299"/>
    <n v="-23.0780314200139"/>
    <s v="487"/>
    <s v="MS"/>
    <s v="Eixo Principal"/>
    <s v="Coinc"/>
    <s v="487BMS0040"/>
    <s v="ACESSO NAVIRAÍ (CONTORNO)"/>
    <s v="ENTR MS-290 (P/ NAVIRAÍ)"/>
    <n v="58.8"/>
    <n v="61.3"/>
    <n v="2.5"/>
    <x v="2"/>
    <m/>
    <s v="163BMS0214"/>
    <s v="Concessão Federal"/>
    <m/>
    <m/>
    <m/>
    <s v="Federal"/>
    <s v="PAV"/>
    <s v="Dourados"/>
  </r>
  <r>
    <x v="0"/>
    <s v="487BMS0042"/>
    <n v="0"/>
    <x v="477"/>
    <s v="0042"/>
    <n v="-54.228265040299299"/>
    <n v="-23.0780314200139"/>
    <n v="-54.200818260254401"/>
    <n v="-23.129635810444199"/>
    <s v="487"/>
    <s v="MS"/>
    <s v="Eixo Principal"/>
    <s v="Coinc"/>
    <s v="487BMS0042"/>
    <s v="ENTR MS-290 (P/ NAVIRAÍ)"/>
    <s v="ENTR MS-141(A) (P/ NAVIRAÍ)"/>
    <n v="61.3"/>
    <n v="67.900000000000006"/>
    <n v="6.6"/>
    <x v="2"/>
    <m/>
    <s v="163BMS0213"/>
    <s v="Concessão Federal"/>
    <m/>
    <m/>
    <m/>
    <s v="Federal"/>
    <s v="PAV"/>
    <s v="Dourados"/>
  </r>
  <r>
    <x v="0"/>
    <s v="487BMS0045"/>
    <n v="0"/>
    <x v="477"/>
    <s v="0045"/>
    <n v="-54.200818260254401"/>
    <n v="-23.129635810444199"/>
    <n v="-54.225908269750697"/>
    <n v="-23.247098670367201"/>
    <s v="487"/>
    <s v="MS"/>
    <s v="Eixo Principal"/>
    <s v="Coinc"/>
    <s v="487BMS0045"/>
    <s v="ENTR MS-141(A) (P/ NAVIRAÍ)"/>
    <s v="ENTR BR-163(B)"/>
    <n v="67.900000000000006"/>
    <n v="81.8"/>
    <n v="13.9"/>
    <x v="2"/>
    <m/>
    <s v="163BMS0212"/>
    <s v="Concessão Federal"/>
    <m/>
    <m/>
    <m/>
    <s v="Federal"/>
    <s v="PAV"/>
    <s v="Dourados"/>
  </r>
  <r>
    <x v="0"/>
    <s v="487BMS0050"/>
    <n v="0"/>
    <x v="477"/>
    <s v="0050"/>
    <n v="-54.225908269750697"/>
    <n v="-23.247098670367201"/>
    <n v="-53.805506270397998"/>
    <n v="-23.3420269201062"/>
    <s v="487"/>
    <s v="MS"/>
    <s v="Eixo Principal"/>
    <s v="-"/>
    <s v="487BMS0050"/>
    <s v="ENTR BR-163(B)"/>
    <s v="DIV MS/PR (INÍCIO TRAVESSIA PONTE S/ RIO PARANÁ)"/>
    <n v="81.8"/>
    <n v="129.19999999999999"/>
    <n v="47.4"/>
    <x v="2"/>
    <m/>
    <m/>
    <m/>
    <s v="MP082/2003"/>
    <m/>
    <m/>
    <m/>
    <s v="PAV"/>
    <s v="Dourados"/>
  </r>
  <r>
    <x v="0"/>
    <s v="487BPR0070"/>
    <n v="0"/>
    <x v="478"/>
    <s v="0070"/>
    <n v="-53.805506270397998"/>
    <n v="-23.3420269201062"/>
    <n v="-53.731991720341497"/>
    <n v="-23.3666900996683"/>
    <s v="487"/>
    <s v="PR"/>
    <s v="Eixo Principal"/>
    <s v="-"/>
    <s v="487BPR0070"/>
    <s v="DIV MS/PR (INÍCIO TRAVESSIA PONTE S/ RIO PARANÁ)"/>
    <s v="ACESSO P/ PORTO CAMARGO "/>
    <n v="0"/>
    <n v="9.6"/>
    <n v="9.6"/>
    <x v="2"/>
    <m/>
    <m/>
    <s v="Federal"/>
    <m/>
    <m/>
    <m/>
    <s v="Federal"/>
    <s v="PAV"/>
    <s v="Campo Mourão"/>
  </r>
  <r>
    <x v="0"/>
    <s v="487BPR0072"/>
    <n v="0"/>
    <x v="478"/>
    <s v="0072"/>
    <n v="-53.731991720341497"/>
    <n v="-23.3666900996683"/>
    <n v="-53.643583079695297"/>
    <n v="-23.3761196001394"/>
    <s v="487"/>
    <s v="PR"/>
    <s v="Eixo Principal"/>
    <s v="-"/>
    <s v="487BPR0072"/>
    <s v="ACESSO P/ PORTO CAMARGO"/>
    <s v="ENTR PR-082(A) (ICARAÍMA)"/>
    <n v="9.6"/>
    <n v="21.6"/>
    <n v="12"/>
    <x v="1"/>
    <m/>
    <m/>
    <s v="Federal"/>
    <m/>
    <m/>
    <m/>
    <s v="Federal"/>
    <s v="PLA"/>
    <s v="Campo Mourão"/>
  </r>
  <r>
    <x v="0"/>
    <s v="487BPR0080"/>
    <n v="0"/>
    <x v="478"/>
    <s v="0080"/>
    <n v="-53.643583079695297"/>
    <n v="-23.3761196001394"/>
    <n v="-53.6267612797092"/>
    <n v="-23.3942045204222"/>
    <s v="487"/>
    <s v="PR"/>
    <s v="Eixo Principal"/>
    <s v="-"/>
    <s v="487BPR0080"/>
    <s v="ENTR PR-082(A) (ICARAÍMA)"/>
    <s v="ENTR PR-485 (ICARAÍMA)"/>
    <n v="21.6"/>
    <n v="24"/>
    <n v="2.4"/>
    <x v="1"/>
    <m/>
    <m/>
    <s v="Federal"/>
    <m/>
    <m/>
    <m/>
    <s v="Federal"/>
    <s v="PLA"/>
    <s v="Campo Mourão"/>
  </r>
  <r>
    <x v="0"/>
    <s v="487BPR0085"/>
    <n v="0"/>
    <x v="478"/>
    <s v="0085"/>
    <n v="-53.6267612797092"/>
    <n v="-23.3942045204222"/>
    <n v="-53.573363810191601"/>
    <n v="-23.408304229956201"/>
    <s v="487"/>
    <s v="PR"/>
    <s v="Eixo Principal"/>
    <s v="-"/>
    <s v="487BPR0085"/>
    <s v="ENTR PR-485 (ICARAÍMA)"/>
    <s v="ENTR PR-082(B) (ICARAÍMA)"/>
    <n v="24"/>
    <n v="30.3"/>
    <n v="6.3"/>
    <x v="1"/>
    <m/>
    <m/>
    <s v="Federal"/>
    <m/>
    <m/>
    <m/>
    <s v="Federal"/>
    <s v="PLA"/>
    <s v="Campo Mourão"/>
  </r>
  <r>
    <x v="0"/>
    <s v="487BPR0090"/>
    <n v="0"/>
    <x v="478"/>
    <s v="0090"/>
    <n v="-53.573363810191601"/>
    <n v="-23.408304229956201"/>
    <n v="-53.462538209570603"/>
    <n v="-23.526611740339401"/>
    <s v="487"/>
    <s v="PR"/>
    <s v="Eixo Principal"/>
    <s v="-"/>
    <s v="487BPR0090"/>
    <s v="ENTR PR-082(B) (ICARAÍMA)"/>
    <s v="SANTA ELIZA"/>
    <n v="30.3"/>
    <n v="49.3"/>
    <n v="19"/>
    <x v="1"/>
    <m/>
    <m/>
    <s v="Federal"/>
    <m/>
    <m/>
    <m/>
    <s v="Federal"/>
    <s v="PLA"/>
    <s v="Campo Mourão"/>
  </r>
  <r>
    <x v="0"/>
    <s v="487BPR0095"/>
    <n v="0"/>
    <x v="478"/>
    <s v="0095"/>
    <n v="-53.462538209570603"/>
    <n v="-23.526611740339401"/>
    <n v="-53.391305819607801"/>
    <n v="-23.587082750068799"/>
    <s v="487"/>
    <s v="PR"/>
    <s v="Eixo Principal"/>
    <s v="-"/>
    <s v="487BPR0095"/>
    <s v="SANTA ELIZA"/>
    <s v="ENTR PR-182 (SERRA DOS DOURADOS)"/>
    <n v="49.3"/>
    <n v="64.7"/>
    <n v="15.4"/>
    <x v="1"/>
    <m/>
    <m/>
    <s v="Federal"/>
    <m/>
    <m/>
    <m/>
    <s v="Federal"/>
    <s v="PLA"/>
    <s v="Campo Mourão"/>
  </r>
  <r>
    <x v="0"/>
    <s v="487BPR0100"/>
    <n v="0"/>
    <x v="478"/>
    <s v="0100"/>
    <n v="-53.391305819607801"/>
    <n v="-23.587082750068799"/>
    <n v="-53.151237430063297"/>
    <n v="-23.7671324502023"/>
    <s v="487"/>
    <s v="PR"/>
    <s v="Eixo Principal"/>
    <s v="-"/>
    <s v="487BPR0100"/>
    <s v="ENTR PR-182 (SERRA DOS DOURADOS)"/>
    <s v="ENTR PR-682/323(A) (CAFEEIROS)"/>
    <n v="64.7"/>
    <n v="93.9"/>
    <n v="29.2"/>
    <x v="1"/>
    <m/>
    <m/>
    <s v="Federal"/>
    <m/>
    <m/>
    <m/>
    <s v="Federal"/>
    <s v="PLA"/>
    <s v="Campo Mourão"/>
  </r>
  <r>
    <x v="0"/>
    <s v="487BPR0130"/>
    <n v="0"/>
    <x v="478"/>
    <s v="0130"/>
    <n v="-53.151237430063297"/>
    <n v="-23.7671324502023"/>
    <n v="-53.047569069556801"/>
    <n v="-23.794827690445501"/>
    <s v="487"/>
    <s v="PR"/>
    <s v="Eixo Principal"/>
    <s v="-"/>
    <s v="487BPR0130"/>
    <s v="ENTR PR-682/323(A) (CAFEEIROS)"/>
    <s v="ENTR PR-180/323(B) (CRUZEIRO DO OESTE)"/>
    <n v="93.9"/>
    <n v="105.9"/>
    <n v="12"/>
    <x v="1"/>
    <m/>
    <m/>
    <s v="Estadual"/>
    <m/>
    <s v="PRT-487"/>
    <s v="PAV"/>
    <s v="Estadual"/>
    <s v="PLA"/>
    <s v="Campo Mourão"/>
  </r>
  <r>
    <x v="0"/>
    <s v="487BPR0150"/>
    <n v="0"/>
    <x v="478"/>
    <s v="0150"/>
    <n v="-53.047569069556801"/>
    <n v="-23.794827690445501"/>
    <n v="-52.874826819701902"/>
    <n v="-23.867128820338699"/>
    <s v="487"/>
    <s v="PR"/>
    <s v="Eixo Principal"/>
    <s v="-"/>
    <s v="487BPR0150"/>
    <s v="ENTR PR-180/323(B) (CRUZEIRO DO OESTE)"/>
    <s v="ENTR PR-479 (TUNEIRAS DO OESTE)"/>
    <n v="105.9"/>
    <n v="124.6"/>
    <n v="18.7"/>
    <x v="2"/>
    <m/>
    <m/>
    <s v="Federal"/>
    <m/>
    <m/>
    <m/>
    <s v="Federal"/>
    <s v="PAV"/>
    <s v="Campo Mourão"/>
  </r>
  <r>
    <x v="0"/>
    <s v="487BPR0151"/>
    <n v="0"/>
    <x v="478"/>
    <s v="0151"/>
    <n v="-52.874826819701902"/>
    <n v="-23.867128820338699"/>
    <n v="-52.730204020299198"/>
    <n v="-23.918981080112701"/>
    <s v="487"/>
    <s v="PR"/>
    <s v="Eixo Principal"/>
    <s v="-"/>
    <s v="487BPR0151"/>
    <s v="ENTR PR-479 (TUNEIRAS DO OESTE)"/>
    <s v="GUARITAVA"/>
    <n v="124.6"/>
    <n v="141.19999999999999"/>
    <n v="16.600000000000001"/>
    <x v="2"/>
    <m/>
    <m/>
    <s v="Federal"/>
    <m/>
    <m/>
    <m/>
    <s v="Federal"/>
    <s v="PAV"/>
    <s v="Campo Mourão"/>
  </r>
  <r>
    <x v="0"/>
    <s v="487BPR0152"/>
    <n v="0"/>
    <x v="478"/>
    <s v="0152"/>
    <n v="-52.730204020299198"/>
    <n v="-23.918981080112701"/>
    <n v="-52.614471810325703"/>
    <n v="-23.954986430179499"/>
    <s v="487"/>
    <s v="PR"/>
    <s v="Eixo Principal"/>
    <s v="-"/>
    <s v="487BPR0152"/>
    <s v="GUARITAVA"/>
    <s v="NOVA BRASÍLIA"/>
    <n v="141.19999999999999"/>
    <n v="153.69999999999999"/>
    <n v="12.5"/>
    <x v="2"/>
    <m/>
    <m/>
    <s v="Federal"/>
    <m/>
    <m/>
    <m/>
    <s v="Federal"/>
    <s v="PAV"/>
    <s v="Campo Mourão"/>
  </r>
  <r>
    <x v="0"/>
    <s v="487BPR0154"/>
    <n v="0"/>
    <x v="478"/>
    <s v="0154"/>
    <n v="-52.614471810325703"/>
    <n v="-23.954986430179499"/>
    <n v="-52.422115639824803"/>
    <n v="-24.032732539575001"/>
    <s v="487"/>
    <s v="PR"/>
    <s v="Eixo Principal"/>
    <s v="-"/>
    <s v="487BPR0154"/>
    <s v="NOVA BRASÍLIA"/>
    <s v="ENTR BR-272(A) (ANEL VIÁRIO DE CAMPO MOURÃO)"/>
    <n v="153.69999999999999"/>
    <n v="175.2"/>
    <n v="21.5"/>
    <x v="2"/>
    <m/>
    <m/>
    <s v="Federal"/>
    <m/>
    <m/>
    <m/>
    <s v="Federal"/>
    <s v="PAV"/>
    <s v="Campo Mourão"/>
  </r>
  <r>
    <x v="0"/>
    <s v="487BPR0155"/>
    <n v="0"/>
    <x v="478"/>
    <s v="0155"/>
    <n v="-52.422115639824803"/>
    <n v="-24.032732539575001"/>
    <n v="-52.396120870082001"/>
    <n v="-24.0452232396607"/>
    <s v="487"/>
    <s v="PR"/>
    <s v="Eixo Principal"/>
    <s v="Coinc"/>
    <s v="487BPR0155"/>
    <s v="ENTR BR-272(A) (ANEL VIÁRIO DE CAMPO MOURÃO)"/>
    <s v="AVENIDA PERIMETRAL TANCREDO NEVES"/>
    <n v="175.2"/>
    <n v="178.2"/>
    <n v="3"/>
    <x v="2"/>
    <m/>
    <s v="272BPR0455"/>
    <s v="Federal"/>
    <m/>
    <m/>
    <m/>
    <s v="Federal"/>
    <s v="PAV"/>
    <s v="Campo Mourão"/>
  </r>
  <r>
    <x v="0"/>
    <s v="487BPR0158"/>
    <n v="0"/>
    <x v="478"/>
    <s v="0158"/>
    <n v="-52.396120870082001"/>
    <n v="-24.0452232396607"/>
    <n v="-52.3936654699854"/>
    <n v="-24.046950330093601"/>
    <s v="487"/>
    <s v="PR"/>
    <s v="Eixo Principal"/>
    <s v="Coinc"/>
    <s v="487BPR0158"/>
    <s v="AVENIDA PERIMETRAL TANCREDO NEVES"/>
    <s v="ENTR BR-272(B)"/>
    <n v="178.2"/>
    <n v="178.4"/>
    <n v="0.2"/>
    <x v="0"/>
    <m/>
    <s v="272BPR0458"/>
    <s v="Federal"/>
    <m/>
    <m/>
    <m/>
    <s v="Federal"/>
    <s v="PAV"/>
    <s v="Campo Mourão"/>
  </r>
  <r>
    <x v="0"/>
    <s v="487BPR0160"/>
    <n v="0"/>
    <x v="478"/>
    <s v="0160"/>
    <n v="-52.3936654699854"/>
    <n v="-24.046950330093601"/>
    <n v="-52.380358479560101"/>
    <n v="-24.0557314499463"/>
    <s v="487"/>
    <s v="PR"/>
    <s v="Eixo Principal"/>
    <s v="-"/>
    <s v="487BPR0160"/>
    <s v="ENTR BR-272(B)"/>
    <s v="ENTR BR-369 (ACESSO OESTE CAMPO MOURÃO)"/>
    <n v="178.4"/>
    <n v="180.1"/>
    <n v="1.7"/>
    <x v="1"/>
    <m/>
    <m/>
    <s v="Estadual"/>
    <m/>
    <s v="PRT-487"/>
    <s v="DUP"/>
    <s v="Estadual"/>
    <s v="PLA"/>
    <s v="Campo Mourão"/>
  </r>
  <r>
    <x v="0"/>
    <s v="487BPR0165"/>
    <n v="0"/>
    <x v="478"/>
    <s v="0165"/>
    <n v="-52.380358479560101"/>
    <n v="-24.0557314499463"/>
    <n v="-52.363240430301502"/>
    <n v="-24.077547240112999"/>
    <s v="487"/>
    <s v="PR"/>
    <s v="Eixo Principal"/>
    <s v="-"/>
    <s v="487BPR0165"/>
    <s v="ENTR BR-369 (ACESSO OESTE CAMPO MOURÃO)"/>
    <s v="ENTR BR-158/369 (ANEL VIÁRIO CAMPO MOURÃO)"/>
    <n v="180.1"/>
    <n v="183.1"/>
    <n v="3"/>
    <x v="1"/>
    <m/>
    <m/>
    <s v="Estadual"/>
    <m/>
    <s v="PRT-487"/>
    <s v="PAV"/>
    <s v="Estadual"/>
    <s v="PLA"/>
    <s v="Campo Mourão"/>
  </r>
  <r>
    <x v="0"/>
    <s v="487BPR0170"/>
    <n v="0"/>
    <x v="478"/>
    <s v="0170"/>
    <n v="-52.363240430301502"/>
    <n v="-24.077547240112999"/>
    <n v="-52.331003209930103"/>
    <n v="-24.104530690339001"/>
    <s v="487"/>
    <s v="PR"/>
    <s v="Eixo Principal"/>
    <s v="-"/>
    <s v="487BPR0170"/>
    <s v="ENTR BR-158/369 (ANEL VIÁRIO CAMPO MOURÃO)"/>
    <s v="PONTE S/ RIO MOURÃO (LAGO AZUL)"/>
    <n v="183.1"/>
    <n v="188.2"/>
    <n v="5.0999999999999996"/>
    <x v="1"/>
    <m/>
    <m/>
    <s v="Estadual"/>
    <m/>
    <s v="PRT-487"/>
    <s v="PAV"/>
    <s v="Estadual"/>
    <s v="PLA"/>
    <s v="Campo Mourão"/>
  </r>
  <r>
    <x v="0"/>
    <s v="487BPR0175"/>
    <n v="0"/>
    <x v="478"/>
    <s v="0175"/>
    <n v="-52.331003209930103"/>
    <n v="-24.104530690339001"/>
    <n v="-52.266809839702297"/>
    <n v="-24.235992700302798"/>
    <s v="487"/>
    <s v="PR"/>
    <s v="Eixo Principal"/>
    <s v="-"/>
    <s v="487BPR0175"/>
    <s v="PONTE S/ RIO MOURÃO (LAGO AZUL)"/>
    <s v="ENTR PR-549 (P/LUIZIANA)"/>
    <n v="188.2"/>
    <n v="204.3"/>
    <n v="16.100000000000001"/>
    <x v="1"/>
    <m/>
    <m/>
    <s v="Estadual"/>
    <m/>
    <s v="PRT-487"/>
    <s v="PAV"/>
    <s v="Estadual"/>
    <s v="PLA"/>
    <s v="Campo Mourão"/>
  </r>
  <r>
    <x v="0"/>
    <s v="487BPR0180"/>
    <n v="0"/>
    <x v="478"/>
    <s v="0180"/>
    <n v="-52.266809839702297"/>
    <n v="-24.235992700302798"/>
    <n v="-52.090659900334103"/>
    <n v="-24.3943885898614"/>
    <s v="487"/>
    <s v="PR"/>
    <s v="Eixo Principal"/>
    <s v="-"/>
    <s v="487BPR0180"/>
    <s v="ENTR PR-549 (P/LUIZIANA)"/>
    <s v="ENTR PR-462 (P/IRETAMA)"/>
    <n v="204.3"/>
    <n v="236"/>
    <n v="31.7"/>
    <x v="1"/>
    <m/>
    <m/>
    <s v="Estadual"/>
    <m/>
    <s v="PRT-487"/>
    <s v="PAV"/>
    <s v="Estadual"/>
    <s v="PLA"/>
    <s v="Campo Mourão"/>
  </r>
  <r>
    <x v="0"/>
    <s v="487BPR0190"/>
    <n v="0"/>
    <x v="478"/>
    <s v="0190"/>
    <n v="-52.090659900334103"/>
    <n v="-24.3943885898614"/>
    <n v="-52.043120579551001"/>
    <n v="-24.408965459888002"/>
    <s v="487"/>
    <s v="PR"/>
    <s v="Eixo Principal"/>
    <s v="-"/>
    <s v="487BPR0190"/>
    <s v="ENTR PR-462 (P/IRETAMA)"/>
    <s v="RIO MUQUILÃO"/>
    <n v="236"/>
    <n v="241.5"/>
    <n v="5.5"/>
    <x v="1"/>
    <m/>
    <m/>
    <s v="Estadual"/>
    <m/>
    <s v="PRT-487"/>
    <s v="PAV"/>
    <s v="Estadual"/>
    <s v="PLA"/>
    <s v="Campo Mourão"/>
  </r>
  <r>
    <x v="0"/>
    <s v="487BPR0195"/>
    <n v="0"/>
    <x v="478"/>
    <s v="0195"/>
    <n v="-52.043120579551001"/>
    <n v="-24.408965459888002"/>
    <n v="-51.927162600173801"/>
    <n v="-24.536513390080799"/>
    <s v="487"/>
    <s v="PR"/>
    <s v="Eixo Principal"/>
    <s v="-"/>
    <s v="487BPR0195"/>
    <s v="RIO MUQUILÃO"/>
    <s v="ENTR PR-460 (BELA VISTA)"/>
    <n v="241.5"/>
    <n v="262.10000000000002"/>
    <n v="20.6"/>
    <x v="1"/>
    <m/>
    <m/>
    <s v="Estadual"/>
    <m/>
    <s v="PRT-487"/>
    <s v="PAV"/>
    <s v="Estadual"/>
    <s v="PLA"/>
    <s v="Campo Mourão"/>
  </r>
  <r>
    <x v="0"/>
    <s v="487BPR0210"/>
    <n v="0"/>
    <x v="478"/>
    <s v="0210"/>
    <n v="-51.927162600173801"/>
    <n v="-24.536513390080799"/>
    <n v="-51.698605520228497"/>
    <n v="-24.529127250022398"/>
    <s v="487"/>
    <s v="PR"/>
    <s v="Eixo Principal"/>
    <s v="-"/>
    <s v="487BPR0210"/>
    <s v="ENTR PR-460 (BELA VISTA)"/>
    <s v="ENTR BR-466"/>
    <n v="262.10000000000002"/>
    <n v="290.3"/>
    <n v="28.2"/>
    <x v="1"/>
    <m/>
    <m/>
    <s v="Estadual"/>
    <m/>
    <s v="PRT-487"/>
    <s v="PAV"/>
    <s v="Estadual"/>
    <s v="PLA"/>
    <s v="Campo Mourão"/>
  </r>
  <r>
    <x v="0"/>
    <s v="487BPR0230"/>
    <n v="0"/>
    <x v="478"/>
    <s v="0230"/>
    <n v="-51.698605520228497"/>
    <n v="-24.529127250022398"/>
    <n v="-51.660989559920203"/>
    <n v="-24.5262326696019"/>
    <s v="487"/>
    <s v="PR"/>
    <s v="Eixo Principal"/>
    <s v="-"/>
    <s v="487BPR0230"/>
    <s v="ENTR BR-466"/>
    <s v="MANOEL RIBAS"/>
    <n v="290.3"/>
    <n v="294.5"/>
    <n v="4.2"/>
    <x v="1"/>
    <m/>
    <m/>
    <s v="Estadual"/>
    <m/>
    <s v="PRT-487"/>
    <s v="PAV"/>
    <s v="Estadual"/>
    <s v="PLA"/>
    <s v="Campo Mourão"/>
  </r>
  <r>
    <x v="0"/>
    <s v="487BPR0231"/>
    <n v="0"/>
    <x v="478"/>
    <s v="0231"/>
    <n v="-51.660989559920203"/>
    <n v="-24.5262326696019"/>
    <n v="-51.352831439719097"/>
    <n v="-24.593371389677799"/>
    <s v="487"/>
    <s v="PR"/>
    <s v="Eixo Principal"/>
    <s v="-"/>
    <s v="487BPR0231"/>
    <s v="MANOEL RIBAS"/>
    <s v="ENTR PR-816 (P/ CÂNDIDO DE ABREU)"/>
    <n v="294.5"/>
    <n v="336.9"/>
    <n v="42.4"/>
    <x v="1"/>
    <m/>
    <m/>
    <s v="Estadual"/>
    <m/>
    <s v="PRT-487"/>
    <s v="PAV"/>
    <s v="Estadual"/>
    <s v="PLA"/>
    <s v="Campo Mourão"/>
  </r>
  <r>
    <x v="0"/>
    <s v="487BPR0250"/>
    <n v="0"/>
    <x v="478"/>
    <s v="0250"/>
    <n v="-51.352831439719097"/>
    <n v="-24.593371389677799"/>
    <n v="-51.196958670106397"/>
    <n v="-24.685739050117"/>
    <s v="487"/>
    <s v="PR"/>
    <s v="Eixo Principal"/>
    <s v="-"/>
    <s v="487BPR0250"/>
    <s v="ENTR PR-816 (P/ CÂNDIDO DE ABREU)"/>
    <s v="ENTR PR-239 (TRÊS BICOS)"/>
    <n v="336.9"/>
    <n v="358.2"/>
    <n v="21.3"/>
    <x v="1"/>
    <m/>
    <m/>
    <s v="Estadual"/>
    <m/>
    <s v="PRT-487"/>
    <s v="PAV"/>
    <s v="Estadual"/>
    <s v="PLA"/>
    <s v="Campo Mourão"/>
  </r>
  <r>
    <x v="0"/>
    <s v="487BPR0270"/>
    <n v="0"/>
    <x v="478"/>
    <s v="0270"/>
    <n v="-51.196958670106397"/>
    <n v="-24.685739050117"/>
    <n v="-50.847620769682699"/>
    <n v="-25.006879420049099"/>
    <s v="487"/>
    <s v="PR"/>
    <s v="Eixo Principal"/>
    <s v="-"/>
    <s v="487BPR0270"/>
    <s v="ENTR PR-239 (TRÊS BICOS)"/>
    <s v="IVAÍ"/>
    <n v="358.2"/>
    <n v="433.1"/>
    <n v="74.900000000000006"/>
    <x v="1"/>
    <m/>
    <m/>
    <s v="Estadual"/>
    <m/>
    <s v="PRT-487"/>
    <s v="LEN"/>
    <s v="Estadual"/>
    <s v="PLA"/>
    <s v="Campo Mourão"/>
  </r>
  <r>
    <x v="0"/>
    <s v="487BPR0290"/>
    <n v="0"/>
    <x v="478"/>
    <s v="0290"/>
    <n v="-50.847620769682699"/>
    <n v="-25.006879420049099"/>
    <n v="-50.771730539932399"/>
    <n v="-25.0582732800877"/>
    <s v="487"/>
    <s v="PR"/>
    <s v="Eixo Principal"/>
    <s v="-"/>
    <s v="487BPR0290"/>
    <s v="IVAÍ"/>
    <s v="ENTR PR-522"/>
    <n v="433.1"/>
    <n v="444.3"/>
    <n v="11.2"/>
    <x v="1"/>
    <m/>
    <m/>
    <s v="Estadual"/>
    <m/>
    <s v="PRT-487"/>
    <s v="PAV"/>
    <s v="Estadual"/>
    <s v="PLA"/>
    <s v="Campo Mourão"/>
  </r>
  <r>
    <x v="0"/>
    <s v="487BPR0291"/>
    <n v="0"/>
    <x v="478"/>
    <s v="0291"/>
    <n v="-50.771730539932399"/>
    <n v="-25.0582732800877"/>
    <n v="-50.589298809992002"/>
    <n v="-25.021475180335202"/>
    <s v="487"/>
    <s v="PR"/>
    <s v="Eixo Principal"/>
    <s v="-"/>
    <s v="487BPR0291"/>
    <s v="ENTR PR-522"/>
    <s v="ENTR BR-153 (IPIRANGA)"/>
    <n v="444.3"/>
    <n v="468.3"/>
    <n v="24"/>
    <x v="1"/>
    <m/>
    <m/>
    <s v="Estadual"/>
    <m/>
    <s v="PRT-487"/>
    <s v="IMP"/>
    <s v="Estadual"/>
    <s v="PLA"/>
    <s v="Ponta Grossa"/>
  </r>
  <r>
    <x v="0"/>
    <s v="487BPR0310"/>
    <n v="0"/>
    <x v="478"/>
    <s v="0310"/>
    <n v="-50.589298809992002"/>
    <n v="-25.021475180335202"/>
    <n v="-50.410661930403698"/>
    <n v="-25.086138000268399"/>
    <s v="487"/>
    <s v="PR"/>
    <s v="Eixo Principal"/>
    <s v="-"/>
    <s v="487BPR0310"/>
    <s v="ENTR BR-153 (IPIRANGA)"/>
    <s v="ENTR BR-373(A) (UVAIA)"/>
    <n v="468.3"/>
    <n v="489.9"/>
    <n v="21.6"/>
    <x v="1"/>
    <m/>
    <m/>
    <s v="Estadual"/>
    <m/>
    <s v="PRT-487"/>
    <s v="PAV"/>
    <s v="Estadual"/>
    <s v="PLA"/>
    <s v="Ponta Grossa"/>
  </r>
  <r>
    <x v="0"/>
    <s v="487BPR0330"/>
    <n v="0"/>
    <x v="478"/>
    <s v="0330"/>
    <n v="-50.410661930403698"/>
    <n v="-25.086138000268399"/>
    <n v="-50.2806248899266"/>
    <n v="-25.0400581100936"/>
    <s v="487"/>
    <s v="PR"/>
    <s v="Eixo Principal"/>
    <s v="Coinc"/>
    <s v="487BPR0330"/>
    <s v="ENTR BR-373(A) (UVAIA)"/>
    <s v="ENTR BR-376(A) (CAETANO)"/>
    <n v="489.9"/>
    <n v="505.8"/>
    <n v="15.9"/>
    <x v="2"/>
    <m/>
    <s v="373BPR0330"/>
    <s v="Convênio de Administração"/>
    <m/>
    <m/>
    <m/>
    <s v="Federal"/>
    <s v="PAV"/>
    <s v="Ponta Grossa"/>
  </r>
  <r>
    <x v="0"/>
    <s v="487BPR0340"/>
    <n v="0"/>
    <x v="478"/>
    <s v="0340"/>
    <n v="-50.2806248899266"/>
    <n v="-25.0400581100936"/>
    <n v="-50.191147850192998"/>
    <n v="-25.081815120171498"/>
    <s v="487"/>
    <s v="PR"/>
    <s v="Eixo Principal"/>
    <s v="Coinc"/>
    <s v="487BPR0340"/>
    <s v="ENTR BR-376(A) (CAETANO)"/>
    <s v="ENTR BR-376(B)"/>
    <n v="505.8"/>
    <n v="517.29999999999995"/>
    <n v="11.5"/>
    <x v="0"/>
    <m/>
    <s v="376BPR0390;373BPR0320"/>
    <s v="Convênio de Administração"/>
    <m/>
    <m/>
    <m/>
    <s v="Federal"/>
    <s v="PAV"/>
    <s v="Ponta Grossa"/>
  </r>
  <r>
    <x v="0"/>
    <s v="487BPR0350"/>
    <n v="0"/>
    <x v="478"/>
    <s v="0350"/>
    <n v="-50.191147850192998"/>
    <n v="-25.081815120171498"/>
    <n v="-50.151357099850202"/>
    <n v="-25.022580670161702"/>
    <s v="487"/>
    <s v="PR"/>
    <s v="Eixo Principal"/>
    <s v="Coinc"/>
    <s v="487BPR0350"/>
    <s v="ENTR BR-376(B)"/>
    <s v="ENTR BR-373(B)/PR-151 (PONTA GROSSA)"/>
    <n v="517.29999999999995"/>
    <n v="525.20000000000005"/>
    <n v="7.9"/>
    <x v="1"/>
    <m/>
    <s v="373BPR0310"/>
    <s v="Estadual"/>
    <m/>
    <s v="PTR-373"/>
    <s v="DUP"/>
    <s v="Estadual"/>
    <s v="PLA"/>
    <s v="Ponta Grossa"/>
  </r>
  <r>
    <x v="0"/>
    <s v="488BSP0010"/>
    <n v="0"/>
    <x v="479"/>
    <s v="0010"/>
    <n v="-45.233029330139402"/>
    <n v="-22.858622920211499"/>
    <n v="-45.232872289624403"/>
    <n v="-22.855854160341199"/>
    <s v="488"/>
    <s v="SP"/>
    <s v="Eixo Principal"/>
    <s v="-"/>
    <s v="488BSP0010"/>
    <s v="ENTR BR-116(A) (APARECIDA)"/>
    <s v="ACESSO I AO SANTUÁRIO DE N S APARECIDA"/>
    <n v="0"/>
    <n v="0.4"/>
    <n v="0.4"/>
    <x v="0"/>
    <m/>
    <m/>
    <s v="Federal"/>
    <m/>
    <m/>
    <m/>
    <s v="Federal"/>
    <s v="PAV"/>
    <s v="Taubaté"/>
  </r>
  <r>
    <x v="0"/>
    <s v="488BSP0011"/>
    <n v="0"/>
    <x v="479"/>
    <s v="0011"/>
    <n v="-45.232872289624403"/>
    <n v="-22.855854160341199"/>
    <n v="-45.233068699760601"/>
    <n v="-22.847097840193101"/>
    <s v="488"/>
    <s v="SP"/>
    <s v="Eixo Principal"/>
    <s v="-"/>
    <s v="488BSP0011"/>
    <s v="ACESSO I AO SANTUÁRIO DE N S APARECIDA"/>
    <s v="ACESSO II AO SANTUÁRIO DE N S APARECIDA"/>
    <n v="0.4"/>
    <n v="1.4"/>
    <n v="1"/>
    <x v="0"/>
    <m/>
    <m/>
    <s v="Federal"/>
    <m/>
    <m/>
    <m/>
    <s v="Federal"/>
    <s v="PAV"/>
    <s v="Taubaté"/>
  </r>
  <r>
    <x v="0"/>
    <s v="488BSP0012"/>
    <n v="0"/>
    <x v="479"/>
    <s v="0012"/>
    <n v="-45.233068699760601"/>
    <n v="-22.847097840193101"/>
    <n v="-45.238816480096403"/>
    <n v="-22.851647200158101"/>
    <s v="488"/>
    <s v="SP"/>
    <s v="Eixo Principal"/>
    <s v="-"/>
    <s v="488BSP0012"/>
    <s v="ACESSO II AO SANTUÁRIO DE N S APARECIDA"/>
    <s v="ACESSO III AO SANTUÁRIO DE N S APARECIDA"/>
    <n v="1.4"/>
    <n v="2.2999999999999998"/>
    <n v="0.9"/>
    <x v="0"/>
    <m/>
    <m/>
    <s v="Federal"/>
    <m/>
    <m/>
    <m/>
    <s v="Federal"/>
    <s v="PAV"/>
    <s v="Taubaté"/>
  </r>
  <r>
    <x v="0"/>
    <s v="488BSP0013"/>
    <n v="0"/>
    <x v="479"/>
    <s v="0013"/>
    <n v="-45.238816480096403"/>
    <n v="-22.851647200158101"/>
    <n v="-45.253786510339097"/>
    <n v="-22.860409230101801"/>
    <s v="488"/>
    <s v="SP"/>
    <s v="Eixo Principal"/>
    <s v="-"/>
    <s v="488BSP0013"/>
    <s v="ACESSO III AO SANTUÁRIO DE N S APARECIDA"/>
    <s v="ACESSO AO PORTO DE ITAGUAÇU"/>
    <n v="2.2999999999999998"/>
    <n v="4.3"/>
    <n v="2"/>
    <x v="0"/>
    <m/>
    <m/>
    <s v="Federal"/>
    <m/>
    <m/>
    <m/>
    <s v="Federal"/>
    <s v="PAV"/>
    <s v="Taubaté"/>
  </r>
  <r>
    <x v="0"/>
    <s v="488BSP0014"/>
    <n v="0"/>
    <x v="479"/>
    <s v="0014"/>
    <n v="-45.253786510339097"/>
    <n v="-22.860409230101801"/>
    <n v="-45.257267679859503"/>
    <n v="-22.870340619723699"/>
    <s v="488"/>
    <s v="SP"/>
    <s v="Eixo Principal"/>
    <s v="-"/>
    <s v="488BSP0014"/>
    <s v="ACESSO AO PORTO DE ITAGUAÇU"/>
    <s v="ENTR SP-062 (APARECIDA)"/>
    <n v="4.3"/>
    <n v="5.5"/>
    <n v="1.2"/>
    <x v="0"/>
    <m/>
    <m/>
    <s v="Federal"/>
    <m/>
    <m/>
    <m/>
    <s v="Federal"/>
    <s v="PAV"/>
    <s v="Taubaté"/>
  </r>
  <r>
    <x v="0"/>
    <s v="488BSP0015"/>
    <n v="0"/>
    <x v="479"/>
    <s v="0015"/>
    <n v="-45.257267679859503"/>
    <n v="-22.870340619723699"/>
    <n v="-45.257027960172103"/>
    <n v="-22.874462930319901"/>
    <s v="488"/>
    <s v="SP"/>
    <s v="Eixo Principal"/>
    <s v="-"/>
    <s v="488BSP0015"/>
    <s v="ENTR SP-062 (APARECIDA)"/>
    <s v="ENTR BR-116(B) (APARECIDA)"/>
    <n v="5.5"/>
    <n v="6"/>
    <n v="0.5"/>
    <x v="0"/>
    <m/>
    <m/>
    <s v="Federal"/>
    <m/>
    <m/>
    <m/>
    <s v="Federal"/>
    <s v="PAV"/>
    <s v="Taubaté"/>
  </r>
  <r>
    <x v="0"/>
    <s v="489BBA0010"/>
    <n v="0"/>
    <x v="480"/>
    <s v="0010"/>
    <n v="-39.225220310269002"/>
    <n v="-17.3406299701969"/>
    <n v="-39.540321179578697"/>
    <n v="-17.026437960243602"/>
    <s v="489"/>
    <s v="BA"/>
    <s v="Eixo Principal"/>
    <s v="-"/>
    <s v="489BBA0010"/>
    <s v="ENTR BA-001 (PRADO)"/>
    <s v="ENTR BR-101 (ITAMARAJÚ)"/>
    <n v="0"/>
    <n v="51.5"/>
    <n v="51.5"/>
    <x v="1"/>
    <m/>
    <m/>
    <s v="Estadual"/>
    <m/>
    <s v="BAT-489"/>
    <s v="PAV"/>
    <s v="Estadual"/>
    <s v="PLA"/>
    <s v="Eunápolis"/>
  </r>
  <r>
    <x v="0"/>
    <s v="490BGO0010"/>
    <n v="0"/>
    <x v="481"/>
    <s v="0010"/>
    <n v="-47.759237299861397"/>
    <n v="-17.6453158799238"/>
    <n v="-47.823118581956898"/>
    <n v="-17.7235282895988"/>
    <s v="490"/>
    <s v="GO"/>
    <s v="Eixo Principal"/>
    <s v="-"/>
    <s v="490BGO0010"/>
    <s v="ENTR BR-050/GO-213(A) (CAMPO ALEGRE DE GOIÁS)"/>
    <s v="FIM PAVIMENTAÇÃO"/>
    <n v="0"/>
    <n v="11.5"/>
    <n v="11.5"/>
    <x v="1"/>
    <m/>
    <m/>
    <s v="Estadual"/>
    <m/>
    <s v="GO-213"/>
    <s v="PAV"/>
    <s v="Estadual"/>
    <s v="PLA"/>
    <s v="Goiânia"/>
  </r>
  <r>
    <x v="0"/>
    <s v="490BGO0015"/>
    <n v="0"/>
    <x v="481"/>
    <s v="0015"/>
    <n v="-47.823118581956898"/>
    <n v="-17.7235282895988"/>
    <n v="-48.029740791604098"/>
    <n v="-17.753944690394999"/>
    <s v="490"/>
    <s v="GO"/>
    <s v="Eixo Principal"/>
    <s v="-"/>
    <s v="490BGO0015"/>
    <s v="FIM PAVIMENTAÇÃO"/>
    <s v="INICIO PAVIMENTAÇÃO"/>
    <n v="11.5"/>
    <n v="41.4"/>
    <n v="29.9"/>
    <x v="1"/>
    <m/>
    <m/>
    <s v="Estadual"/>
    <m/>
    <s v="GO-213"/>
    <s v="EOP"/>
    <s v="Estadual"/>
    <s v="PLA"/>
    <s v="Goiânia"/>
  </r>
  <r>
    <x v="0"/>
    <s v="490BGO0020"/>
    <n v="0"/>
    <x v="481"/>
    <s v="0020"/>
    <n v="-48.029740791604098"/>
    <n v="-17.753944690394999"/>
    <n v="-48.151803219742703"/>
    <n v="-17.730850069674901"/>
    <s v="490"/>
    <s v="GO"/>
    <s v="Eixo Principal"/>
    <s v="-"/>
    <s v="490BGO0020"/>
    <s v="INICIO PAVIMENTAÇÃO"/>
    <s v="ENTR BR-352/GO-330/307(A) (IPAMERI)"/>
    <n v="41.4"/>
    <n v="55.1"/>
    <n v="13.7"/>
    <x v="1"/>
    <m/>
    <m/>
    <s v="Estadual"/>
    <m/>
    <s v="GO-213"/>
    <s v="PAV"/>
    <s v="Estadual"/>
    <s v="PLA"/>
    <s v="Goiânia"/>
  </r>
  <r>
    <x v="0"/>
    <s v="490BGO0030"/>
    <n v="0"/>
    <x v="481"/>
    <s v="0030"/>
    <n v="-48.151803219742703"/>
    <n v="-17.730850069674901"/>
    <n v="-48.228237599585398"/>
    <n v="-17.725755639610998"/>
    <s v="490"/>
    <s v="GO"/>
    <s v="Eixo Principal"/>
    <s v="-"/>
    <s v="490BGO0030"/>
    <s v="ENTR BR-352/GO-330/307(A) (IPAMERI)"/>
    <s v="ENTR GO-307(B)"/>
    <n v="55.1"/>
    <n v="63.3"/>
    <n v="8.1999999999999993"/>
    <x v="1"/>
    <m/>
    <m/>
    <s v="Estadual"/>
    <m/>
    <s v="GO-213"/>
    <s v="PAV"/>
    <s v="Estadual"/>
    <s v="PLA"/>
    <s v="Goiânia"/>
  </r>
  <r>
    <x v="0"/>
    <s v="490BGO0032"/>
    <n v="0"/>
    <x v="481"/>
    <s v="0032"/>
    <n v="-48.228237599585398"/>
    <n v="-17.725755639610998"/>
    <n v="-48.496248349581599"/>
    <n v="-17.713448830199201"/>
    <s v="490"/>
    <s v="GO"/>
    <s v="Eixo Principal"/>
    <s v="-"/>
    <s v="490BGO0032"/>
    <s v="ENTR GO-307(B)"/>
    <s v="RIO CORUMBÁ"/>
    <n v="63.3"/>
    <n v="99.1"/>
    <n v="35.799999999999997"/>
    <x v="1"/>
    <m/>
    <m/>
    <s v="Estadual"/>
    <m/>
    <s v="GO-213"/>
    <s v="PAV"/>
    <s v="Estadual"/>
    <s v="PLA"/>
    <s v="Goiânia"/>
  </r>
  <r>
    <x v="0"/>
    <s v="490BGO0050"/>
    <n v="0"/>
    <x v="481"/>
    <s v="0050"/>
    <n v="-48.496248349581599"/>
    <n v="-17.713448830199201"/>
    <n v="-48.595095930232901"/>
    <n v="-17.7195480997649"/>
    <s v="490"/>
    <s v="GO"/>
    <s v="Eixo Principal"/>
    <s v="-"/>
    <s v="490BGO0050"/>
    <s v="RIO CORUMBÁ"/>
    <s v="ENTR GO-540"/>
    <n v="99.1"/>
    <n v="111.7"/>
    <n v="12.6"/>
    <x v="1"/>
    <m/>
    <m/>
    <s v="Estadual"/>
    <m/>
    <s v="GO-213"/>
    <s v="PAV"/>
    <s v="Estadual"/>
    <s v="PLA"/>
    <s v="Goiânia"/>
  </r>
  <r>
    <x v="0"/>
    <s v="490BGO0060"/>
    <n v="0"/>
    <x v="481"/>
    <s v="0060"/>
    <n v="-48.595095930232901"/>
    <n v="-17.7195480997649"/>
    <n v="-48.622004959761"/>
    <n v="-17.725210940032799"/>
    <s v="490"/>
    <s v="GO"/>
    <s v="Eixo Principal"/>
    <s v="-"/>
    <s v="490BGO0060"/>
    <s v="ENTR GO-540"/>
    <s v="ENTR GO-309(A) (CALDAS NOVAS)"/>
    <n v="111.7"/>
    <n v="114.7"/>
    <n v="3"/>
    <x v="1"/>
    <m/>
    <m/>
    <s v="Estadual"/>
    <m/>
    <s v="GO-213"/>
    <s v="PAV"/>
    <s v="Estadual"/>
    <s v="PLA"/>
    <s v="Goiânia"/>
  </r>
  <r>
    <x v="0"/>
    <s v="490BGO0070"/>
    <n v="0"/>
    <x v="481"/>
    <s v="0070"/>
    <n v="-48.622004959761"/>
    <n v="-17.725210940032799"/>
    <n v="-48.627392899762398"/>
    <n v="-17.7274654297856"/>
    <s v="490"/>
    <s v="GO"/>
    <s v="Eixo Principal"/>
    <s v="-"/>
    <s v="490BGO0070"/>
    <s v="ENTR GO-309(A) (CALDAS NOVAS)"/>
    <s v="INÍCIO PISTA DUPLA"/>
    <n v="114.7"/>
    <n v="115.3"/>
    <n v="0.6"/>
    <x v="1"/>
    <m/>
    <m/>
    <s v="Estadual"/>
    <m/>
    <s v="GO-213"/>
    <s v="DUP"/>
    <s v="Estadual"/>
    <s v="PLA"/>
    <s v="Goiânia"/>
  </r>
  <r>
    <x v="0"/>
    <s v="490BGO0071"/>
    <n v="0"/>
    <x v="481"/>
    <s v="0071"/>
    <n v="-48.627392899762398"/>
    <n v="-17.7274654297856"/>
    <n v="-48.640793589652297"/>
    <n v="-17.7198876495953"/>
    <s v="490"/>
    <s v="GO"/>
    <s v="Eixo Principal"/>
    <s v="-"/>
    <s v="490BGO0071"/>
    <s v="INÍCIO PISTA DUPLA"/>
    <s v="ENTR GO-139(A)/213(A)/309(B)"/>
    <n v="115.3"/>
    <n v="117"/>
    <n v="1.7"/>
    <x v="1"/>
    <m/>
    <m/>
    <s v="Estadual"/>
    <m/>
    <s v="GO-213"/>
    <s v="PAV"/>
    <s v="Estadual"/>
    <s v="PLA"/>
    <s v="Goiânia"/>
  </r>
  <r>
    <x v="0"/>
    <s v="490BGO0072"/>
    <n v="0"/>
    <x v="481"/>
    <s v="0072"/>
    <n v="-48.640793589652297"/>
    <n v="-17.7198876495953"/>
    <n v="-48.707954940268202"/>
    <n v="-17.6999515801012"/>
    <s v="490"/>
    <s v="GO"/>
    <s v="Eixo Principal"/>
    <s v="-"/>
    <s v="490BGO0072"/>
    <s v="ENTR GO-139(A)/213(A)/309(B)"/>
    <s v="ENTR GO-139(B)/213(B)"/>
    <n v="117"/>
    <n v="125.1"/>
    <n v="8.1"/>
    <x v="1"/>
    <m/>
    <m/>
    <s v="Estadual"/>
    <m/>
    <s v="GO-213"/>
    <s v="PAV"/>
    <s v="Estadual"/>
    <s v="PLA"/>
    <s v="Goiânia"/>
  </r>
  <r>
    <x v="0"/>
    <s v="490BGO0080"/>
    <n v="0"/>
    <x v="481"/>
    <s v="0080"/>
    <n v="-48.707954940268202"/>
    <n v="-17.6999515801012"/>
    <n v="-48.779175880062702"/>
    <n v="-17.7154318703844"/>
    <s v="490"/>
    <s v="GO"/>
    <s v="Eixo Principal"/>
    <s v="-"/>
    <s v="490BGO0080"/>
    <s v="ENTR GO-139(B)/213(B)"/>
    <s v="ENTR GO-507 (P/POUSADA DO RIO QUENTE)"/>
    <n v="125.1"/>
    <n v="133.19999999999999"/>
    <n v="8.1"/>
    <x v="1"/>
    <m/>
    <m/>
    <s v="Estadual"/>
    <m/>
    <s v="GO-213"/>
    <s v="PAV"/>
    <s v="Estadual"/>
    <s v="PLA"/>
    <s v="Goiânia"/>
  </r>
  <r>
    <x v="0"/>
    <s v="490BGO0085"/>
    <n v="0"/>
    <x v="481"/>
    <s v="0085"/>
    <n v="-48.779175880062702"/>
    <n v="-17.7154318703844"/>
    <n v="-49.017855079648101"/>
    <n v="-17.7154670698493"/>
    <s v="490"/>
    <s v="GO"/>
    <s v="Eixo Principal"/>
    <s v="-"/>
    <s v="490BGO0085"/>
    <s v="ENTR GO-507 (P/POUSADA DO RIO QUENTE)"/>
    <s v="ENTR GO-443"/>
    <n v="133.19999999999999"/>
    <n v="160.69999999999999"/>
    <n v="27.5"/>
    <x v="1"/>
    <m/>
    <m/>
    <s v="Estadual"/>
    <m/>
    <s v="GO-213"/>
    <s v="PAV"/>
    <s v="Estadual"/>
    <s v="PLA"/>
    <s v="Goiânia"/>
  </r>
  <r>
    <x v="0"/>
    <s v="490BGO0090"/>
    <n v="0"/>
    <x v="481"/>
    <s v="0090"/>
    <n v="-49.017855079648101"/>
    <n v="-17.7154670698493"/>
    <n v="-49.041034420102299"/>
    <n v="-17.722391280333198"/>
    <s v="490"/>
    <s v="GO"/>
    <s v="Eixo Principal"/>
    <s v="-"/>
    <s v="490BGO0090"/>
    <s v="ENTR GO-443"/>
    <s v="ENTR GO-147(A)"/>
    <n v="160.69999999999999"/>
    <n v="163.30000000000001"/>
    <n v="2.6"/>
    <x v="1"/>
    <m/>
    <m/>
    <s v="Estadual"/>
    <m/>
    <s v="GO-213"/>
    <s v="PAV"/>
    <s v="Estadual"/>
    <s v="PLA"/>
    <s v="Goiânia"/>
  </r>
  <r>
    <x v="0"/>
    <s v="490BGO0092"/>
    <n v="0"/>
    <x v="481"/>
    <s v="0092"/>
    <n v="-49.041034420102299"/>
    <n v="-17.722391280333198"/>
    <n v="-49.0583207154286"/>
    <n v="-17.727603294956001"/>
    <s v="490"/>
    <s v="GO"/>
    <s v="Eixo Principal"/>
    <s v="-"/>
    <s v="490BGO0092"/>
    <s v="ENTR GO-147(A)"/>
    <s v="INÍCIO PISTA DUPLA"/>
    <n v="163.30000000000001"/>
    <n v="165.2"/>
    <n v="1.9"/>
    <x v="1"/>
    <m/>
    <m/>
    <s v="Estadual"/>
    <m/>
    <s v="GO-147"/>
    <s v="PAV"/>
    <s v="Estadual"/>
    <s v="PLA"/>
    <s v="Goiânia"/>
  </r>
  <r>
    <x v="0"/>
    <s v="490BGO0095"/>
    <n v="0"/>
    <x v="481"/>
    <s v="0095"/>
    <n v="-49.0583207154286"/>
    <n v="-17.727603294956001"/>
    <n v="-49.072229399966702"/>
    <n v="-17.729847609779299"/>
    <s v="490"/>
    <s v="GO"/>
    <s v="Eixo Principal"/>
    <s v="-"/>
    <s v="490BGO0095"/>
    <s v="INÍCIO PISTA DUPLA"/>
    <s v="ENTR GO-147(B)"/>
    <n v="165.2"/>
    <n v="166.7"/>
    <n v="1.5"/>
    <x v="1"/>
    <m/>
    <m/>
    <s v="Estadual"/>
    <m/>
    <s v="GO-147"/>
    <s v="DUP"/>
    <s v="Estadual"/>
    <s v="PLA"/>
    <s v="Goiânia"/>
  </r>
  <r>
    <x v="0"/>
    <s v="490BGO0098"/>
    <n v="0"/>
    <x v="481"/>
    <s v="0098"/>
    <n v="-49.072229399966702"/>
    <n v="-17.729847609779299"/>
    <n v="-49.114245949890602"/>
    <n v="-17.736578719632099"/>
    <s v="490"/>
    <s v="GO"/>
    <s v="Eixo Principal"/>
    <s v="-"/>
    <s v="490BGO0098"/>
    <s v="ENTR GO-147(B)"/>
    <s v="ENTR GO-476 (MORRINHOS)"/>
    <n v="166.7"/>
    <n v="171.5"/>
    <n v="4.8"/>
    <x v="1"/>
    <m/>
    <m/>
    <s v="Estadual"/>
    <m/>
    <s v="GO-213"/>
    <s v="DUP"/>
    <s v="Estadual"/>
    <s v="PLA"/>
    <s v="Goiânia"/>
  </r>
  <r>
    <x v="0"/>
    <s v="490BGO0100"/>
    <n v="0"/>
    <x v="481"/>
    <s v="0100"/>
    <n v="-49.114245949890602"/>
    <n v="-17.736578719632099"/>
    <n v="-49.154310509622199"/>
    <n v="-17.727535979801502"/>
    <s v="490"/>
    <s v="GO"/>
    <s v="Eixo Principal"/>
    <s v="-"/>
    <s v="490BGO0100"/>
    <s v="ENTR GO-476 (MORRINHOS)"/>
    <s v="ENTR BR-153/GO-213(B)"/>
    <n v="171.5"/>
    <n v="175.8"/>
    <n v="4.3"/>
    <x v="1"/>
    <m/>
    <m/>
    <s v="Estadual"/>
    <m/>
    <s v="GO-213"/>
    <s v="DUP"/>
    <s v="Estadual"/>
    <s v="PLA"/>
    <s v="Goiânia"/>
  </r>
  <r>
    <x v="0"/>
    <s v="491BMG0010"/>
    <n v="0"/>
    <x v="482"/>
    <s v="0010"/>
    <n v="-46.983641440300097"/>
    <n v="-20.932734339917801"/>
    <n v="-46.979215300046"/>
    <n v="-21.0706503903032"/>
    <s v="491"/>
    <s v="MG"/>
    <s v="Eixo Principal"/>
    <s v="-"/>
    <s v="491BMG0010"/>
    <s v="ENTR BR-265/MG-050 (SÃO SEBASTIÃO DO PARAÍSO)"/>
    <s v="ACESSO ITAMOJÍ"/>
    <n v="0"/>
    <n v="17.100000000000001"/>
    <n v="17.100000000000001"/>
    <x v="1"/>
    <m/>
    <m/>
    <s v="Estadual"/>
    <m/>
    <s v="MG-491"/>
    <s v="PAV"/>
    <s v="Estadual"/>
    <s v="PLA"/>
    <s v="Passos"/>
  </r>
  <r>
    <x v="0"/>
    <s v="491BMG0023"/>
    <n v="0"/>
    <x v="482"/>
    <s v="0023"/>
    <n v="-46.979215300046"/>
    <n v="-21.0706503903032"/>
    <n v="-46.971561150326799"/>
    <n v="-21.178924679929899"/>
    <s v="491"/>
    <s v="MG"/>
    <s v="Eixo Principal"/>
    <s v="-"/>
    <s v="491BMG0023"/>
    <s v="ACESSO ITAMOJÍ"/>
    <s v="ACESSO MONTE SANTO DE MINAS"/>
    <n v="17.100000000000001"/>
    <n v="31.9"/>
    <n v="14.8"/>
    <x v="1"/>
    <m/>
    <m/>
    <s v="Estadual"/>
    <m/>
    <s v="MG-491"/>
    <s v="PAV"/>
    <s v="Estadual"/>
    <s v="PLA"/>
    <s v="Passos"/>
  </r>
  <r>
    <x v="0"/>
    <s v="491BMG0030"/>
    <n v="0"/>
    <x v="482"/>
    <s v="0030"/>
    <n v="-46.971561150326799"/>
    <n v="-21.178924679929899"/>
    <n v="-46.934801420149299"/>
    <n v="-21.310064639971099"/>
    <s v="491"/>
    <s v="MG"/>
    <s v="Eixo Principal"/>
    <s v="-"/>
    <s v="491BMG0030"/>
    <s v="ACESSO MONTE SANTO DE MINAS"/>
    <s v="ENTR MG-449"/>
    <n v="31.9"/>
    <n v="48.4"/>
    <n v="16.5"/>
    <x v="1"/>
    <m/>
    <m/>
    <s v="Estadual"/>
    <m/>
    <s v="MG-491"/>
    <s v="PAV"/>
    <s v="Estadual"/>
    <s v="PLA"/>
    <s v="Passos"/>
  </r>
  <r>
    <x v="0"/>
    <s v="491BMG0050"/>
    <n v="0"/>
    <x v="482"/>
    <s v="0050"/>
    <n v="-46.934801420149299"/>
    <n v="-21.310064639971099"/>
    <n v="-46.695999859705601"/>
    <n v="-21.2890126197365"/>
    <s v="491"/>
    <s v="MG"/>
    <s v="Eixo Principal"/>
    <s v="-"/>
    <s v="491BMG0050"/>
    <s v="ENTR MG-449"/>
    <s v="ENTR BR-146(A)/MG-450 (GUAXUPÉ)"/>
    <n v="48.4"/>
    <n v="76.3"/>
    <n v="27.9"/>
    <x v="1"/>
    <m/>
    <m/>
    <s v="Estadual"/>
    <m/>
    <s v="MGT-491"/>
    <s v="PAV"/>
    <s v="Estadual"/>
    <s v="PLA"/>
    <s v="Passos"/>
  </r>
  <r>
    <x v="0"/>
    <s v="491BMG0070"/>
    <n v="0"/>
    <x v="482"/>
    <s v="0070"/>
    <n v="-46.695999859705601"/>
    <n v="-21.2890126197365"/>
    <n v="-46.520825510289001"/>
    <n v="-21.3541906199011"/>
    <s v="491"/>
    <s v="MG"/>
    <s v="Eixo Principal"/>
    <s v="Coinc"/>
    <s v="491BMG0070"/>
    <s v="ENTR BR-146(A)/MG-450 (GUAXUPÉ)"/>
    <s v="ENTR MG-446 (P/MUZAMBINHO)"/>
    <n v="76.3"/>
    <n v="100.2"/>
    <n v="23.9"/>
    <x v="2"/>
    <m/>
    <s v="146BMG0250"/>
    <s v="Federal"/>
    <m/>
    <m/>
    <m/>
    <s v="Federal"/>
    <s v="PAV"/>
    <s v="Passos"/>
  </r>
  <r>
    <x v="0"/>
    <s v="491BMG0085"/>
    <n v="0"/>
    <x v="482"/>
    <s v="0085"/>
    <n v="-46.520825510289001"/>
    <n v="-21.3541906199011"/>
    <n v="-46.473555149750297"/>
    <n v="-21.3585062298785"/>
    <s v="491"/>
    <s v="MG"/>
    <s v="Eixo Principal"/>
    <s v="Coinc"/>
    <s v="491BMG0085"/>
    <s v="ENTR MG-446 (P/MUZAMBINHO)"/>
    <s v="ENTR BR-146(B)"/>
    <n v="100.2"/>
    <n v="105.5"/>
    <n v="5.3"/>
    <x v="2"/>
    <m/>
    <s v="146BMG0252"/>
    <s v="Federal"/>
    <m/>
    <m/>
    <m/>
    <s v="Federal"/>
    <s v="PAV"/>
    <s v="Passos"/>
  </r>
  <r>
    <x v="0"/>
    <s v="491BMG0090"/>
    <n v="0"/>
    <x v="482"/>
    <s v="0090"/>
    <n v="-46.473555149750297"/>
    <n v="-21.3585062298785"/>
    <n v="-46.368388179670703"/>
    <n v="-21.332883909864499"/>
    <s v="491"/>
    <s v="MG"/>
    <s v="Eixo Principal"/>
    <s v="-"/>
    <s v="491BMG0090"/>
    <s v="ENTR BR-146(B)"/>
    <s v="ACESSO MONTE BELO"/>
    <n v="105.5"/>
    <n v="119.7"/>
    <n v="14.2"/>
    <x v="1"/>
    <m/>
    <m/>
    <s v="Estadual"/>
    <m/>
    <s v="MGT-491"/>
    <s v="PAV"/>
    <s v="Estadual"/>
    <s v="PLA"/>
    <s v="Caxambu"/>
  </r>
  <r>
    <x v="0"/>
    <s v="491BMG0100"/>
    <n v="0"/>
    <x v="482"/>
    <s v="0100"/>
    <n v="-46.368388179670703"/>
    <n v="-21.332883909864499"/>
    <n v="-46.160193060261399"/>
    <n v="-21.3716989299616"/>
    <s v="491"/>
    <s v="MG"/>
    <s v="Eixo Principal"/>
    <s v="-"/>
    <s v="491BMG0100"/>
    <s v="ACESSO MONTE BELO"/>
    <s v="ENTR MG-184 (P/AREADO)"/>
    <n v="119.7"/>
    <n v="145.1"/>
    <n v="25.4"/>
    <x v="1"/>
    <m/>
    <m/>
    <s v="Estadual"/>
    <m/>
    <s v="MGT-491"/>
    <s v="PAV"/>
    <s v="Estadual"/>
    <s v="PLA"/>
    <s v="Caxambu"/>
  </r>
  <r>
    <x v="0"/>
    <s v="491BMG0110"/>
    <n v="0"/>
    <x v="482"/>
    <s v="0110"/>
    <n v="-46.160193060261399"/>
    <n v="-21.3716989299616"/>
    <n v="-45.948715230123703"/>
    <n v="-21.4452997798609"/>
    <s v="491"/>
    <s v="MG"/>
    <s v="Eixo Principal"/>
    <s v="-"/>
    <s v="491BMG0110"/>
    <s v="ENTR MG-184 (P/AREADO)"/>
    <s v="ENTR BR-369 (ALFENAS)"/>
    <n v="145.1"/>
    <n v="173"/>
    <n v="27.9"/>
    <x v="1"/>
    <m/>
    <m/>
    <s v="Estadual"/>
    <m/>
    <s v="MG-491"/>
    <s v="PAV"/>
    <s v="Estadual"/>
    <s v="PLA"/>
    <s v="Caxambu"/>
  </r>
  <r>
    <x v="0"/>
    <s v="491BMG0130"/>
    <n v="0"/>
    <x v="482"/>
    <s v="0130"/>
    <n v="-45.948715230123703"/>
    <n v="-21.4452997798609"/>
    <n v="-45.7522841900632"/>
    <n v="-21.5476220297328"/>
    <s v="491"/>
    <s v="MG"/>
    <s v="Eixo Principal"/>
    <s v="-"/>
    <s v="491BMG0130"/>
    <s v="ENTR BR-369 (ALFENAS)"/>
    <s v="ENTR MG-453 (PARAGUAÇU)"/>
    <n v="173"/>
    <n v="198.2"/>
    <n v="25.2"/>
    <x v="1"/>
    <m/>
    <m/>
    <s v="Estadual"/>
    <m/>
    <s v="MG-491"/>
    <s v="PAV"/>
    <s v="Estadual"/>
    <s v="PLA"/>
    <s v="Caxambu"/>
  </r>
  <r>
    <x v="0"/>
    <s v="491BMG0150"/>
    <n v="0"/>
    <x v="482"/>
    <s v="0150"/>
    <n v="-45.7522841900632"/>
    <n v="-21.5476220297328"/>
    <n v="-45.563925059993402"/>
    <n v="-21.601118010088001"/>
    <s v="491"/>
    <s v="MG"/>
    <s v="Eixo Principal"/>
    <s v="-"/>
    <s v="491BMG0150"/>
    <s v="ENTR MG-453 (PARAGUAÇU)"/>
    <s v="ACESSO ELÓI MENDES"/>
    <n v="198.2"/>
    <n v="221.3"/>
    <n v="23.1"/>
    <x v="1"/>
    <m/>
    <m/>
    <s v="Estadual"/>
    <m/>
    <s v="MG-491"/>
    <s v="PAV"/>
    <s v="Estadual"/>
    <s v="PLA"/>
    <s v="Caxambu"/>
  </r>
  <r>
    <x v="0"/>
    <s v="491BMG0170"/>
    <n v="0"/>
    <x v="482"/>
    <s v="0170"/>
    <n v="-45.563925059993402"/>
    <n v="-21.601118010088001"/>
    <n v="-45.453593119726598"/>
    <n v="-21.561436959947599"/>
    <s v="491"/>
    <s v="MG"/>
    <s v="Eixo Principal"/>
    <s v="-"/>
    <s v="491BMG0170"/>
    <s v="ACESSO ELÓI MENDES"/>
    <s v="ENTR MG-167(A) (VARGINHA)"/>
    <n v="221.3"/>
    <n v="236.3"/>
    <n v="15"/>
    <x v="1"/>
    <m/>
    <m/>
    <s v="Estadual"/>
    <m/>
    <s v="MG-491"/>
    <s v="PAV"/>
    <s v="Estadual"/>
    <s v="PLA"/>
    <s v="Caxambu"/>
  </r>
  <r>
    <x v="0"/>
    <s v="491BMG0190"/>
    <n v="0"/>
    <x v="482"/>
    <s v="0190"/>
    <n v="-45.453593119726598"/>
    <n v="-21.561436959947599"/>
    <n v="-45.442332550106997"/>
    <n v="-21.579327849700402"/>
    <s v="491"/>
    <s v="MG"/>
    <s v="Eixo Principal"/>
    <s v="-"/>
    <s v="491BMG0190"/>
    <s v="ENTR MG-167(A) (VARGINHA)"/>
    <s v="ENTR AV. PRINCESA DO SUL"/>
    <n v="236.3"/>
    <n v="239.3"/>
    <n v="3"/>
    <x v="1"/>
    <m/>
    <m/>
    <s v="Estadual"/>
    <m/>
    <s v="MG-491"/>
    <s v="DUP"/>
    <s v="Estadual"/>
    <s v="PLA"/>
    <s v="Caxambu"/>
  </r>
  <r>
    <x v="0"/>
    <s v="491BMG0210"/>
    <n v="0"/>
    <x v="482"/>
    <s v="0210"/>
    <n v="-45.442332550106997"/>
    <n v="-21.579327849700402"/>
    <n v="-45.439050049819897"/>
    <n v="-21.597416489579299"/>
    <s v="491"/>
    <s v="MG"/>
    <s v="Eixo Principal"/>
    <s v="-"/>
    <s v="491BMG0210"/>
    <s v="ENTR AV. PRINCESA DO SUL"/>
    <s v="FIM PISTA DUPLA"/>
    <n v="239.3"/>
    <n v="241.5"/>
    <n v="2.2000000000000002"/>
    <x v="1"/>
    <m/>
    <m/>
    <s v="Estadual"/>
    <m/>
    <s v="MG-491"/>
    <s v="DUP"/>
    <s v="Estadual"/>
    <s v="PLA"/>
    <s v="Caxambu"/>
  </r>
  <r>
    <x v="0"/>
    <s v="491BMG0230"/>
    <n v="0"/>
    <x v="482"/>
    <s v="0230"/>
    <n v="-45.439050049819897"/>
    <n v="-21.597416489579299"/>
    <n v="-45.335961160279197"/>
    <n v="-21.673402200351202"/>
    <s v="491"/>
    <s v="MG"/>
    <s v="Eixo Principal"/>
    <s v="-"/>
    <s v="491BMG0230"/>
    <s v="FIM PISTA DUPLA"/>
    <s v="ENTR BR-381/MG-167(B)"/>
    <n v="241.5"/>
    <n v="258.10000000000002"/>
    <n v="16.600000000000001"/>
    <x v="1"/>
    <m/>
    <m/>
    <s v="Estadual"/>
    <m/>
    <s v="MGT-491"/>
    <s v="PAV"/>
    <s v="Estadual"/>
    <s v="PLA"/>
    <s v="Caxambu"/>
  </r>
  <r>
    <x v="0"/>
    <s v="492BRJ0010"/>
    <n v="0"/>
    <x v="483"/>
    <s v="0010"/>
    <n v="-41.343330240098403"/>
    <n v="-21.375841579625099"/>
    <n v="-41.409073330170003"/>
    <n v="-21.438274009837599"/>
    <s v="492"/>
    <s v="RJ"/>
    <s v="Eixo Principal"/>
    <s v="-"/>
    <s v="492BRJ0010"/>
    <s v="ENTR BR-101 (MORRO DO COCO)"/>
    <s v="ENTR RJ-228 (VILA NOVA DE CAMPOS)"/>
    <n v="0"/>
    <n v="11.4"/>
    <n v="11.4"/>
    <x v="1"/>
    <m/>
    <m/>
    <s v="Estadual"/>
    <m/>
    <s v="RJ-204"/>
    <s v="IMP"/>
    <s v="Estadual"/>
    <s v="PLA"/>
    <s v="Campos"/>
  </r>
  <r>
    <x v="0"/>
    <s v="492BRJ0030"/>
    <n v="0"/>
    <x v="483"/>
    <s v="0030"/>
    <n v="-41.409073330170003"/>
    <n v="-21.438274009837599"/>
    <n v="-41.475039450310298"/>
    <n v="-21.477634719666501"/>
    <s v="492"/>
    <s v="RJ"/>
    <s v="Eixo Principal"/>
    <s v="-"/>
    <s v="492BRJ0030"/>
    <s v="ENTR RJ-228 (VILA NOVA DE CAMPOS)"/>
    <s v="SÃO JOAQUIM"/>
    <n v="11.4"/>
    <n v="21.1"/>
    <n v="9.6999999999999993"/>
    <x v="1"/>
    <m/>
    <m/>
    <s v="Estadual"/>
    <m/>
    <s v="RJ-204"/>
    <s v="PAV"/>
    <s v="Estadual"/>
    <s v="PLA"/>
    <s v="Campos"/>
  </r>
  <r>
    <x v="0"/>
    <s v="492BRJ0040"/>
    <n v="0"/>
    <x v="483"/>
    <s v="0040"/>
    <n v="-41.475039450310298"/>
    <n v="-21.477634719666501"/>
    <n v="-41.5413179499634"/>
    <n v="-21.528171829766102"/>
    <s v="492"/>
    <s v="RJ"/>
    <s v="Eixo Principal"/>
    <s v="-"/>
    <s v="492BRJ0040"/>
    <s v="SÃO JOAQUIM"/>
    <s v="ENTR BR-356(A) (P/CAMPOS)"/>
    <n v="21.1"/>
    <n v="31.1"/>
    <n v="10"/>
    <x v="1"/>
    <m/>
    <m/>
    <s v="Estadual"/>
    <m/>
    <s v="RJ-204"/>
    <s v="PAV"/>
    <s v="Estadual"/>
    <s v="PLA"/>
    <s v="Campos"/>
  </r>
  <r>
    <x v="0"/>
    <s v="492BRJ0045"/>
    <n v="0"/>
    <x v="483"/>
    <s v="0045"/>
    <n v="-41.5413179499634"/>
    <n v="-21.528171829766102"/>
    <n v="-41.546443810433402"/>
    <n v="-21.522932679899199"/>
    <s v="492"/>
    <s v="RJ"/>
    <s v="Eixo Principal"/>
    <s v="Coinc"/>
    <s v="492BRJ0045"/>
    <s v="ENTR BR-356(A) (P/CAMPOS)"/>
    <s v="ENTR BR-356(B) (FAZENDA DO LUNA)"/>
    <n v="31.1"/>
    <n v="31.9"/>
    <n v="0.8"/>
    <x v="2"/>
    <m/>
    <s v="356BRJ0385"/>
    <s v="Federal"/>
    <m/>
    <m/>
    <m/>
    <s v="Federal"/>
    <s v="PAV"/>
    <s v="Campos"/>
  </r>
  <r>
    <x v="0"/>
    <s v="492BRJ0050"/>
    <n v="0"/>
    <x v="483"/>
    <s v="0050"/>
    <n v="-41.546443810433402"/>
    <n v="-21.522932679899199"/>
    <n v="-41.6216173596533"/>
    <n v="-21.568549849995499"/>
    <s v="492"/>
    <s v="RJ"/>
    <s v="Eixo Principal"/>
    <s v="-"/>
    <s v="492BRJ0050"/>
    <s v="ENTR BR-356(B) (FAZENDA DO LUNA)"/>
    <s v="SÃO LUIS"/>
    <n v="31.9"/>
    <n v="41.9"/>
    <n v="10"/>
    <x v="1"/>
    <m/>
    <m/>
    <s v="Estadual"/>
    <m/>
    <s v="RJ-204"/>
    <s v="PAV"/>
    <s v="Estadual"/>
    <s v="PLA"/>
    <s v="Campos"/>
  </r>
  <r>
    <x v="0"/>
    <s v="492BRJ0070"/>
    <n v="0"/>
    <x v="483"/>
    <s v="0070"/>
    <n v="-41.6216173596533"/>
    <n v="-21.568549849995499"/>
    <n v="-41.7041176604016"/>
    <n v="-21.6046958900032"/>
    <s v="492"/>
    <s v="RJ"/>
    <s v="Eixo Principal"/>
    <s v="-"/>
    <s v="492BRJ0070"/>
    <s v="SÃO LUIS"/>
    <s v="ENTR RJ-206 (CASA BRANCA)"/>
    <n v="41.9"/>
    <n v="53.2"/>
    <n v="11.3"/>
    <x v="1"/>
    <m/>
    <m/>
    <s v="Estadual"/>
    <m/>
    <s v="RJ-204"/>
    <s v="LEN"/>
    <s v="Estadual"/>
    <s v="PLA"/>
    <s v="Campos"/>
  </r>
  <r>
    <x v="0"/>
    <s v="492BRJ0090"/>
    <n v="0"/>
    <x v="483"/>
    <s v="0090"/>
    <n v="-41.7041176604016"/>
    <n v="-21.6046958900032"/>
    <n v="-41.727727869645399"/>
    <n v="-21.644871630221498"/>
    <s v="492"/>
    <s v="RJ"/>
    <s v="Eixo Principal"/>
    <s v="-"/>
    <s v="492BRJ0090"/>
    <s v="ENTR RJ-206 (CASA BRANCA)"/>
    <s v="ENTR RJ-194"/>
    <n v="53.2"/>
    <n v="59"/>
    <n v="5.8"/>
    <x v="1"/>
    <m/>
    <m/>
    <s v="Estadual"/>
    <m/>
    <s v="RJ-204"/>
    <s v="LEN"/>
    <s v="Estadual"/>
    <s v="PLA"/>
    <s v="Campos"/>
  </r>
  <r>
    <x v="0"/>
    <s v="492BRJ0100"/>
    <n v="0"/>
    <x v="483"/>
    <s v="0100"/>
    <n v="-41.727727869645399"/>
    <n v="-21.644871630221498"/>
    <n v="-41.730340169962801"/>
    <n v="-21.644782420172501"/>
    <s v="492"/>
    <s v="RJ"/>
    <s v="Eixo Principal"/>
    <s v="-"/>
    <s v="492BRJ0100"/>
    <s v="ENTR RJ-194"/>
    <s v="INÍCIO PAVIMENTAÇÃO"/>
    <n v="59"/>
    <n v="59.9"/>
    <n v="0.9"/>
    <x v="1"/>
    <m/>
    <m/>
    <s v="Estadual"/>
    <m/>
    <s v="RJ-204"/>
    <s v="LEN"/>
    <s v="Estadual"/>
    <s v="PLA"/>
    <s v="Campos"/>
  </r>
  <r>
    <x v="0"/>
    <s v="492BRJ0105"/>
    <n v="0"/>
    <x v="483"/>
    <s v="0105"/>
    <n v="-41.730340169962801"/>
    <n v="-21.644782420172501"/>
    <n v="-41.744278270425802"/>
    <n v="-21.641590260382099"/>
    <s v="492"/>
    <s v="RJ"/>
    <s v="Eixo Principal"/>
    <s v="-"/>
    <s v="492BRJ0105"/>
    <s v="INÍCIO PAVIMENTAÇÃO"/>
    <s v="ENTR RJ-194 (IPUCA)"/>
    <n v="59.9"/>
    <n v="60.8"/>
    <n v="0.9"/>
    <x v="1"/>
    <m/>
    <m/>
    <s v="Estadual"/>
    <m/>
    <s v="RJ-204"/>
    <s v="PAV"/>
    <s v="Estadual"/>
    <s v="PLA"/>
    <s v="Campos"/>
  </r>
  <r>
    <x v="0"/>
    <s v="492BRJ0110"/>
    <n v="0"/>
    <x v="483"/>
    <s v="0110"/>
    <n v="-41.744278270425802"/>
    <n v="-21.641590260382099"/>
    <n v="-41.748972020142503"/>
    <n v="-21.6466496096916"/>
    <s v="492"/>
    <s v="RJ"/>
    <s v="Eixo Principal"/>
    <s v="-"/>
    <s v="492BRJ0110"/>
    <s v="ENTR RJ-194 (IPUCA)"/>
    <s v="ENTR RJ-158(A) (SÃO FIDÉLIS)"/>
    <n v="60.8"/>
    <n v="61.8"/>
    <n v="1"/>
    <x v="1"/>
    <m/>
    <m/>
    <s v="Estadual"/>
    <m/>
    <s v="RJ-204"/>
    <s v="PAV"/>
    <s v="Estadual"/>
    <s v="PLA"/>
    <s v="Campos"/>
  </r>
  <r>
    <x v="0"/>
    <s v="492BRJ0130"/>
    <n v="0"/>
    <x v="483"/>
    <s v="0130"/>
    <n v="-41.748972020142503"/>
    <n v="-21.6466496096916"/>
    <n v="-41.824664329794899"/>
    <n v="-21.621746410068699"/>
    <s v="492"/>
    <s v="RJ"/>
    <s v="Eixo Principal"/>
    <s v="-"/>
    <s v="492BRJ0130"/>
    <s v="ENTR RJ-158(A) (SÃO FIDÉLIS)"/>
    <s v="ENTR RJ-158(B)"/>
    <n v="61.8"/>
    <n v="72.400000000000006"/>
    <n v="10.6"/>
    <x v="1"/>
    <m/>
    <m/>
    <s v="Estadual"/>
    <m/>
    <s v="RJ-158"/>
    <s v="PAV"/>
    <s v="Estadual"/>
    <s v="PLA"/>
    <s v="Campos"/>
  </r>
  <r>
    <x v="0"/>
    <s v="492BRJ0150"/>
    <n v="0"/>
    <x v="483"/>
    <s v="0150"/>
    <n v="-41.824664329794899"/>
    <n v="-21.621746410068699"/>
    <n v="-41.917729390199099"/>
    <n v="-21.723439319768701"/>
    <s v="492"/>
    <s v="RJ"/>
    <s v="Eixo Principal"/>
    <s v="-"/>
    <s v="492BRJ0150"/>
    <s v="ENTR RJ-158(B)"/>
    <s v="ENTR RJ-146 (CAMBIASCA)"/>
    <n v="72.400000000000006"/>
    <n v="89.5"/>
    <n v="17.100000000000001"/>
    <x v="1"/>
    <m/>
    <m/>
    <s v="Estadual"/>
    <m/>
    <s v="RJ-192"/>
    <s v="PAV"/>
    <s v="Estadual"/>
    <s v="PLA"/>
    <s v="Campos"/>
  </r>
  <r>
    <x v="0"/>
    <s v="492BRJ0170"/>
    <n v="0"/>
    <x v="483"/>
    <s v="0170"/>
    <n v="-41.917729390199099"/>
    <n v="-21.723439319768701"/>
    <n v="-41.9892311603896"/>
    <n v="-21.731727889930099"/>
    <s v="492"/>
    <s v="RJ"/>
    <s v="Eixo Principal"/>
    <s v="-"/>
    <s v="492BRJ0170"/>
    <s v="ENTR RJ-146 (CAMBIASCA)"/>
    <s v="ENTR RJ-116(A) (PONTO DE PERGUNTA)"/>
    <n v="89.5"/>
    <n v="99.3"/>
    <n v="9.8000000000000007"/>
    <x v="1"/>
    <m/>
    <m/>
    <s v="Estadual"/>
    <m/>
    <s v="RJ-192"/>
    <s v="PAV"/>
    <s v="Estadual"/>
    <s v="PLA"/>
    <s v="Campos"/>
  </r>
  <r>
    <x v="0"/>
    <s v="492BRJ0190"/>
    <n v="0"/>
    <x v="483"/>
    <s v="0190"/>
    <n v="-41.9892311603896"/>
    <n v="-21.731727889930099"/>
    <n v="-42.081866909630101"/>
    <n v="-21.8313424600864"/>
    <s v="492"/>
    <s v="RJ"/>
    <s v="Eixo Principal"/>
    <s v="-"/>
    <s v="492BRJ0190"/>
    <s v="ENTR RJ-116(A) (PONTO DE PERGUNTA)"/>
    <s v="ENTR RJ-184 (VALÃO DO BARRO)"/>
    <n v="99.3"/>
    <n v="118.1"/>
    <n v="18.8"/>
    <x v="1"/>
    <m/>
    <m/>
    <s v="Estadual"/>
    <m/>
    <s v="RJ-116"/>
    <s v="PAV"/>
    <s v="Estadual"/>
    <s v="PLA"/>
    <s v="Campos"/>
  </r>
  <r>
    <x v="0"/>
    <s v="492BRJ0210"/>
    <n v="0"/>
    <x v="483"/>
    <s v="0210"/>
    <n v="-42.081866909630101"/>
    <n v="-21.8313424600864"/>
    <n v="-42.157277350169501"/>
    <n v="-21.920545120261"/>
    <s v="492"/>
    <s v="RJ"/>
    <s v="Eixo Principal"/>
    <s v="-"/>
    <s v="492BRJ0210"/>
    <s v="ENTR RJ-184 (VALÃO DO BARRO)"/>
    <s v="ENTR RJ-176 (P/SÃO SEBASTIÃO DO ALTO)"/>
    <n v="118.1"/>
    <n v="131.69999999999999"/>
    <n v="13.6"/>
    <x v="1"/>
    <m/>
    <m/>
    <s v="Estadual"/>
    <m/>
    <s v="RJ-116"/>
    <s v="PAV"/>
    <s v="Estadual"/>
    <s v="PLA"/>
    <s v="Campos"/>
  </r>
  <r>
    <x v="0"/>
    <s v="492BRJ0230"/>
    <n v="0"/>
    <x v="483"/>
    <s v="0230"/>
    <n v="-42.157277350169501"/>
    <n v="-21.920545120261"/>
    <n v="-42.258647619991599"/>
    <n v="-21.995644579733501"/>
    <s v="492"/>
    <s v="RJ"/>
    <s v="Eixo Principal"/>
    <s v="-"/>
    <s v="492BRJ0230"/>
    <s v="ENTR RJ-176 (P/SÃO SEBASTIÃO DO ALTO)"/>
    <s v="ENTR RJ-172 (MACUCO)"/>
    <n v="131.69999999999999"/>
    <n v="147.6"/>
    <n v="15.9"/>
    <x v="1"/>
    <m/>
    <m/>
    <s v="Estadual"/>
    <m/>
    <s v="RJ-116"/>
    <s v="PAV"/>
    <s v="Estadual"/>
    <s v="PLA"/>
    <s v="Campos"/>
  </r>
  <r>
    <x v="0"/>
    <s v="492BRJ0250"/>
    <n v="0"/>
    <x v="483"/>
    <s v="0250"/>
    <n v="-42.258647619991599"/>
    <n v="-21.995644579733501"/>
    <n v="-42.289967959953302"/>
    <n v="-21.990848579798001"/>
    <s v="492"/>
    <s v="RJ"/>
    <s v="Eixo Principal"/>
    <s v="-"/>
    <s v="492BRJ0250"/>
    <s v="ENTR RJ-172 (MACUCO)"/>
    <s v="ENTR RJ-166"/>
    <n v="147.6"/>
    <n v="151.30000000000001"/>
    <n v="3.7"/>
    <x v="1"/>
    <m/>
    <m/>
    <s v="Estadual"/>
    <m/>
    <s v="RJ-116"/>
    <s v="PAV"/>
    <s v="Estadual"/>
    <s v="PLA"/>
    <s v="Campos"/>
  </r>
  <r>
    <x v="0"/>
    <s v="492BRJ0270"/>
    <n v="0"/>
    <x v="483"/>
    <s v="0270"/>
    <n v="-42.289967959953302"/>
    <n v="-21.990848579798001"/>
    <n v="-42.316564070375399"/>
    <n v="-22.001434569749499"/>
    <s v="492"/>
    <s v="RJ"/>
    <s v="Eixo Principal"/>
    <s v="-"/>
    <s v="492BRJ0270"/>
    <s v="ENTR RJ-166"/>
    <s v="ENTR RJ-164 (P/CANTAGALO)"/>
    <n v="151.30000000000001"/>
    <n v="154.9"/>
    <n v="3.6"/>
    <x v="1"/>
    <m/>
    <m/>
    <s v="Estadual"/>
    <m/>
    <s v="RJ-116"/>
    <s v="PAV"/>
    <s v="Estadual"/>
    <s v="PLA"/>
    <s v="Campos"/>
  </r>
  <r>
    <x v="0"/>
    <s v="492BRJ0290"/>
    <n v="0"/>
    <x v="483"/>
    <s v="0290"/>
    <n v="-42.316564070375399"/>
    <n v="-22.001434569749499"/>
    <n v="-42.3556172201585"/>
    <n v="-22.048143649909399"/>
    <s v="492"/>
    <s v="RJ"/>
    <s v="Eixo Principal"/>
    <s v="-"/>
    <s v="492BRJ0290"/>
    <s v="ENTR RJ-164 (P/CANTAGALO)"/>
    <s v="ENTR RJ-160 (P/CORDEIRO)"/>
    <n v="154.9"/>
    <n v="161.9"/>
    <n v="7"/>
    <x v="1"/>
    <m/>
    <m/>
    <s v="Estadual"/>
    <m/>
    <s v="RJ-116"/>
    <s v="PAV"/>
    <s v="Estadual"/>
    <s v="PLA"/>
    <s v="Campos"/>
  </r>
  <r>
    <x v="0"/>
    <s v="492BRJ0310"/>
    <n v="0"/>
    <x v="483"/>
    <s v="0310"/>
    <n v="-42.3556172201585"/>
    <n v="-22.048143649909399"/>
    <n v="-42.418977780400198"/>
    <n v="-22.116439999806101"/>
    <s v="492"/>
    <s v="RJ"/>
    <s v="Eixo Principal"/>
    <s v="-"/>
    <s v="492BRJ0310"/>
    <s v="ENTR RJ-160 (P/CORDEIRO)"/>
    <s v="ENTR BR-120/RJ-144"/>
    <n v="161.9"/>
    <n v="174.9"/>
    <n v="13"/>
    <x v="1"/>
    <m/>
    <m/>
    <s v="Estadual"/>
    <m/>
    <s v="RJ-116"/>
    <s v="PAV"/>
    <s v="Estadual"/>
    <s v="PLA"/>
    <s v="Campos"/>
  </r>
  <r>
    <x v="0"/>
    <s v="492BRJ0330"/>
    <n v="0"/>
    <x v="483"/>
    <s v="0330"/>
    <n v="-42.418977780400198"/>
    <n v="-22.116439999806101"/>
    <n v="-42.423848059839997"/>
    <n v="-22.162896259854399"/>
    <s v="492"/>
    <s v="RJ"/>
    <s v="Eixo Principal"/>
    <s v="-"/>
    <s v="492BRJ0330"/>
    <s v="ENTR BR-120/RJ-144"/>
    <s v="ENTR RJ-146 (BOM JARDIM)"/>
    <n v="174.9"/>
    <n v="182.6"/>
    <n v="7.7"/>
    <x v="1"/>
    <m/>
    <m/>
    <s v="Estadual"/>
    <m/>
    <s v="RJ-116"/>
    <s v="PAV"/>
    <s v="Estadual"/>
    <s v="PLA"/>
    <s v="Campos"/>
  </r>
  <r>
    <x v="0"/>
    <s v="492BRJ0350"/>
    <n v="0"/>
    <x v="483"/>
    <s v="0350"/>
    <n v="-42.423848059839997"/>
    <n v="-22.162896259854399"/>
    <n v="-42.5195452101432"/>
    <n v="-22.2287829896432"/>
    <s v="492"/>
    <s v="RJ"/>
    <s v="Eixo Principal"/>
    <s v="-"/>
    <s v="492BRJ0350"/>
    <s v="ENTR RJ-146 (BOM JARDIM)"/>
    <s v="ENTR RJ-148 (CONSELHEIRO PAULINO)"/>
    <n v="182.6"/>
    <n v="198.1"/>
    <n v="15.5"/>
    <x v="1"/>
    <m/>
    <m/>
    <s v="Estadual"/>
    <m/>
    <s v="RJ-116"/>
    <s v="PAV"/>
    <s v="Estadual"/>
    <s v="PLA"/>
    <s v="Campos"/>
  </r>
  <r>
    <x v="0"/>
    <s v="492BRJ0370"/>
    <n v="0"/>
    <x v="483"/>
    <s v="0370"/>
    <n v="-42.5195452101432"/>
    <n v="-22.2287829896432"/>
    <n v="-42.532948040419598"/>
    <n v="-22.261433899954401"/>
    <s v="492"/>
    <s v="RJ"/>
    <s v="Eixo Principal"/>
    <s v="-"/>
    <s v="492BRJ0370"/>
    <s v="ENTR RJ-148 (CONSELHEIRO PAULINO)"/>
    <s v="ENTR RJ-116(B) (P/NOVA FRIBURGO)"/>
    <n v="198.1"/>
    <n v="202.2"/>
    <n v="4.0999999999999996"/>
    <x v="1"/>
    <m/>
    <m/>
    <s v="Estadual"/>
    <m/>
    <s v="RJ-116"/>
    <s v="PAV"/>
    <s v="Estadual"/>
    <s v="PLA"/>
    <s v="Campos"/>
  </r>
  <r>
    <x v="0"/>
    <s v="492BRJ0410"/>
    <n v="0"/>
    <x v="483"/>
    <s v="0410"/>
    <n v="-42.532948040419598"/>
    <n v="-22.261433899954401"/>
    <n v="-42.8163626401237"/>
    <n v="-22.306011380021101"/>
    <s v="492"/>
    <s v="RJ"/>
    <s v="Eixo Principal"/>
    <s v="-"/>
    <s v="492BRJ0410"/>
    <s v="ENTR RJ-116(B) (P/NOVA FRIBURGO)"/>
    <s v="ENTR RJ-130 (CAMPANHA)"/>
    <n v="202.2"/>
    <n v="246.4"/>
    <n v="44.2"/>
    <x v="1"/>
    <m/>
    <m/>
    <s v="Estadual"/>
    <m/>
    <s v="RJ-130"/>
    <s v="PAV"/>
    <s v="Estadual"/>
    <s v="PLA"/>
    <s v="Campos"/>
  </r>
  <r>
    <x v="0"/>
    <s v="492BRJ0430"/>
    <n v="0"/>
    <x v="483"/>
    <s v="0430"/>
    <n v="-42.8163626401237"/>
    <n v="-22.306011380021101"/>
    <n v="-42.908430419827901"/>
    <n v="-22.228461759902199"/>
    <s v="492"/>
    <s v="RJ"/>
    <s v="Eixo Principal"/>
    <s v="-"/>
    <s v="492BRJ0430"/>
    <s v="ENTR RJ-130 (CAMPANHA)"/>
    <s v="ENTR BR-116(A) (PONTE NOVA)"/>
    <n v="246.4"/>
    <n v="265"/>
    <n v="18.600000000000001"/>
    <x v="1"/>
    <m/>
    <m/>
    <s v="Estadual"/>
    <m/>
    <s v="RJ-134"/>
    <s v="LEN"/>
    <s v="Estadual"/>
    <s v="PLA"/>
    <s v="Campos"/>
  </r>
  <r>
    <x v="0"/>
    <s v="492BRJ0450"/>
    <n v="0"/>
    <x v="483"/>
    <s v="0450"/>
    <n v="-42.908430419827901"/>
    <n v="-22.228461759902199"/>
    <n v="-42.8974858602841"/>
    <n v="-22.204632709631799"/>
    <s v="492"/>
    <s v="RJ"/>
    <s v="Eixo Principal"/>
    <s v="Coinc"/>
    <s v="492BRJ0450"/>
    <s v="ENTR BR-116(A) (PONTE NOVA)"/>
    <s v="ENTR BR-116(B)"/>
    <n v="265"/>
    <n v="268.10000000000002"/>
    <n v="3.1"/>
    <x v="2"/>
    <m/>
    <s v="116BRJ1550"/>
    <s v="Concessão Federal"/>
    <m/>
    <m/>
    <m/>
    <s v="Federal"/>
    <s v="PAV"/>
    <s v="Seropédica"/>
  </r>
  <r>
    <x v="0"/>
    <s v="492BRJ0470"/>
    <n v="0"/>
    <x v="483"/>
    <s v="0470"/>
    <n v="-42.8974858602841"/>
    <n v="-22.204632709631799"/>
    <n v="-42.916989419725802"/>
    <n v="-22.148203510383599"/>
    <s v="492"/>
    <s v="RJ"/>
    <s v="Eixo Principal"/>
    <s v="-"/>
    <s v="492BRJ0470"/>
    <s v="ENTR BR-116(B)"/>
    <s v="SÃO JOSÉ DO RIO PRETO"/>
    <n v="268.10000000000002"/>
    <n v="281.5"/>
    <n v="13.4"/>
    <x v="1"/>
    <m/>
    <m/>
    <s v="Estadual"/>
    <m/>
    <s v="RJ-134"/>
    <s v="PAV"/>
    <s v="Estadual"/>
    <s v="PLA"/>
    <s v="Campos"/>
  </r>
  <r>
    <x v="0"/>
    <s v="492BRJ0490"/>
    <n v="0"/>
    <x v="483"/>
    <s v="0490"/>
    <n v="-42.916989419725802"/>
    <n v="-22.148203510383599"/>
    <n v="-43.0736535702559"/>
    <n v="-22.251916249735"/>
    <s v="492"/>
    <s v="RJ"/>
    <s v="Eixo Principal"/>
    <s v="-"/>
    <s v="492BRJ0490"/>
    <s v="SÃO JOSÉ DO RIO PRETO"/>
    <s v="ANTIGA BR-040 (POSSE)"/>
    <n v="281.5"/>
    <n v="307.5"/>
    <n v="26"/>
    <x v="1"/>
    <m/>
    <m/>
    <s v="Estadual"/>
    <m/>
    <s v="RJ-134"/>
    <s v="PAV"/>
    <s v="Estadual"/>
    <s v="PLA"/>
    <s v="Campos"/>
  </r>
  <r>
    <x v="0"/>
    <s v="492BRJ0500"/>
    <n v="0"/>
    <x v="483"/>
    <s v="0500"/>
    <n v="-43.0736535702559"/>
    <n v="-22.251916249735"/>
    <n v="-43.114134390189903"/>
    <n v="-22.2333203904236"/>
    <s v="492"/>
    <s v="RJ"/>
    <s v="Eixo Principal"/>
    <s v="-"/>
    <s v="492BRJ0500"/>
    <s v="ANTIGA BR-040 (POSSE)"/>
    <s v="ENTR BR-040(A) (TREVO P/ AREAL)"/>
    <n v="307.5"/>
    <n v="316.10000000000002"/>
    <n v="8.6"/>
    <x v="1"/>
    <m/>
    <m/>
    <s v="Estadual"/>
    <m/>
    <s v="RJT-492"/>
    <s v="PAV"/>
    <s v="Estadual"/>
    <s v="PLA"/>
    <s v="Campos"/>
  </r>
  <r>
    <x v="0"/>
    <s v="492BRJ0510"/>
    <n v="0"/>
    <x v="483"/>
    <s v="0510"/>
    <n v="-43.114134390189903"/>
    <n v="-22.2333203904236"/>
    <n v="-43.133573280282597"/>
    <n v="-22.3330698597861"/>
    <s v="492"/>
    <s v="RJ"/>
    <s v="Eixo Principal"/>
    <s v="Coinc"/>
    <s v="492BRJ0510"/>
    <s v="ENTR BR-040(A) (TREVO P/ AREAL)"/>
    <s v="ENTR BR-040(B) (PEDRO DO RIO)"/>
    <n v="316.10000000000002"/>
    <n v="328.8"/>
    <n v="12.7"/>
    <x v="0"/>
    <m/>
    <s v="040BRJ0770"/>
    <s v="Concessão Federal"/>
    <m/>
    <m/>
    <m/>
    <s v="Federal"/>
    <s v="PAV"/>
    <s v="Seropédica"/>
  </r>
  <r>
    <x v="0"/>
    <s v="492BRJ0530"/>
    <n v="0"/>
    <x v="483"/>
    <s v="0530"/>
    <n v="-43.133573280282597"/>
    <n v="-22.3330698597861"/>
    <n v="-43.177207890431703"/>
    <n v="-22.330476539660499"/>
    <s v="492"/>
    <s v="RJ"/>
    <s v="Eixo Principal"/>
    <s v="-"/>
    <s v="492BRJ0530"/>
    <s v="ENTR BR-040(B) (PEDRO DO RIO)"/>
    <s v="SECRETÁRIO"/>
    <n v="328.8"/>
    <n v="337.4"/>
    <n v="8.6"/>
    <x v="1"/>
    <m/>
    <m/>
    <s v="Estadual"/>
    <m/>
    <s v="RJ-123"/>
    <s v="PAV"/>
    <s v="Estadual"/>
    <s v="PLA"/>
    <s v="Campos"/>
  </r>
  <r>
    <x v="0"/>
    <s v="492BRJ0531"/>
    <n v="0"/>
    <x v="483"/>
    <s v="0531"/>
    <n v="-43.177207890431703"/>
    <n v="-22.330476539660499"/>
    <n v="-43.405082689814201"/>
    <n v="-22.3186922696324"/>
    <s v="492"/>
    <s v="RJ"/>
    <s v="Eixo Principal"/>
    <s v="-"/>
    <s v="492BRJ0531"/>
    <s v="SECRETÁRIO"/>
    <s v="ENTR RJ-125 (AVELAR)"/>
    <n v="337.4"/>
    <n v="372.4"/>
    <n v="35"/>
    <x v="1"/>
    <m/>
    <m/>
    <s v="Estadual"/>
    <m/>
    <s v="RJ-123"/>
    <s v="LEN"/>
    <s v="Estadual"/>
    <s v="PLA"/>
    <s v="Campos"/>
  </r>
  <r>
    <x v="0"/>
    <s v="492BRJ0550"/>
    <n v="0"/>
    <x v="483"/>
    <s v="0550"/>
    <n v="-43.405082689814201"/>
    <n v="-22.3186922696324"/>
    <n v="-43.5350781195595"/>
    <n v="-22.325311299676599"/>
    <s v="492"/>
    <s v="RJ"/>
    <s v="Eixo Principal"/>
    <s v="-"/>
    <s v="492BRJ0550"/>
    <s v="ENTR RJ-125 (AVELAR)"/>
    <s v="ENTR BR-393 (MAÇAMBARA)"/>
    <n v="372.4"/>
    <n v="390.5"/>
    <n v="18.100000000000001"/>
    <x v="1"/>
    <m/>
    <m/>
    <s v="Estadual"/>
    <m/>
    <s v="RJ-123"/>
    <s v="PAV"/>
    <s v="Estadual"/>
    <s v="PLA"/>
    <s v="Campos"/>
  </r>
  <r>
    <x v="0"/>
    <s v="493BRJ0010"/>
    <n v="0"/>
    <x v="484"/>
    <s v="0010"/>
    <n v="-42.922001270442202"/>
    <n v="-22.770935269646898"/>
    <n v="-42.995434170150801"/>
    <n v="-22.663804389760699"/>
    <s v="493"/>
    <s v="RJ"/>
    <s v="Eixo Principal"/>
    <s v="-"/>
    <s v="493BRJ0010"/>
    <s v="ENTR BR-101 (MANILHA)"/>
    <s v="ENTR RJ-112"/>
    <n v="0"/>
    <n v="15.5"/>
    <n v="15.5"/>
    <x v="2"/>
    <s v="EOD"/>
    <m/>
    <s v="Federal"/>
    <m/>
    <m/>
    <m/>
    <s v="Federal"/>
    <s v="PAV"/>
    <s v="Seropédica"/>
  </r>
  <r>
    <x v="0"/>
    <s v="493BRJ0030"/>
    <n v="0"/>
    <x v="484"/>
    <s v="0030"/>
    <n v="-42.995434170150801"/>
    <n v="-22.663804389760699"/>
    <n v="-43.033799510339001"/>
    <n v="-22.663708629949198"/>
    <s v="493"/>
    <s v="RJ"/>
    <s v="Eixo Principal"/>
    <s v="-"/>
    <s v="493BRJ0030"/>
    <s v="ENTR RJ-112"/>
    <s v="ENTR RUA SIMÃO DA COSTA (MAGÉ)"/>
    <n v="15.5"/>
    <n v="19.7"/>
    <n v="4.2"/>
    <x v="2"/>
    <s v="EOD"/>
    <m/>
    <s v="Federal"/>
    <m/>
    <m/>
    <m/>
    <s v="Federal"/>
    <s v="PAV"/>
    <s v="Seropédica"/>
  </r>
  <r>
    <x v="0"/>
    <s v="493BRJ0050"/>
    <n v="0"/>
    <x v="484"/>
    <s v="0050"/>
    <n v="-43.033799510339001"/>
    <n v="-22.663708629949198"/>
    <n v="-43.0884151097694"/>
    <n v="-22.656669229801"/>
    <s v="493"/>
    <s v="RJ"/>
    <s v="Eixo Principal"/>
    <s v="-"/>
    <s v="493BRJ0050"/>
    <s v="ENTR RUA SIMÃO DA COSTA (MAGÉ)"/>
    <s v="ENTR BR-116(A) (SANTA GUILHERMINA)"/>
    <n v="19.7"/>
    <n v="26"/>
    <n v="6.3"/>
    <x v="2"/>
    <s v="EOD"/>
    <m/>
    <s v="Federal"/>
    <m/>
    <m/>
    <m/>
    <s v="Federal"/>
    <s v="PAV"/>
    <s v="Seropédica"/>
  </r>
  <r>
    <x v="0"/>
    <s v="493BRJ0070"/>
    <n v="0"/>
    <x v="484"/>
    <s v="0070"/>
    <n v="-43.0884151097694"/>
    <n v="-22.656669229801"/>
    <n v="-43.2237391701265"/>
    <n v="-22.6474444995639"/>
    <s v="493"/>
    <s v="RJ"/>
    <s v="Eixo Principal"/>
    <s v="Coinc"/>
    <s v="493BRJ0070"/>
    <s v="ENTR BR-116(A) (SANTA GUILHERMINA)"/>
    <s v="ENTR RJ-107 (IMBARIÊ)"/>
    <n v="26"/>
    <n v="41"/>
    <n v="15"/>
    <x v="0"/>
    <m/>
    <s v="116BRJ1670"/>
    <s v="Concessão Federal"/>
    <m/>
    <m/>
    <m/>
    <s v="Federal"/>
    <s v="PAV"/>
    <s v="Seropédica"/>
  </r>
  <r>
    <x v="0"/>
    <s v="493BRJ0090"/>
    <n v="0"/>
    <x v="484"/>
    <s v="0090"/>
    <n v="-43.2237391701265"/>
    <n v="-22.6474444995639"/>
    <n v="-43.286007429998797"/>
    <n v="-22.6719473803672"/>
    <s v="493"/>
    <s v="RJ"/>
    <s v="Eixo Principal"/>
    <s v="Coinc"/>
    <s v="493BRJ0090"/>
    <s v="ENTR RJ-107 (IMBARIÊ)"/>
    <s v="ENTR BR-040/116(B)"/>
    <n v="41"/>
    <n v="48.1"/>
    <n v="7.1"/>
    <x v="0"/>
    <m/>
    <s v="116BRJ1690"/>
    <s v="Concessão Federal"/>
    <m/>
    <m/>
    <m/>
    <s v="Federal"/>
    <s v="PAV"/>
    <s v="Seropédica"/>
  </r>
  <r>
    <x v="0"/>
    <s v="493BRJ0110"/>
    <n v="0"/>
    <x v="484"/>
    <s v="0110"/>
    <n v="-43.286007429998797"/>
    <n v="-22.6719473803672"/>
    <n v="-43.350617920180802"/>
    <n v="-22.659971779573901"/>
    <s v="493"/>
    <s v="RJ"/>
    <s v="Eixo Principal"/>
    <s v="-"/>
    <s v="493BRJ0110"/>
    <s v="ENTR BR-040/116(B)"/>
    <s v="ENTR RJ-085 (ESTR. RIO D'OURO)"/>
    <n v="48.1"/>
    <n v="55.4"/>
    <n v="7.3"/>
    <x v="0"/>
    <m/>
    <m/>
    <s v="Federal"/>
    <m/>
    <m/>
    <m/>
    <s v="Federal"/>
    <s v="PAV"/>
    <s v="Seropédica"/>
  </r>
  <r>
    <x v="0"/>
    <s v="493BRJ0120"/>
    <n v="0"/>
    <x v="484"/>
    <s v="0120"/>
    <n v="-43.350617920180802"/>
    <n v="-22.659971779573901"/>
    <n v="-43.478116420036699"/>
    <n v="-22.683824419960899"/>
    <s v="493"/>
    <s v="RJ"/>
    <s v="Eixo Principal"/>
    <s v="-"/>
    <s v="493BRJ0120"/>
    <s v="ENTR RJ-085 (ESTR. RIO D'OURO)"/>
    <s v="ENTR RJ-111 (ESTR. DE ADRIANÓPOLIS)"/>
    <n v="55.4"/>
    <n v="69.599999999999994"/>
    <n v="14.2"/>
    <x v="0"/>
    <m/>
    <m/>
    <s v="Federal"/>
    <m/>
    <m/>
    <m/>
    <s v="Federal"/>
    <s v="PAV"/>
    <s v="Seropédica"/>
  </r>
  <r>
    <x v="0"/>
    <s v="493BRJ0130"/>
    <n v="0"/>
    <x v="484"/>
    <s v="0130"/>
    <n v="-43.478116420036699"/>
    <n v="-22.683824419960899"/>
    <n v="-43.611263600334802"/>
    <n v="-22.6554905999112"/>
    <s v="493"/>
    <s v="RJ"/>
    <s v="Eixo Principal"/>
    <s v="-"/>
    <s v="493BRJ0130"/>
    <s v="ENTR RJ-111 (ESTR. DE ADRIANÓPOLIS)"/>
    <s v="ENTR RJ-093 (ESTR. ARI SCHIAVO)"/>
    <n v="69.599999999999994"/>
    <n v="84.6"/>
    <n v="15"/>
    <x v="0"/>
    <m/>
    <m/>
    <s v="Federal"/>
    <m/>
    <m/>
    <m/>
    <s v="Federal"/>
    <s v="PAV"/>
    <s v="Seropédica"/>
  </r>
  <r>
    <x v="0"/>
    <s v="493BRJ0140"/>
    <n v="0"/>
    <x v="484"/>
    <s v="0140"/>
    <n v="-43.611263600334802"/>
    <n v="-22.6554905999112"/>
    <n v="-43.699488649781301"/>
    <n v="-22.708378849903902"/>
    <s v="493"/>
    <s v="RJ"/>
    <s v="Eixo Principal"/>
    <s v="-"/>
    <s v="493BRJ0140"/>
    <s v="ENTR RJ-093 (ESTR. ARI SCHIAVO)"/>
    <s v="ENTR RJ-125 (ESTR. DAS LAJES)"/>
    <n v="84.6"/>
    <n v="95.7"/>
    <n v="11.1"/>
    <x v="0"/>
    <m/>
    <m/>
    <s v="Federal"/>
    <m/>
    <m/>
    <m/>
    <s v="Federal"/>
    <s v="PAV"/>
    <s v="Seropédica"/>
  </r>
  <r>
    <x v="0"/>
    <s v="493BRJ0145"/>
    <n v="0"/>
    <x v="484"/>
    <s v="0145"/>
    <n v="-43.699488649781301"/>
    <n v="-22.708378849903902"/>
    <n v="-43.707804199603999"/>
    <n v="-22.717406349823101"/>
    <s v="493"/>
    <s v="RJ"/>
    <s v="Eixo Principal"/>
    <s v="-"/>
    <s v="493BRJ0145"/>
    <s v="ENTR RJ-125 (ESTR. DAS LAJES)"/>
    <s v="ENTR BR-116"/>
    <n v="95.7"/>
    <n v="97"/>
    <n v="1.3"/>
    <x v="0"/>
    <m/>
    <m/>
    <s v="Federal"/>
    <m/>
    <m/>
    <m/>
    <s v="Federal"/>
    <s v="PAV"/>
    <s v="Seropédica"/>
  </r>
  <r>
    <x v="0"/>
    <s v="493BRJ0150"/>
    <n v="0"/>
    <x v="484"/>
    <s v="0150"/>
    <n v="-43.707804199603999"/>
    <n v="-22.717406349823101"/>
    <n v="-43.715859910106701"/>
    <n v="-22.730251999729902"/>
    <s v="493"/>
    <s v="RJ"/>
    <s v="Eixo Principal"/>
    <s v="-"/>
    <s v="493BRJ0150"/>
    <s v="ENTR BR-116 (ROD. PRES. DUTRA)"/>
    <s v="ENTR BR-465"/>
    <n v="97"/>
    <n v="98.6"/>
    <n v="1.6"/>
    <x v="0"/>
    <m/>
    <m/>
    <s v="Federal"/>
    <m/>
    <m/>
    <m/>
    <s v="Federal"/>
    <s v="PAV"/>
    <s v="Seropédica"/>
  </r>
  <r>
    <x v="0"/>
    <s v="493BRJ0155"/>
    <n v="0"/>
    <x v="484"/>
    <s v="0155"/>
    <n v="-43.715859910106701"/>
    <n v="-22.730251999729902"/>
    <n v="-43.825688169773102"/>
    <n v="-22.8815337204048"/>
    <s v="493"/>
    <s v="RJ"/>
    <s v="Eixo Principal"/>
    <s v="-"/>
    <s v="493BRJ0155"/>
    <s v="ENTR BR-465"/>
    <s v="ENTR BR-101"/>
    <n v="98.6"/>
    <n v="120.7"/>
    <n v="22.1"/>
    <x v="0"/>
    <m/>
    <m/>
    <s v="Federal"/>
    <m/>
    <m/>
    <m/>
    <s v="Federal"/>
    <s v="PAV"/>
    <s v="Seropédica"/>
  </r>
  <r>
    <x v="0"/>
    <s v="493BRJ0160"/>
    <n v="0"/>
    <x v="484"/>
    <s v="0160"/>
    <n v="-43.825688169773102"/>
    <n v="-22.8815337204048"/>
    <n v="-43.825209529895801"/>
    <n v="-22.903503360291701"/>
    <s v="493"/>
    <s v="RJ"/>
    <s v="Eixo Principal"/>
    <s v="-"/>
    <s v="493BRJ0160"/>
    <s v="ENTR BR-101"/>
    <s v="PORTO DE ITAGUAÍ"/>
    <n v="120.7"/>
    <n v="123.7"/>
    <n v="3"/>
    <x v="0"/>
    <m/>
    <m/>
    <s v="Federal"/>
    <m/>
    <m/>
    <m/>
    <s v="Federal"/>
    <s v="PAV"/>
    <s v="Seropédica"/>
  </r>
  <r>
    <x v="0"/>
    <s v="494BMG0010"/>
    <n v="0"/>
    <x v="485"/>
    <s v="0010"/>
    <n v="-44.908476720124398"/>
    <n v="-19.881573349630301"/>
    <n v="-44.9452742901763"/>
    <n v="-19.978298950236301"/>
    <s v="494"/>
    <s v="MG"/>
    <s v="Eixo Principal"/>
    <s v="-"/>
    <s v="494BMG0010"/>
    <s v="ENTR BR-262"/>
    <s v="ENTR MG-252 (P/SÃO GONÇALO DO PARÁ)"/>
    <n v="0"/>
    <n v="12.6"/>
    <n v="12.6"/>
    <x v="2"/>
    <m/>
    <m/>
    <s v="Federal"/>
    <m/>
    <m/>
    <m/>
    <s v="Federal"/>
    <s v="PAV"/>
    <s v="Bom Despacho"/>
  </r>
  <r>
    <x v="0"/>
    <s v="494BMG0030"/>
    <n v="0"/>
    <x v="485"/>
    <s v="0030"/>
    <n v="-44.9452742901763"/>
    <n v="-19.978298950236301"/>
    <n v="-44.910533539790997"/>
    <n v="-20.120049850120399"/>
    <s v="494"/>
    <s v="MG"/>
    <s v="Eixo Principal"/>
    <s v="-"/>
    <s v="494BMG0030"/>
    <s v="ENTR MG-252 (P/SÃO GONÇALO DO PARÁ)"/>
    <s v="ENTR MG-050(A)"/>
    <n v="12.6"/>
    <n v="30.2"/>
    <n v="17.600000000000001"/>
    <x v="2"/>
    <m/>
    <m/>
    <s v="Federal"/>
    <m/>
    <m/>
    <m/>
    <s v="Federal"/>
    <s v="PAV"/>
    <s v="Bom Despacho"/>
  </r>
  <r>
    <x v="0"/>
    <s v="494BMG0045"/>
    <n v="0"/>
    <x v="485"/>
    <s v="0045"/>
    <n v="-44.910533539790997"/>
    <n v="-20.120049850120399"/>
    <n v="-44.9175269099388"/>
    <n v="-20.160718270431801"/>
    <s v="494"/>
    <s v="MG"/>
    <s v="Eixo Principal"/>
    <s v="-"/>
    <s v="494BMG0045"/>
    <s v="ENTR MG-050(A)"/>
    <s v="ENTR MG-050(B) (P/DIVINOPÓLIS)"/>
    <n v="30.2"/>
    <n v="35.200000000000003"/>
    <n v="5"/>
    <x v="0"/>
    <m/>
    <m/>
    <s v="Federal"/>
    <m/>
    <m/>
    <m/>
    <s v="Federal"/>
    <s v="PAV"/>
    <s v="Oliveira"/>
  </r>
  <r>
    <x v="0"/>
    <s v="494BMG0050"/>
    <n v="0"/>
    <x v="485"/>
    <s v="0050"/>
    <n v="-44.9175269099388"/>
    <n v="-20.160718270431801"/>
    <n v="-44.8907419499809"/>
    <n v="-20.457045620259098"/>
    <s v="494"/>
    <s v="MG"/>
    <s v="Eixo Principal"/>
    <s v="-"/>
    <s v="494BMG0050"/>
    <s v="ENTR MG-050(B) (P/DIVINOPÓLIS)"/>
    <s v="ENTR MG-260(B) (P/CLÁUDIO)"/>
    <n v="35.200000000000003"/>
    <n v="71.5"/>
    <n v="36.299999999999997"/>
    <x v="2"/>
    <m/>
    <m/>
    <s v="Federal"/>
    <m/>
    <m/>
    <m/>
    <s v="Federal"/>
    <s v="PAV"/>
    <s v="Oliveira"/>
  </r>
  <r>
    <x v="0"/>
    <s v="494BMG0060"/>
    <n v="0"/>
    <x v="485"/>
    <s v="0060"/>
    <n v="-44.8907419499809"/>
    <n v="-20.457045620259098"/>
    <n v="-44.821153519818999"/>
    <n v="-20.676797570251601"/>
    <s v="494"/>
    <s v="MG"/>
    <s v="Eixo Principal"/>
    <s v="-"/>
    <s v="494BMG0060"/>
    <s v="ENTR MG-260(B) (P/CLÁUDIO)"/>
    <s v="ENTR BR-369 (OLIVEIRA)"/>
    <n v="71.5"/>
    <n v="99.6"/>
    <n v="28.1"/>
    <x v="2"/>
    <m/>
    <m/>
    <s v="Federal"/>
    <m/>
    <m/>
    <m/>
    <s v="Federal"/>
    <s v="PAV"/>
    <s v="Oliveira"/>
  </r>
  <r>
    <x v="0"/>
    <s v="494BMG0075"/>
    <n v="0"/>
    <x v="485"/>
    <s v="0075"/>
    <n v="-44.821153519818999"/>
    <n v="-20.676797570251601"/>
    <n v="-44.772557660207802"/>
    <n v="-20.729079080035401"/>
    <s v="494"/>
    <s v="MG"/>
    <s v="Eixo Principal"/>
    <s v="-"/>
    <s v="494BMG0075"/>
    <s v="ENTR BR-369 (OLIVEIRA)"/>
    <s v="ENTR BR-381(A)"/>
    <n v="99.6"/>
    <n v="108.8"/>
    <n v="9.1999999999999993"/>
    <x v="0"/>
    <m/>
    <m/>
    <s v="Federal"/>
    <m/>
    <m/>
    <m/>
    <s v="Federal"/>
    <s v="PAV"/>
    <s v="Oliveira"/>
  </r>
  <r>
    <x v="0"/>
    <s v="494BMG0080"/>
    <n v="0"/>
    <x v="485"/>
    <s v="0080"/>
    <n v="-44.772557660207802"/>
    <n v="-20.729079080035401"/>
    <n v="-44.775245949640798"/>
    <n v="-20.7547947901474"/>
    <s v="494"/>
    <s v="MG"/>
    <s v="Eixo Principal"/>
    <s v="Coinc"/>
    <s v="494BMG0080"/>
    <s v="ENTR BR-381(A)"/>
    <s v="ENTR BR-381(B)"/>
    <n v="108.8"/>
    <n v="111.8"/>
    <n v="3"/>
    <x v="0"/>
    <m/>
    <s v="381BMG0610"/>
    <s v="Concessão Federal"/>
    <m/>
    <m/>
    <m/>
    <s v="Federal"/>
    <s v="PAV"/>
    <s v="Oliveira"/>
  </r>
  <r>
    <x v="0"/>
    <s v="494BMG0090"/>
    <n v="0"/>
    <x v="485"/>
    <s v="0090"/>
    <n v="-44.775245949640798"/>
    <n v="-20.7547947901474"/>
    <n v="-44.588295780225998"/>
    <n v="-20.770836949865298"/>
    <s v="494"/>
    <s v="MG"/>
    <s v="Eixo Principal"/>
    <s v="-"/>
    <s v="494BMG0090"/>
    <s v="ENTR BR-381(B)"/>
    <s v="ACESSO A MORRO DO FERRO"/>
    <n v="111.8"/>
    <n v="135.5"/>
    <n v="23.7"/>
    <x v="2"/>
    <m/>
    <m/>
    <s v="Federal"/>
    <m/>
    <m/>
    <m/>
    <s v="Federal"/>
    <s v="PAV"/>
    <s v="Oliveira"/>
  </r>
  <r>
    <x v="0"/>
    <s v="494BMG0091"/>
    <n v="0"/>
    <x v="485"/>
    <s v="0091"/>
    <n v="-44.588295780225998"/>
    <n v="-20.770836949865298"/>
    <n v="-44.502279329926999"/>
    <n v="-20.899097869770799"/>
    <s v="494"/>
    <s v="MG"/>
    <s v="Eixo Principal"/>
    <s v="-"/>
    <s v="494BMG0091"/>
    <s v="ACESSO A MORRO DO FERRO"/>
    <s v="ENTR MG-335 (SÃO TIAGO)"/>
    <n v="135.5"/>
    <n v="153.5"/>
    <n v="18"/>
    <x v="2"/>
    <m/>
    <m/>
    <s v="Federal"/>
    <m/>
    <m/>
    <m/>
    <s v="Federal"/>
    <s v="PAV"/>
    <s v="Oliveira"/>
  </r>
  <r>
    <x v="0"/>
    <s v="494BMG0100"/>
    <n v="0"/>
    <x v="485"/>
    <s v="0100"/>
    <n v="-44.502279329926999"/>
    <n v="-20.899097869770799"/>
    <n v="-44.2434779200698"/>
    <n v="-21.113076559835299"/>
    <s v="494"/>
    <s v="MG"/>
    <s v="Eixo Principal"/>
    <s v="-"/>
    <s v="494BMG0100"/>
    <s v="ENTR MG-335 (SÃO TIAGO)"/>
    <s v="ENTR BR-383(A) (SÃO JOÃO DEL REI)"/>
    <n v="153.5"/>
    <n v="196.9"/>
    <n v="43.4"/>
    <x v="2"/>
    <m/>
    <m/>
    <s v="Federal"/>
    <m/>
    <m/>
    <m/>
    <s v="Federal"/>
    <s v="PAV"/>
    <s v="Oliveira"/>
  </r>
  <r>
    <x v="0"/>
    <s v="494BMG0110"/>
    <n v="0"/>
    <x v="485"/>
    <s v="0110"/>
    <n v="-44.2434779200698"/>
    <n v="-21.113076559835299"/>
    <n v="-44.280935810139503"/>
    <n v="-21.167746769697601"/>
    <s v="494"/>
    <s v="MG"/>
    <s v="Eixo Principal"/>
    <s v="Coinc"/>
    <s v="494BMG0110"/>
    <s v="ENTR BR-383(A) (SÃO JOÃO DEL REI)"/>
    <s v="ENTR BR-265(A)"/>
    <n v="196.9"/>
    <n v="205.2"/>
    <n v="8.3000000000000007"/>
    <x v="1"/>
    <m/>
    <s v="383BMG0110"/>
    <s v="Estadual"/>
    <m/>
    <s v="MGT-383"/>
    <s v="PAV"/>
    <s v="Estadual"/>
    <s v="PLA"/>
    <s v="Oliveira"/>
  </r>
  <r>
    <x v="0"/>
    <s v="494BMG0115"/>
    <n v="0"/>
    <x v="485"/>
    <s v="0115"/>
    <n v="-44.280935810139503"/>
    <n v="-21.167746769697601"/>
    <n v="-44.376034139663702"/>
    <n v="-21.228498529783199"/>
    <s v="494"/>
    <s v="MG"/>
    <s v="Eixo Principal"/>
    <s v="Coinc"/>
    <s v="494BMG0115"/>
    <s v="ENTR BR-265(A)"/>
    <s v="ENTR BR-265(B) (P/ITUTINGA)"/>
    <n v="205.2"/>
    <n v="218.1"/>
    <n v="12.9"/>
    <x v="2"/>
    <m/>
    <s v="265BMG0210;383BMG0115"/>
    <s v="Federal"/>
    <m/>
    <m/>
    <m/>
    <s v="Federal"/>
    <s v="PAV"/>
    <s v="Oliveira"/>
  </r>
  <r>
    <x v="0"/>
    <s v="494BMG0120"/>
    <n v="0"/>
    <x v="485"/>
    <s v="0120"/>
    <n v="-44.376034139663702"/>
    <n v="-21.228498529783199"/>
    <n v="-44.317566990324202"/>
    <n v="-21.483514440438999"/>
    <s v="494"/>
    <s v="MG"/>
    <s v="Eixo Principal"/>
    <s v="Coinc"/>
    <s v="494BMG0120"/>
    <s v="ENTR BR-265(B) (P/ITUTINGA)"/>
    <s v="ENTR MG-338 (MADRE DE DEUS DE MINAS)"/>
    <n v="218.1"/>
    <n v="255.4"/>
    <n v="37.299999999999997"/>
    <x v="1"/>
    <m/>
    <s v="383BMG0120"/>
    <s v="Estadual"/>
    <m/>
    <s v="MGT-494"/>
    <s v="PAV"/>
    <s v="Estadual"/>
    <s v="PLA"/>
    <s v="Caxambu"/>
  </r>
  <r>
    <x v="0"/>
    <s v="494BMG0130"/>
    <n v="0"/>
    <x v="485"/>
    <s v="0130"/>
    <n v="-44.317566990324202"/>
    <n v="-21.483514440438999"/>
    <n v="-44.359538809768097"/>
    <n v="-21.558803700030602"/>
    <s v="494"/>
    <s v="MG"/>
    <s v="Eixo Principal"/>
    <s v="Coinc"/>
    <s v="494BMG0130"/>
    <s v="ENTR MG-338 (MADRE DE DEUS DE MINAS)"/>
    <s v="ENTR BR-383(B)"/>
    <n v="255.4"/>
    <n v="265.8"/>
    <n v="10.4"/>
    <x v="1"/>
    <m/>
    <s v="383BMG0130"/>
    <s v="Estadual"/>
    <m/>
    <s v="MGT-383"/>
    <s v="PAV"/>
    <s v="Estadual"/>
    <s v="PLA"/>
    <s v="Caxambu"/>
  </r>
  <r>
    <x v="0"/>
    <s v="494BMG0150"/>
    <n v="0"/>
    <x v="485"/>
    <s v="0150"/>
    <n v="-44.359538809768097"/>
    <n v="-21.558803700030602"/>
    <n v="-44.303393600234401"/>
    <n v="-21.7277392500662"/>
    <s v="494"/>
    <s v="MG"/>
    <s v="Eixo Principal"/>
    <s v="-"/>
    <s v="494BMG0150"/>
    <s v="ENTR BR-383(B)"/>
    <s v="ANDRELÂNDIA"/>
    <n v="265.8"/>
    <n v="304"/>
    <n v="38.200000000000003"/>
    <x v="1"/>
    <m/>
    <m/>
    <s v="Estadual"/>
    <m/>
    <s v="MGT-494"/>
    <s v="IMP"/>
    <s v="Estadual"/>
    <s v="PLA"/>
    <s v="Caxambu"/>
  </r>
  <r>
    <x v="0"/>
    <s v="494BMG0170"/>
    <n v="0"/>
    <x v="485"/>
    <s v="0170"/>
    <n v="-44.303393600234401"/>
    <n v="-21.7277392500662"/>
    <n v="-44.2216268503987"/>
    <n v="-21.942295509929799"/>
    <s v="494"/>
    <s v="MG"/>
    <s v="Eixo Principal"/>
    <s v="-"/>
    <s v="494BMG0170"/>
    <s v="ANDRELÂNDIA"/>
    <s v="ENTR BR-267 (ARANTINA)"/>
    <n v="304"/>
    <n v="336.5"/>
    <n v="32.5"/>
    <x v="1"/>
    <m/>
    <m/>
    <s v="Estadual"/>
    <m/>
    <s v="MGT-494"/>
    <s v="PAV"/>
    <s v="Estadual"/>
    <s v="PLA"/>
    <s v="Caxambu"/>
  </r>
  <r>
    <x v="0"/>
    <s v="494BMG0190"/>
    <n v="0"/>
    <x v="485"/>
    <s v="0190"/>
    <n v="-44.2216268503987"/>
    <n v="-21.942295509929799"/>
    <n v="-44.146912789993202"/>
    <n v="-22.216630260178299"/>
    <s v="494"/>
    <s v="MG"/>
    <s v="Eixo Principal"/>
    <s v="-"/>
    <s v="494BMG0190"/>
    <s v="ENTR BR-267 (ARANTINA)"/>
    <s v="DIV MG/RJ"/>
    <n v="336.5"/>
    <n v="393.5"/>
    <n v="57"/>
    <x v="1"/>
    <m/>
    <m/>
    <s v="Federal"/>
    <m/>
    <m/>
    <m/>
    <s v="Federal"/>
    <s v="PLA"/>
    <s v="Juiz de Fora"/>
  </r>
  <r>
    <x v="0"/>
    <s v="494BRJ0210"/>
    <n v="0"/>
    <x v="486"/>
    <s v="0210"/>
    <n v="-44.146912789993202"/>
    <n v="-22.216630260178299"/>
    <n v="-44.117314919747599"/>
    <n v="-22.252418659593399"/>
    <s v="494"/>
    <s v="RJ"/>
    <s v="Eixo Principal"/>
    <s v="-"/>
    <s v="494BRJ0210"/>
    <s v="DIV MG/RJ"/>
    <s v="ENTR RJ-153"/>
    <n v="0"/>
    <n v="8"/>
    <n v="8"/>
    <x v="1"/>
    <m/>
    <m/>
    <s v="Federal"/>
    <m/>
    <m/>
    <m/>
    <s v="Federal"/>
    <s v="PLA"/>
    <s v="Seropédica"/>
  </r>
  <r>
    <x v="0"/>
    <s v="494BRJ0230"/>
    <n v="0"/>
    <x v="486"/>
    <s v="0230"/>
    <n v="-44.117314919747599"/>
    <n v="-22.252418659593399"/>
    <n v="-44.113988570316202"/>
    <n v="-22.384057409721599"/>
    <s v="494"/>
    <s v="RJ"/>
    <s v="Eixo Principal"/>
    <s v="-"/>
    <s v="494BRJ0230"/>
    <s v="ENTR RJ-153"/>
    <s v="ENTR RJ-143(A) (NOSSA SENHORA DO AMPARO)"/>
    <n v="8"/>
    <n v="21.4"/>
    <n v="13.4"/>
    <x v="1"/>
    <m/>
    <m/>
    <s v="Estadual"/>
    <m/>
    <s v="RJ-153"/>
    <s v="PAV"/>
    <s v="Estadual"/>
    <s v="PLA"/>
    <s v="Seropédica"/>
  </r>
  <r>
    <x v="0"/>
    <s v="494BRJ0240"/>
    <n v="0"/>
    <x v="486"/>
    <s v="0240"/>
    <n v="-44.113988570316202"/>
    <n v="-22.384057409721599"/>
    <n v="-44.1059894496533"/>
    <n v="-22.384654930080799"/>
    <s v="494"/>
    <s v="RJ"/>
    <s v="Eixo Principal"/>
    <s v="-"/>
    <s v="494BRJ0240"/>
    <s v="ENTR RJ-143(A) (NOSSA SENHORA DO AMPARO)"/>
    <s v="ENTR RJ-143(B)"/>
    <n v="21.4"/>
    <n v="22.3"/>
    <n v="0.9"/>
    <x v="1"/>
    <m/>
    <m/>
    <s v="Estadual"/>
    <m/>
    <s v="RJ-153"/>
    <s v="PAV"/>
    <s v="Estadual"/>
    <s v="PLA"/>
    <s v="Seropédica"/>
  </r>
  <r>
    <x v="0"/>
    <s v="494BRJ0250"/>
    <n v="0"/>
    <x v="486"/>
    <s v="0250"/>
    <n v="-44.1059894496533"/>
    <n v="-22.384654930080799"/>
    <n v="-44.091954639694798"/>
    <n v="-22.487498249844201"/>
    <s v="494"/>
    <s v="RJ"/>
    <s v="Eixo Principal"/>
    <s v="-"/>
    <s v="494BRJ0250"/>
    <s v="ENTR RJ-143(B)"/>
    <s v="ENTR RJ-157"/>
    <n v="22.3"/>
    <n v="37.1"/>
    <n v="14.8"/>
    <x v="1"/>
    <m/>
    <m/>
    <s v="Estadual"/>
    <m/>
    <s v="RJ-153"/>
    <s v="PAV"/>
    <s v="Estadual"/>
    <s v="PLA"/>
    <s v="Seropédica"/>
  </r>
  <r>
    <x v="0"/>
    <s v="494BRJ0270"/>
    <n v="0"/>
    <x v="486"/>
    <s v="0270"/>
    <n v="-44.091954639694798"/>
    <n v="-22.487498249844201"/>
    <n v="-44.0953831404195"/>
    <n v="-22.512517280348099"/>
    <s v="494"/>
    <s v="RJ"/>
    <s v="Eixo Principal"/>
    <s v="-"/>
    <s v="494BRJ0270"/>
    <s v="ENTR RJ-157"/>
    <s v="ENTR BR-393(A)"/>
    <n v="37.1"/>
    <n v="42.9"/>
    <n v="5.8"/>
    <x v="1"/>
    <m/>
    <m/>
    <s v="Estadual"/>
    <m/>
    <s v="RJ-153"/>
    <s v="PAV"/>
    <s v="Estadual"/>
    <s v="PLA"/>
    <s v="Seropédica"/>
  </r>
  <r>
    <x v="0"/>
    <s v="494BRJ0280"/>
    <n v="0"/>
    <x v="486"/>
    <s v="0280"/>
    <n v="-44.0953831404195"/>
    <n v="-22.512517280348099"/>
    <n v="-44.101519909915801"/>
    <n v="-22.5141781896716"/>
    <s v="494"/>
    <s v="RJ"/>
    <s v="Eixo Principal"/>
    <s v="Coinc"/>
    <s v="494BRJ0280"/>
    <s v="ENTR BR-393(A)"/>
    <s v="FIM DA CONCESSÃO"/>
    <n v="42.9"/>
    <n v="43.8"/>
    <n v="0.9"/>
    <x v="2"/>
    <m/>
    <s v="393BRJ0570"/>
    <s v="Federal"/>
    <m/>
    <m/>
    <m/>
    <s v="Federal"/>
    <s v="PAV"/>
    <s v="Seropédica"/>
  </r>
  <r>
    <x v="0"/>
    <s v="494BRJ0290"/>
    <n v="0"/>
    <x v="486"/>
    <s v="0290"/>
    <n v="-44.101519909915801"/>
    <n v="-22.5141781896716"/>
    <n v="-44.116327320249503"/>
    <n v="-22.534393090368699"/>
    <s v="494"/>
    <s v="RJ"/>
    <s v="Eixo Principal"/>
    <s v="Coinc"/>
    <s v="494BRJ0290"/>
    <s v="FIM DA CONCESSÃO"/>
    <s v="LIMITE MUNIC VOLTA REDONDA/BARRA MANSA *TRECHO URBANO*"/>
    <n v="43.8"/>
    <n v="47.2"/>
    <n v="3.4"/>
    <x v="0"/>
    <m/>
    <s v="393BRJ0590"/>
    <s v="Federal"/>
    <m/>
    <m/>
    <m/>
    <s v="Federal"/>
    <s v="PAV"/>
    <s v="Seropédica"/>
  </r>
  <r>
    <x v="0"/>
    <s v="494BRJ0310"/>
    <n v="0"/>
    <x v="486"/>
    <s v="0310"/>
    <n v="-44.116327320249503"/>
    <n v="-22.534393090368699"/>
    <n v="-44.122239859981498"/>
    <n v="-22.560881710222699"/>
    <s v="494"/>
    <s v="RJ"/>
    <s v="Eixo Principal"/>
    <s v="Coinc"/>
    <s v="494BRJ0310"/>
    <s v="LIMITE MUNIC VOLTA REDONDA/BARRA MANSA"/>
    <s v="ENTR BR-116/393(B) *TRECHO URBANO*"/>
    <n v="47.2"/>
    <n v="50.9"/>
    <n v="3.7"/>
    <x v="2"/>
    <m/>
    <s v="393BRJ0610"/>
    <s v="Federal"/>
    <m/>
    <m/>
    <m/>
    <s v="Federal"/>
    <s v="PAV"/>
    <s v="Seropédica"/>
  </r>
  <r>
    <x v="0"/>
    <s v="494BRJ0330"/>
    <n v="0"/>
    <x v="486"/>
    <s v="0330"/>
    <n v="-44.122239859981498"/>
    <n v="-22.560881710222699"/>
    <n v="-44.090211449598598"/>
    <n v="-22.6578706997729"/>
    <s v="494"/>
    <s v="RJ"/>
    <s v="Eixo Principal"/>
    <s v="-"/>
    <s v="494BRJ0330"/>
    <s v="ENTR BR-116/393(B)"/>
    <s v="ENTR RJ-139 (GETULÂNDIA)"/>
    <n v="50.9"/>
    <n v="65.900000000000006"/>
    <n v="15"/>
    <x v="1"/>
    <m/>
    <m/>
    <s v="Federal"/>
    <m/>
    <m/>
    <m/>
    <s v="Federal"/>
    <s v="PLA"/>
    <s v="Seropédica"/>
  </r>
  <r>
    <x v="0"/>
    <s v="494BRJ0390"/>
    <n v="0"/>
    <x v="486"/>
    <s v="0390"/>
    <n v="-44.090211449598598"/>
    <n v="-22.6578706997729"/>
    <n v="-44.128987629775203"/>
    <n v="-22.7259146504407"/>
    <s v="494"/>
    <s v="RJ"/>
    <s v="Eixo Principal"/>
    <s v="-"/>
    <s v="494BRJ0390"/>
    <s v="ENTR RJ-139 (GETULÂNDIA)"/>
    <s v="ENTR RJ-149 (RIO CLARO)"/>
    <n v="65.900000000000006"/>
    <n v="77.599999999999994"/>
    <n v="11.7"/>
    <x v="1"/>
    <m/>
    <m/>
    <s v="Estadual"/>
    <m/>
    <s v="RJ-155"/>
    <s v="PAV"/>
    <s v="Estadual"/>
    <s v="PLA"/>
    <s v="Seropédica"/>
  </r>
  <r>
    <x v="0"/>
    <s v="494BRJ0410"/>
    <n v="0"/>
    <x v="486"/>
    <s v="0410"/>
    <n v="-44.128987629775203"/>
    <n v="-22.7259146504407"/>
    <n v="-44.321010819993298"/>
    <n v="-22.925878009862199"/>
    <s v="494"/>
    <s v="RJ"/>
    <s v="Eixo Principal"/>
    <s v="-"/>
    <s v="494BRJ0410"/>
    <s v="ENTR RJ-149 (RIO CLARO)"/>
    <s v="ENTR BR-101(A)"/>
    <n v="77.599999999999994"/>
    <n v="122.8"/>
    <n v="45.2"/>
    <x v="1"/>
    <m/>
    <m/>
    <s v="Estadual"/>
    <m/>
    <s v="RJ-155"/>
    <s v="PAV"/>
    <s v="Estadual"/>
    <s v="PLA"/>
    <s v="Seropédica"/>
  </r>
  <r>
    <x v="0"/>
    <s v="494BRJ0430"/>
    <n v="0"/>
    <x v="486"/>
    <s v="0430"/>
    <n v="-44.321010819993298"/>
    <n v="-22.925878009862199"/>
    <n v="-44.297104939741097"/>
    <n v="-23.005381339677001"/>
    <s v="494"/>
    <s v="RJ"/>
    <s v="Eixo Principal"/>
    <s v="Coinc"/>
    <s v="494BRJ0430"/>
    <s v="ENTR BR-101(A)"/>
    <s v="ENTR BR-101(B) (P/ANGRA DOS REIS)"/>
    <n v="122.8"/>
    <n v="136.6"/>
    <n v="13.8"/>
    <x v="2"/>
    <m/>
    <s v="101BRJ3370"/>
    <s v="Federal"/>
    <m/>
    <m/>
    <m/>
    <s v="Federal"/>
    <s v="PAV"/>
    <s v="Angra dos Reis"/>
  </r>
  <r>
    <x v="0"/>
    <s v="495BRJ0010"/>
    <n v="0"/>
    <x v="487"/>
    <s v="0010"/>
    <n v="-42.966844420133803"/>
    <n v="-22.404731780347301"/>
    <n v="-42.991857319959301"/>
    <n v="-22.397249709606299"/>
    <s v="495"/>
    <s v="RJ"/>
    <s v="Eixo Principal"/>
    <s v="-"/>
    <s v="495BRJ0010"/>
    <s v="TERESÓPOLIS (RUA MANUEL JOSÉ LEBRÃO)"/>
    <s v="ENTR ESTRADA FRANCISCO SMOLKA"/>
    <n v="0"/>
    <n v="3.4"/>
    <n v="3.4"/>
    <x v="2"/>
    <m/>
    <m/>
    <s v="Convênio de Administração"/>
    <m/>
    <m/>
    <m/>
    <s v="Federal"/>
    <s v="PAV"/>
    <s v="Seropédica"/>
  </r>
  <r>
    <x v="0"/>
    <s v="495BRJ0015"/>
    <n v="0"/>
    <x v="487"/>
    <s v="0015"/>
    <n v="-42.991857319959301"/>
    <n v="-22.397249709606299"/>
    <n v="-43.1327441296378"/>
    <n v="-22.387075639728899"/>
    <s v="495"/>
    <s v="RJ"/>
    <s v="Eixo Principal"/>
    <s v="-"/>
    <s v="495BRJ0015"/>
    <s v="ENTR ESTRADA FRANCISCO SMOLKA"/>
    <s v="ENTR 040ARJ10(A) (ITAIPAVA)"/>
    <n v="3.4"/>
    <n v="30.1"/>
    <n v="26.7"/>
    <x v="2"/>
    <m/>
    <m/>
    <s v="Federal"/>
    <m/>
    <m/>
    <m/>
    <s v="Federal"/>
    <s v="PAV"/>
    <s v="Seropédica"/>
  </r>
  <r>
    <x v="0"/>
    <s v="495BRJ0020"/>
    <n v="0"/>
    <x v="487"/>
    <s v="0020"/>
    <n v="-43.1327441296378"/>
    <n v="-22.387075639728899"/>
    <n v="-43.130887419918402"/>
    <n v="-22.379548670334799"/>
    <s v="495"/>
    <s v="RJ"/>
    <s v="Eixo Principal"/>
    <s v="-"/>
    <s v="495BRJ0020"/>
    <s v="ENTR 040ARJ10(A) (ITAIPAVA)"/>
    <s v="ENTR 040ARJ10(B) (ITAIPAVA)"/>
    <n v="30.1"/>
    <n v="31.1"/>
    <n v="1"/>
    <x v="2"/>
    <m/>
    <s v="040ARJ1030"/>
    <s v="Federal"/>
    <m/>
    <m/>
    <m/>
    <s v="Federal"/>
    <s v="PAV"/>
    <s v="Seropédica"/>
  </r>
  <r>
    <x v="0"/>
    <s v="495BRJ0030"/>
    <n v="0"/>
    <x v="487"/>
    <s v="0030"/>
    <n v="-43.130887419918402"/>
    <n v="-22.379548670334799"/>
    <n v="-43.131522270236502"/>
    <n v="-22.378776489942901"/>
    <s v="495"/>
    <s v="RJ"/>
    <s v="Eixo Principal"/>
    <s v="-"/>
    <s v="495BRJ0030"/>
    <s v="ENTR 040ARJ10(B) (ITAIPAVA)"/>
    <s v="ENTR BR-040 (ITAIPAVA)"/>
    <n v="31.1"/>
    <n v="31.2"/>
    <n v="0.1"/>
    <x v="2"/>
    <m/>
    <m/>
    <s v="Federal"/>
    <m/>
    <m/>
    <m/>
    <s v="Federal"/>
    <s v="PAV"/>
    <s v="Seropédica"/>
  </r>
  <r>
    <x v="0"/>
    <s v="496BMG0010"/>
    <n v="0"/>
    <x v="488"/>
    <s v="0010"/>
    <n v="-44.907223350277299"/>
    <n v="-17.348134569854398"/>
    <n v="-44.7406787000618"/>
    <n v="-17.597723740158401"/>
    <s v="496"/>
    <s v="MG"/>
    <s v="Eixo Principal"/>
    <s v="-"/>
    <s v="496BMG0010"/>
    <s v="ENTR BR-365 (PIRAPORA)"/>
    <s v="VÁRZEA DA PALMA"/>
    <n v="0"/>
    <n v="35"/>
    <n v="35"/>
    <x v="1"/>
    <m/>
    <m/>
    <s v="Estadual"/>
    <m/>
    <s v="MGT-496"/>
    <s v="PAV"/>
    <s v="Estadual"/>
    <s v="PLA"/>
    <s v="Montes Claros"/>
  </r>
  <r>
    <x v="0"/>
    <s v="496BMG0030"/>
    <n v="0"/>
    <x v="488"/>
    <s v="0030"/>
    <n v="-44.7406787000618"/>
    <n v="-17.597723740158401"/>
    <n v="-44.518185989691602"/>
    <n v="-18.208223789696"/>
    <s v="496"/>
    <s v="MG"/>
    <s v="Eixo Principal"/>
    <s v="-"/>
    <s v="496BMG0030"/>
    <s v="VÁRZEA DA PALMA"/>
    <s v="ACESSO CONTRIA"/>
    <n v="35"/>
    <n v="110.9"/>
    <n v="75.900000000000006"/>
    <x v="1"/>
    <m/>
    <m/>
    <s v="Estadual"/>
    <m/>
    <s v="MGT-496"/>
    <s v="PAV"/>
    <s v="Estadual"/>
    <s v="PLA"/>
    <s v="Montes Claros"/>
  </r>
  <r>
    <x v="0"/>
    <s v="496BMG0050"/>
    <n v="0"/>
    <x v="488"/>
    <s v="0050"/>
    <n v="-44.518185989691602"/>
    <n v="-18.208223789696"/>
    <n v="-44.459185449748603"/>
    <n v="-18.403988889875301"/>
    <s v="496"/>
    <s v="MG"/>
    <s v="Eixo Principal"/>
    <s v="-"/>
    <s v="496BMG0050"/>
    <s v="ACESSO CONTRIA"/>
    <s v="ENTR BR-135 (CORINTO)"/>
    <n v="110.9"/>
    <n v="135.69999999999999"/>
    <n v="24.8"/>
    <x v="1"/>
    <m/>
    <m/>
    <s v="Estadual"/>
    <m/>
    <s v="MGT-496"/>
    <s v="PAV"/>
    <s v="Estadual"/>
    <s v="PLA"/>
    <s v="Bom Despacho"/>
  </r>
  <r>
    <x v="0"/>
    <s v="497BMG0010"/>
    <n v="0"/>
    <x v="489"/>
    <s v="0010"/>
    <n v="-48.22402913034"/>
    <n v="-18.909865769589501"/>
    <n v="-48.265762470261699"/>
    <n v="-18.884343759956401"/>
    <s v="497"/>
    <s v="MG"/>
    <s v="Eixo Principal"/>
    <s v="Coinc"/>
    <s v="497BMG0010"/>
    <s v="ENTR BR-050(A)/365(A)/452(A)/455 (UBERLÂNDIA)"/>
    <s v="ENTR BR-050(B)"/>
    <n v="0"/>
    <n v="5.0999999999999996"/>
    <n v="5.0999999999999996"/>
    <x v="0"/>
    <m/>
    <s v="050BMG0240;365BMG0290;452BMG0180"/>
    <s v="Federal"/>
    <m/>
    <m/>
    <m/>
    <s v="Federal"/>
    <s v="PAV"/>
    <s v="Uberlândia"/>
  </r>
  <r>
    <x v="0"/>
    <s v="497BMG0012"/>
    <n v="0"/>
    <x v="489"/>
    <s v="0012"/>
    <n v="-48.265762470261699"/>
    <n v="-18.884343759956401"/>
    <n v="-48.330909590405199"/>
    <n v="-18.906439629585101"/>
    <s v="497"/>
    <s v="MG"/>
    <s v="Eixo Principal"/>
    <s v="Coinc"/>
    <s v="497BMG0012"/>
    <s v="ENTR BR-050(B)"/>
    <s v="ENTR BR-365(B)/452(B)/050N10(A)"/>
    <n v="5.0999999999999996"/>
    <n v="13.6"/>
    <n v="8.5"/>
    <x v="0"/>
    <m/>
    <s v="365BMG0310;452BMG0155"/>
    <s v="Federal"/>
    <m/>
    <m/>
    <m/>
    <s v="Federal"/>
    <s v="PAV"/>
    <s v="Uberlândia"/>
  </r>
  <r>
    <x v="0"/>
    <s v="497BMG0013"/>
    <n v="0"/>
    <x v="489"/>
    <s v="0013"/>
    <n v="-48.330909590405199"/>
    <n v="-18.906439629585101"/>
    <n v="-48.355888739573601"/>
    <n v="-18.952922259554601"/>
    <s v="497"/>
    <s v="MG"/>
    <s v="Eixo Principal"/>
    <s v="Coinc"/>
    <s v="497BMG0013"/>
    <s v="ENTR BR-365(B)/452(B)/050N10(A)"/>
    <s v="ENTR ROD UBERLANDIA PRATA"/>
    <n v="13.6"/>
    <n v="19.8"/>
    <n v="6.2"/>
    <x v="2"/>
    <m/>
    <s v="050NMG1040"/>
    <s v="Convênio de Administração"/>
    <m/>
    <m/>
    <m/>
    <s v="Federal"/>
    <s v="PAV"/>
    <s v="Uberlândia"/>
  </r>
  <r>
    <x v="0"/>
    <s v="497BMG0015"/>
    <n v="0"/>
    <x v="489"/>
    <s v="0015"/>
    <n v="-48.355888739573601"/>
    <n v="-18.952922259554601"/>
    <n v="-48.375521000093997"/>
    <n v="-18.963917119979001"/>
    <s v="497"/>
    <s v="MG"/>
    <s v="Eixo Principal"/>
    <s v="Coinc"/>
    <s v="497BMG0015"/>
    <s v="ENTR ROD UBERLANDIA PRATA"/>
    <s v="ENTR BR-050N10(B)"/>
    <n v="19.8"/>
    <n v="22.2"/>
    <n v="2.4"/>
    <x v="2"/>
    <m/>
    <s v="050NMG1035"/>
    <s v="Convênio de Administração"/>
    <m/>
    <m/>
    <m/>
    <s v="Federal"/>
    <s v="PAV"/>
    <s v="Uberlândia"/>
  </r>
  <r>
    <x v="0"/>
    <s v="497BMG0020"/>
    <n v="0"/>
    <x v="489"/>
    <s v="0020"/>
    <n v="-48.375521000093997"/>
    <n v="-18.963917119979001"/>
    <n v="-48.907412080303203"/>
    <n v="-19.297439749744601"/>
    <s v="497"/>
    <s v="MG"/>
    <s v="Eixo Principal"/>
    <s v="-"/>
    <s v="497BMG0020"/>
    <s v="ENTR BR-050N10(B)"/>
    <s v="ENTR BR-153/464(A) (PRATA)"/>
    <n v="22.2"/>
    <n v="91.1"/>
    <n v="68.900000000000006"/>
    <x v="1"/>
    <m/>
    <m/>
    <s v="Estadual"/>
    <m/>
    <s v="MGT-497"/>
    <s v="PAV"/>
    <s v="Estadual"/>
    <s v="PLA"/>
    <s v="Uberlândia"/>
  </r>
  <r>
    <x v="0"/>
    <s v="497BMG0025"/>
    <n v="0"/>
    <x v="489"/>
    <s v="0025"/>
    <n v="-48.907412080303203"/>
    <n v="-19.297439749744601"/>
    <n v="-48.9283735001369"/>
    <n v="-19.296927270177299"/>
    <s v="497"/>
    <s v="MG"/>
    <s v="Eixo Principal"/>
    <s v="Coinc"/>
    <s v="497BMG0025"/>
    <s v="ENTR BR-153/464(A) (PRATA)"/>
    <s v="ENTR BR-464(B)"/>
    <n v="91.1"/>
    <n v="93.4"/>
    <n v="2.2999999999999998"/>
    <x v="1"/>
    <m/>
    <s v="464BMG0025"/>
    <s v="Estadual"/>
    <m/>
    <s v="MGT-497"/>
    <s v="PAV"/>
    <s v="Estadual"/>
    <s v="PLA"/>
    <s v="Prata"/>
  </r>
  <r>
    <x v="0"/>
    <s v="497BMG0030"/>
    <n v="0"/>
    <x v="489"/>
    <s v="0030"/>
    <n v="-48.9283735001369"/>
    <n v="-19.296927270177299"/>
    <n v="-49.480662119860803"/>
    <n v="-19.545845199995899"/>
    <s v="497"/>
    <s v="MG"/>
    <s v="Eixo Principal"/>
    <s v="-"/>
    <s v="497BMG0030"/>
    <s v="ENTR BR-464(B)"/>
    <s v="ENTR BR-364(A) (CAMPINA VERDE)"/>
    <n v="93.4"/>
    <n v="162.4"/>
    <n v="69"/>
    <x v="1"/>
    <m/>
    <m/>
    <s v="Estadual"/>
    <m/>
    <s v="MGT-497"/>
    <s v="PAV"/>
    <s v="Estadual"/>
    <s v="PLA"/>
    <s v="Prata"/>
  </r>
  <r>
    <x v="0"/>
    <s v="497BMG0050"/>
    <n v="0"/>
    <x v="489"/>
    <s v="0050"/>
    <n v="-49.480662119860803"/>
    <n v="-19.545845199995899"/>
    <n v="-49.559140170382499"/>
    <n v="-19.51840057023"/>
    <s v="497"/>
    <s v="MG"/>
    <s v="Eixo Principal"/>
    <s v="Coinc"/>
    <s v="497BMG0050"/>
    <s v="ENTR BR-364(A) (CAMPINA VERDE)"/>
    <s v="ENTR BR-364(B)"/>
    <n v="162.4"/>
    <n v="171.8"/>
    <n v="9.4"/>
    <x v="2"/>
    <m/>
    <s v="154BMG0120;364BMG0330"/>
    <s v="Federal"/>
    <m/>
    <m/>
    <m/>
    <s v="Federal"/>
    <s v="PAV"/>
    <s v="Prata"/>
  </r>
  <r>
    <x v="0"/>
    <s v="497BMG0052"/>
    <n v="0"/>
    <x v="489"/>
    <s v="0052"/>
    <n v="-49.559140170382499"/>
    <n v="-19.51840057023"/>
    <n v="-50.014392860442101"/>
    <n v="-19.566375240225099"/>
    <s v="497"/>
    <s v="MG"/>
    <s v="Eixo Principal"/>
    <s v="-"/>
    <s v="497BMG0052"/>
    <s v="ENTR BR-364(B)"/>
    <s v="ACESSO HONORÓPOLIS"/>
    <n v="171.8"/>
    <n v="223.6"/>
    <n v="51.8"/>
    <x v="1"/>
    <m/>
    <m/>
    <s v="Estadual"/>
    <m/>
    <s v="MGT-497"/>
    <s v="PAV"/>
    <s v="Estadual"/>
    <s v="PLA"/>
    <s v="Prata"/>
  </r>
  <r>
    <x v="0"/>
    <s v="497BMG0055"/>
    <n v="0"/>
    <x v="489"/>
    <s v="0055"/>
    <n v="-50.014392860442101"/>
    <n v="-19.566375240225099"/>
    <n v="-50.195057439648998"/>
    <n v="-19.718372799664898"/>
    <s v="497"/>
    <s v="MG"/>
    <s v="Eixo Principal"/>
    <s v="-"/>
    <s v="497BMG0055"/>
    <s v="ACESSO HONORÓPOLIS"/>
    <s v="ENTR MG-255/426 (ITURAMA)"/>
    <n v="223.6"/>
    <n v="251.7"/>
    <n v="28.1"/>
    <x v="1"/>
    <m/>
    <m/>
    <s v="Estadual"/>
    <m/>
    <s v="MGT-497"/>
    <s v="PAV"/>
    <s v="Estadual"/>
    <s v="PLA"/>
    <s v="Prata"/>
  </r>
  <r>
    <x v="0"/>
    <s v="497BMG0060"/>
    <n v="0"/>
    <x v="489"/>
    <s v="0060"/>
    <n v="-50.195057439648998"/>
    <n v="-19.718372799664898"/>
    <n v="-50.216614760162898"/>
    <n v="-19.725559749782501"/>
    <s v="497"/>
    <s v="MG"/>
    <s v="Eixo Principal"/>
    <s v="-"/>
    <s v="497BMG0060"/>
    <s v="ENTR MG-255/426 (ITURAMA)"/>
    <s v="ENTR BR-461(A)"/>
    <n v="251.7"/>
    <n v="254.1"/>
    <n v="2.4"/>
    <x v="1"/>
    <m/>
    <m/>
    <s v="Estadual"/>
    <m/>
    <s v="MGT-497"/>
    <s v="PAV"/>
    <s v="Estadual"/>
    <s v="PLA"/>
    <s v="Prata"/>
  </r>
  <r>
    <x v="0"/>
    <s v="497BMG0065"/>
    <n v="0"/>
    <x v="489"/>
    <s v="0065"/>
    <n v="-50.216614760162898"/>
    <n v="-19.725559749782501"/>
    <n v="-50.265937899714203"/>
    <n v="-19.724162029753799"/>
    <s v="497"/>
    <s v="MG"/>
    <s v="Eixo Principal"/>
    <s v="-"/>
    <s v="497BMG0065"/>
    <s v="ENTR BR-461(A)"/>
    <s v="ENTR BR-461(B)"/>
    <n v="254.1"/>
    <n v="259.39999999999998"/>
    <n v="5.3"/>
    <x v="1"/>
    <m/>
    <m/>
    <s v="Estadual"/>
    <m/>
    <s v="MG-497"/>
    <s v="PAV"/>
    <s v="Estadual"/>
    <s v="PLA"/>
    <m/>
  </r>
  <r>
    <x v="0"/>
    <s v="497BMG0070"/>
    <n v="0"/>
    <x v="489"/>
    <s v="0070"/>
    <n v="-50.265937899714203"/>
    <n v="-19.724162029753799"/>
    <n v="-50.455241960048298"/>
    <n v="-19.706865039689699"/>
    <s v="497"/>
    <s v="MG"/>
    <s v="Eixo Principal"/>
    <s v="-"/>
    <s v="497BMG0070"/>
    <s v="ENTR BR-461(B)"/>
    <s v="ALEXANDRITA"/>
    <n v="259.39999999999998"/>
    <n v="279.7"/>
    <n v="20.3"/>
    <x v="1"/>
    <m/>
    <m/>
    <s v="Estadual"/>
    <m/>
    <s v="MGT-497"/>
    <s v="PAV"/>
    <s v="Estadual"/>
    <s v="PLA"/>
    <s v="Prata"/>
  </r>
  <r>
    <x v="0"/>
    <s v="497BMG0080"/>
    <n v="0"/>
    <x v="489"/>
    <s v="0080"/>
    <n v="-50.455241960048298"/>
    <n v="-19.706865039689699"/>
    <n v="-51.008235809235103"/>
    <n v="-19.6620561478728"/>
    <s v="497"/>
    <s v="MG"/>
    <s v="Eixo Principal"/>
    <s v="-"/>
    <s v="497BMG0080"/>
    <s v="ALEXANDRITA"/>
    <s v="PORTO ALENCASTRO"/>
    <n v="279.7"/>
    <n v="340.8"/>
    <n v="61.1"/>
    <x v="1"/>
    <m/>
    <m/>
    <s v="Estadual"/>
    <m/>
    <s v="MGT-497"/>
    <s v="PAV"/>
    <s v="Estadual"/>
    <s v="PLA"/>
    <s v="Prata"/>
  </r>
  <r>
    <x v="0"/>
    <s v="497BMG0085"/>
    <n v="0"/>
    <x v="489"/>
    <s v="0085"/>
    <n v="-51.008235809235103"/>
    <n v="-19.6620561478728"/>
    <n v="-51.017451250374798"/>
    <n v="-19.660353840057599"/>
    <s v="497"/>
    <s v="MG"/>
    <s v="Eixo Principal"/>
    <s v="-"/>
    <s v="497BMG0085"/>
    <s v="PORTO ALENCASTRO"/>
    <s v="DIV MG/MS (INÍCIO PONTE S/RIO PARANAÍBA)"/>
    <n v="340.8"/>
    <n v="341.8"/>
    <n v="1"/>
    <x v="1"/>
    <m/>
    <m/>
    <s v="Estadual"/>
    <m/>
    <s v="MGT-497"/>
    <s v="PAV"/>
    <s v="Estadual"/>
    <s v="PLA"/>
    <s v="Prata"/>
  </r>
  <r>
    <x v="0"/>
    <s v="497BMS0090"/>
    <n v="0"/>
    <x v="490"/>
    <s v="0090"/>
    <n v="-51.017451250374798"/>
    <n v="-19.660353840057599"/>
    <n v="-51.1404879302737"/>
    <n v="-19.655738799905599"/>
    <s v="497"/>
    <s v="MS"/>
    <s v="Eixo Principal"/>
    <s v="-"/>
    <s v="497BMS0090"/>
    <s v="DIV MG/MS (INÍCIO PONTE S/RIO PARANAÍBA)"/>
    <s v="ENTR BR-483(A)"/>
    <n v="0"/>
    <n v="12.5"/>
    <n v="12.5"/>
    <x v="1"/>
    <m/>
    <m/>
    <m/>
    <s v="MP082/2003"/>
    <s v="MST-497"/>
    <s v="PAV"/>
    <m/>
    <s v="PLA"/>
    <s v="Três Lagoas"/>
  </r>
  <r>
    <x v="0"/>
    <s v="497BMS0095"/>
    <n v="0"/>
    <x v="490"/>
    <s v="0095"/>
    <n v="-51.1404879302737"/>
    <n v="-19.655738799905599"/>
    <n v="-51.203968450183702"/>
    <n v="-19.656205219795002"/>
    <s v="497"/>
    <s v="MS"/>
    <s v="Eixo Principal"/>
    <s v="Coinc"/>
    <s v="497BMS0095"/>
    <s v="ENTR BR-483(A)"/>
    <s v="ENTR BR-158/483(B) (PARANAÍBA)"/>
    <n v="12.5"/>
    <n v="19.3"/>
    <n v="6.8"/>
    <x v="1"/>
    <m/>
    <s v="483BMS0115"/>
    <m/>
    <s v="MP082/2003"/>
    <s v="MST-483"/>
    <s v="PAV"/>
    <m/>
    <s v="PLA"/>
    <s v="Três Lagoas"/>
  </r>
  <r>
    <x v="0"/>
    <s v="498BBA0010"/>
    <n v="0"/>
    <x v="491"/>
    <s v="0010"/>
    <n v="-39.4164522499713"/>
    <n v="-16.887691109856799"/>
    <n v="-39.523314819823"/>
    <n v="-16.911463810406399"/>
    <s v="498"/>
    <s v="BA"/>
    <s v="Eixo Principal"/>
    <s v="-"/>
    <s v="498BBA0010"/>
    <s v="MONTE PASCOAL"/>
    <s v="ENTR BR-101"/>
    <n v="0"/>
    <n v="14.2"/>
    <n v="14.2"/>
    <x v="2"/>
    <m/>
    <m/>
    <s v="Federal"/>
    <m/>
    <m/>
    <m/>
    <s v="Federal"/>
    <s v="PAV"/>
    <s v="Eunápolis"/>
  </r>
  <r>
    <x v="0"/>
    <s v="499AMG1005"/>
    <n v="0"/>
    <x v="492"/>
    <s v="1005"/>
    <n v="-43.5758750197163"/>
    <n v="-21.4627039700121"/>
    <n v="-43.562816469704202"/>
    <n v="-21.4640507002795"/>
    <s v="499"/>
    <s v="MG"/>
    <s v="Acesso"/>
    <s v="-"/>
    <s v="499AMG1005"/>
    <s v="ENTR BR-499 (KM 4,9 - TRAV URB DE SANTOS DUMONT)"/>
    <s v="ENTR BR-040"/>
    <n v="0"/>
    <n v="1.6"/>
    <n v="1.6"/>
    <x v="1"/>
    <m/>
    <m/>
    <s v="Estadual"/>
    <m/>
    <s v="MG-499"/>
    <s v="PAV"/>
    <s v="Estadual"/>
    <s v="PLA"/>
    <s v="Juiz de Fora"/>
  </r>
  <r>
    <x v="0"/>
    <s v="499BMG0010"/>
    <n v="0"/>
    <x v="493"/>
    <s v="0010"/>
    <n v="-43.552802929711298"/>
    <n v="-21.435994330074202"/>
    <n v="-43.5758750197163"/>
    <n v="-21.4627039700121"/>
    <s v="499"/>
    <s v="MG"/>
    <s v="Eixo Principal"/>
    <s v="-"/>
    <s v="499BMG0010"/>
    <s v="ENTR BR-040"/>
    <s v="ENTR ACESSO SANTOS DUMONT"/>
    <n v="0"/>
    <n v="4.9000000000000004"/>
    <n v="4.9000000000000004"/>
    <x v="2"/>
    <m/>
    <m/>
    <s v="Federal"/>
    <m/>
    <m/>
    <m/>
    <s v="Federal"/>
    <s v="PAV"/>
    <s v="Juiz de Fora"/>
  </r>
  <r>
    <x v="0"/>
    <s v="499BMG0020"/>
    <n v="0"/>
    <x v="493"/>
    <s v="0020"/>
    <n v="-43.5758750197163"/>
    <n v="-21.4627039700121"/>
    <n v="-43.672961490380402"/>
    <n v="-21.425664979655"/>
    <s v="499"/>
    <s v="MG"/>
    <s v="Eixo Principal"/>
    <s v="-"/>
    <s v="499BMG0020"/>
    <s v="ENTR ACESSO SANTOS DUMONT"/>
    <s v="CABANGÚ"/>
    <n v="4.9000000000000004"/>
    <n v="19.2"/>
    <n v="14.3"/>
    <x v="1"/>
    <m/>
    <m/>
    <s v="Estadual"/>
    <m/>
    <s v="MG-499"/>
    <s v="PAV"/>
    <s v="Estadual"/>
    <s v="PLA"/>
    <s v="Juiz de Fora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x v="0"/>
    <s v="040BMG0090"/>
    <e v="#N/A"/>
    <s v="040BMG"/>
    <s v="0090"/>
    <s v="040"/>
    <s v="MG"/>
    <s v="Eixo Principal"/>
    <s v="-"/>
    <s v="040BMG0090"/>
    <n v="0"/>
    <n v="44.1"/>
    <n v="44.1"/>
    <x v="0"/>
    <m/>
    <m/>
    <s v="Concessão Federal"/>
    <m/>
    <m/>
    <m/>
    <s v="Federal"/>
    <s v="Goiânia"/>
  </r>
  <r>
    <x v="0"/>
    <s v="040BMG0097"/>
    <e v="#N/A"/>
    <s v="040BMG"/>
    <s v="0097"/>
    <s v="040"/>
    <s v="MG"/>
    <s v="Eixo Principal"/>
    <s v="-"/>
    <s v="040BMG0097"/>
    <n v="44.1"/>
    <n v="50.6"/>
    <n v="6.5"/>
    <x v="0"/>
    <m/>
    <m/>
    <s v="Concessão Federal"/>
    <m/>
    <m/>
    <m/>
    <s v="Federal"/>
    <s v="Patos de Minas"/>
  </r>
  <r>
    <x v="0"/>
    <s v="040BMG0100"/>
    <e v="#N/A"/>
    <s v="040BMG"/>
    <s v="0100"/>
    <s v="040"/>
    <s v="MG"/>
    <s v="Eixo Principal"/>
    <s v="-"/>
    <s v="040BMG0100"/>
    <n v="50.6"/>
    <n v="68.5"/>
    <n v="17.899999999999999"/>
    <x v="0"/>
    <m/>
    <m/>
    <s v="Concessão Federal"/>
    <m/>
    <m/>
    <m/>
    <s v="Federal"/>
    <s v="Patos de Minas"/>
  </r>
  <r>
    <x v="0"/>
    <s v="040BMG0110"/>
    <e v="#N/A"/>
    <s v="040BMG"/>
    <s v="0110"/>
    <s v="040"/>
    <s v="MG"/>
    <s v="Eixo Principal"/>
    <s v="-"/>
    <s v="040BMG0110"/>
    <n v="68.5"/>
    <n v="87.8"/>
    <n v="19.3"/>
    <x v="0"/>
    <m/>
    <m/>
    <s v="Concessão Federal"/>
    <m/>
    <m/>
    <m/>
    <s v="Federal"/>
    <s v="Patos de Minas"/>
  </r>
  <r>
    <x v="0"/>
    <s v="040BMG0120"/>
    <e v="#N/A"/>
    <s v="040BMG"/>
    <s v="0120"/>
    <s v="040"/>
    <s v="MG"/>
    <s v="Eixo Principal"/>
    <s v="-"/>
    <s v="040BMG0120"/>
    <n v="87.8"/>
    <n v="118.9"/>
    <n v="31.1"/>
    <x v="0"/>
    <m/>
    <m/>
    <s v="Concessão Federal"/>
    <m/>
    <m/>
    <m/>
    <s v="Federal"/>
    <s v="Patos de Minas"/>
  </r>
  <r>
    <x v="0"/>
    <s v="040BMG0130"/>
    <e v="#N/A"/>
    <s v="040BMG"/>
    <s v="0130"/>
    <s v="040"/>
    <s v="MG"/>
    <s v="Eixo Principal"/>
    <s v="-"/>
    <s v="040BMG0130"/>
    <n v="118.9"/>
    <n v="145.19999999999999"/>
    <n v="26.3"/>
    <x v="0"/>
    <m/>
    <m/>
    <s v="Concessão Federal"/>
    <m/>
    <m/>
    <m/>
    <s v="Federal"/>
    <s v="Patos de Minas"/>
  </r>
  <r>
    <x v="0"/>
    <s v="040BMG0150"/>
    <e v="#N/A"/>
    <s v="040BMG"/>
    <s v="0150"/>
    <s v="040"/>
    <s v="MG"/>
    <s v="Eixo Principal"/>
    <s v="-"/>
    <s v="040BMG0150"/>
    <n v="145.19999999999999"/>
    <n v="224.7"/>
    <n v="79.5"/>
    <x v="0"/>
    <m/>
    <m/>
    <s v="Concessão Federal"/>
    <m/>
    <m/>
    <m/>
    <s v="Federal"/>
    <s v="Patos de Minas"/>
  </r>
  <r>
    <x v="0"/>
    <s v="040BMG0170"/>
    <e v="#N/A"/>
    <s v="040BMG"/>
    <s v="0170"/>
    <s v="040"/>
    <s v="MG"/>
    <s v="Eixo Principal"/>
    <s v="-"/>
    <s v="040BMG0170"/>
    <n v="224.7"/>
    <n v="285.7"/>
    <n v="61"/>
    <x v="0"/>
    <m/>
    <m/>
    <s v="Concessão Federal"/>
    <m/>
    <m/>
    <m/>
    <s v="Federal"/>
    <s v="Patos de Minas"/>
  </r>
  <r>
    <x v="0"/>
    <s v="040BMG0190"/>
    <e v="#N/A"/>
    <s v="040BMG"/>
    <s v="0190"/>
    <s v="040"/>
    <s v="MG"/>
    <s v="Eixo Principal"/>
    <s v="-"/>
    <s v="040BMG0190"/>
    <n v="285.7"/>
    <n v="310.89999999999998"/>
    <n v="25.2"/>
    <x v="0"/>
    <m/>
    <m/>
    <s v="Concessão Federal"/>
    <m/>
    <m/>
    <m/>
    <s v="Federal"/>
    <s v="Bom Despacho"/>
  </r>
  <r>
    <x v="0"/>
    <s v="040BMG0195"/>
    <e v="#N/A"/>
    <s v="040BMG"/>
    <s v="0195"/>
    <s v="040"/>
    <s v="MG"/>
    <s v="Eixo Principal"/>
    <s v="-"/>
    <s v="040BMG0195"/>
    <n v="310.89999999999998"/>
    <n v="339.7"/>
    <n v="28.8"/>
    <x v="0"/>
    <m/>
    <m/>
    <s v="Concessão Federal"/>
    <m/>
    <m/>
    <m/>
    <s v="Federal"/>
    <s v="Bom Despacho"/>
  </r>
  <r>
    <x v="0"/>
    <s v="040BMG0200"/>
    <e v="#N/A"/>
    <s v="040BMG"/>
    <s v="0200"/>
    <s v="040"/>
    <s v="MG"/>
    <s v="Eixo Principal"/>
    <s v="-"/>
    <s v="040BMG0200"/>
    <n v="339.7"/>
    <n v="360.7"/>
    <n v="21"/>
    <x v="0"/>
    <m/>
    <m/>
    <s v="Concessão Federal"/>
    <m/>
    <m/>
    <m/>
    <s v="Federal"/>
    <s v="Bom Despacho"/>
  </r>
  <r>
    <x v="0"/>
    <s v="040BMG0210"/>
    <e v="#N/A"/>
    <s v="040BMG"/>
    <s v="0210"/>
    <s v="040"/>
    <s v="MG"/>
    <s v="Eixo Principal"/>
    <s v="-"/>
    <s v="040BMG0210"/>
    <n v="360.7"/>
    <n v="384.9"/>
    <n v="24.2"/>
    <x v="0"/>
    <m/>
    <m/>
    <s v="Concessão Federal"/>
    <m/>
    <m/>
    <m/>
    <s v="Federal"/>
    <s v="Bom Despacho"/>
  </r>
  <r>
    <x v="0"/>
    <s v="040BMG0217"/>
    <e v="#N/A"/>
    <s v="040BMG"/>
    <s v="0217"/>
    <s v="040"/>
    <s v="MG"/>
    <s v="Eixo Principal"/>
    <s v="-"/>
    <s v="040BMG0217"/>
    <n v="384.9"/>
    <n v="413.8"/>
    <n v="28.9"/>
    <x v="0"/>
    <m/>
    <m/>
    <s v="Concessão Federal"/>
    <m/>
    <m/>
    <m/>
    <s v="Federal"/>
    <s v="Bom Despacho"/>
  </r>
  <r>
    <x v="0"/>
    <s v="040BMG0230"/>
    <e v="#N/A"/>
    <s v="040BMG"/>
    <s v="0230"/>
    <s v="040"/>
    <s v="MG"/>
    <s v="Eixo Principal"/>
    <s v="-"/>
    <s v="040BMG0230"/>
    <n v="413.8"/>
    <n v="423.7"/>
    <n v="9.9"/>
    <x v="0"/>
    <m/>
    <m/>
    <s v="Concessão Federal"/>
    <m/>
    <m/>
    <m/>
    <s v="Federal"/>
    <s v="Bom Despacho"/>
  </r>
  <r>
    <x v="0"/>
    <s v="040BMG0240"/>
    <e v="#N/A"/>
    <s v="040BMG"/>
    <s v="0240"/>
    <s v="040"/>
    <s v="MG"/>
    <s v="Eixo Principal"/>
    <s v="-"/>
    <s v="040BMG0240"/>
    <n v="423.7"/>
    <n v="437.7"/>
    <n v="14"/>
    <x v="1"/>
    <m/>
    <s v="135BMG0880"/>
    <s v="Concessão Federal"/>
    <m/>
    <m/>
    <m/>
    <s v="Federal"/>
    <s v="Bom Despacho"/>
  </r>
  <r>
    <x v="0"/>
    <s v="040BMG0250"/>
    <e v="#N/A"/>
    <s v="040BMG"/>
    <s v="0250"/>
    <s v="040"/>
    <s v="MG"/>
    <s v="Eixo Principal"/>
    <s v="-"/>
    <s v="040BMG0250"/>
    <n v="437.7"/>
    <n v="446"/>
    <n v="8.3000000000000007"/>
    <x v="1"/>
    <m/>
    <s v="135BMG0890"/>
    <s v="Concessão Federal"/>
    <m/>
    <m/>
    <m/>
    <s v="Federal"/>
    <s v="Bom Despacho"/>
  </r>
  <r>
    <x v="0"/>
    <s v="040BMG0260"/>
    <e v="#N/A"/>
    <s v="040BMG"/>
    <s v="0260"/>
    <s v="040"/>
    <s v="MG"/>
    <s v="Eixo Principal"/>
    <s v="-"/>
    <s v="040BMG0260"/>
    <n v="446"/>
    <n v="448"/>
    <n v="2"/>
    <x v="1"/>
    <m/>
    <s v="135BMG0900"/>
    <s v="Concessão Federal"/>
    <m/>
    <m/>
    <m/>
    <s v="Federal"/>
    <s v="Bom Despacho"/>
  </r>
  <r>
    <x v="0"/>
    <s v="040BMG0270"/>
    <e v="#N/A"/>
    <s v="040BMG"/>
    <s v="0270"/>
    <s v="040"/>
    <s v="MG"/>
    <s v="Eixo Principal"/>
    <s v="-"/>
    <s v="040BMG0270"/>
    <n v="448"/>
    <n v="471.3"/>
    <n v="23.3"/>
    <x v="1"/>
    <m/>
    <s v="135BMG0910"/>
    <s v="Concessão Federal"/>
    <m/>
    <m/>
    <m/>
    <s v="Federal"/>
    <s v="Bom Despacho"/>
  </r>
  <r>
    <x v="0"/>
    <s v="040BMG0290"/>
    <e v="#N/A"/>
    <s v="040BMG"/>
    <s v="0290"/>
    <s v="040"/>
    <s v="MG"/>
    <s v="Eixo Principal"/>
    <s v="-"/>
    <s v="040BMG0290"/>
    <n v="471.3"/>
    <n v="473.3"/>
    <n v="2"/>
    <x v="1"/>
    <m/>
    <s v="135BMG0930"/>
    <s v="Concessão Federal"/>
    <m/>
    <m/>
    <m/>
    <s v="Federal"/>
    <s v="Bom Despacho"/>
  </r>
  <r>
    <x v="0"/>
    <s v="040BMG0330"/>
    <e v="#N/A"/>
    <s v="040BMG"/>
    <s v="0330"/>
    <s v="040"/>
    <s v="MG"/>
    <s v="Eixo Principal"/>
    <s v="-"/>
    <s v="040BMG0330"/>
    <n v="473.3"/>
    <n v="508.7"/>
    <n v="35.4"/>
    <x v="1"/>
    <m/>
    <s v="135BMG0970"/>
    <s v="Concessão Federal"/>
    <m/>
    <m/>
    <m/>
    <s v="Federal"/>
    <s v="Bom Despacho"/>
  </r>
  <r>
    <x v="1"/>
    <s v="040BMG0360"/>
    <s v="BR-040/DF/GO/MG (Via040)"/>
    <s v="040BMG"/>
    <s v="0360"/>
    <s v="040"/>
    <s v="MG"/>
    <s v="Eixo Principal"/>
    <s v="-"/>
    <s v="040BMG0360"/>
    <n v="508.7"/>
    <n v="533.20000000000005"/>
    <n v="24.5"/>
    <x v="1"/>
    <m/>
    <s v="135BMG0990"/>
    <s v="Concessão Federal"/>
    <m/>
    <m/>
    <m/>
    <s v="Federal"/>
    <s v="Contagem"/>
  </r>
  <r>
    <x v="1"/>
    <s v="040BMG0370"/>
    <s v="BR-040/DF/GO/MG (Via040)"/>
    <s v="040BMG"/>
    <s v="0370"/>
    <s v="040"/>
    <s v="MG"/>
    <s v="Eixo Principal"/>
    <s v="-"/>
    <s v="040BMG0370"/>
    <n v="533.20000000000005"/>
    <n v="535.79999999999995"/>
    <n v="2.6"/>
    <x v="1"/>
    <m/>
    <s v="381BMG0430;262BMG0590"/>
    <s v="Concessão Federal"/>
    <m/>
    <m/>
    <m/>
    <s v="Federal"/>
    <s v="Contagem"/>
  </r>
  <r>
    <x v="1"/>
    <s v="040BMG0390"/>
    <s v="BR-040/DF/GO/MG (Via040)"/>
    <s v="040BMG"/>
    <s v="0390"/>
    <s v="040"/>
    <s v="MG"/>
    <s v="Eixo Principal"/>
    <s v="-"/>
    <s v="040BMG0390"/>
    <n v="535.79999999999995"/>
    <n v="544"/>
    <n v="8.1999999999999993"/>
    <x v="1"/>
    <m/>
    <m/>
    <s v="Concessão Federal"/>
    <m/>
    <m/>
    <m/>
    <s v="Federal"/>
    <s v="Contagem"/>
  </r>
  <r>
    <x v="1"/>
    <s v="040BMG0400"/>
    <s v="BR-040/DF/GO/MG (Via040)"/>
    <s v="040BMG"/>
    <s v="0400"/>
    <s v="040"/>
    <s v="MG"/>
    <s v="Eixo Principal"/>
    <s v="-"/>
    <s v="040BMG0400"/>
    <n v="544"/>
    <n v="564.1"/>
    <n v="20.100000000000001"/>
    <x v="1"/>
    <m/>
    <s v="356BMG0040"/>
    <s v="Concessão Federal"/>
    <m/>
    <m/>
    <m/>
    <s v="Federal"/>
    <s v="Contagem"/>
  </r>
  <r>
    <x v="1"/>
    <s v="040BMG0410"/>
    <s v="BR-040/DF/GO/MG (Via040)"/>
    <s v="040BMG"/>
    <s v="0410"/>
    <s v="040"/>
    <s v="MG"/>
    <s v="Eixo Principal"/>
    <s v="-"/>
    <s v="040BMG0410"/>
    <n v="564.1"/>
    <n v="598.4"/>
    <n v="34.299999999999997"/>
    <x v="0"/>
    <m/>
    <m/>
    <s v="Concessão Federal"/>
    <m/>
    <m/>
    <m/>
    <s v="Federal"/>
    <s v="Contagem"/>
  </r>
  <r>
    <x v="1"/>
    <s v="040BMG0430"/>
    <s v="BR-040/DF/GO/MG (Via040)"/>
    <s v="040BMG"/>
    <s v="0430"/>
    <s v="040"/>
    <s v="MG"/>
    <s v="Eixo Principal"/>
    <s v="-"/>
    <s v="040BMG0430"/>
    <n v="598.4"/>
    <n v="612.29999999999995"/>
    <n v="13.9"/>
    <x v="0"/>
    <m/>
    <m/>
    <s v="Concessão Federal"/>
    <m/>
    <m/>
    <m/>
    <s v="Federal"/>
    <s v="Contagem"/>
  </r>
  <r>
    <x v="1"/>
    <s v="040BMG0450"/>
    <s v="BR-040/DF/GO/MG (Via040)"/>
    <s v="040BMG"/>
    <s v="0450"/>
    <s v="040"/>
    <s v="MG"/>
    <s v="Eixo Principal"/>
    <s v="-"/>
    <s v="040BMG0450"/>
    <n v="612.29999999999995"/>
    <n v="616.20000000000005"/>
    <n v="3.9"/>
    <x v="0"/>
    <m/>
    <m/>
    <s v="Concessão Federal"/>
    <m/>
    <m/>
    <m/>
    <s v="Federal"/>
    <s v="Contagem"/>
  </r>
  <r>
    <x v="1"/>
    <s v="040BMG0457"/>
    <s v="BR-040/DF/GO/MG (Via040)"/>
    <s v="040BMG"/>
    <s v="0457"/>
    <s v="040"/>
    <s v="MG"/>
    <s v="Eixo Principal"/>
    <s v="-"/>
    <s v="040BMG0457"/>
    <n v="616.20000000000005"/>
    <n v="618"/>
    <n v="1.8"/>
    <x v="0"/>
    <m/>
    <m/>
    <s v="Concessão Federal"/>
    <m/>
    <m/>
    <m/>
    <s v="Federal"/>
    <s v="Contagem"/>
  </r>
  <r>
    <x v="1"/>
    <s v="040BMG0470"/>
    <s v="BR-040/DF/GO/MG (Via040)"/>
    <s v="040BMG"/>
    <s v="0470"/>
    <s v="040"/>
    <s v="MG"/>
    <s v="Eixo Principal"/>
    <s v="-"/>
    <s v="040BMG0470"/>
    <n v="618"/>
    <n v="630.1"/>
    <n v="12.1"/>
    <x v="0"/>
    <m/>
    <s v="383BMG0010"/>
    <s v="Concessão Federal"/>
    <m/>
    <m/>
    <m/>
    <s v="Federal"/>
    <s v="Contagem"/>
  </r>
  <r>
    <x v="1"/>
    <s v="040BMG0490"/>
    <s v="BR-040/DF/GO/MG (Via040)"/>
    <s v="040BMG"/>
    <s v="0490"/>
    <s v="040"/>
    <s v="MG"/>
    <s v="Eixo Principal"/>
    <s v="-"/>
    <s v="040BMG0490"/>
    <n v="630.1"/>
    <n v="667.9"/>
    <n v="37.799999999999997"/>
    <x v="0"/>
    <m/>
    <m/>
    <s v="Concessão Federal"/>
    <m/>
    <m/>
    <m/>
    <s v="Federal"/>
    <s v="Contagem"/>
  </r>
  <r>
    <x v="1"/>
    <s v="040BMG0510"/>
    <s v="BR-040/DF/GO/MG (Via040)"/>
    <s v="040BMG"/>
    <s v="0510"/>
    <s v="040"/>
    <s v="MG"/>
    <s v="Eixo Principal"/>
    <s v="-"/>
    <s v="040BMG0510"/>
    <n v="667.9"/>
    <n v="701.1"/>
    <n v="33.200000000000003"/>
    <x v="0"/>
    <m/>
    <m/>
    <s v="Concessão Federal"/>
    <m/>
    <m/>
    <m/>
    <s v="Federal"/>
    <s v="Juiz de Fora"/>
  </r>
  <r>
    <x v="1"/>
    <s v="040BMG0520"/>
    <s v="BR-040/DF/GO/MG (Via040)"/>
    <s v="040BMG"/>
    <s v="0520"/>
    <s v="040"/>
    <s v="MG"/>
    <s v="Eixo Principal"/>
    <s v="-"/>
    <s v="040BMG0520"/>
    <n v="701.1"/>
    <n v="703.6"/>
    <n v="2.5"/>
    <x v="1"/>
    <m/>
    <m/>
    <s v="Concessão Federal"/>
    <m/>
    <m/>
    <m/>
    <s v="Federal"/>
    <s v="Juiz de Fora"/>
  </r>
  <r>
    <x v="1"/>
    <s v="040BMG0530"/>
    <s v="BR-040/DF/GO/MG (Via040)"/>
    <s v="040BMG"/>
    <s v="0530"/>
    <s v="040"/>
    <s v="MG"/>
    <s v="Eixo Principal"/>
    <s v="-"/>
    <s v="040BMG0530"/>
    <n v="703.6"/>
    <n v="719.5"/>
    <n v="15.9"/>
    <x v="1"/>
    <m/>
    <m/>
    <s v="Concessão Federal"/>
    <m/>
    <m/>
    <m/>
    <s v="Federal"/>
    <s v="Juiz de Fora"/>
  </r>
  <r>
    <x v="1"/>
    <s v="040BMG0550"/>
    <s v="BR-040/DF/GO/MG (Via040)"/>
    <s v="040BMG"/>
    <s v="0550"/>
    <s v="040"/>
    <s v="MG"/>
    <s v="Eixo Principal"/>
    <s v="-"/>
    <s v="040BMG0550"/>
    <n v="719.5"/>
    <n v="736.9"/>
    <n v="17.399999999999999"/>
    <x v="1"/>
    <m/>
    <m/>
    <s v="Concessão Federal"/>
    <m/>
    <m/>
    <m/>
    <s v="Federal"/>
    <s v="Juiz de Fora"/>
  </r>
  <r>
    <x v="1"/>
    <s v="040BMG0565"/>
    <s v="BR-040/DF/GO/MG (Via040)"/>
    <s v="040BMG"/>
    <s v="0565"/>
    <s v="040"/>
    <s v="MG"/>
    <s v="Eixo Principal"/>
    <s v="-"/>
    <s v="040BMG0565"/>
    <n v="736.9"/>
    <n v="744.4"/>
    <n v="7.5"/>
    <x v="0"/>
    <m/>
    <m/>
    <s v="Concessão Federal"/>
    <m/>
    <m/>
    <m/>
    <s v="Federal"/>
    <s v="Juiz de Fora"/>
  </r>
  <r>
    <x v="1"/>
    <s v="040BMG0570"/>
    <s v="BR-040/DF/GO/MG (Via040)"/>
    <s v="040BMG"/>
    <s v="0570"/>
    <s v="040"/>
    <s v="MG"/>
    <s v="Eixo Principal"/>
    <s v="-"/>
    <s v="040BMG0570"/>
    <n v="744.4"/>
    <n v="776.1"/>
    <n v="31.7"/>
    <x v="0"/>
    <m/>
    <m/>
    <s v="Concessão Federal"/>
    <m/>
    <m/>
    <m/>
    <s v="Federal"/>
    <s v="Juiz de Fora"/>
  </r>
  <r>
    <x v="2"/>
    <m/>
    <m/>
    <m/>
    <m/>
    <m/>
    <m/>
    <m/>
    <m/>
    <m/>
    <m/>
    <m/>
    <m/>
    <x v="2"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1000-000001000000}" name="Tabela dinâmica9" cacheId="1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>
  <location ref="P5:T10" firstHeaderRow="1" firstDataRow="2" firstDataCol="1"/>
  <pivotFields count="22">
    <pivotField axis="axisRow" showAll="0">
      <items count="4">
        <item x="0"/>
        <item x="1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axis="axisCol" showAll="0">
      <items count="4">
        <item x="1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0"/>
  </rowFields>
  <rowItems count="4">
    <i>
      <x/>
    </i>
    <i>
      <x v="1"/>
    </i>
    <i>
      <x v="2"/>
    </i>
    <i t="grand">
      <x/>
    </i>
  </rowItems>
  <colFields count="1">
    <field x="13"/>
  </colFields>
  <colItems count="4">
    <i>
      <x/>
    </i>
    <i>
      <x v="1"/>
    </i>
    <i>
      <x v="2"/>
    </i>
    <i t="grand">
      <x/>
    </i>
  </colItems>
  <dataFields count="1">
    <dataField name="Soma de Extensão" fld="1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1000-000000000000}" name="Tabela dinâmica6" cacheId="0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>
  <location ref="D3:H32" firstHeaderRow="1" firstDataRow="2" firstDataCol="1"/>
  <pivotFields count="29">
    <pivotField axis="axisRow" numFmtId="41" multipleItemSelectionAllowed="1" showAll="0">
      <items count="8">
        <item h="1" x="0"/>
        <item x="5"/>
        <item x="3"/>
        <item x="6"/>
        <item x="2"/>
        <item x="1"/>
        <item x="4"/>
        <item t="default"/>
      </items>
    </pivotField>
    <pivotField showAll="0"/>
    <pivotField showAll="0"/>
    <pivotField axis="axisRow" showAll="0">
      <items count="49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t="default"/>
      </items>
    </pivotField>
    <pivotField showAll="0"/>
    <pivotField numFmtId="177" showAll="0"/>
    <pivotField numFmtId="177" showAll="0"/>
    <pivotField numFmtId="177" showAll="0"/>
    <pivotField numFmtId="177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axis="axisCol" showAll="0">
      <items count="7">
        <item x="0"/>
        <item x="5"/>
        <item x="3"/>
        <item x="2"/>
        <item x="1"/>
        <item x="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0"/>
    <field x="3"/>
  </rowFields>
  <rowItems count="28">
    <i>
      <x v="1"/>
    </i>
    <i r="1">
      <x v="135"/>
    </i>
    <i r="1">
      <x v="141"/>
    </i>
    <i r="1">
      <x v="142"/>
    </i>
    <i>
      <x v="2"/>
    </i>
    <i r="1">
      <x v="112"/>
    </i>
    <i r="1">
      <x v="266"/>
    </i>
    <i>
      <x v="3"/>
    </i>
    <i r="1">
      <x v="151"/>
    </i>
    <i>
      <x v="4"/>
    </i>
    <i r="1">
      <x v="31"/>
    </i>
    <i r="1">
      <x v="32"/>
    </i>
    <i r="1">
      <x v="122"/>
    </i>
    <i r="1">
      <x v="123"/>
    </i>
    <i r="1">
      <x v="226"/>
    </i>
    <i>
      <x v="5"/>
    </i>
    <i r="1">
      <x v="16"/>
    </i>
    <i r="1">
      <x v="17"/>
    </i>
    <i r="1">
      <x v="18"/>
    </i>
    <i>
      <x v="6"/>
    </i>
    <i r="1">
      <x v="125"/>
    </i>
    <i r="1">
      <x v="127"/>
    </i>
    <i r="1">
      <x v="242"/>
    </i>
    <i r="1">
      <x v="246"/>
    </i>
    <i r="1">
      <x v="443"/>
    </i>
    <i r="1">
      <x v="457"/>
    </i>
    <i r="1">
      <x v="466"/>
    </i>
    <i t="grand">
      <x/>
    </i>
  </rowItems>
  <colFields count="1">
    <field x="19"/>
  </colFields>
  <colItems count="4">
    <i>
      <x/>
    </i>
    <i>
      <x v="1"/>
    </i>
    <i>
      <x v="3"/>
    </i>
    <i t="grand">
      <x/>
    </i>
  </colItems>
  <dataFields count="1">
    <dataField name="Soma de Extensão" fld="18" baseField="0" baseItem="0" numFmtId="4"/>
  </dataFields>
  <formats count="3">
    <format dxfId="2">
      <pivotArea dataOnly="0" labelOnly="1" fieldPosition="0">
        <references count="1">
          <reference field="0" count="1">
            <x v="1"/>
          </reference>
        </references>
      </pivotArea>
    </format>
    <format dxfId="1">
      <pivotArea outline="0" collapsedLevelsAreSubtotals="1" fieldPosition="0"/>
    </format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" dT="2022-01-24T19:51:48.16" personId="{52F1CF87-4E3A-4AD3-8A6D-71DEB5C16A5B}" id="{F2E2213F-5994-4D0D-80D2-ABDAE34E473F}">
    <text>Os trechos urbanos contornados não terão levantamento completo (previsto apenas vídeo registro)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D4" dT="2022-01-13T14:21:47.83" personId="{52F1CF87-4E3A-4AD3-8A6D-71DEB5C16A5B}" id="{58310561-22B5-4A21-8409-D5449AE3646C}">
    <text>Valores referenciais - projetos BID e IFC (contratações anteriores)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lanalto.gov.br/ccivil_03/_ato2004-2006/2006/decreto/d5992.htm" TargetMode="Externa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_rels/sheet5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3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4.v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23AFA-DDFA-4FAD-B853-5ED64F64E181}">
  <sheetPr>
    <tabColor rgb="FF007F1B"/>
    <outlinePr summaryBelow="0" summaryRight="0"/>
  </sheetPr>
  <dimension ref="A1:AV183"/>
  <sheetViews>
    <sheetView showGridLines="0" tabSelected="1" zoomScale="80" zoomScaleNormal="80" zoomScaleSheetLayoutView="85" workbookViewId="0">
      <pane xSplit="5" ySplit="15" topLeftCell="AD142" activePane="bottomRight" state="frozen"/>
      <selection pane="topRight" activeCell="F1" sqref="F1"/>
      <selection pane="bottomLeft" activeCell="A9" sqref="A9"/>
      <selection pane="bottomRight" activeCell="D13" sqref="D13"/>
    </sheetView>
  </sheetViews>
  <sheetFormatPr defaultColWidth="9.140625" defaultRowHeight="12.75" outlineLevelRow="1" x14ac:dyDescent="0.2"/>
  <cols>
    <col min="1" max="1" width="6.7109375" style="546" customWidth="1"/>
    <col min="2" max="2" width="90.7109375" style="545" customWidth="1"/>
    <col min="3" max="3" width="14.28515625" style="545" bestFit="1" customWidth="1"/>
    <col min="4" max="4" width="17" style="545" bestFit="1" customWidth="1"/>
    <col min="5" max="5" width="9.85546875" style="545" bestFit="1" customWidth="1"/>
    <col min="6" max="17" width="3.7109375" style="544" customWidth="1"/>
    <col min="18" max="19" width="8.7109375" style="544" bestFit="1" customWidth="1"/>
    <col min="20" max="21" width="12.42578125" style="544" bestFit="1" customWidth="1"/>
    <col min="22" max="22" width="9.85546875" style="544" bestFit="1" customWidth="1"/>
    <col min="23" max="23" width="7.85546875" style="544" bestFit="1" customWidth="1"/>
    <col min="24" max="24" width="10.85546875" style="544" bestFit="1" customWidth="1"/>
    <col min="25" max="26" width="7.85546875" style="544" bestFit="1" customWidth="1"/>
    <col min="27" max="27" width="10.85546875" style="544" bestFit="1" customWidth="1"/>
    <col min="28" max="28" width="7.85546875" style="544" bestFit="1" customWidth="1"/>
    <col min="29" max="29" width="10.85546875" style="544" bestFit="1" customWidth="1"/>
    <col min="30" max="30" width="8.7109375" style="544" bestFit="1" customWidth="1"/>
    <col min="31" max="31" width="7.85546875" style="544" bestFit="1" customWidth="1"/>
    <col min="32" max="33" width="10.85546875" style="544" bestFit="1" customWidth="1"/>
    <col min="34" max="39" width="7.85546875" style="544" bestFit="1" customWidth="1"/>
    <col min="40" max="41" width="10.85546875" style="544" bestFit="1" customWidth="1"/>
    <col min="42" max="43" width="7.85546875" style="544" bestFit="1" customWidth="1"/>
    <col min="44" max="44" width="22" style="544" bestFit="1" customWidth="1"/>
    <col min="45" max="46" width="11.28515625" style="544" customWidth="1"/>
    <col min="47" max="47" width="10.85546875" style="544" bestFit="1" customWidth="1"/>
    <col min="48" max="48" width="3.85546875" style="544" bestFit="1" customWidth="1"/>
    <col min="49" max="16384" width="9.140625" style="544"/>
  </cols>
  <sheetData>
    <row r="1" spans="1:48" ht="12.95" customHeight="1" x14ac:dyDescent="0.2">
      <c r="A1" s="633" t="s">
        <v>5402</v>
      </c>
      <c r="B1" s="633"/>
      <c r="C1" s="628" t="s">
        <v>5405</v>
      </c>
      <c r="D1" s="628" t="s">
        <v>5406</v>
      </c>
      <c r="E1" s="546"/>
    </row>
    <row r="2" spans="1:48" ht="12.95" customHeight="1" x14ac:dyDescent="0.2">
      <c r="A2" s="619" t="s">
        <v>5286</v>
      </c>
      <c r="B2" s="614" t="s">
        <v>5395</v>
      </c>
      <c r="C2" s="615">
        <v>1</v>
      </c>
      <c r="D2" s="634"/>
    </row>
    <row r="3" spans="1:48" ht="12.95" customHeight="1" x14ac:dyDescent="0.2">
      <c r="A3" s="675" t="s">
        <v>1853</v>
      </c>
      <c r="B3" s="616" t="s">
        <v>5394</v>
      </c>
      <c r="C3" s="629">
        <v>0.6</v>
      </c>
      <c r="D3" s="634"/>
    </row>
    <row r="4" spans="1:48" ht="12.95" customHeight="1" x14ac:dyDescent="0.2">
      <c r="A4" s="676"/>
      <c r="B4" s="630" t="s">
        <v>5403</v>
      </c>
      <c r="C4" s="618">
        <v>0.2</v>
      </c>
      <c r="D4" s="635">
        <f>$AF$15</f>
        <v>15</v>
      </c>
    </row>
    <row r="5" spans="1:48" ht="12.95" customHeight="1" x14ac:dyDescent="0.2">
      <c r="A5" s="677"/>
      <c r="B5" s="614" t="s">
        <v>5404</v>
      </c>
      <c r="C5" s="613">
        <v>0.2</v>
      </c>
      <c r="D5" s="636">
        <f>$AN$15</f>
        <v>23</v>
      </c>
    </row>
    <row r="6" spans="1:48" ht="12.95" customHeight="1" x14ac:dyDescent="0.2">
      <c r="A6" s="678" t="s">
        <v>5296</v>
      </c>
      <c r="B6" s="631" t="s">
        <v>5394</v>
      </c>
      <c r="C6" s="615">
        <v>0.25</v>
      </c>
      <c r="D6" s="634"/>
    </row>
    <row r="7" spans="1:48" ht="12.95" customHeight="1" x14ac:dyDescent="0.25">
      <c r="A7" s="678"/>
      <c r="B7" s="630" t="s">
        <v>5403</v>
      </c>
      <c r="C7" s="618">
        <v>0.25</v>
      </c>
      <c r="D7" s="635">
        <f>$AF$15</f>
        <v>15</v>
      </c>
      <c r="F7" s="620" t="s">
        <v>5396</v>
      </c>
      <c r="G7" s="621"/>
      <c r="H7" s="621"/>
      <c r="I7" s="621"/>
      <c r="J7" s="621"/>
      <c r="K7" s="621"/>
      <c r="L7" s="621"/>
      <c r="M7" s="621"/>
      <c r="N7" s="685">
        <f>Resumo!B5</f>
        <v>44531</v>
      </c>
      <c r="O7" s="685"/>
      <c r="P7" s="685"/>
      <c r="Q7" s="686"/>
      <c r="R7" s="617"/>
    </row>
    <row r="8" spans="1:48" ht="12.95" customHeight="1" x14ac:dyDescent="0.2">
      <c r="A8" s="678"/>
      <c r="B8" s="630" t="s">
        <v>5404</v>
      </c>
      <c r="C8" s="618">
        <v>0.25</v>
      </c>
      <c r="D8" s="635">
        <f>$AN$15</f>
        <v>23</v>
      </c>
    </row>
    <row r="9" spans="1:48" ht="12.95" customHeight="1" x14ac:dyDescent="0.2">
      <c r="A9" s="678"/>
      <c r="B9" s="632" t="s">
        <v>5407</v>
      </c>
      <c r="C9" s="613">
        <v>0.25</v>
      </c>
      <c r="D9" s="636">
        <f>$AU$15</f>
        <v>30</v>
      </c>
      <c r="F9" s="622" t="s">
        <v>5399</v>
      </c>
      <c r="G9" s="623"/>
      <c r="H9" s="623"/>
      <c r="I9" s="623"/>
      <c r="J9" s="623"/>
      <c r="K9" s="623"/>
      <c r="L9" s="623"/>
      <c r="M9" s="623"/>
      <c r="N9" s="623"/>
      <c r="O9" s="623"/>
      <c r="P9" s="623"/>
      <c r="Q9" s="624"/>
      <c r="R9" s="625">
        <f t="shared" ref="R9:AU9" si="0">SUM(R16:R182)</f>
        <v>22876.57</v>
      </c>
      <c r="S9" s="625">
        <f t="shared" si="0"/>
        <v>2438.77</v>
      </c>
      <c r="T9" s="625">
        <f t="shared" si="0"/>
        <v>2803473.98</v>
      </c>
      <c r="U9" s="625">
        <f t="shared" si="0"/>
        <v>5650277.160000002</v>
      </c>
      <c r="V9" s="625">
        <f t="shared" si="0"/>
        <v>206581.29000000015</v>
      </c>
      <c r="W9" s="625">
        <f t="shared" si="0"/>
        <v>0</v>
      </c>
      <c r="X9" s="625">
        <f t="shared" si="0"/>
        <v>598732.12</v>
      </c>
      <c r="Y9" s="625">
        <f t="shared" si="0"/>
        <v>0</v>
      </c>
      <c r="Z9" s="625">
        <f t="shared" si="0"/>
        <v>0</v>
      </c>
      <c r="AA9" s="625">
        <f t="shared" si="0"/>
        <v>688648.16999999993</v>
      </c>
      <c r="AB9" s="625">
        <f t="shared" si="0"/>
        <v>0</v>
      </c>
      <c r="AC9" s="625">
        <f t="shared" si="0"/>
        <v>691893.75000000035</v>
      </c>
      <c r="AD9" s="625">
        <f t="shared" si="0"/>
        <v>1529.52</v>
      </c>
      <c r="AE9" s="625">
        <f t="shared" si="0"/>
        <v>0</v>
      </c>
      <c r="AF9" s="625">
        <f t="shared" si="0"/>
        <v>5354371.1000000006</v>
      </c>
      <c r="AG9" s="625">
        <f t="shared" si="0"/>
        <v>598950.22</v>
      </c>
      <c r="AH9" s="625">
        <f t="shared" si="0"/>
        <v>0</v>
      </c>
      <c r="AI9" s="625">
        <f t="shared" si="0"/>
        <v>0</v>
      </c>
      <c r="AJ9" s="625">
        <f t="shared" si="0"/>
        <v>0</v>
      </c>
      <c r="AK9" s="625">
        <f t="shared" si="0"/>
        <v>0</v>
      </c>
      <c r="AL9" s="625">
        <f t="shared" si="0"/>
        <v>0</v>
      </c>
      <c r="AM9" s="625">
        <f t="shared" si="0"/>
        <v>0</v>
      </c>
      <c r="AN9" s="625">
        <f t="shared" si="0"/>
        <v>5354371.1000000015</v>
      </c>
      <c r="AO9" s="625">
        <f t="shared" si="0"/>
        <v>159705.91</v>
      </c>
      <c r="AP9" s="625">
        <f t="shared" si="0"/>
        <v>0</v>
      </c>
      <c r="AQ9" s="625">
        <f t="shared" si="0"/>
        <v>0</v>
      </c>
      <c r="AR9" s="625">
        <f t="shared" si="0"/>
        <v>0</v>
      </c>
      <c r="AS9" s="625">
        <f t="shared" si="0"/>
        <v>136890.78</v>
      </c>
      <c r="AT9" s="625">
        <f t="shared" si="0"/>
        <v>0</v>
      </c>
      <c r="AU9" s="625">
        <f t="shared" si="0"/>
        <v>3614434.6200000006</v>
      </c>
      <c r="AV9" s="672" t="str">
        <f>IF(D13=SUM($R$9:$AU$9),"OK","CORRIGIR")</f>
        <v>OK</v>
      </c>
    </row>
    <row r="10" spans="1:48" ht="12.95" customHeight="1" outlineLevel="1" x14ac:dyDescent="0.2">
      <c r="A10" s="678" t="s">
        <v>5281</v>
      </c>
      <c r="B10" s="631" t="s">
        <v>5394</v>
      </c>
      <c r="C10" s="615">
        <v>0.5</v>
      </c>
      <c r="D10" s="634"/>
      <c r="E10" s="548"/>
      <c r="F10" s="622" t="s">
        <v>5400</v>
      </c>
      <c r="G10" s="623"/>
      <c r="H10" s="623"/>
      <c r="I10" s="623"/>
      <c r="J10" s="623"/>
      <c r="K10" s="623"/>
      <c r="L10" s="623"/>
      <c r="M10" s="623"/>
      <c r="N10" s="623"/>
      <c r="O10" s="623"/>
      <c r="P10" s="623"/>
      <c r="Q10" s="624"/>
      <c r="R10" s="612">
        <f t="shared" ref="R10:AU10" si="1">R9/$D$13</f>
        <v>8.8377111404399332E-4</v>
      </c>
      <c r="S10" s="612">
        <f t="shared" si="1"/>
        <v>9.4214931687620543E-5</v>
      </c>
      <c r="T10" s="612">
        <f t="shared" si="1"/>
        <v>0.10830423103192252</v>
      </c>
      <c r="U10" s="612">
        <f t="shared" si="1"/>
        <v>0.21828236227504963</v>
      </c>
      <c r="V10" s="612">
        <f t="shared" si="1"/>
        <v>7.98067965625727E-3</v>
      </c>
      <c r="W10" s="612">
        <f t="shared" si="1"/>
        <v>0</v>
      </c>
      <c r="X10" s="612">
        <f t="shared" si="1"/>
        <v>2.3130309863162262E-2</v>
      </c>
      <c r="Y10" s="612">
        <f t="shared" si="1"/>
        <v>0</v>
      </c>
      <c r="Z10" s="612">
        <f t="shared" si="1"/>
        <v>0</v>
      </c>
      <c r="AA10" s="612">
        <f t="shared" si="1"/>
        <v>2.6603960313336186E-2</v>
      </c>
      <c r="AB10" s="612">
        <f t="shared" si="1"/>
        <v>0</v>
      </c>
      <c r="AC10" s="612">
        <f t="shared" si="1"/>
        <v>2.6729344051034595E-2</v>
      </c>
      <c r="AD10" s="612">
        <f t="shared" si="1"/>
        <v>5.9088648095084564E-5</v>
      </c>
      <c r="AE10" s="612">
        <f t="shared" si="1"/>
        <v>0</v>
      </c>
      <c r="AF10" s="612">
        <f t="shared" si="1"/>
        <v>0.20685087458705401</v>
      </c>
      <c r="AG10" s="612">
        <f t="shared" si="1"/>
        <v>2.3138735535366311E-2</v>
      </c>
      <c r="AH10" s="612">
        <f t="shared" si="1"/>
        <v>0</v>
      </c>
      <c r="AI10" s="612">
        <f t="shared" si="1"/>
        <v>0</v>
      </c>
      <c r="AJ10" s="612">
        <f t="shared" si="1"/>
        <v>0</v>
      </c>
      <c r="AK10" s="612">
        <f t="shared" si="1"/>
        <v>0</v>
      </c>
      <c r="AL10" s="612">
        <f t="shared" si="1"/>
        <v>0</v>
      </c>
      <c r="AM10" s="612">
        <f t="shared" si="1"/>
        <v>0</v>
      </c>
      <c r="AN10" s="612">
        <f t="shared" si="1"/>
        <v>0.20685087458705406</v>
      </c>
      <c r="AO10" s="612">
        <f t="shared" si="1"/>
        <v>6.169782882665965E-3</v>
      </c>
      <c r="AP10" s="612">
        <f t="shared" si="1"/>
        <v>0</v>
      </c>
      <c r="AQ10" s="612">
        <f t="shared" si="1"/>
        <v>0</v>
      </c>
      <c r="AR10" s="612">
        <f t="shared" si="1"/>
        <v>0</v>
      </c>
      <c r="AS10" s="612">
        <f t="shared" si="1"/>
        <v>5.2883853279993981E-3</v>
      </c>
      <c r="AT10" s="612">
        <f t="shared" si="1"/>
        <v>0</v>
      </c>
      <c r="AU10" s="612">
        <f t="shared" si="1"/>
        <v>0.13963338519527088</v>
      </c>
      <c r="AV10" s="673"/>
    </row>
    <row r="11" spans="1:48" ht="12.95" customHeight="1" outlineLevel="1" x14ac:dyDescent="0.2">
      <c r="A11" s="678"/>
      <c r="B11" s="632" t="s">
        <v>5407</v>
      </c>
      <c r="C11" s="613">
        <v>0.5</v>
      </c>
      <c r="D11" s="636">
        <f>$AU$15</f>
        <v>30</v>
      </c>
      <c r="E11" s="611"/>
      <c r="F11" s="622" t="s">
        <v>5401</v>
      </c>
      <c r="G11" s="623"/>
      <c r="H11" s="623"/>
      <c r="I11" s="623"/>
      <c r="J11" s="623"/>
      <c r="K11" s="623"/>
      <c r="L11" s="623"/>
      <c r="M11" s="623"/>
      <c r="N11" s="623"/>
      <c r="O11" s="623"/>
      <c r="P11" s="623"/>
      <c r="Q11" s="624"/>
      <c r="R11" s="610">
        <f>R10</f>
        <v>8.8377111404399332E-4</v>
      </c>
      <c r="S11" s="610">
        <f t="shared" ref="S11:AU11" si="2">S10+R11</f>
        <v>9.7798604573161394E-4</v>
      </c>
      <c r="T11" s="610">
        <f t="shared" si="2"/>
        <v>0.10928221707765413</v>
      </c>
      <c r="U11" s="610">
        <f t="shared" si="2"/>
        <v>0.32756457935270378</v>
      </c>
      <c r="V11" s="610">
        <f t="shared" si="2"/>
        <v>0.33554525900896104</v>
      </c>
      <c r="W11" s="610">
        <f t="shared" si="2"/>
        <v>0.33554525900896104</v>
      </c>
      <c r="X11" s="610">
        <f t="shared" si="2"/>
        <v>0.35867556887212332</v>
      </c>
      <c r="Y11" s="610">
        <f t="shared" si="2"/>
        <v>0.35867556887212332</v>
      </c>
      <c r="Z11" s="610">
        <f t="shared" si="2"/>
        <v>0.35867556887212332</v>
      </c>
      <c r="AA11" s="610">
        <f t="shared" si="2"/>
        <v>0.38527952918545949</v>
      </c>
      <c r="AB11" s="610">
        <f t="shared" si="2"/>
        <v>0.38527952918545949</v>
      </c>
      <c r="AC11" s="610">
        <f t="shared" si="2"/>
        <v>0.4120088732364941</v>
      </c>
      <c r="AD11" s="610">
        <f t="shared" si="2"/>
        <v>0.41206796188458916</v>
      </c>
      <c r="AE11" s="610">
        <f t="shared" si="2"/>
        <v>0.41206796188458916</v>
      </c>
      <c r="AF11" s="610">
        <f t="shared" si="2"/>
        <v>0.61891883647164314</v>
      </c>
      <c r="AG11" s="610">
        <f t="shared" si="2"/>
        <v>0.64205757200700941</v>
      </c>
      <c r="AH11" s="610">
        <f t="shared" si="2"/>
        <v>0.64205757200700941</v>
      </c>
      <c r="AI11" s="610">
        <f t="shared" si="2"/>
        <v>0.64205757200700941</v>
      </c>
      <c r="AJ11" s="610">
        <f t="shared" si="2"/>
        <v>0.64205757200700941</v>
      </c>
      <c r="AK11" s="610">
        <f t="shared" si="2"/>
        <v>0.64205757200700941</v>
      </c>
      <c r="AL11" s="610">
        <f t="shared" si="2"/>
        <v>0.64205757200700941</v>
      </c>
      <c r="AM11" s="610">
        <f t="shared" si="2"/>
        <v>0.64205757200700941</v>
      </c>
      <c r="AN11" s="610">
        <f t="shared" si="2"/>
        <v>0.8489084465940635</v>
      </c>
      <c r="AO11" s="610">
        <f t="shared" si="2"/>
        <v>0.85507822947672951</v>
      </c>
      <c r="AP11" s="610">
        <f t="shared" si="2"/>
        <v>0.85507822947672951</v>
      </c>
      <c r="AQ11" s="610">
        <f t="shared" si="2"/>
        <v>0.85507822947672951</v>
      </c>
      <c r="AR11" s="610">
        <f t="shared" si="2"/>
        <v>0.85507822947672951</v>
      </c>
      <c r="AS11" s="610">
        <f t="shared" si="2"/>
        <v>0.86036661480472887</v>
      </c>
      <c r="AT11" s="610">
        <f t="shared" si="2"/>
        <v>0.86036661480472887</v>
      </c>
      <c r="AU11" s="610">
        <f t="shared" si="2"/>
        <v>0.99999999999999978</v>
      </c>
      <c r="AV11" s="673"/>
    </row>
    <row r="12" spans="1:48" ht="5.0999999999999996" customHeight="1" thickBot="1" x14ac:dyDescent="0.25">
      <c r="A12" s="549"/>
      <c r="B12" s="548"/>
      <c r="C12" s="609"/>
      <c r="D12" s="609"/>
      <c r="E12" s="548"/>
      <c r="F12" s="547"/>
      <c r="G12" s="607"/>
      <c r="H12" s="547"/>
      <c r="I12" s="547"/>
      <c r="J12" s="547"/>
      <c r="K12" s="547"/>
      <c r="L12" s="547"/>
      <c r="M12" s="547"/>
      <c r="N12" s="547"/>
      <c r="O12" s="547"/>
      <c r="P12" s="547"/>
      <c r="Q12" s="547"/>
      <c r="R12" s="547"/>
      <c r="S12" s="547"/>
      <c r="T12" s="547"/>
      <c r="U12" s="547"/>
      <c r="V12" s="547"/>
      <c r="W12" s="547"/>
      <c r="X12" s="547"/>
      <c r="Y12" s="547"/>
      <c r="Z12" s="547"/>
      <c r="AA12" s="547"/>
      <c r="AB12" s="547"/>
      <c r="AC12" s="547"/>
      <c r="AD12" s="547"/>
      <c r="AE12" s="547"/>
      <c r="AF12" s="547"/>
      <c r="AG12" s="547"/>
      <c r="AH12" s="547"/>
      <c r="AI12" s="547"/>
      <c r="AJ12" s="547"/>
      <c r="AK12" s="547"/>
      <c r="AL12" s="547"/>
      <c r="AM12" s="547"/>
      <c r="AN12" s="547"/>
      <c r="AO12" s="547"/>
      <c r="AP12" s="547"/>
      <c r="AQ12" s="547"/>
      <c r="AR12" s="547"/>
      <c r="AS12" s="547"/>
      <c r="AT12" s="547"/>
      <c r="AU12" s="547"/>
      <c r="AV12" s="673"/>
    </row>
    <row r="13" spans="1:48" ht="15.75" thickBot="1" x14ac:dyDescent="0.25">
      <c r="A13" s="549"/>
      <c r="B13" s="608" t="s">
        <v>4690</v>
      </c>
      <c r="C13" s="627" t="s">
        <v>2497</v>
      </c>
      <c r="D13" s="626">
        <f>SUBTOTAL(9,D16:D182)</f>
        <v>25885175.06000001</v>
      </c>
      <c r="E13" s="549"/>
      <c r="F13" s="547"/>
      <c r="G13" s="607"/>
      <c r="H13" s="547"/>
      <c r="I13" s="547"/>
      <c r="J13" s="547"/>
      <c r="K13" s="547"/>
      <c r="L13" s="547"/>
      <c r="M13" s="547"/>
      <c r="N13" s="547"/>
      <c r="O13" s="547"/>
      <c r="P13" s="547"/>
      <c r="Q13" s="547"/>
      <c r="R13" s="679" t="s">
        <v>5393</v>
      </c>
      <c r="S13" s="680"/>
      <c r="T13" s="680"/>
      <c r="U13" s="680"/>
      <c r="V13" s="680"/>
      <c r="W13" s="680"/>
      <c r="X13" s="680"/>
      <c r="Y13" s="680"/>
      <c r="Z13" s="680"/>
      <c r="AA13" s="680"/>
      <c r="AB13" s="680"/>
      <c r="AC13" s="680"/>
      <c r="AD13" s="680"/>
      <c r="AE13" s="680"/>
      <c r="AF13" s="680"/>
      <c r="AG13" s="680"/>
      <c r="AH13" s="680"/>
      <c r="AI13" s="680"/>
      <c r="AJ13" s="680"/>
      <c r="AK13" s="680"/>
      <c r="AL13" s="680"/>
      <c r="AM13" s="680"/>
      <c r="AN13" s="680"/>
      <c r="AO13" s="680"/>
      <c r="AP13" s="680"/>
      <c r="AQ13" s="680"/>
      <c r="AR13" s="680"/>
      <c r="AS13" s="680"/>
      <c r="AT13" s="680"/>
      <c r="AU13" s="681"/>
      <c r="AV13" s="673"/>
    </row>
    <row r="14" spans="1:48" s="568" customFormat="1" ht="15.75" thickBot="1" x14ac:dyDescent="0.25">
      <c r="A14" s="606"/>
      <c r="B14" s="603"/>
      <c r="C14" s="605"/>
      <c r="D14" s="604"/>
      <c r="E14" s="603"/>
      <c r="F14" s="687" t="s">
        <v>5392</v>
      </c>
      <c r="G14" s="689"/>
      <c r="H14" s="689"/>
      <c r="I14" s="689"/>
      <c r="J14" s="689"/>
      <c r="K14" s="689"/>
      <c r="L14" s="689"/>
      <c r="M14" s="689"/>
      <c r="N14" s="689"/>
      <c r="O14" s="689"/>
      <c r="P14" s="689"/>
      <c r="Q14" s="688"/>
      <c r="R14" s="687" t="s">
        <v>5391</v>
      </c>
      <c r="S14" s="689"/>
      <c r="T14" s="689"/>
      <c r="U14" s="689"/>
      <c r="V14" s="689"/>
      <c r="W14" s="689"/>
      <c r="X14" s="689"/>
      <c r="Y14" s="689"/>
      <c r="Z14" s="689"/>
      <c r="AA14" s="689"/>
      <c r="AB14" s="689"/>
      <c r="AC14" s="688"/>
      <c r="AD14" s="682" t="s">
        <v>5390</v>
      </c>
      <c r="AE14" s="683"/>
      <c r="AF14" s="684"/>
      <c r="AG14" s="687" t="s">
        <v>5389</v>
      </c>
      <c r="AH14" s="689"/>
      <c r="AI14" s="689"/>
      <c r="AJ14" s="689"/>
      <c r="AK14" s="688"/>
      <c r="AL14" s="682" t="s">
        <v>5388</v>
      </c>
      <c r="AM14" s="683"/>
      <c r="AN14" s="684"/>
      <c r="AO14" s="682" t="s">
        <v>5398</v>
      </c>
      <c r="AP14" s="683"/>
      <c r="AQ14" s="684"/>
      <c r="AR14" s="602" t="s">
        <v>5387</v>
      </c>
      <c r="AS14" s="687" t="s">
        <v>5386</v>
      </c>
      <c r="AT14" s="688"/>
      <c r="AU14" s="601" t="s">
        <v>5385</v>
      </c>
      <c r="AV14" s="674"/>
    </row>
    <row r="15" spans="1:48" ht="15.75" thickBot="1" x14ac:dyDescent="0.25">
      <c r="A15" s="600" t="s">
        <v>0</v>
      </c>
      <c r="B15" s="599" t="s">
        <v>1</v>
      </c>
      <c r="C15" s="598" t="s">
        <v>4691</v>
      </c>
      <c r="D15" s="598" t="s">
        <v>4692</v>
      </c>
      <c r="E15" s="597" t="s">
        <v>5397</v>
      </c>
      <c r="F15" s="596">
        <v>1</v>
      </c>
      <c r="G15" s="594">
        <v>2</v>
      </c>
      <c r="H15" s="594">
        <v>3</v>
      </c>
      <c r="I15" s="594">
        <v>4</v>
      </c>
      <c r="J15" s="594">
        <v>5</v>
      </c>
      <c r="K15" s="596">
        <v>6</v>
      </c>
      <c r="L15" s="596">
        <v>7</v>
      </c>
      <c r="M15" s="596">
        <v>8</v>
      </c>
      <c r="N15" s="596">
        <v>9</v>
      </c>
      <c r="O15" s="596">
        <v>10</v>
      </c>
      <c r="P15" s="596">
        <v>11</v>
      </c>
      <c r="Q15" s="593">
        <v>12</v>
      </c>
      <c r="R15" s="595">
        <v>1</v>
      </c>
      <c r="S15" s="594">
        <v>2</v>
      </c>
      <c r="T15" s="594">
        <v>3</v>
      </c>
      <c r="U15" s="594">
        <v>4</v>
      </c>
      <c r="V15" s="594">
        <v>5</v>
      </c>
      <c r="W15" s="594">
        <v>6</v>
      </c>
      <c r="X15" s="594">
        <v>7</v>
      </c>
      <c r="Y15" s="594">
        <v>8</v>
      </c>
      <c r="Z15" s="594">
        <v>9</v>
      </c>
      <c r="AA15" s="594">
        <v>10</v>
      </c>
      <c r="AB15" s="594">
        <v>11</v>
      </c>
      <c r="AC15" s="594">
        <v>12</v>
      </c>
      <c r="AD15" s="594">
        <v>13</v>
      </c>
      <c r="AE15" s="594">
        <v>14</v>
      </c>
      <c r="AF15" s="594">
        <v>15</v>
      </c>
      <c r="AG15" s="594">
        <v>16</v>
      </c>
      <c r="AH15" s="594">
        <v>17</v>
      </c>
      <c r="AI15" s="594">
        <v>18</v>
      </c>
      <c r="AJ15" s="594">
        <v>19</v>
      </c>
      <c r="AK15" s="594">
        <v>20</v>
      </c>
      <c r="AL15" s="594">
        <v>21</v>
      </c>
      <c r="AM15" s="594">
        <v>22</v>
      </c>
      <c r="AN15" s="594">
        <v>23</v>
      </c>
      <c r="AO15" s="594">
        <v>24</v>
      </c>
      <c r="AP15" s="594">
        <v>25</v>
      </c>
      <c r="AQ15" s="594">
        <v>26</v>
      </c>
      <c r="AR15" s="594">
        <v>27</v>
      </c>
      <c r="AS15" s="594">
        <v>28</v>
      </c>
      <c r="AT15" s="594">
        <v>29</v>
      </c>
      <c r="AU15" s="593">
        <v>30</v>
      </c>
      <c r="AV15" s="673"/>
    </row>
    <row r="16" spans="1:48" s="568" customFormat="1" ht="15" x14ac:dyDescent="0.2">
      <c r="A16" s="592">
        <v>1</v>
      </c>
      <c r="B16" s="591" t="s">
        <v>4693</v>
      </c>
      <c r="C16" s="584">
        <f>D16/$D$13</f>
        <v>0.11499305541107667</v>
      </c>
      <c r="D16" s="573">
        <f>SUBTOTAL(9,D17:D38)</f>
        <v>2976615.370000001</v>
      </c>
      <c r="E16" s="590"/>
      <c r="F16" s="573"/>
      <c r="G16" s="589"/>
      <c r="H16" s="573"/>
      <c r="I16" s="589"/>
      <c r="J16" s="573"/>
      <c r="K16" s="589"/>
      <c r="L16" s="573"/>
      <c r="M16" s="589"/>
      <c r="N16" s="573"/>
      <c r="O16" s="589"/>
      <c r="P16" s="573"/>
      <c r="Q16" s="588"/>
      <c r="R16" s="637"/>
      <c r="S16" s="638"/>
      <c r="T16" s="637"/>
      <c r="U16" s="638"/>
      <c r="V16" s="637"/>
      <c r="W16" s="638"/>
      <c r="X16" s="637"/>
      <c r="Y16" s="638"/>
      <c r="Z16" s="637"/>
      <c r="AA16" s="638"/>
      <c r="AB16" s="637"/>
      <c r="AC16" s="638"/>
      <c r="AD16" s="637"/>
      <c r="AE16" s="638"/>
      <c r="AF16" s="637"/>
      <c r="AG16" s="638"/>
      <c r="AH16" s="637"/>
      <c r="AI16" s="638"/>
      <c r="AJ16" s="637"/>
      <c r="AK16" s="638"/>
      <c r="AL16" s="637"/>
      <c r="AM16" s="638"/>
      <c r="AN16" s="637"/>
      <c r="AO16" s="638"/>
      <c r="AP16" s="637"/>
      <c r="AQ16" s="638"/>
      <c r="AR16" s="637"/>
      <c r="AS16" s="638"/>
      <c r="AT16" s="637"/>
      <c r="AU16" s="639"/>
      <c r="AV16" s="674"/>
    </row>
    <row r="17" spans="1:48" s="568" customFormat="1" ht="15" x14ac:dyDescent="0.2">
      <c r="A17" s="567" t="s">
        <v>2673</v>
      </c>
      <c r="B17" s="566" t="s">
        <v>4694</v>
      </c>
      <c r="C17" s="565">
        <f t="shared" ref="C17:C80" si="3">D17/$D$13</f>
        <v>1.8773525729441203E-4</v>
      </c>
      <c r="D17" s="564">
        <f>SUBTOTAL(9,D18:D24)</f>
        <v>4859.5599999999995</v>
      </c>
      <c r="E17" s="563"/>
      <c r="F17" s="561"/>
      <c r="G17" s="562"/>
      <c r="H17" s="561"/>
      <c r="I17" s="562"/>
      <c r="J17" s="561"/>
      <c r="K17" s="562"/>
      <c r="L17" s="561"/>
      <c r="M17" s="562"/>
      <c r="N17" s="561"/>
      <c r="O17" s="562"/>
      <c r="P17" s="561"/>
      <c r="Q17" s="560"/>
      <c r="R17" s="640"/>
      <c r="S17" s="641"/>
      <c r="T17" s="640"/>
      <c r="U17" s="641"/>
      <c r="V17" s="640"/>
      <c r="W17" s="641"/>
      <c r="X17" s="640"/>
      <c r="Y17" s="641"/>
      <c r="Z17" s="640"/>
      <c r="AA17" s="641"/>
      <c r="AB17" s="640"/>
      <c r="AC17" s="641"/>
      <c r="AD17" s="640"/>
      <c r="AE17" s="641"/>
      <c r="AF17" s="640"/>
      <c r="AG17" s="641"/>
      <c r="AH17" s="640"/>
      <c r="AI17" s="641"/>
      <c r="AJ17" s="640"/>
      <c r="AK17" s="641"/>
      <c r="AL17" s="640"/>
      <c r="AM17" s="641"/>
      <c r="AN17" s="640"/>
      <c r="AO17" s="641"/>
      <c r="AP17" s="640"/>
      <c r="AQ17" s="641"/>
      <c r="AR17" s="640"/>
      <c r="AS17" s="641"/>
      <c r="AT17" s="640"/>
      <c r="AU17" s="642"/>
      <c r="AV17" s="674"/>
    </row>
    <row r="18" spans="1:48" ht="28.5" outlineLevel="1" x14ac:dyDescent="0.2">
      <c r="A18" s="559" t="s">
        <v>2675</v>
      </c>
      <c r="B18" s="558" t="s">
        <v>4695</v>
      </c>
      <c r="C18" s="581">
        <f t="shared" si="3"/>
        <v>2.6827324844833391E-5</v>
      </c>
      <c r="D18" s="556">
        <f>Produtos!$D11</f>
        <v>694.43</v>
      </c>
      <c r="E18" s="580" t="s">
        <v>5286</v>
      </c>
      <c r="F18" s="577">
        <v>1</v>
      </c>
      <c r="G18" s="577"/>
      <c r="H18" s="577"/>
      <c r="I18" s="577"/>
      <c r="J18" s="577"/>
      <c r="K18" s="577"/>
      <c r="L18" s="577"/>
      <c r="M18" s="577"/>
      <c r="N18" s="577"/>
      <c r="O18" s="577"/>
      <c r="P18" s="577"/>
      <c r="Q18" s="577"/>
      <c r="R18" s="643">
        <f>IF(F18=1,ROUND(_xlfn.XLOOKUP($E18,$A$2:$A$11,$C$2:$C$11,0,0)*F18*$D18,2),0)</f>
        <v>694.43</v>
      </c>
      <c r="S18" s="644">
        <f t="shared" ref="S18:S24" si="4">IF(G18=1,ROUND(_xlfn.XLOOKUP($E18,$A$2:$A$11,$C$2:$C$11,0,0)*G18*$D18,2),0)</f>
        <v>0</v>
      </c>
      <c r="T18" s="644">
        <f t="shared" ref="T18:T24" si="5">IF(H18=1,ROUND(_xlfn.XLOOKUP($E18,$A$2:$A$11,$C$2:$C$11,0,0)*H18*$D18,2),0)</f>
        <v>0</v>
      </c>
      <c r="U18" s="644">
        <f t="shared" ref="U18:U24" si="6">IF(I18=1,ROUND(_xlfn.XLOOKUP($E18,$A$2:$A$11,$C$2:$C$11,0,0)*I18*$D18,2),0)</f>
        <v>0</v>
      </c>
      <c r="V18" s="644">
        <f t="shared" ref="V18:V24" si="7">IF(J18=1,ROUND(_xlfn.XLOOKUP($E18,$A$2:$A$11,$C$2:$C$11,0,0)*J18*$D18,2),0)</f>
        <v>0</v>
      </c>
      <c r="W18" s="644">
        <f t="shared" ref="W18:W24" si="8">IF(K18=1,ROUND(_xlfn.XLOOKUP($E18,$A$2:$A$11,$C$2:$C$11,0,0)*K18*$D18,2),0)</f>
        <v>0</v>
      </c>
      <c r="X18" s="644">
        <f t="shared" ref="X18:X24" si="9">IF(L18=1,ROUND(_xlfn.XLOOKUP($E18,$A$2:$A$11,$C$2:$C$11,0,0)*L18*$D18,2),0)</f>
        <v>0</v>
      </c>
      <c r="Y18" s="644">
        <f t="shared" ref="Y18:Y24" si="10">IF(M18=1,ROUND(_xlfn.XLOOKUP($E18,$A$2:$A$11,$C$2:$C$11,0,0)*M18*$D18,2),0)</f>
        <v>0</v>
      </c>
      <c r="Z18" s="644">
        <f t="shared" ref="Z18:Z24" si="11">IF(N18=1,ROUND(_xlfn.XLOOKUP($E18,$A$2:$A$11,$C$2:$C$11,0,0)*N18*$D18,2),0)</f>
        <v>0</v>
      </c>
      <c r="AA18" s="644">
        <f t="shared" ref="AA18:AA24" si="12">IF(O18=1,ROUND(_xlfn.XLOOKUP($E18,$A$2:$A$11,$C$2:$C$11,0,0)*O18*$D18,2),0)</f>
        <v>0</v>
      </c>
      <c r="AB18" s="644">
        <f t="shared" ref="AB18:AB24" si="13">IF(P18=1,ROUND(_xlfn.XLOOKUP($E18,$A$2:$A$11,$C$2:$C$11,0,0)*P18*$D18,2),0)</f>
        <v>0</v>
      </c>
      <c r="AC18" s="644">
        <f t="shared" ref="AC18:AC24" si="14">IF(Q18=1,ROUND(_xlfn.XLOOKUP($E18,$A$2:$A$11,$C$2:$C$11,0,0)*Q18*$D18,2),0)</f>
        <v>0</v>
      </c>
      <c r="AD18" s="645" t="str">
        <f>IF(OR(AND($E18=$A$6,$D$9=AD$15),AND($E18=$A$10,$D$11=AD$15),AND($E18=$A$3,$D$5=AD$15)),$D18-SUM($R18:AC18),IF($E18=$A$10,ROUND(_xlfn.XLOOKUP(AD$15,$D$10:$D$11,$C$10:$C$11,0,0)*$D18,2),IF($E18=$A$3,ROUND(_xlfn.XLOOKUP(AD$15,$D$3:$D$5,$C$3:$C$5,0,0)*$D18,2),IF($E18=$A$6,ROUND(_xlfn.XLOOKUP(AD$15,$D$6:$D$9,$C$6:$C$9,0,0)*$D18,2),""))))</f>
        <v/>
      </c>
      <c r="AE18" s="646" t="str">
        <f>IF(OR(AND($E18=$A$6,$D$9=AE$15),AND($E18=$A$10,$D$11=AE$15),AND($E18=$A$3,$D$5=AE$15)),$D18-SUM($R18:AD18),IF($E18=$A$10,ROUND(_xlfn.XLOOKUP(AE$15,$D$10:$D$11,$C$10:$C$11,0,0)*$D18,2),IF($E18=$A$3,ROUND(_xlfn.XLOOKUP(AE$15,$D$3:$D$5,$C$3:$C$5,0,0)*$D18,2),IF($E18=$A$6,ROUND(_xlfn.XLOOKUP(AE$15,$D$6:$D$9,$C$6:$C$9,0,0)*$D18,2),""))))</f>
        <v/>
      </c>
      <c r="AF18" s="647" t="str">
        <f>IF(OR(AND($E18=$A$6,$D$9=AF$15),AND($E18=$A$10,$D$11=AF$15),AND($E18=$A$3,$D$5=AF$15)),$D18-SUM($R18:AE18),IF($E18=$A$10,ROUND(_xlfn.XLOOKUP(AF$15,$D$10:$D$11,$C$10:$C$11,0,0)*$D18,2),IF($E18=$A$3,ROUND(_xlfn.XLOOKUP(AF$15,$D$3:$D$5,$C$3:$C$5,0,0)*$D18,2),IF($E18=$A$6,ROUND(_xlfn.XLOOKUP(AF$15,$D$6:$D$9,$C$6:$C$9,0,0)*$D18,2),""))))</f>
        <v/>
      </c>
      <c r="AG18" s="645"/>
      <c r="AH18" s="646"/>
      <c r="AI18" s="646"/>
      <c r="AJ18" s="646"/>
      <c r="AK18" s="647"/>
      <c r="AL18" s="645" t="str">
        <f>IF(OR(AND($E18=$A$6,$D$9=AL$15),AND($E18=$A$10,$D$11=AL$15),AND($E18=$A$3,$D$5=AL$15)),$D18-SUM($R18:AK18),IF($E18=$A$10,ROUND(_xlfn.XLOOKUP(AL$15,$D$10:$D$11,$C$10:$C$11,0,0)*$D18,2),IF($E18=$A$3,ROUND(_xlfn.XLOOKUP(AL$15,$D$3:$D$5,$C$3:$C$5,0,0)*$D18,2),IF($E18=$A$6,ROUND(_xlfn.XLOOKUP(AL$15,$D$6:$D$9,$C$6:$C$9,0,0)*$D18,2),""))))</f>
        <v/>
      </c>
      <c r="AM18" s="646" t="str">
        <f>IF(OR(AND($E18=$A$6,$D$9=AM$15),AND($E18=$A$10,$D$11=AM$15),AND($E18=$A$3,$D$5=AM$15)),$D18-SUM($R18:AL18),IF($E18=$A$10,ROUND(_xlfn.XLOOKUP(AM$15,$D$10:$D$11,$C$10:$C$11,0,0)*$D18,2),IF($E18=$A$3,ROUND(_xlfn.XLOOKUP(AM$15,$D$3:$D$5,$C$3:$C$5,0,0)*$D18,2),IF($E18=$A$6,ROUND(_xlfn.XLOOKUP(AM$15,$D$6:$D$9,$C$6:$C$9,0,0)*$D18,2),""))))</f>
        <v/>
      </c>
      <c r="AN18" s="647" t="str">
        <f>IF(OR(AND($E18=$A$6,$D$9=AN$15),AND($E18=$A$10,$D$11=AN$15),AND($E18=$A$3,$D$5=AN$15)),$D18-SUM($R18:AM18),IF($E18=$A$10,ROUND(_xlfn.XLOOKUP(AN$15,$D$10:$D$11,$C$10:$C$11,0,0)*$D18,2),IF($E18=$A$3,ROUND(_xlfn.XLOOKUP(AN$15,$D$3:$D$5,$C$3:$C$5,0,0)*$D18,2),IF($E18=$A$6,ROUND(_xlfn.XLOOKUP(AN$15,$D$6:$D$9,$C$6:$C$9,0,0)*$D18,2),""))))</f>
        <v/>
      </c>
      <c r="AO18" s="645"/>
      <c r="AP18" s="646"/>
      <c r="AQ18" s="647"/>
      <c r="AR18" s="646"/>
      <c r="AS18" s="645"/>
      <c r="AT18" s="647"/>
      <c r="AU18" s="648" t="str">
        <f>IF(OR(AND($E18=$A$6,$D$9=AU$15),AND($E18=$A$10,$D$11=AU$15),AND($E18=$A$3,$D$5=AU$15)),$D18-SUM($R18:AT18),IF($E18=$A$10,ROUND(_xlfn.XLOOKUP(AU$15,$D$10:$D$11,$C$10:$C$11,0,0)*$D18,2),IF($E18=$A$3,ROUND(_xlfn.XLOOKUP(AU$15,$D$3:$D$5,$C$3:$C$5,0,0)*$D18,2),IF($E18=$A$6,ROUND(_xlfn.XLOOKUP(AU$15,$D$6:$D$9,$C$6:$C$9,0,0)*$D18,2),""))))</f>
        <v/>
      </c>
      <c r="AV18" s="673" t="str">
        <f t="shared" ref="AV18:AV24" si="15">IF(SUM(R18:AU18)=D18,"","CORRIGIR")</f>
        <v/>
      </c>
    </row>
    <row r="19" spans="1:48" ht="14.25" outlineLevel="1" x14ac:dyDescent="0.2">
      <c r="A19" s="559" t="s">
        <v>2678</v>
      </c>
      <c r="B19" s="558" t="s">
        <v>4696</v>
      </c>
      <c r="C19" s="581">
        <f t="shared" si="3"/>
        <v>2.6827324844833391E-5</v>
      </c>
      <c r="D19" s="556">
        <f>Produtos!$D12</f>
        <v>694.43</v>
      </c>
      <c r="E19" s="580" t="s">
        <v>5286</v>
      </c>
      <c r="F19" s="577">
        <v>1</v>
      </c>
      <c r="G19" s="577"/>
      <c r="H19" s="577"/>
      <c r="I19" s="577"/>
      <c r="J19" s="577"/>
      <c r="K19" s="577"/>
      <c r="L19" s="577"/>
      <c r="M19" s="577"/>
      <c r="N19" s="577"/>
      <c r="O19" s="577"/>
      <c r="P19" s="577"/>
      <c r="Q19" s="577"/>
      <c r="R19" s="643">
        <f t="shared" ref="R19:R24" si="16">IF(F19=1,ROUND(_xlfn.XLOOKUP($E19,$A$2:$A$11,$C$2:$C$11,0,0)*F19*$D19,2),0)</f>
        <v>694.43</v>
      </c>
      <c r="S19" s="644">
        <f t="shared" si="4"/>
        <v>0</v>
      </c>
      <c r="T19" s="644">
        <f t="shared" si="5"/>
        <v>0</v>
      </c>
      <c r="U19" s="644">
        <f t="shared" si="6"/>
        <v>0</v>
      </c>
      <c r="V19" s="644">
        <f t="shared" si="7"/>
        <v>0</v>
      </c>
      <c r="W19" s="644">
        <f t="shared" si="8"/>
        <v>0</v>
      </c>
      <c r="X19" s="644">
        <f t="shared" si="9"/>
        <v>0</v>
      </c>
      <c r="Y19" s="644">
        <f t="shared" si="10"/>
        <v>0</v>
      </c>
      <c r="Z19" s="644">
        <f t="shared" si="11"/>
        <v>0</v>
      </c>
      <c r="AA19" s="644">
        <f t="shared" si="12"/>
        <v>0</v>
      </c>
      <c r="AB19" s="644">
        <f t="shared" si="13"/>
        <v>0</v>
      </c>
      <c r="AC19" s="644">
        <f t="shared" si="14"/>
        <v>0</v>
      </c>
      <c r="AD19" s="645" t="str">
        <f>IF(OR(AND($E19=$A$6,$D$9=AD$15),AND($E19=$A$10,$D$11=AD$15),AND($E19=$A$3,$D$5=AD$15)),$D19-SUM($R19:AC19),IF($E19=$A$10,ROUND(_xlfn.XLOOKUP(AD$15,$D$10:$D$11,$C$10:$C$11,0,0)*$D19,2),IF($E19=$A$3,ROUND(_xlfn.XLOOKUP(AD$15,$D$3:$D$5,$C$3:$C$5,0,0)*$D19,2),IF($E19=$A$6,ROUND(_xlfn.XLOOKUP(AD$15,$D$6:$D$9,$C$6:$C$9,0,0)*$D19,2),""))))</f>
        <v/>
      </c>
      <c r="AE19" s="646" t="str">
        <f>IF(OR(AND($E19=$A$6,$D$9=AE$15),AND($E19=$A$10,$D$11=AE$15),AND($E19=$A$3,$D$5=AE$15)),$D19-SUM($R19:AD19),IF($E19=$A$10,ROUND(_xlfn.XLOOKUP(AE$15,$D$10:$D$11,$C$10:$C$11,0,0)*$D19,2),IF($E19=$A$3,ROUND(_xlfn.XLOOKUP(AE$15,$D$3:$D$5,$C$3:$C$5,0,0)*$D19,2),IF($E19=$A$6,ROUND(_xlfn.XLOOKUP(AE$15,$D$6:$D$9,$C$6:$C$9,0,0)*$D19,2),""))))</f>
        <v/>
      </c>
      <c r="AF19" s="647" t="str">
        <f>IF(OR(AND($E19=$A$6,$D$9=AF$15),AND($E19=$A$10,$D$11=AF$15),AND($E19=$A$3,$D$5=AF$15)),$D19-SUM($R19:AE19),IF($E19=$A$10,ROUND(_xlfn.XLOOKUP(AF$15,$D$10:$D$11,$C$10:$C$11,0,0)*$D19,2),IF($E19=$A$3,ROUND(_xlfn.XLOOKUP(AF$15,$D$3:$D$5,$C$3:$C$5,0,0)*$D19,2),IF($E19=$A$6,ROUND(_xlfn.XLOOKUP(AF$15,$D$6:$D$9,$C$6:$C$9,0,0)*$D19,2),""))))</f>
        <v/>
      </c>
      <c r="AG19" s="645"/>
      <c r="AH19" s="646"/>
      <c r="AI19" s="646"/>
      <c r="AJ19" s="646"/>
      <c r="AK19" s="647"/>
      <c r="AL19" s="645" t="str">
        <f>IF(OR(AND($E19=$A$6,$D$9=AL$15),AND($E19=$A$10,$D$11=AL$15),AND($E19=$A$3,$D$5=AL$15)),$D19-SUM($R19:AK19),IF($E19=$A$10,ROUND(_xlfn.XLOOKUP(AL$15,$D$10:$D$11,$C$10:$C$11,0,0)*$D19,2),IF($E19=$A$3,ROUND(_xlfn.XLOOKUP(AL$15,$D$3:$D$5,$C$3:$C$5,0,0)*$D19,2),IF($E19=$A$6,ROUND(_xlfn.XLOOKUP(AL$15,$D$6:$D$9,$C$6:$C$9,0,0)*$D19,2),""))))</f>
        <v/>
      </c>
      <c r="AM19" s="646" t="str">
        <f>IF(OR(AND($E19=$A$6,$D$9=AM$15),AND($E19=$A$10,$D$11=AM$15),AND($E19=$A$3,$D$5=AM$15)),$D19-SUM($R19:AL19),IF($E19=$A$10,ROUND(_xlfn.XLOOKUP(AM$15,$D$10:$D$11,$C$10:$C$11,0,0)*$D19,2),IF($E19=$A$3,ROUND(_xlfn.XLOOKUP(AM$15,$D$3:$D$5,$C$3:$C$5,0,0)*$D19,2),IF($E19=$A$6,ROUND(_xlfn.XLOOKUP(AM$15,$D$6:$D$9,$C$6:$C$9,0,0)*$D19,2),""))))</f>
        <v/>
      </c>
      <c r="AN19" s="647" t="str">
        <f>IF(OR(AND($E19=$A$6,$D$9=AN$15),AND($E19=$A$10,$D$11=AN$15),AND($E19=$A$3,$D$5=AN$15)),$D19-SUM($R19:AM19),IF($E19=$A$10,ROUND(_xlfn.XLOOKUP(AN$15,$D$10:$D$11,$C$10:$C$11,0,0)*$D19,2),IF($E19=$A$3,ROUND(_xlfn.XLOOKUP(AN$15,$D$3:$D$5,$C$3:$C$5,0,0)*$D19,2),IF($E19=$A$6,ROUND(_xlfn.XLOOKUP(AN$15,$D$6:$D$9,$C$6:$C$9,0,0)*$D19,2),""))))</f>
        <v/>
      </c>
      <c r="AO19" s="645"/>
      <c r="AP19" s="646"/>
      <c r="AQ19" s="647"/>
      <c r="AR19" s="646"/>
      <c r="AS19" s="645"/>
      <c r="AT19" s="647"/>
      <c r="AU19" s="648" t="str">
        <f>IF(OR(AND($E19=$A$6,$D$9=AU$15),AND($E19=$A$10,$D$11=AU$15),AND($E19=$A$3,$D$5=AU$15)),$D19-SUM($R19:AT19),IF($E19=$A$10,ROUND(_xlfn.XLOOKUP(AU$15,$D$10:$D$11,$C$10:$C$11,0,0)*$D19,2),IF($E19=$A$3,ROUND(_xlfn.XLOOKUP(AU$15,$D$3:$D$5,$C$3:$C$5,0,0)*$D19,2),IF($E19=$A$6,ROUND(_xlfn.XLOOKUP(AU$15,$D$6:$D$9,$C$6:$C$9,0,0)*$D19,2),""))))</f>
        <v/>
      </c>
      <c r="AV19" s="673" t="str">
        <f t="shared" si="15"/>
        <v/>
      </c>
    </row>
    <row r="20" spans="1:48" ht="14.25" outlineLevel="1" x14ac:dyDescent="0.2">
      <c r="A20" s="559" t="s">
        <v>5384</v>
      </c>
      <c r="B20" s="558" t="s">
        <v>4697</v>
      </c>
      <c r="C20" s="581">
        <f t="shared" si="3"/>
        <v>2.6827324844833391E-5</v>
      </c>
      <c r="D20" s="556">
        <f>Produtos!$D13</f>
        <v>694.43</v>
      </c>
      <c r="E20" s="580" t="s">
        <v>5286</v>
      </c>
      <c r="F20" s="577">
        <v>1</v>
      </c>
      <c r="G20" s="577"/>
      <c r="H20" s="577"/>
      <c r="I20" s="577"/>
      <c r="J20" s="577"/>
      <c r="K20" s="577"/>
      <c r="L20" s="577"/>
      <c r="M20" s="577"/>
      <c r="N20" s="577"/>
      <c r="O20" s="577"/>
      <c r="P20" s="577"/>
      <c r="Q20" s="577"/>
      <c r="R20" s="643">
        <f t="shared" si="16"/>
        <v>694.43</v>
      </c>
      <c r="S20" s="644">
        <f t="shared" si="4"/>
        <v>0</v>
      </c>
      <c r="T20" s="644">
        <f t="shared" si="5"/>
        <v>0</v>
      </c>
      <c r="U20" s="644">
        <f t="shared" si="6"/>
        <v>0</v>
      </c>
      <c r="V20" s="644">
        <f t="shared" si="7"/>
        <v>0</v>
      </c>
      <c r="W20" s="644">
        <f t="shared" si="8"/>
        <v>0</v>
      </c>
      <c r="X20" s="644">
        <f t="shared" si="9"/>
        <v>0</v>
      </c>
      <c r="Y20" s="644">
        <f t="shared" si="10"/>
        <v>0</v>
      </c>
      <c r="Z20" s="644">
        <f t="shared" si="11"/>
        <v>0</v>
      </c>
      <c r="AA20" s="644">
        <f t="shared" si="12"/>
        <v>0</v>
      </c>
      <c r="AB20" s="644">
        <f t="shared" si="13"/>
        <v>0</v>
      </c>
      <c r="AC20" s="644">
        <f t="shared" si="14"/>
        <v>0</v>
      </c>
      <c r="AD20" s="645" t="str">
        <f>IF(OR(AND($E20=$A$6,$D$9=AD$15),AND($E20=$A$10,$D$11=AD$15),AND($E20=$A$3,$D$5=AD$15)),$D20-SUM($R20:AC20),IF($E20=$A$10,ROUND(_xlfn.XLOOKUP(AD$15,$D$10:$D$11,$C$10:$C$11,0,0)*$D20,2),IF($E20=$A$3,ROUND(_xlfn.XLOOKUP(AD$15,$D$3:$D$5,$C$3:$C$5,0,0)*$D20,2),IF($E20=$A$6,ROUND(_xlfn.XLOOKUP(AD$15,$D$6:$D$9,$C$6:$C$9,0,0)*$D20,2),""))))</f>
        <v/>
      </c>
      <c r="AE20" s="646" t="str">
        <f>IF(OR(AND($E20=$A$6,$D$9=AE$15),AND($E20=$A$10,$D$11=AE$15),AND($E20=$A$3,$D$5=AE$15)),$D20-SUM($R20:AD20),IF($E20=$A$10,ROUND(_xlfn.XLOOKUP(AE$15,$D$10:$D$11,$C$10:$C$11,0,0)*$D20,2),IF($E20=$A$3,ROUND(_xlfn.XLOOKUP(AE$15,$D$3:$D$5,$C$3:$C$5,0,0)*$D20,2),IF($E20=$A$6,ROUND(_xlfn.XLOOKUP(AE$15,$D$6:$D$9,$C$6:$C$9,0,0)*$D20,2),""))))</f>
        <v/>
      </c>
      <c r="AF20" s="647" t="str">
        <f>IF(OR(AND($E20=$A$6,$D$9=AF$15),AND($E20=$A$10,$D$11=AF$15),AND($E20=$A$3,$D$5=AF$15)),$D20-SUM($R20:AE20),IF($E20=$A$10,ROUND(_xlfn.XLOOKUP(AF$15,$D$10:$D$11,$C$10:$C$11,0,0)*$D20,2),IF($E20=$A$3,ROUND(_xlfn.XLOOKUP(AF$15,$D$3:$D$5,$C$3:$C$5,0,0)*$D20,2),IF($E20=$A$6,ROUND(_xlfn.XLOOKUP(AF$15,$D$6:$D$9,$C$6:$C$9,0,0)*$D20,2),""))))</f>
        <v/>
      </c>
      <c r="AG20" s="645"/>
      <c r="AH20" s="646"/>
      <c r="AI20" s="646"/>
      <c r="AJ20" s="646"/>
      <c r="AK20" s="647"/>
      <c r="AL20" s="645" t="str">
        <f>IF(OR(AND($E20=$A$6,$D$9=AL$15),AND($E20=$A$10,$D$11=AL$15),AND($E20=$A$3,$D$5=AL$15)),$D20-SUM($R20:AK20),IF($E20=$A$10,ROUND(_xlfn.XLOOKUP(AL$15,$D$10:$D$11,$C$10:$C$11,0,0)*$D20,2),IF($E20=$A$3,ROUND(_xlfn.XLOOKUP(AL$15,$D$3:$D$5,$C$3:$C$5,0,0)*$D20,2),IF($E20=$A$6,ROUND(_xlfn.XLOOKUP(AL$15,$D$6:$D$9,$C$6:$C$9,0,0)*$D20,2),""))))</f>
        <v/>
      </c>
      <c r="AM20" s="646" t="str">
        <f>IF(OR(AND($E20=$A$6,$D$9=AM$15),AND($E20=$A$10,$D$11=AM$15),AND($E20=$A$3,$D$5=AM$15)),$D20-SUM($R20:AL20),IF($E20=$A$10,ROUND(_xlfn.XLOOKUP(AM$15,$D$10:$D$11,$C$10:$C$11,0,0)*$D20,2),IF($E20=$A$3,ROUND(_xlfn.XLOOKUP(AM$15,$D$3:$D$5,$C$3:$C$5,0,0)*$D20,2),IF($E20=$A$6,ROUND(_xlfn.XLOOKUP(AM$15,$D$6:$D$9,$C$6:$C$9,0,0)*$D20,2),""))))</f>
        <v/>
      </c>
      <c r="AN20" s="647" t="str">
        <f>IF(OR(AND($E20=$A$6,$D$9=AN$15),AND($E20=$A$10,$D$11=AN$15),AND($E20=$A$3,$D$5=AN$15)),$D20-SUM($R20:AM20),IF($E20=$A$10,ROUND(_xlfn.XLOOKUP(AN$15,$D$10:$D$11,$C$10:$C$11,0,0)*$D20,2),IF($E20=$A$3,ROUND(_xlfn.XLOOKUP(AN$15,$D$3:$D$5,$C$3:$C$5,0,0)*$D20,2),IF($E20=$A$6,ROUND(_xlfn.XLOOKUP(AN$15,$D$6:$D$9,$C$6:$C$9,0,0)*$D20,2),""))))</f>
        <v/>
      </c>
      <c r="AO20" s="645"/>
      <c r="AP20" s="646"/>
      <c r="AQ20" s="647"/>
      <c r="AR20" s="646"/>
      <c r="AS20" s="645"/>
      <c r="AT20" s="647"/>
      <c r="AU20" s="648" t="str">
        <f>IF(OR(AND($E20=$A$6,$D$9=AU$15),AND($E20=$A$10,$D$11=AU$15),AND($E20=$A$3,$D$5=AU$15)),$D20-SUM($R20:AT20),IF($E20=$A$10,ROUND(_xlfn.XLOOKUP(AU$15,$D$10:$D$11,$C$10:$C$11,0,0)*$D20,2),IF($E20=$A$3,ROUND(_xlfn.XLOOKUP(AU$15,$D$3:$D$5,$C$3:$C$5,0,0)*$D20,2),IF($E20=$A$6,ROUND(_xlfn.XLOOKUP(AU$15,$D$6:$D$9,$C$6:$C$9,0,0)*$D20,2),""))))</f>
        <v/>
      </c>
      <c r="AV20" s="673" t="str">
        <f t="shared" si="15"/>
        <v/>
      </c>
    </row>
    <row r="21" spans="1:48" ht="14.25" outlineLevel="1" x14ac:dyDescent="0.2">
      <c r="A21" s="559" t="s">
        <v>5383</v>
      </c>
      <c r="B21" s="558" t="s">
        <v>4698</v>
      </c>
      <c r="C21" s="581">
        <f t="shared" si="3"/>
        <v>2.6827324844833391E-5</v>
      </c>
      <c r="D21" s="556">
        <f>Produtos!$D14</f>
        <v>694.43</v>
      </c>
      <c r="E21" s="580" t="s">
        <v>5286</v>
      </c>
      <c r="F21" s="577"/>
      <c r="G21" s="577">
        <v>1</v>
      </c>
      <c r="H21" s="577"/>
      <c r="I21" s="577"/>
      <c r="J21" s="577"/>
      <c r="K21" s="577"/>
      <c r="L21" s="577"/>
      <c r="M21" s="577"/>
      <c r="N21" s="577"/>
      <c r="O21" s="577"/>
      <c r="P21" s="577"/>
      <c r="Q21" s="577"/>
      <c r="R21" s="643">
        <f t="shared" si="16"/>
        <v>0</v>
      </c>
      <c r="S21" s="644">
        <f t="shared" si="4"/>
        <v>694.43</v>
      </c>
      <c r="T21" s="644">
        <f t="shared" si="5"/>
        <v>0</v>
      </c>
      <c r="U21" s="644">
        <f t="shared" si="6"/>
        <v>0</v>
      </c>
      <c r="V21" s="644">
        <f t="shared" si="7"/>
        <v>0</v>
      </c>
      <c r="W21" s="644">
        <f t="shared" si="8"/>
        <v>0</v>
      </c>
      <c r="X21" s="644">
        <f t="shared" si="9"/>
        <v>0</v>
      </c>
      <c r="Y21" s="644">
        <f t="shared" si="10"/>
        <v>0</v>
      </c>
      <c r="Z21" s="644">
        <f t="shared" si="11"/>
        <v>0</v>
      </c>
      <c r="AA21" s="644">
        <f t="shared" si="12"/>
        <v>0</v>
      </c>
      <c r="AB21" s="644">
        <f t="shared" si="13"/>
        <v>0</v>
      </c>
      <c r="AC21" s="644">
        <f t="shared" si="14"/>
        <v>0</v>
      </c>
      <c r="AD21" s="645" t="str">
        <f>IF(OR(AND($E21=$A$6,$D$9=AD$15),AND($E21=$A$10,$D$11=AD$15),AND($E21=$A$3,$D$5=AD$15)),$D21-SUM($R21:AC21),IF($E21=$A$10,ROUND(_xlfn.XLOOKUP(AD$15,$D$10:$D$11,$C$10:$C$11,0,0)*$D21,2),IF($E21=$A$3,ROUND(_xlfn.XLOOKUP(AD$15,$D$3:$D$5,$C$3:$C$5,0,0)*$D21,2),IF($E21=$A$6,ROUND(_xlfn.XLOOKUP(AD$15,$D$6:$D$9,$C$6:$C$9,0,0)*$D21,2),""))))</f>
        <v/>
      </c>
      <c r="AE21" s="646" t="str">
        <f>IF(OR(AND($E21=$A$6,$D$9=AE$15),AND($E21=$A$10,$D$11=AE$15),AND($E21=$A$3,$D$5=AE$15)),$D21-SUM($R21:AD21),IF($E21=$A$10,ROUND(_xlfn.XLOOKUP(AE$15,$D$10:$D$11,$C$10:$C$11,0,0)*$D21,2),IF($E21=$A$3,ROUND(_xlfn.XLOOKUP(AE$15,$D$3:$D$5,$C$3:$C$5,0,0)*$D21,2),IF($E21=$A$6,ROUND(_xlfn.XLOOKUP(AE$15,$D$6:$D$9,$C$6:$C$9,0,0)*$D21,2),""))))</f>
        <v/>
      </c>
      <c r="AF21" s="647" t="str">
        <f>IF(OR(AND($E21=$A$6,$D$9=AF$15),AND($E21=$A$10,$D$11=AF$15),AND($E21=$A$3,$D$5=AF$15)),$D21-SUM($R21:AE21),IF($E21=$A$10,ROUND(_xlfn.XLOOKUP(AF$15,$D$10:$D$11,$C$10:$C$11,0,0)*$D21,2),IF($E21=$A$3,ROUND(_xlfn.XLOOKUP(AF$15,$D$3:$D$5,$C$3:$C$5,0,0)*$D21,2),IF($E21=$A$6,ROUND(_xlfn.XLOOKUP(AF$15,$D$6:$D$9,$C$6:$C$9,0,0)*$D21,2),""))))</f>
        <v/>
      </c>
      <c r="AG21" s="645"/>
      <c r="AH21" s="646"/>
      <c r="AI21" s="646"/>
      <c r="AJ21" s="646"/>
      <c r="AK21" s="647"/>
      <c r="AL21" s="645" t="str">
        <f>IF(OR(AND($E21=$A$6,$D$9=AL$15),AND($E21=$A$10,$D$11=AL$15),AND($E21=$A$3,$D$5=AL$15)),$D21-SUM($R21:AK21),IF($E21=$A$10,ROUND(_xlfn.XLOOKUP(AL$15,$D$10:$D$11,$C$10:$C$11,0,0)*$D21,2),IF($E21=$A$3,ROUND(_xlfn.XLOOKUP(AL$15,$D$3:$D$5,$C$3:$C$5,0,0)*$D21,2),IF($E21=$A$6,ROUND(_xlfn.XLOOKUP(AL$15,$D$6:$D$9,$C$6:$C$9,0,0)*$D21,2),""))))</f>
        <v/>
      </c>
      <c r="AM21" s="646" t="str">
        <f>IF(OR(AND($E21=$A$6,$D$9=AM$15),AND($E21=$A$10,$D$11=AM$15),AND($E21=$A$3,$D$5=AM$15)),$D21-SUM($R21:AL21),IF($E21=$A$10,ROUND(_xlfn.XLOOKUP(AM$15,$D$10:$D$11,$C$10:$C$11,0,0)*$D21,2),IF($E21=$A$3,ROUND(_xlfn.XLOOKUP(AM$15,$D$3:$D$5,$C$3:$C$5,0,0)*$D21,2),IF($E21=$A$6,ROUND(_xlfn.XLOOKUP(AM$15,$D$6:$D$9,$C$6:$C$9,0,0)*$D21,2),""))))</f>
        <v/>
      </c>
      <c r="AN21" s="647" t="str">
        <f>IF(OR(AND($E21=$A$6,$D$9=AN$15),AND($E21=$A$10,$D$11=AN$15),AND($E21=$A$3,$D$5=AN$15)),$D21-SUM($R21:AM21),IF($E21=$A$10,ROUND(_xlfn.XLOOKUP(AN$15,$D$10:$D$11,$C$10:$C$11,0,0)*$D21,2),IF($E21=$A$3,ROUND(_xlfn.XLOOKUP(AN$15,$D$3:$D$5,$C$3:$C$5,0,0)*$D21,2),IF($E21=$A$6,ROUND(_xlfn.XLOOKUP(AN$15,$D$6:$D$9,$C$6:$C$9,0,0)*$D21,2),""))))</f>
        <v/>
      </c>
      <c r="AO21" s="645"/>
      <c r="AP21" s="646"/>
      <c r="AQ21" s="647"/>
      <c r="AR21" s="646"/>
      <c r="AS21" s="645"/>
      <c r="AT21" s="647"/>
      <c r="AU21" s="648" t="str">
        <f>IF(OR(AND($E21=$A$6,$D$9=AU$15),AND($E21=$A$10,$D$11=AU$15),AND($E21=$A$3,$D$5=AU$15)),$D21-SUM($R21:AT21),IF($E21=$A$10,ROUND(_xlfn.XLOOKUP(AU$15,$D$10:$D$11,$C$10:$C$11,0,0)*$D21,2),IF($E21=$A$3,ROUND(_xlfn.XLOOKUP(AU$15,$D$3:$D$5,$C$3:$C$5,0,0)*$D21,2),IF($E21=$A$6,ROUND(_xlfn.XLOOKUP(AU$15,$D$6:$D$9,$C$6:$C$9,0,0)*$D21,2),""))))</f>
        <v/>
      </c>
      <c r="AV21" s="673" t="str">
        <f t="shared" si="15"/>
        <v/>
      </c>
    </row>
    <row r="22" spans="1:48" s="568" customFormat="1" ht="14.25" outlineLevel="1" x14ac:dyDescent="0.2">
      <c r="A22" s="559" t="s">
        <v>5382</v>
      </c>
      <c r="B22" s="558" t="s">
        <v>4699</v>
      </c>
      <c r="C22" s="581">
        <f t="shared" si="3"/>
        <v>2.6827324844833391E-5</v>
      </c>
      <c r="D22" s="556">
        <f>Produtos!$D15</f>
        <v>694.43</v>
      </c>
      <c r="E22" s="580" t="s">
        <v>5286</v>
      </c>
      <c r="F22" s="577"/>
      <c r="G22" s="577"/>
      <c r="H22" s="577">
        <v>1</v>
      </c>
      <c r="I22" s="577"/>
      <c r="J22" s="577"/>
      <c r="K22" s="577"/>
      <c r="L22" s="577"/>
      <c r="M22" s="577"/>
      <c r="N22" s="577"/>
      <c r="O22" s="577"/>
      <c r="P22" s="577"/>
      <c r="Q22" s="577"/>
      <c r="R22" s="643">
        <f t="shared" si="16"/>
        <v>0</v>
      </c>
      <c r="S22" s="644">
        <f t="shared" si="4"/>
        <v>0</v>
      </c>
      <c r="T22" s="644">
        <f t="shared" si="5"/>
        <v>694.43</v>
      </c>
      <c r="U22" s="644">
        <f t="shared" si="6"/>
        <v>0</v>
      </c>
      <c r="V22" s="644">
        <f t="shared" si="7"/>
        <v>0</v>
      </c>
      <c r="W22" s="644">
        <f t="shared" si="8"/>
        <v>0</v>
      </c>
      <c r="X22" s="644">
        <f t="shared" si="9"/>
        <v>0</v>
      </c>
      <c r="Y22" s="644">
        <f t="shared" si="10"/>
        <v>0</v>
      </c>
      <c r="Z22" s="644">
        <f t="shared" si="11"/>
        <v>0</v>
      </c>
      <c r="AA22" s="644">
        <f t="shared" si="12"/>
        <v>0</v>
      </c>
      <c r="AB22" s="644">
        <f t="shared" si="13"/>
        <v>0</v>
      </c>
      <c r="AC22" s="644">
        <f t="shared" si="14"/>
        <v>0</v>
      </c>
      <c r="AD22" s="645" t="str">
        <f>IF(OR(AND($E22=$A$6,$D$9=AD$15),AND($E22=$A$10,$D$11=AD$15),AND($E22=$A$3,$D$5=AD$15)),$D22-SUM($R22:AC22),IF($E22=$A$10,ROUND(_xlfn.XLOOKUP(AD$15,$D$10:$D$11,$C$10:$C$11,0,0)*$D22,2),IF($E22=$A$3,ROUND(_xlfn.XLOOKUP(AD$15,$D$3:$D$5,$C$3:$C$5,0,0)*$D22,2),IF($E22=$A$6,ROUND(_xlfn.XLOOKUP(AD$15,$D$6:$D$9,$C$6:$C$9,0,0)*$D22,2),""))))</f>
        <v/>
      </c>
      <c r="AE22" s="649" t="str">
        <f>IF(OR(AND($E22=$A$6,$D$9=AE$15),AND($E22=$A$10,$D$11=AE$15),AND($E22=$A$3,$D$5=AE$15)),$D22-SUM($R22:AD22),IF($E22=$A$10,ROUND(_xlfn.XLOOKUP(AE$15,$D$10:$D$11,$C$10:$C$11,0,0)*$D22,2),IF($E22=$A$3,ROUND(_xlfn.XLOOKUP(AE$15,$D$3:$D$5,$C$3:$C$5,0,0)*$D22,2),IF($E22=$A$6,ROUND(_xlfn.XLOOKUP(AE$15,$D$6:$D$9,$C$6:$C$9,0,0)*$D22,2),""))))</f>
        <v/>
      </c>
      <c r="AF22" s="650" t="str">
        <f>IF(OR(AND($E22=$A$6,$D$9=AF$15),AND($E22=$A$10,$D$11=AF$15),AND($E22=$A$3,$D$5=AF$15)),$D22-SUM($R22:AE22),IF($E22=$A$10,ROUND(_xlfn.XLOOKUP(AF$15,$D$10:$D$11,$C$10:$C$11,0,0)*$D22,2),IF($E22=$A$3,ROUND(_xlfn.XLOOKUP(AF$15,$D$3:$D$5,$C$3:$C$5,0,0)*$D22,2),IF($E22=$A$6,ROUND(_xlfn.XLOOKUP(AF$15,$D$6:$D$9,$C$6:$C$9,0,0)*$D22,2),""))))</f>
        <v/>
      </c>
      <c r="AG22" s="651"/>
      <c r="AH22" s="649"/>
      <c r="AI22" s="649"/>
      <c r="AJ22" s="649"/>
      <c r="AK22" s="647"/>
      <c r="AL22" s="645" t="str">
        <f>IF(OR(AND($E22=$A$6,$D$9=AL$15),AND($E22=$A$10,$D$11=AL$15),AND($E22=$A$3,$D$5=AL$15)),$D22-SUM($R22:AK22),IF($E22=$A$10,ROUND(_xlfn.XLOOKUP(AL$15,$D$10:$D$11,$C$10:$C$11,0,0)*$D22,2),IF($E22=$A$3,ROUND(_xlfn.XLOOKUP(AL$15,$D$3:$D$5,$C$3:$C$5,0,0)*$D22,2),IF($E22=$A$6,ROUND(_xlfn.XLOOKUP(AL$15,$D$6:$D$9,$C$6:$C$9,0,0)*$D22,2),""))))</f>
        <v/>
      </c>
      <c r="AM22" s="649" t="str">
        <f>IF(OR(AND($E22=$A$6,$D$9=AM$15),AND($E22=$A$10,$D$11=AM$15),AND($E22=$A$3,$D$5=AM$15)),$D22-SUM($R22:AL22),IF($E22=$A$10,ROUND(_xlfn.XLOOKUP(AM$15,$D$10:$D$11,$C$10:$C$11,0,0)*$D22,2),IF($E22=$A$3,ROUND(_xlfn.XLOOKUP(AM$15,$D$3:$D$5,$C$3:$C$5,0,0)*$D22,2),IF($E22=$A$6,ROUND(_xlfn.XLOOKUP(AM$15,$D$6:$D$9,$C$6:$C$9,0,0)*$D22,2),""))))</f>
        <v/>
      </c>
      <c r="AN22" s="650" t="str">
        <f>IF(OR(AND($E22=$A$6,$D$9=AN$15),AND($E22=$A$10,$D$11=AN$15),AND($E22=$A$3,$D$5=AN$15)),$D22-SUM($R22:AM22),IF($E22=$A$10,ROUND(_xlfn.XLOOKUP(AN$15,$D$10:$D$11,$C$10:$C$11,0,0)*$D22,2),IF($E22=$A$3,ROUND(_xlfn.XLOOKUP(AN$15,$D$3:$D$5,$C$3:$C$5,0,0)*$D22,2),IF($E22=$A$6,ROUND(_xlfn.XLOOKUP(AN$15,$D$6:$D$9,$C$6:$C$9,0,0)*$D22,2),""))))</f>
        <v/>
      </c>
      <c r="AO22" s="651"/>
      <c r="AP22" s="649"/>
      <c r="AQ22" s="650"/>
      <c r="AR22" s="649"/>
      <c r="AS22" s="651"/>
      <c r="AT22" s="650"/>
      <c r="AU22" s="648" t="str">
        <f>IF(OR(AND($E22=$A$6,$D$9=AU$15),AND($E22=$A$10,$D$11=AU$15),AND($E22=$A$3,$D$5=AU$15)),$D22-SUM($R22:AT22),IF($E22=$A$10,ROUND(_xlfn.XLOOKUP(AU$15,$D$10:$D$11,$C$10:$C$11,0,0)*$D22,2),IF($E22=$A$3,ROUND(_xlfn.XLOOKUP(AU$15,$D$3:$D$5,$C$3:$C$5,0,0)*$D22,2),IF($E22=$A$6,ROUND(_xlfn.XLOOKUP(AU$15,$D$6:$D$9,$C$6:$C$9,0,0)*$D22,2),""))))</f>
        <v/>
      </c>
      <c r="AV22" s="673" t="str">
        <f t="shared" si="15"/>
        <v/>
      </c>
    </row>
    <row r="23" spans="1:48" ht="14.25" outlineLevel="1" x14ac:dyDescent="0.2">
      <c r="A23" s="559" t="s">
        <v>5381</v>
      </c>
      <c r="B23" s="558" t="s">
        <v>4700</v>
      </c>
      <c r="C23" s="581">
        <f t="shared" si="3"/>
        <v>2.6827324844833391E-5</v>
      </c>
      <c r="D23" s="556">
        <f>Produtos!$D16</f>
        <v>694.43</v>
      </c>
      <c r="E23" s="580" t="s">
        <v>5286</v>
      </c>
      <c r="F23" s="577"/>
      <c r="G23" s="577"/>
      <c r="H23" s="577">
        <v>1</v>
      </c>
      <c r="I23" s="577"/>
      <c r="J23" s="577"/>
      <c r="K23" s="577"/>
      <c r="L23" s="577"/>
      <c r="M23" s="577"/>
      <c r="N23" s="577"/>
      <c r="O23" s="577"/>
      <c r="P23" s="577"/>
      <c r="Q23" s="577"/>
      <c r="R23" s="643">
        <f t="shared" si="16"/>
        <v>0</v>
      </c>
      <c r="S23" s="644">
        <f t="shared" si="4"/>
        <v>0</v>
      </c>
      <c r="T23" s="644">
        <f t="shared" si="5"/>
        <v>694.43</v>
      </c>
      <c r="U23" s="644">
        <f t="shared" si="6"/>
        <v>0</v>
      </c>
      <c r="V23" s="644">
        <f t="shared" si="7"/>
        <v>0</v>
      </c>
      <c r="W23" s="644">
        <f t="shared" si="8"/>
        <v>0</v>
      </c>
      <c r="X23" s="644">
        <f t="shared" si="9"/>
        <v>0</v>
      </c>
      <c r="Y23" s="644">
        <f t="shared" si="10"/>
        <v>0</v>
      </c>
      <c r="Z23" s="644">
        <f t="shared" si="11"/>
        <v>0</v>
      </c>
      <c r="AA23" s="644">
        <f t="shared" si="12"/>
        <v>0</v>
      </c>
      <c r="AB23" s="644">
        <f t="shared" si="13"/>
        <v>0</v>
      </c>
      <c r="AC23" s="644">
        <f t="shared" si="14"/>
        <v>0</v>
      </c>
      <c r="AD23" s="645" t="str">
        <f>IF(OR(AND($E23=$A$6,$D$9=AD$15),AND($E23=$A$10,$D$11=AD$15),AND($E23=$A$3,$D$5=AD$15)),$D23-SUM($R23:AC23),IF($E23=$A$10,ROUND(_xlfn.XLOOKUP(AD$15,$D$10:$D$11,$C$10:$C$11,0,0)*$D23,2),IF($E23=$A$3,ROUND(_xlfn.XLOOKUP(AD$15,$D$3:$D$5,$C$3:$C$5,0,0)*$D23,2),IF($E23=$A$6,ROUND(_xlfn.XLOOKUP(AD$15,$D$6:$D$9,$C$6:$C$9,0,0)*$D23,2),""))))</f>
        <v/>
      </c>
      <c r="AE23" s="646" t="str">
        <f>IF(OR(AND($E23=$A$6,$D$9=AE$15),AND($E23=$A$10,$D$11=AE$15),AND($E23=$A$3,$D$5=AE$15)),$D23-SUM($R23:AD23),IF($E23=$A$10,ROUND(_xlfn.XLOOKUP(AE$15,$D$10:$D$11,$C$10:$C$11,0,0)*$D23,2),IF($E23=$A$3,ROUND(_xlfn.XLOOKUP(AE$15,$D$3:$D$5,$C$3:$C$5,0,0)*$D23,2),IF($E23=$A$6,ROUND(_xlfn.XLOOKUP(AE$15,$D$6:$D$9,$C$6:$C$9,0,0)*$D23,2),""))))</f>
        <v/>
      </c>
      <c r="AF23" s="647" t="str">
        <f>IF(OR(AND($E23=$A$6,$D$9=AF$15),AND($E23=$A$10,$D$11=AF$15),AND($E23=$A$3,$D$5=AF$15)),$D23-SUM($R23:AE23),IF($E23=$A$10,ROUND(_xlfn.XLOOKUP(AF$15,$D$10:$D$11,$C$10:$C$11,0,0)*$D23,2),IF($E23=$A$3,ROUND(_xlfn.XLOOKUP(AF$15,$D$3:$D$5,$C$3:$C$5,0,0)*$D23,2),IF($E23=$A$6,ROUND(_xlfn.XLOOKUP(AF$15,$D$6:$D$9,$C$6:$C$9,0,0)*$D23,2),""))))</f>
        <v/>
      </c>
      <c r="AG23" s="645"/>
      <c r="AH23" s="646"/>
      <c r="AI23" s="646"/>
      <c r="AJ23" s="646"/>
      <c r="AK23" s="647"/>
      <c r="AL23" s="645" t="str">
        <f>IF(OR(AND($E23=$A$6,$D$9=AL$15),AND($E23=$A$10,$D$11=AL$15),AND($E23=$A$3,$D$5=AL$15)),$D23-SUM($R23:AK23),IF($E23=$A$10,ROUND(_xlfn.XLOOKUP(AL$15,$D$10:$D$11,$C$10:$C$11,0,0)*$D23,2),IF($E23=$A$3,ROUND(_xlfn.XLOOKUP(AL$15,$D$3:$D$5,$C$3:$C$5,0,0)*$D23,2),IF($E23=$A$6,ROUND(_xlfn.XLOOKUP(AL$15,$D$6:$D$9,$C$6:$C$9,0,0)*$D23,2),""))))</f>
        <v/>
      </c>
      <c r="AM23" s="646" t="str">
        <f>IF(OR(AND($E23=$A$6,$D$9=AM$15),AND($E23=$A$10,$D$11=AM$15),AND($E23=$A$3,$D$5=AM$15)),$D23-SUM($R23:AL23),IF($E23=$A$10,ROUND(_xlfn.XLOOKUP(AM$15,$D$10:$D$11,$C$10:$C$11,0,0)*$D23,2),IF($E23=$A$3,ROUND(_xlfn.XLOOKUP(AM$15,$D$3:$D$5,$C$3:$C$5,0,0)*$D23,2),IF($E23=$A$6,ROUND(_xlfn.XLOOKUP(AM$15,$D$6:$D$9,$C$6:$C$9,0,0)*$D23,2),""))))</f>
        <v/>
      </c>
      <c r="AN23" s="647" t="str">
        <f>IF(OR(AND($E23=$A$6,$D$9=AN$15),AND($E23=$A$10,$D$11=AN$15),AND($E23=$A$3,$D$5=AN$15)),$D23-SUM($R23:AM23),IF($E23=$A$10,ROUND(_xlfn.XLOOKUP(AN$15,$D$10:$D$11,$C$10:$C$11,0,0)*$D23,2),IF($E23=$A$3,ROUND(_xlfn.XLOOKUP(AN$15,$D$3:$D$5,$C$3:$C$5,0,0)*$D23,2),IF($E23=$A$6,ROUND(_xlfn.XLOOKUP(AN$15,$D$6:$D$9,$C$6:$C$9,0,0)*$D23,2),""))))</f>
        <v/>
      </c>
      <c r="AO23" s="645"/>
      <c r="AP23" s="646"/>
      <c r="AQ23" s="647"/>
      <c r="AR23" s="646"/>
      <c r="AS23" s="645"/>
      <c r="AT23" s="647"/>
      <c r="AU23" s="648" t="str">
        <f>IF(OR(AND($E23=$A$6,$D$9=AU$15),AND($E23=$A$10,$D$11=AU$15),AND($E23=$A$3,$D$5=AU$15)),$D23-SUM($R23:AT23),IF($E23=$A$10,ROUND(_xlfn.XLOOKUP(AU$15,$D$10:$D$11,$C$10:$C$11,0,0)*$D23,2),IF($E23=$A$3,ROUND(_xlfn.XLOOKUP(AU$15,$D$3:$D$5,$C$3:$C$5,0,0)*$D23,2),IF($E23=$A$6,ROUND(_xlfn.XLOOKUP(AU$15,$D$6:$D$9,$C$6:$C$9,0,0)*$D23,2),""))))</f>
        <v/>
      </c>
      <c r="AV23" s="673" t="str">
        <f t="shared" si="15"/>
        <v/>
      </c>
    </row>
    <row r="24" spans="1:48" ht="14.25" outlineLevel="1" x14ac:dyDescent="0.2">
      <c r="A24" s="559" t="s">
        <v>5380</v>
      </c>
      <c r="B24" s="558" t="s">
        <v>4701</v>
      </c>
      <c r="C24" s="581">
        <f t="shared" si="3"/>
        <v>2.6771308225411697E-5</v>
      </c>
      <c r="D24" s="556">
        <f>Produtos!$D17</f>
        <v>692.98</v>
      </c>
      <c r="E24" s="580" t="s">
        <v>5286</v>
      </c>
      <c r="F24" s="577"/>
      <c r="G24" s="577"/>
      <c r="H24" s="577">
        <v>1</v>
      </c>
      <c r="I24" s="577"/>
      <c r="J24" s="577"/>
      <c r="K24" s="577"/>
      <c r="L24" s="577"/>
      <c r="M24" s="577"/>
      <c r="N24" s="577"/>
      <c r="O24" s="577"/>
      <c r="P24" s="577"/>
      <c r="Q24" s="577"/>
      <c r="R24" s="652">
        <f t="shared" si="16"/>
        <v>0</v>
      </c>
      <c r="S24" s="653">
        <f t="shared" si="4"/>
        <v>0</v>
      </c>
      <c r="T24" s="653">
        <f t="shared" si="5"/>
        <v>692.98</v>
      </c>
      <c r="U24" s="653">
        <f t="shared" si="6"/>
        <v>0</v>
      </c>
      <c r="V24" s="653">
        <f t="shared" si="7"/>
        <v>0</v>
      </c>
      <c r="W24" s="653">
        <f t="shared" si="8"/>
        <v>0</v>
      </c>
      <c r="X24" s="653">
        <f t="shared" si="9"/>
        <v>0</v>
      </c>
      <c r="Y24" s="653">
        <f t="shared" si="10"/>
        <v>0</v>
      </c>
      <c r="Z24" s="653">
        <f t="shared" si="11"/>
        <v>0</v>
      </c>
      <c r="AA24" s="653">
        <f t="shared" si="12"/>
        <v>0</v>
      </c>
      <c r="AB24" s="653">
        <f t="shared" si="13"/>
        <v>0</v>
      </c>
      <c r="AC24" s="653">
        <f t="shared" si="14"/>
        <v>0</v>
      </c>
      <c r="AD24" s="654" t="str">
        <f>IF(OR(AND($E24=$A$6,$D$9=AD$15),AND($E24=$A$10,$D$11=AD$15),AND($E24=$A$3,$D$5=AD$15)),$D24-SUM($R24:AC24),IF($E24=$A$10,ROUND(_xlfn.XLOOKUP(AD$15,$D$10:$D$11,$C$10:$C$11,0,0)*$D24,2),IF($E24=$A$3,ROUND(_xlfn.XLOOKUP(AD$15,$D$3:$D$5,$C$3:$C$5,0,0)*$D24,2),IF($E24=$A$6,ROUND(_xlfn.XLOOKUP(AD$15,$D$6:$D$9,$C$6:$C$9,0,0)*$D24,2),""))))</f>
        <v/>
      </c>
      <c r="AE24" s="655" t="str">
        <f>IF(OR(AND($E24=$A$6,$D$9=AE$15),AND($E24=$A$10,$D$11=AE$15),AND($E24=$A$3,$D$5=AE$15)),$D24-SUM($R24:AD24),IF($E24=$A$10,ROUND(_xlfn.XLOOKUP(AE$15,$D$10:$D$11,$C$10:$C$11,0,0)*$D24,2),IF($E24=$A$3,ROUND(_xlfn.XLOOKUP(AE$15,$D$3:$D$5,$C$3:$C$5,0,0)*$D24,2),IF($E24=$A$6,ROUND(_xlfn.XLOOKUP(AE$15,$D$6:$D$9,$C$6:$C$9,0,0)*$D24,2),""))))</f>
        <v/>
      </c>
      <c r="AF24" s="656" t="str">
        <f>IF(OR(AND($E24=$A$6,$D$9=AF$15),AND($E24=$A$10,$D$11=AF$15),AND($E24=$A$3,$D$5=AF$15)),$D24-SUM($R24:AE24),IF($E24=$A$10,ROUND(_xlfn.XLOOKUP(AF$15,$D$10:$D$11,$C$10:$C$11,0,0)*$D24,2),IF($E24=$A$3,ROUND(_xlfn.XLOOKUP(AF$15,$D$3:$D$5,$C$3:$C$5,0,0)*$D24,2),IF($E24=$A$6,ROUND(_xlfn.XLOOKUP(AF$15,$D$6:$D$9,$C$6:$C$9,0,0)*$D24,2),""))))</f>
        <v/>
      </c>
      <c r="AG24" s="654"/>
      <c r="AH24" s="655"/>
      <c r="AI24" s="655"/>
      <c r="AJ24" s="655"/>
      <c r="AK24" s="656"/>
      <c r="AL24" s="654" t="str">
        <f>IF(OR(AND($E24=$A$6,$D$9=AL$15),AND($E24=$A$10,$D$11=AL$15),AND($E24=$A$3,$D$5=AL$15)),$D24-SUM($R24:AK24),IF($E24=$A$10,ROUND(_xlfn.XLOOKUP(AL$15,$D$10:$D$11,$C$10:$C$11,0,0)*$D24,2),IF($E24=$A$3,ROUND(_xlfn.XLOOKUP(AL$15,$D$3:$D$5,$C$3:$C$5,0,0)*$D24,2),IF($E24=$A$6,ROUND(_xlfn.XLOOKUP(AL$15,$D$6:$D$9,$C$6:$C$9,0,0)*$D24,2),""))))</f>
        <v/>
      </c>
      <c r="AM24" s="655" t="str">
        <f>IF(OR(AND($E24=$A$6,$D$9=AM$15),AND($E24=$A$10,$D$11=AM$15),AND($E24=$A$3,$D$5=AM$15)),$D24-SUM($R24:AL24),IF($E24=$A$10,ROUND(_xlfn.XLOOKUP(AM$15,$D$10:$D$11,$C$10:$C$11,0,0)*$D24,2),IF($E24=$A$3,ROUND(_xlfn.XLOOKUP(AM$15,$D$3:$D$5,$C$3:$C$5,0,0)*$D24,2),IF($E24=$A$6,ROUND(_xlfn.XLOOKUP(AM$15,$D$6:$D$9,$C$6:$C$9,0,0)*$D24,2),""))))</f>
        <v/>
      </c>
      <c r="AN24" s="656" t="str">
        <f>IF(OR(AND($E24=$A$6,$D$9=AN$15),AND($E24=$A$10,$D$11=AN$15),AND($E24=$A$3,$D$5=AN$15)),$D24-SUM($R24:AM24),IF($E24=$A$10,ROUND(_xlfn.XLOOKUP(AN$15,$D$10:$D$11,$C$10:$C$11,0,0)*$D24,2),IF($E24=$A$3,ROUND(_xlfn.XLOOKUP(AN$15,$D$3:$D$5,$C$3:$C$5,0,0)*$D24,2),IF($E24=$A$6,ROUND(_xlfn.XLOOKUP(AN$15,$D$6:$D$9,$C$6:$C$9,0,0)*$D24,2),""))))</f>
        <v/>
      </c>
      <c r="AO24" s="654"/>
      <c r="AP24" s="655"/>
      <c r="AQ24" s="656"/>
      <c r="AR24" s="655"/>
      <c r="AS24" s="654"/>
      <c r="AT24" s="656"/>
      <c r="AU24" s="657" t="str">
        <f>IF(OR(AND($E24=$A$6,$D$9=AU$15),AND($E24=$A$10,$D$11=AU$15),AND($E24=$A$3,$D$5=AU$15)),$D24-SUM($R24:AT24),IF($E24=$A$10,ROUND(_xlfn.XLOOKUP(AU$15,$D$10:$D$11,$C$10:$C$11,0,0)*$D24,2),IF($E24=$A$3,ROUND(_xlfn.XLOOKUP(AU$15,$D$3:$D$5,$C$3:$C$5,0,0)*$D24,2),IF($E24=$A$6,ROUND(_xlfn.XLOOKUP(AU$15,$D$6:$D$9,$C$6:$C$9,0,0)*$D24,2),""))))</f>
        <v/>
      </c>
      <c r="AV24" s="673" t="str">
        <f t="shared" si="15"/>
        <v/>
      </c>
    </row>
    <row r="25" spans="1:48" ht="15" x14ac:dyDescent="0.2">
      <c r="A25" s="567" t="s">
        <v>2681</v>
      </c>
      <c r="B25" s="566" t="s">
        <v>4702</v>
      </c>
      <c r="C25" s="565">
        <f t="shared" si="3"/>
        <v>5.6254606608791446E-2</v>
      </c>
      <c r="D25" s="564">
        <f>SUBTOTAL(9,D26:D28)</f>
        <v>1456160.34</v>
      </c>
      <c r="E25" s="563"/>
      <c r="F25" s="561"/>
      <c r="G25" s="562"/>
      <c r="H25" s="561"/>
      <c r="I25" s="562"/>
      <c r="J25" s="561"/>
      <c r="K25" s="562"/>
      <c r="L25" s="561"/>
      <c r="M25" s="562"/>
      <c r="N25" s="561"/>
      <c r="O25" s="562"/>
      <c r="P25" s="561"/>
      <c r="Q25" s="560"/>
      <c r="R25" s="640"/>
      <c r="S25" s="641"/>
      <c r="T25" s="640"/>
      <c r="U25" s="641"/>
      <c r="V25" s="640"/>
      <c r="W25" s="641"/>
      <c r="X25" s="640"/>
      <c r="Y25" s="641"/>
      <c r="Z25" s="640"/>
      <c r="AA25" s="641"/>
      <c r="AB25" s="640"/>
      <c r="AC25" s="641"/>
      <c r="AD25" s="640"/>
      <c r="AE25" s="641"/>
      <c r="AF25" s="640"/>
      <c r="AG25" s="641"/>
      <c r="AH25" s="640"/>
      <c r="AI25" s="641"/>
      <c r="AJ25" s="640"/>
      <c r="AK25" s="641"/>
      <c r="AL25" s="640"/>
      <c r="AM25" s="641"/>
      <c r="AN25" s="640"/>
      <c r="AO25" s="641"/>
      <c r="AP25" s="640"/>
      <c r="AQ25" s="641"/>
      <c r="AR25" s="640"/>
      <c r="AS25" s="641"/>
      <c r="AT25" s="640"/>
      <c r="AU25" s="642"/>
      <c r="AV25" s="673"/>
    </row>
    <row r="26" spans="1:48" ht="57" outlineLevel="1" x14ac:dyDescent="0.2">
      <c r="A26" s="559" t="s">
        <v>2683</v>
      </c>
      <c r="B26" s="587" t="s">
        <v>4703</v>
      </c>
      <c r="C26" s="557">
        <f t="shared" si="3"/>
        <v>3.6565494257082283E-2</v>
      </c>
      <c r="D26" s="556">
        <f>Produtos!$D19</f>
        <v>946504.22</v>
      </c>
      <c r="E26" s="580" t="s">
        <v>5296</v>
      </c>
      <c r="F26" s="577" t="s">
        <v>5295</v>
      </c>
      <c r="G26" s="577" t="s">
        <v>5295</v>
      </c>
      <c r="H26" s="577">
        <v>1</v>
      </c>
      <c r="I26" s="577"/>
      <c r="J26" s="577"/>
      <c r="K26" s="577"/>
      <c r="L26" s="577"/>
      <c r="M26" s="577"/>
      <c r="N26" s="577"/>
      <c r="O26" s="577"/>
      <c r="P26" s="577"/>
      <c r="Q26" s="577"/>
      <c r="R26" s="658">
        <f t="shared" ref="R26:R28" si="17">IF(F26=1,ROUND(_xlfn.XLOOKUP($E26,$A$2:$A$11,$C$2:$C$11,0,0)*F26*$D26,2),0)</f>
        <v>0</v>
      </c>
      <c r="S26" s="646">
        <f t="shared" ref="S26:S28" si="18">IF(G26=1,ROUND(_xlfn.XLOOKUP($E26,$A$2:$A$11,$C$2:$C$11,0,0)*G26*$D26,2),0)</f>
        <v>0</v>
      </c>
      <c r="T26" s="646">
        <f t="shared" ref="T26:T28" si="19">IF(H26=1,ROUND(_xlfn.XLOOKUP($E26,$A$2:$A$11,$C$2:$C$11,0,0)*H26*$D26,2),0)</f>
        <v>236626.06</v>
      </c>
      <c r="U26" s="646">
        <f t="shared" ref="U26:U28" si="20">IF(I26=1,ROUND(_xlfn.XLOOKUP($E26,$A$2:$A$11,$C$2:$C$11,0,0)*I26*$D26,2),0)</f>
        <v>0</v>
      </c>
      <c r="V26" s="646">
        <f t="shared" ref="V26:V28" si="21">IF(J26=1,ROUND(_xlfn.XLOOKUP($E26,$A$2:$A$11,$C$2:$C$11,0,0)*J26*$D26,2),0)</f>
        <v>0</v>
      </c>
      <c r="W26" s="646">
        <f t="shared" ref="W26:W28" si="22">IF(K26=1,ROUND(_xlfn.XLOOKUP($E26,$A$2:$A$11,$C$2:$C$11,0,0)*K26*$D26,2),0)</f>
        <v>0</v>
      </c>
      <c r="X26" s="646">
        <f t="shared" ref="X26:X28" si="23">IF(L26=1,ROUND(_xlfn.XLOOKUP($E26,$A$2:$A$11,$C$2:$C$11,0,0)*L26*$D26,2),0)</f>
        <v>0</v>
      </c>
      <c r="Y26" s="646">
        <f t="shared" ref="Y26:Y28" si="24">IF(M26=1,ROUND(_xlfn.XLOOKUP($E26,$A$2:$A$11,$C$2:$C$11,0,0)*M26*$D26,2),0)</f>
        <v>0</v>
      </c>
      <c r="Z26" s="646">
        <f t="shared" ref="Z26:Z28" si="25">IF(N26=1,ROUND(_xlfn.XLOOKUP($E26,$A$2:$A$11,$C$2:$C$11,0,0)*N26*$D26,2),0)</f>
        <v>0</v>
      </c>
      <c r="AA26" s="646">
        <f t="shared" ref="AA26:AA28" si="26">IF(O26=1,ROUND(_xlfn.XLOOKUP($E26,$A$2:$A$11,$C$2:$C$11,0,0)*O26*$D26,2),0)</f>
        <v>0</v>
      </c>
      <c r="AB26" s="646">
        <f t="shared" ref="AB26:AB28" si="27">IF(P26=1,ROUND(_xlfn.XLOOKUP($E26,$A$2:$A$11,$C$2:$C$11,0,0)*P26*$D26,2),0)</f>
        <v>0</v>
      </c>
      <c r="AC26" s="646">
        <f t="shared" ref="AC26:AC28" si="28">IF(Q26=1,ROUND(_xlfn.XLOOKUP($E26,$A$2:$A$11,$C$2:$C$11,0,0)*Q26*$D26,2),0)</f>
        <v>0</v>
      </c>
      <c r="AD26" s="645">
        <f>IF(OR(AND($E26=$A$6,$D$9=AD$15),AND($E26=$A$10,$D$11=AD$15),AND($E26=$A$3,$D$5=AD$15)),$D26-SUM($R26:AC26),IF($E26=$A$10,ROUND(_xlfn.XLOOKUP(AD$15,$D$10:$D$11,$C$10:$C$11,0,0)*$D26,2),IF($E26=$A$3,ROUND(_xlfn.XLOOKUP(AD$15,$D$3:$D$5,$C$3:$C$5,0,0)*$D26,2),IF($E26=$A$6,ROUND(_xlfn.XLOOKUP(AD$15,$D$6:$D$9,$C$6:$C$9,0,0)*$D26,2),""))))</f>
        <v>0</v>
      </c>
      <c r="AE26" s="646">
        <f>IF(OR(AND($E26=$A$6,$D$9=AE$15),AND($E26=$A$10,$D$11=AE$15),AND($E26=$A$3,$D$5=AE$15)),$D26-SUM($R26:AD26),IF($E26=$A$10,ROUND(_xlfn.XLOOKUP(AE$15,$D$10:$D$11,$C$10:$C$11,0,0)*$D26,2),IF($E26=$A$3,ROUND(_xlfn.XLOOKUP(AE$15,$D$3:$D$5,$C$3:$C$5,0,0)*$D26,2),IF($E26=$A$6,ROUND(_xlfn.XLOOKUP(AE$15,$D$6:$D$9,$C$6:$C$9,0,0)*$D26,2),""))))</f>
        <v>0</v>
      </c>
      <c r="AF26" s="647">
        <f>IF(OR(AND($E26=$A$6,$D$9=AF$15),AND($E26=$A$10,$D$11=AF$15),AND($E26=$A$3,$D$5=AF$15)),$D26-SUM($R26:AE26),IF($E26=$A$10,ROUND(_xlfn.XLOOKUP(AF$15,$D$10:$D$11,$C$10:$C$11,0,0)*$D26,2),IF($E26=$A$3,ROUND(_xlfn.XLOOKUP(AF$15,$D$3:$D$5,$C$3:$C$5,0,0)*$D26,2),IF($E26=$A$6,ROUND(_xlfn.XLOOKUP(AF$15,$D$6:$D$9,$C$6:$C$9,0,0)*$D26,2),""))))</f>
        <v>236626.06</v>
      </c>
      <c r="AG26" s="645"/>
      <c r="AH26" s="646"/>
      <c r="AI26" s="646"/>
      <c r="AJ26" s="646"/>
      <c r="AK26" s="647"/>
      <c r="AL26" s="645">
        <f>IF(OR(AND($E26=$A$6,$D$9=AL$15),AND($E26=$A$10,$D$11=AL$15),AND($E26=$A$3,$D$5=AL$15)),$D26-SUM($R26:AK26),IF($E26=$A$10,ROUND(_xlfn.XLOOKUP(AL$15,$D$10:$D$11,$C$10:$C$11,0,0)*$D26,2),IF($E26=$A$3,ROUND(_xlfn.XLOOKUP(AL$15,$D$3:$D$5,$C$3:$C$5,0,0)*$D26,2),IF($E26=$A$6,ROUND(_xlfn.XLOOKUP(AL$15,$D$6:$D$9,$C$6:$C$9,0,0)*$D26,2),""))))</f>
        <v>0</v>
      </c>
      <c r="AM26" s="646">
        <f>IF(OR(AND($E26=$A$6,$D$9=AM$15),AND($E26=$A$10,$D$11=AM$15),AND($E26=$A$3,$D$5=AM$15)),$D26-SUM($R26:AL26),IF($E26=$A$10,ROUND(_xlfn.XLOOKUP(AM$15,$D$10:$D$11,$C$10:$C$11,0,0)*$D26,2),IF($E26=$A$3,ROUND(_xlfn.XLOOKUP(AM$15,$D$3:$D$5,$C$3:$C$5,0,0)*$D26,2),IF($E26=$A$6,ROUND(_xlfn.XLOOKUP(AM$15,$D$6:$D$9,$C$6:$C$9,0,0)*$D26,2),""))))</f>
        <v>0</v>
      </c>
      <c r="AN26" s="647">
        <f>IF(OR(AND($E26=$A$6,$D$9=AN$15),AND($E26=$A$10,$D$11=AN$15),AND($E26=$A$3,$D$5=AN$15)),$D26-SUM($R26:AM26),IF($E26=$A$10,ROUND(_xlfn.XLOOKUP(AN$15,$D$10:$D$11,$C$10:$C$11,0,0)*$D26,2),IF($E26=$A$3,ROUND(_xlfn.XLOOKUP(AN$15,$D$3:$D$5,$C$3:$C$5,0,0)*$D26,2),IF($E26=$A$6,ROUND(_xlfn.XLOOKUP(AN$15,$D$6:$D$9,$C$6:$C$9,0,0)*$D26,2),""))))</f>
        <v>236626.06</v>
      </c>
      <c r="AO26" s="645"/>
      <c r="AP26" s="646"/>
      <c r="AQ26" s="647"/>
      <c r="AR26" s="646"/>
      <c r="AS26" s="645"/>
      <c r="AT26" s="647"/>
      <c r="AU26" s="648">
        <f>IF(OR(AND($E26=$A$6,$D$9=AU$15),AND($E26=$A$10,$D$11=AU$15),AND($E26=$A$3,$D$5=AU$15)),$D26-SUM($R26:AT26),IF($E26=$A$10,ROUND(_xlfn.XLOOKUP(AU$15,$D$10:$D$11,$C$10:$C$11,0,0)*$D26,2),IF($E26=$A$3,ROUND(_xlfn.XLOOKUP(AU$15,$D$3:$D$5,$C$3:$C$5,0,0)*$D26,2),IF($E26=$A$6,ROUND(_xlfn.XLOOKUP(AU$15,$D$6:$D$9,$C$6:$C$9,0,0)*$D26,2),""))))</f>
        <v>236626.04000000004</v>
      </c>
      <c r="AV26" s="673" t="str">
        <f>IF(SUM(R26:AU26)=D26,"","CORRIGIR")</f>
        <v/>
      </c>
    </row>
    <row r="27" spans="1:48" ht="71.25" outlineLevel="1" x14ac:dyDescent="0.2">
      <c r="A27" s="559" t="s">
        <v>2684</v>
      </c>
      <c r="B27" s="587" t="s">
        <v>4704</v>
      </c>
      <c r="C27" s="557">
        <f t="shared" si="3"/>
        <v>9.8445561758545783E-3</v>
      </c>
      <c r="D27" s="556">
        <f>Produtos!$D20</f>
        <v>254828.06</v>
      </c>
      <c r="E27" s="580" t="s">
        <v>5296</v>
      </c>
      <c r="F27" s="577" t="s">
        <v>5295</v>
      </c>
      <c r="G27" s="577" t="s">
        <v>5295</v>
      </c>
      <c r="H27" s="577">
        <v>1</v>
      </c>
      <c r="I27" s="577"/>
      <c r="J27" s="577"/>
      <c r="K27" s="577"/>
      <c r="L27" s="577"/>
      <c r="M27" s="577"/>
      <c r="N27" s="577"/>
      <c r="O27" s="577"/>
      <c r="P27" s="577"/>
      <c r="Q27" s="577"/>
      <c r="R27" s="658">
        <f t="shared" si="17"/>
        <v>0</v>
      </c>
      <c r="S27" s="646">
        <f t="shared" si="18"/>
        <v>0</v>
      </c>
      <c r="T27" s="646">
        <f t="shared" si="19"/>
        <v>63707.02</v>
      </c>
      <c r="U27" s="646">
        <f t="shared" si="20"/>
        <v>0</v>
      </c>
      <c r="V27" s="646">
        <f t="shared" si="21"/>
        <v>0</v>
      </c>
      <c r="W27" s="646">
        <f t="shared" si="22"/>
        <v>0</v>
      </c>
      <c r="X27" s="646">
        <f t="shared" si="23"/>
        <v>0</v>
      </c>
      <c r="Y27" s="646">
        <f t="shared" si="24"/>
        <v>0</v>
      </c>
      <c r="Z27" s="646">
        <f t="shared" si="25"/>
        <v>0</v>
      </c>
      <c r="AA27" s="646">
        <f t="shared" si="26"/>
        <v>0</v>
      </c>
      <c r="AB27" s="646">
        <f t="shared" si="27"/>
        <v>0</v>
      </c>
      <c r="AC27" s="646">
        <f t="shared" si="28"/>
        <v>0</v>
      </c>
      <c r="AD27" s="645">
        <f>IF(OR(AND($E27=$A$6,$D$9=AD$15),AND($E27=$A$10,$D$11=AD$15),AND($E27=$A$3,$D$5=AD$15)),$D27-SUM($R27:AC27),IF($E27=$A$10,ROUND(_xlfn.XLOOKUP(AD$15,$D$10:$D$11,$C$10:$C$11,0,0)*$D27,2),IF($E27=$A$3,ROUND(_xlfn.XLOOKUP(AD$15,$D$3:$D$5,$C$3:$C$5,0,0)*$D27,2),IF($E27=$A$6,ROUND(_xlfn.XLOOKUP(AD$15,$D$6:$D$9,$C$6:$C$9,0,0)*$D27,2),""))))</f>
        <v>0</v>
      </c>
      <c r="AE27" s="646">
        <f>IF(OR(AND($E27=$A$6,$D$9=AE$15),AND($E27=$A$10,$D$11=AE$15),AND($E27=$A$3,$D$5=AE$15)),$D27-SUM($R27:AD27),IF($E27=$A$10,ROUND(_xlfn.XLOOKUP(AE$15,$D$10:$D$11,$C$10:$C$11,0,0)*$D27,2),IF($E27=$A$3,ROUND(_xlfn.XLOOKUP(AE$15,$D$3:$D$5,$C$3:$C$5,0,0)*$D27,2),IF($E27=$A$6,ROUND(_xlfn.XLOOKUP(AE$15,$D$6:$D$9,$C$6:$C$9,0,0)*$D27,2),""))))</f>
        <v>0</v>
      </c>
      <c r="AF27" s="647">
        <f>IF(OR(AND($E27=$A$6,$D$9=AF$15),AND($E27=$A$10,$D$11=AF$15),AND($E27=$A$3,$D$5=AF$15)),$D27-SUM($R27:AE27),IF($E27=$A$10,ROUND(_xlfn.XLOOKUP(AF$15,$D$10:$D$11,$C$10:$C$11,0,0)*$D27,2),IF($E27=$A$3,ROUND(_xlfn.XLOOKUP(AF$15,$D$3:$D$5,$C$3:$C$5,0,0)*$D27,2),IF($E27=$A$6,ROUND(_xlfn.XLOOKUP(AF$15,$D$6:$D$9,$C$6:$C$9,0,0)*$D27,2),""))))</f>
        <v>63707.02</v>
      </c>
      <c r="AG27" s="645"/>
      <c r="AH27" s="646"/>
      <c r="AI27" s="646"/>
      <c r="AJ27" s="646"/>
      <c r="AK27" s="647"/>
      <c r="AL27" s="645">
        <f>IF(OR(AND($E27=$A$6,$D$9=AL$15),AND($E27=$A$10,$D$11=AL$15),AND($E27=$A$3,$D$5=AL$15)),$D27-SUM($R27:AK27),IF($E27=$A$10,ROUND(_xlfn.XLOOKUP(AL$15,$D$10:$D$11,$C$10:$C$11,0,0)*$D27,2),IF($E27=$A$3,ROUND(_xlfn.XLOOKUP(AL$15,$D$3:$D$5,$C$3:$C$5,0,0)*$D27,2),IF($E27=$A$6,ROUND(_xlfn.XLOOKUP(AL$15,$D$6:$D$9,$C$6:$C$9,0,0)*$D27,2),""))))</f>
        <v>0</v>
      </c>
      <c r="AM27" s="646">
        <f>IF(OR(AND($E27=$A$6,$D$9=AM$15),AND($E27=$A$10,$D$11=AM$15),AND($E27=$A$3,$D$5=AM$15)),$D27-SUM($R27:AL27),IF($E27=$A$10,ROUND(_xlfn.XLOOKUP(AM$15,$D$10:$D$11,$C$10:$C$11,0,0)*$D27,2),IF($E27=$A$3,ROUND(_xlfn.XLOOKUP(AM$15,$D$3:$D$5,$C$3:$C$5,0,0)*$D27,2),IF($E27=$A$6,ROUND(_xlfn.XLOOKUP(AM$15,$D$6:$D$9,$C$6:$C$9,0,0)*$D27,2),""))))</f>
        <v>0</v>
      </c>
      <c r="AN27" s="647">
        <f>IF(OR(AND($E27=$A$6,$D$9=AN$15),AND($E27=$A$10,$D$11=AN$15),AND($E27=$A$3,$D$5=AN$15)),$D27-SUM($R27:AM27),IF($E27=$A$10,ROUND(_xlfn.XLOOKUP(AN$15,$D$10:$D$11,$C$10:$C$11,0,0)*$D27,2),IF($E27=$A$3,ROUND(_xlfn.XLOOKUP(AN$15,$D$3:$D$5,$C$3:$C$5,0,0)*$D27,2),IF($E27=$A$6,ROUND(_xlfn.XLOOKUP(AN$15,$D$6:$D$9,$C$6:$C$9,0,0)*$D27,2),""))))</f>
        <v>63707.02</v>
      </c>
      <c r="AO27" s="645"/>
      <c r="AP27" s="646"/>
      <c r="AQ27" s="647"/>
      <c r="AR27" s="646"/>
      <c r="AS27" s="645"/>
      <c r="AT27" s="647"/>
      <c r="AU27" s="648">
        <f>IF(OR(AND($E27=$A$6,$D$9=AU$15),AND($E27=$A$10,$D$11=AU$15),AND($E27=$A$3,$D$5=AU$15)),$D27-SUM($R27:AT27),IF($E27=$A$10,ROUND(_xlfn.XLOOKUP(AU$15,$D$10:$D$11,$C$10:$C$11,0,0)*$D27,2),IF($E27=$A$3,ROUND(_xlfn.XLOOKUP(AU$15,$D$3:$D$5,$C$3:$C$5,0,0)*$D27,2),IF($E27=$A$6,ROUND(_xlfn.XLOOKUP(AU$15,$D$6:$D$9,$C$6:$C$9,0,0)*$D27,2),""))))</f>
        <v>63707</v>
      </c>
      <c r="AV27" s="673" t="str">
        <f>IF(SUM(R27:AU27)=D27,"","CORRIGIR")</f>
        <v/>
      </c>
    </row>
    <row r="28" spans="1:48" ht="57" outlineLevel="1" x14ac:dyDescent="0.2">
      <c r="A28" s="559" t="s">
        <v>5379</v>
      </c>
      <c r="B28" s="587" t="s">
        <v>4705</v>
      </c>
      <c r="C28" s="557">
        <f t="shared" si="3"/>
        <v>9.8445561758545783E-3</v>
      </c>
      <c r="D28" s="556">
        <f>Produtos!$D21</f>
        <v>254828.06</v>
      </c>
      <c r="E28" s="580" t="s">
        <v>5296</v>
      </c>
      <c r="F28" s="577" t="s">
        <v>5295</v>
      </c>
      <c r="G28" s="577" t="s">
        <v>5295</v>
      </c>
      <c r="H28" s="577">
        <v>1</v>
      </c>
      <c r="I28" s="577"/>
      <c r="J28" s="577"/>
      <c r="K28" s="577"/>
      <c r="L28" s="577"/>
      <c r="M28" s="577"/>
      <c r="N28" s="577"/>
      <c r="O28" s="577"/>
      <c r="P28" s="577"/>
      <c r="Q28" s="577"/>
      <c r="R28" s="658">
        <f t="shared" si="17"/>
        <v>0</v>
      </c>
      <c r="S28" s="646">
        <f t="shared" si="18"/>
        <v>0</v>
      </c>
      <c r="T28" s="646">
        <f t="shared" si="19"/>
        <v>63707.02</v>
      </c>
      <c r="U28" s="646">
        <f t="shared" si="20"/>
        <v>0</v>
      </c>
      <c r="V28" s="646">
        <f t="shared" si="21"/>
        <v>0</v>
      </c>
      <c r="W28" s="646">
        <f t="shared" si="22"/>
        <v>0</v>
      </c>
      <c r="X28" s="646">
        <f t="shared" si="23"/>
        <v>0</v>
      </c>
      <c r="Y28" s="646">
        <f t="shared" si="24"/>
        <v>0</v>
      </c>
      <c r="Z28" s="646">
        <f t="shared" si="25"/>
        <v>0</v>
      </c>
      <c r="AA28" s="646">
        <f t="shared" si="26"/>
        <v>0</v>
      </c>
      <c r="AB28" s="646">
        <f t="shared" si="27"/>
        <v>0</v>
      </c>
      <c r="AC28" s="646">
        <f t="shared" si="28"/>
        <v>0</v>
      </c>
      <c r="AD28" s="645">
        <f>IF(OR(AND($E28=$A$6,$D$9=AD$15),AND($E28=$A$10,$D$11=AD$15),AND($E28=$A$3,$D$5=AD$15)),$D28-SUM($R28:AC28),IF($E28=$A$10,ROUND(_xlfn.XLOOKUP(AD$15,$D$10:$D$11,$C$10:$C$11,0,0)*$D28,2),IF($E28=$A$3,ROUND(_xlfn.XLOOKUP(AD$15,$D$3:$D$5,$C$3:$C$5,0,0)*$D28,2),IF($E28=$A$6,ROUND(_xlfn.XLOOKUP(AD$15,$D$6:$D$9,$C$6:$C$9,0,0)*$D28,2),""))))</f>
        <v>0</v>
      </c>
      <c r="AE28" s="646">
        <f>IF(OR(AND($E28=$A$6,$D$9=AE$15),AND($E28=$A$10,$D$11=AE$15),AND($E28=$A$3,$D$5=AE$15)),$D28-SUM($R28:AD28),IF($E28=$A$10,ROUND(_xlfn.XLOOKUP(AE$15,$D$10:$D$11,$C$10:$C$11,0,0)*$D28,2),IF($E28=$A$3,ROUND(_xlfn.XLOOKUP(AE$15,$D$3:$D$5,$C$3:$C$5,0,0)*$D28,2),IF($E28=$A$6,ROUND(_xlfn.XLOOKUP(AE$15,$D$6:$D$9,$C$6:$C$9,0,0)*$D28,2),""))))</f>
        <v>0</v>
      </c>
      <c r="AF28" s="647">
        <f>IF(OR(AND($E28=$A$6,$D$9=AF$15),AND($E28=$A$10,$D$11=AF$15),AND($E28=$A$3,$D$5=AF$15)),$D28-SUM($R28:AE28),IF($E28=$A$10,ROUND(_xlfn.XLOOKUP(AF$15,$D$10:$D$11,$C$10:$C$11,0,0)*$D28,2),IF($E28=$A$3,ROUND(_xlfn.XLOOKUP(AF$15,$D$3:$D$5,$C$3:$C$5,0,0)*$D28,2),IF($E28=$A$6,ROUND(_xlfn.XLOOKUP(AF$15,$D$6:$D$9,$C$6:$C$9,0,0)*$D28,2),""))))</f>
        <v>63707.02</v>
      </c>
      <c r="AG28" s="645"/>
      <c r="AH28" s="646"/>
      <c r="AI28" s="646"/>
      <c r="AJ28" s="646"/>
      <c r="AK28" s="647"/>
      <c r="AL28" s="645">
        <f>IF(OR(AND($E28=$A$6,$D$9=AL$15),AND($E28=$A$10,$D$11=AL$15),AND($E28=$A$3,$D$5=AL$15)),$D28-SUM($R28:AK28),IF($E28=$A$10,ROUND(_xlfn.XLOOKUP(AL$15,$D$10:$D$11,$C$10:$C$11,0,0)*$D28,2),IF($E28=$A$3,ROUND(_xlfn.XLOOKUP(AL$15,$D$3:$D$5,$C$3:$C$5,0,0)*$D28,2),IF($E28=$A$6,ROUND(_xlfn.XLOOKUP(AL$15,$D$6:$D$9,$C$6:$C$9,0,0)*$D28,2),""))))</f>
        <v>0</v>
      </c>
      <c r="AM28" s="646">
        <f>IF(OR(AND($E28=$A$6,$D$9=AM$15),AND($E28=$A$10,$D$11=AM$15),AND($E28=$A$3,$D$5=AM$15)),$D28-SUM($R28:AL28),IF($E28=$A$10,ROUND(_xlfn.XLOOKUP(AM$15,$D$10:$D$11,$C$10:$C$11,0,0)*$D28,2),IF($E28=$A$3,ROUND(_xlfn.XLOOKUP(AM$15,$D$3:$D$5,$C$3:$C$5,0,0)*$D28,2),IF($E28=$A$6,ROUND(_xlfn.XLOOKUP(AM$15,$D$6:$D$9,$C$6:$C$9,0,0)*$D28,2),""))))</f>
        <v>0</v>
      </c>
      <c r="AN28" s="647">
        <f>IF(OR(AND($E28=$A$6,$D$9=AN$15),AND($E28=$A$10,$D$11=AN$15),AND($E28=$A$3,$D$5=AN$15)),$D28-SUM($R28:AM28),IF($E28=$A$10,ROUND(_xlfn.XLOOKUP(AN$15,$D$10:$D$11,$C$10:$C$11,0,0)*$D28,2),IF($E28=$A$3,ROUND(_xlfn.XLOOKUP(AN$15,$D$3:$D$5,$C$3:$C$5,0,0)*$D28,2),IF($E28=$A$6,ROUND(_xlfn.XLOOKUP(AN$15,$D$6:$D$9,$C$6:$C$9,0,0)*$D28,2),""))))</f>
        <v>63707.02</v>
      </c>
      <c r="AO28" s="645"/>
      <c r="AP28" s="646"/>
      <c r="AQ28" s="647"/>
      <c r="AR28" s="646"/>
      <c r="AS28" s="645"/>
      <c r="AT28" s="647"/>
      <c r="AU28" s="648">
        <f>IF(OR(AND($E28=$A$6,$D$9=AU$15),AND($E28=$A$10,$D$11=AU$15),AND($E28=$A$3,$D$5=AU$15)),$D28-SUM($R28:AT28),IF($E28=$A$10,ROUND(_xlfn.XLOOKUP(AU$15,$D$10:$D$11,$C$10:$C$11,0,0)*$D28,2),IF($E28=$A$3,ROUND(_xlfn.XLOOKUP(AU$15,$D$3:$D$5,$C$3:$C$5,0,0)*$D28,2),IF($E28=$A$6,ROUND(_xlfn.XLOOKUP(AU$15,$D$6:$D$9,$C$6:$C$9,0,0)*$D28,2),""))))</f>
        <v>63707</v>
      </c>
      <c r="AV28" s="673" t="str">
        <f>IF(SUM(R28:AU28)=D28,"","CORRIGIR")</f>
        <v/>
      </c>
    </row>
    <row r="29" spans="1:48" ht="15" x14ac:dyDescent="0.2">
      <c r="A29" s="567" t="s">
        <v>2685</v>
      </c>
      <c r="B29" s="566" t="s">
        <v>4706</v>
      </c>
      <c r="C29" s="565">
        <f t="shared" si="3"/>
        <v>2.7553277053247782E-2</v>
      </c>
      <c r="D29" s="564">
        <f>SUBTOTAL(9,D30:D32)</f>
        <v>713221.4</v>
      </c>
      <c r="E29" s="563"/>
      <c r="F29" s="561"/>
      <c r="G29" s="562"/>
      <c r="H29" s="561"/>
      <c r="I29" s="562"/>
      <c r="J29" s="561"/>
      <c r="K29" s="562"/>
      <c r="L29" s="561"/>
      <c r="M29" s="562"/>
      <c r="N29" s="561"/>
      <c r="O29" s="562"/>
      <c r="P29" s="561"/>
      <c r="Q29" s="560"/>
      <c r="R29" s="640"/>
      <c r="S29" s="641"/>
      <c r="T29" s="640"/>
      <c r="U29" s="641"/>
      <c r="V29" s="640"/>
      <c r="W29" s="641"/>
      <c r="X29" s="640"/>
      <c r="Y29" s="641"/>
      <c r="Z29" s="640"/>
      <c r="AA29" s="641"/>
      <c r="AB29" s="640"/>
      <c r="AC29" s="641"/>
      <c r="AD29" s="640"/>
      <c r="AE29" s="641"/>
      <c r="AF29" s="640"/>
      <c r="AG29" s="641"/>
      <c r="AH29" s="640"/>
      <c r="AI29" s="641"/>
      <c r="AJ29" s="640"/>
      <c r="AK29" s="641"/>
      <c r="AL29" s="640"/>
      <c r="AM29" s="641"/>
      <c r="AN29" s="640"/>
      <c r="AO29" s="641"/>
      <c r="AP29" s="640"/>
      <c r="AQ29" s="641"/>
      <c r="AR29" s="640"/>
      <c r="AS29" s="641"/>
      <c r="AT29" s="640"/>
      <c r="AU29" s="642"/>
      <c r="AV29" s="673"/>
    </row>
    <row r="30" spans="1:48" ht="28.5" outlineLevel="1" x14ac:dyDescent="0.2">
      <c r="A30" s="559" t="s">
        <v>2687</v>
      </c>
      <c r="B30" s="587" t="s">
        <v>4707</v>
      </c>
      <c r="C30" s="557">
        <f t="shared" si="3"/>
        <v>1.2398974673961501E-2</v>
      </c>
      <c r="D30" s="556">
        <f>Produtos!$D23</f>
        <v>320949.63</v>
      </c>
      <c r="E30" s="580" t="s">
        <v>5296</v>
      </c>
      <c r="F30" s="577"/>
      <c r="G30" s="577"/>
      <c r="H30" s="577" t="s">
        <v>5295</v>
      </c>
      <c r="I30" s="577">
        <v>1</v>
      </c>
      <c r="J30" s="577"/>
      <c r="K30" s="577"/>
      <c r="L30" s="577"/>
      <c r="M30" s="577"/>
      <c r="N30" s="577"/>
      <c r="O30" s="577"/>
      <c r="P30" s="577"/>
      <c r="Q30" s="577"/>
      <c r="R30" s="658">
        <f t="shared" ref="R30:R32" si="29">IF(F30=1,ROUND(_xlfn.XLOOKUP($E30,$A$2:$A$11,$C$2:$C$11,0,0)*F30*$D30,2),0)</f>
        <v>0</v>
      </c>
      <c r="S30" s="646">
        <f t="shared" ref="S30:S32" si="30">IF(G30=1,ROUND(_xlfn.XLOOKUP($E30,$A$2:$A$11,$C$2:$C$11,0,0)*G30*$D30,2),0)</f>
        <v>0</v>
      </c>
      <c r="T30" s="646">
        <f t="shared" ref="T30:T32" si="31">IF(H30=1,ROUND(_xlfn.XLOOKUP($E30,$A$2:$A$11,$C$2:$C$11,0,0)*H30*$D30,2),0)</f>
        <v>0</v>
      </c>
      <c r="U30" s="646">
        <f t="shared" ref="U30:U32" si="32">IF(I30=1,ROUND(_xlfn.XLOOKUP($E30,$A$2:$A$11,$C$2:$C$11,0,0)*I30*$D30,2),0)</f>
        <v>80237.41</v>
      </c>
      <c r="V30" s="646">
        <f t="shared" ref="V30:V32" si="33">IF(J30=1,ROUND(_xlfn.XLOOKUP($E30,$A$2:$A$11,$C$2:$C$11,0,0)*J30*$D30,2),0)</f>
        <v>0</v>
      </c>
      <c r="W30" s="646">
        <f t="shared" ref="W30:W32" si="34">IF(K30=1,ROUND(_xlfn.XLOOKUP($E30,$A$2:$A$11,$C$2:$C$11,0,0)*K30*$D30,2),0)</f>
        <v>0</v>
      </c>
      <c r="X30" s="646">
        <f t="shared" ref="X30:X32" si="35">IF(L30=1,ROUND(_xlfn.XLOOKUP($E30,$A$2:$A$11,$C$2:$C$11,0,0)*L30*$D30,2),0)</f>
        <v>0</v>
      </c>
      <c r="Y30" s="646">
        <f t="shared" ref="Y30:Y32" si="36">IF(M30=1,ROUND(_xlfn.XLOOKUP($E30,$A$2:$A$11,$C$2:$C$11,0,0)*M30*$D30,2),0)</f>
        <v>0</v>
      </c>
      <c r="Z30" s="646">
        <f t="shared" ref="Z30:Z32" si="37">IF(N30=1,ROUND(_xlfn.XLOOKUP($E30,$A$2:$A$11,$C$2:$C$11,0,0)*N30*$D30,2),0)</f>
        <v>0</v>
      </c>
      <c r="AA30" s="646">
        <f t="shared" ref="AA30:AA32" si="38">IF(O30=1,ROUND(_xlfn.XLOOKUP($E30,$A$2:$A$11,$C$2:$C$11,0,0)*O30*$D30,2),0)</f>
        <v>0</v>
      </c>
      <c r="AB30" s="646">
        <f t="shared" ref="AB30:AB32" si="39">IF(P30=1,ROUND(_xlfn.XLOOKUP($E30,$A$2:$A$11,$C$2:$C$11,0,0)*P30*$D30,2),0)</f>
        <v>0</v>
      </c>
      <c r="AC30" s="646">
        <f t="shared" ref="AC30:AC32" si="40">IF(Q30=1,ROUND(_xlfn.XLOOKUP($E30,$A$2:$A$11,$C$2:$C$11,0,0)*Q30*$D30,2),0)</f>
        <v>0</v>
      </c>
      <c r="AD30" s="645">
        <f>IF(OR(AND($E30=$A$6,$D$9=AD$15),AND($E30=$A$10,$D$11=AD$15),AND($E30=$A$3,$D$5=AD$15)),$D30-SUM($R30:AC30),IF($E30=$A$10,ROUND(_xlfn.XLOOKUP(AD$15,$D$10:$D$11,$C$10:$C$11,0,0)*$D30,2),IF($E30=$A$3,ROUND(_xlfn.XLOOKUP(AD$15,$D$3:$D$5,$C$3:$C$5,0,0)*$D30,2),IF($E30=$A$6,ROUND(_xlfn.XLOOKUP(AD$15,$D$6:$D$9,$C$6:$C$9,0,0)*$D30,2),""))))</f>
        <v>0</v>
      </c>
      <c r="AE30" s="646">
        <f>IF(OR(AND($E30=$A$6,$D$9=AE$15),AND($E30=$A$10,$D$11=AE$15),AND($E30=$A$3,$D$5=AE$15)),$D30-SUM($R30:AD30),IF($E30=$A$10,ROUND(_xlfn.XLOOKUP(AE$15,$D$10:$D$11,$C$10:$C$11,0,0)*$D30,2),IF($E30=$A$3,ROUND(_xlfn.XLOOKUP(AE$15,$D$3:$D$5,$C$3:$C$5,0,0)*$D30,2),IF($E30=$A$6,ROUND(_xlfn.XLOOKUP(AE$15,$D$6:$D$9,$C$6:$C$9,0,0)*$D30,2),""))))</f>
        <v>0</v>
      </c>
      <c r="AF30" s="647">
        <f>IF(OR(AND($E30=$A$6,$D$9=AF$15),AND($E30=$A$10,$D$11=AF$15),AND($E30=$A$3,$D$5=AF$15)),$D30-SUM($R30:AE30),IF($E30=$A$10,ROUND(_xlfn.XLOOKUP(AF$15,$D$10:$D$11,$C$10:$C$11,0,0)*$D30,2),IF($E30=$A$3,ROUND(_xlfn.XLOOKUP(AF$15,$D$3:$D$5,$C$3:$C$5,0,0)*$D30,2),IF($E30=$A$6,ROUND(_xlfn.XLOOKUP(AF$15,$D$6:$D$9,$C$6:$C$9,0,0)*$D30,2),""))))</f>
        <v>80237.41</v>
      </c>
      <c r="AG30" s="645"/>
      <c r="AH30" s="646"/>
      <c r="AI30" s="646"/>
      <c r="AJ30" s="646"/>
      <c r="AK30" s="647"/>
      <c r="AL30" s="645">
        <f>IF(OR(AND($E30=$A$6,$D$9=AL$15),AND($E30=$A$10,$D$11=AL$15),AND($E30=$A$3,$D$5=AL$15)),$D30-SUM($R30:AK30),IF($E30=$A$10,ROUND(_xlfn.XLOOKUP(AL$15,$D$10:$D$11,$C$10:$C$11,0,0)*$D30,2),IF($E30=$A$3,ROUND(_xlfn.XLOOKUP(AL$15,$D$3:$D$5,$C$3:$C$5,0,0)*$D30,2),IF($E30=$A$6,ROUND(_xlfn.XLOOKUP(AL$15,$D$6:$D$9,$C$6:$C$9,0,0)*$D30,2),""))))</f>
        <v>0</v>
      </c>
      <c r="AM30" s="646">
        <f>IF(OR(AND($E30=$A$6,$D$9=AM$15),AND($E30=$A$10,$D$11=AM$15),AND($E30=$A$3,$D$5=AM$15)),$D30-SUM($R30:AL30),IF($E30=$A$10,ROUND(_xlfn.XLOOKUP(AM$15,$D$10:$D$11,$C$10:$C$11,0,0)*$D30,2),IF($E30=$A$3,ROUND(_xlfn.XLOOKUP(AM$15,$D$3:$D$5,$C$3:$C$5,0,0)*$D30,2),IF($E30=$A$6,ROUND(_xlfn.XLOOKUP(AM$15,$D$6:$D$9,$C$6:$C$9,0,0)*$D30,2),""))))</f>
        <v>0</v>
      </c>
      <c r="AN30" s="647">
        <f>IF(OR(AND($E30=$A$6,$D$9=AN$15),AND($E30=$A$10,$D$11=AN$15),AND($E30=$A$3,$D$5=AN$15)),$D30-SUM($R30:AM30),IF($E30=$A$10,ROUND(_xlfn.XLOOKUP(AN$15,$D$10:$D$11,$C$10:$C$11,0,0)*$D30,2),IF($E30=$A$3,ROUND(_xlfn.XLOOKUP(AN$15,$D$3:$D$5,$C$3:$C$5,0,0)*$D30,2),IF($E30=$A$6,ROUND(_xlfn.XLOOKUP(AN$15,$D$6:$D$9,$C$6:$C$9,0,0)*$D30,2),""))))</f>
        <v>80237.41</v>
      </c>
      <c r="AO30" s="645"/>
      <c r="AP30" s="646"/>
      <c r="AQ30" s="647"/>
      <c r="AR30" s="646"/>
      <c r="AS30" s="645"/>
      <c r="AT30" s="647"/>
      <c r="AU30" s="648">
        <f>IF(OR(AND($E30=$A$6,$D$9=AU$15),AND($E30=$A$10,$D$11=AU$15),AND($E30=$A$3,$D$5=AU$15)),$D30-SUM($R30:AT30),IF($E30=$A$10,ROUND(_xlfn.XLOOKUP(AU$15,$D$10:$D$11,$C$10:$C$11,0,0)*$D30,2),IF($E30=$A$3,ROUND(_xlfn.XLOOKUP(AU$15,$D$3:$D$5,$C$3:$C$5,0,0)*$D30,2),IF($E30=$A$6,ROUND(_xlfn.XLOOKUP(AU$15,$D$6:$D$9,$C$6:$C$9,0,0)*$D30,2),""))))</f>
        <v>80237.399999999994</v>
      </c>
      <c r="AV30" s="673" t="str">
        <f>IF(SUM(R30:AU30)=D30,"","CORRIGIR")</f>
        <v/>
      </c>
    </row>
    <row r="31" spans="1:48" ht="57" outlineLevel="1" x14ac:dyDescent="0.2">
      <c r="A31" s="559" t="s">
        <v>2688</v>
      </c>
      <c r="B31" s="587" t="s">
        <v>4708</v>
      </c>
      <c r="C31" s="557">
        <f t="shared" si="3"/>
        <v>7.7149174976450753E-3</v>
      </c>
      <c r="D31" s="556">
        <f>Produtos!$D24</f>
        <v>199701.99</v>
      </c>
      <c r="E31" s="580" t="s">
        <v>5296</v>
      </c>
      <c r="F31" s="577"/>
      <c r="G31" s="577"/>
      <c r="H31" s="577" t="s">
        <v>5295</v>
      </c>
      <c r="I31" s="577">
        <v>1</v>
      </c>
      <c r="J31" s="577"/>
      <c r="K31" s="577"/>
      <c r="L31" s="577"/>
      <c r="M31" s="577"/>
      <c r="N31" s="577"/>
      <c r="O31" s="577"/>
      <c r="P31" s="577"/>
      <c r="Q31" s="577"/>
      <c r="R31" s="658">
        <f t="shared" si="29"/>
        <v>0</v>
      </c>
      <c r="S31" s="646">
        <f t="shared" si="30"/>
        <v>0</v>
      </c>
      <c r="T31" s="646">
        <f t="shared" si="31"/>
        <v>0</v>
      </c>
      <c r="U31" s="646">
        <f t="shared" si="32"/>
        <v>49925.5</v>
      </c>
      <c r="V31" s="646">
        <f t="shared" si="33"/>
        <v>0</v>
      </c>
      <c r="W31" s="646">
        <f t="shared" si="34"/>
        <v>0</v>
      </c>
      <c r="X31" s="646">
        <f t="shared" si="35"/>
        <v>0</v>
      </c>
      <c r="Y31" s="646">
        <f t="shared" si="36"/>
        <v>0</v>
      </c>
      <c r="Z31" s="646">
        <f t="shared" si="37"/>
        <v>0</v>
      </c>
      <c r="AA31" s="646">
        <f t="shared" si="38"/>
        <v>0</v>
      </c>
      <c r="AB31" s="646">
        <f t="shared" si="39"/>
        <v>0</v>
      </c>
      <c r="AC31" s="646">
        <f t="shared" si="40"/>
        <v>0</v>
      </c>
      <c r="AD31" s="645">
        <f>IF(OR(AND($E31=$A$6,$D$9=AD$15),AND($E31=$A$10,$D$11=AD$15),AND($E31=$A$3,$D$5=AD$15)),$D31-SUM($R31:AC31),IF($E31=$A$10,ROUND(_xlfn.XLOOKUP(AD$15,$D$10:$D$11,$C$10:$C$11,0,0)*$D31,2),IF($E31=$A$3,ROUND(_xlfn.XLOOKUP(AD$15,$D$3:$D$5,$C$3:$C$5,0,0)*$D31,2),IF($E31=$A$6,ROUND(_xlfn.XLOOKUP(AD$15,$D$6:$D$9,$C$6:$C$9,0,0)*$D31,2),""))))</f>
        <v>0</v>
      </c>
      <c r="AE31" s="646">
        <f>IF(OR(AND($E31=$A$6,$D$9=AE$15),AND($E31=$A$10,$D$11=AE$15),AND($E31=$A$3,$D$5=AE$15)),$D31-SUM($R31:AD31),IF($E31=$A$10,ROUND(_xlfn.XLOOKUP(AE$15,$D$10:$D$11,$C$10:$C$11,0,0)*$D31,2),IF($E31=$A$3,ROUND(_xlfn.XLOOKUP(AE$15,$D$3:$D$5,$C$3:$C$5,0,0)*$D31,2),IF($E31=$A$6,ROUND(_xlfn.XLOOKUP(AE$15,$D$6:$D$9,$C$6:$C$9,0,0)*$D31,2),""))))</f>
        <v>0</v>
      </c>
      <c r="AF31" s="647">
        <f>IF(OR(AND($E31=$A$6,$D$9=AF$15),AND($E31=$A$10,$D$11=AF$15),AND($E31=$A$3,$D$5=AF$15)),$D31-SUM($R31:AE31),IF($E31=$A$10,ROUND(_xlfn.XLOOKUP(AF$15,$D$10:$D$11,$C$10:$C$11,0,0)*$D31,2),IF($E31=$A$3,ROUND(_xlfn.XLOOKUP(AF$15,$D$3:$D$5,$C$3:$C$5,0,0)*$D31,2),IF($E31=$A$6,ROUND(_xlfn.XLOOKUP(AF$15,$D$6:$D$9,$C$6:$C$9,0,0)*$D31,2),""))))</f>
        <v>49925.5</v>
      </c>
      <c r="AG31" s="645"/>
      <c r="AH31" s="646"/>
      <c r="AI31" s="646"/>
      <c r="AJ31" s="646"/>
      <c r="AK31" s="647"/>
      <c r="AL31" s="645">
        <f>IF(OR(AND($E31=$A$6,$D$9=AL$15),AND($E31=$A$10,$D$11=AL$15),AND($E31=$A$3,$D$5=AL$15)),$D31-SUM($R31:AK31),IF($E31=$A$10,ROUND(_xlfn.XLOOKUP(AL$15,$D$10:$D$11,$C$10:$C$11,0,0)*$D31,2),IF($E31=$A$3,ROUND(_xlfn.XLOOKUP(AL$15,$D$3:$D$5,$C$3:$C$5,0,0)*$D31,2),IF($E31=$A$6,ROUND(_xlfn.XLOOKUP(AL$15,$D$6:$D$9,$C$6:$C$9,0,0)*$D31,2),""))))</f>
        <v>0</v>
      </c>
      <c r="AM31" s="646">
        <f>IF(OR(AND($E31=$A$6,$D$9=AM$15),AND($E31=$A$10,$D$11=AM$15),AND($E31=$A$3,$D$5=AM$15)),$D31-SUM($R31:AL31),IF($E31=$A$10,ROUND(_xlfn.XLOOKUP(AM$15,$D$10:$D$11,$C$10:$C$11,0,0)*$D31,2),IF($E31=$A$3,ROUND(_xlfn.XLOOKUP(AM$15,$D$3:$D$5,$C$3:$C$5,0,0)*$D31,2),IF($E31=$A$6,ROUND(_xlfn.XLOOKUP(AM$15,$D$6:$D$9,$C$6:$C$9,0,0)*$D31,2),""))))</f>
        <v>0</v>
      </c>
      <c r="AN31" s="647">
        <f>IF(OR(AND($E31=$A$6,$D$9=AN$15),AND($E31=$A$10,$D$11=AN$15),AND($E31=$A$3,$D$5=AN$15)),$D31-SUM($R31:AM31),IF($E31=$A$10,ROUND(_xlfn.XLOOKUP(AN$15,$D$10:$D$11,$C$10:$C$11,0,0)*$D31,2),IF($E31=$A$3,ROUND(_xlfn.XLOOKUP(AN$15,$D$3:$D$5,$C$3:$C$5,0,0)*$D31,2),IF($E31=$A$6,ROUND(_xlfn.XLOOKUP(AN$15,$D$6:$D$9,$C$6:$C$9,0,0)*$D31,2),""))))</f>
        <v>49925.5</v>
      </c>
      <c r="AO31" s="645"/>
      <c r="AP31" s="646"/>
      <c r="AQ31" s="647"/>
      <c r="AR31" s="646"/>
      <c r="AS31" s="645"/>
      <c r="AT31" s="647"/>
      <c r="AU31" s="648">
        <f>IF(OR(AND($E31=$A$6,$D$9=AU$15),AND($E31=$A$10,$D$11=AU$15),AND($E31=$A$3,$D$5=AU$15)),$D31-SUM($R31:AT31),IF($E31=$A$10,ROUND(_xlfn.XLOOKUP(AU$15,$D$10:$D$11,$C$10:$C$11,0,0)*$D31,2),IF($E31=$A$3,ROUND(_xlfn.XLOOKUP(AU$15,$D$3:$D$5,$C$3:$C$5,0,0)*$D31,2),IF($E31=$A$6,ROUND(_xlfn.XLOOKUP(AU$15,$D$6:$D$9,$C$6:$C$9,0,0)*$D31,2),""))))</f>
        <v>49925.489999999991</v>
      </c>
      <c r="AV31" s="673" t="str">
        <f>IF(SUM(R31:AU31)=D31,"","CORRIGIR")</f>
        <v/>
      </c>
    </row>
    <row r="32" spans="1:48" ht="28.5" outlineLevel="1" x14ac:dyDescent="0.2">
      <c r="A32" s="559" t="s">
        <v>5378</v>
      </c>
      <c r="B32" s="587" t="s">
        <v>4709</v>
      </c>
      <c r="C32" s="557">
        <f t="shared" si="3"/>
        <v>7.439384881641203E-3</v>
      </c>
      <c r="D32" s="556">
        <f>Produtos!$D25</f>
        <v>192569.78</v>
      </c>
      <c r="E32" s="580" t="s">
        <v>5296</v>
      </c>
      <c r="F32" s="577"/>
      <c r="G32" s="577"/>
      <c r="H32" s="577" t="s">
        <v>5295</v>
      </c>
      <c r="I32" s="577">
        <v>1</v>
      </c>
      <c r="J32" s="577"/>
      <c r="K32" s="577"/>
      <c r="L32" s="577"/>
      <c r="M32" s="577"/>
      <c r="N32" s="577"/>
      <c r="O32" s="577"/>
      <c r="P32" s="577"/>
      <c r="Q32" s="577"/>
      <c r="R32" s="658">
        <f t="shared" si="29"/>
        <v>0</v>
      </c>
      <c r="S32" s="646">
        <f t="shared" si="30"/>
        <v>0</v>
      </c>
      <c r="T32" s="646">
        <f t="shared" si="31"/>
        <v>0</v>
      </c>
      <c r="U32" s="646">
        <f t="shared" si="32"/>
        <v>48142.45</v>
      </c>
      <c r="V32" s="646">
        <f t="shared" si="33"/>
        <v>0</v>
      </c>
      <c r="W32" s="646">
        <f t="shared" si="34"/>
        <v>0</v>
      </c>
      <c r="X32" s="646">
        <f t="shared" si="35"/>
        <v>0</v>
      </c>
      <c r="Y32" s="646">
        <f t="shared" si="36"/>
        <v>0</v>
      </c>
      <c r="Z32" s="646">
        <f t="shared" si="37"/>
        <v>0</v>
      </c>
      <c r="AA32" s="646">
        <f t="shared" si="38"/>
        <v>0</v>
      </c>
      <c r="AB32" s="646">
        <f t="shared" si="39"/>
        <v>0</v>
      </c>
      <c r="AC32" s="646">
        <f t="shared" si="40"/>
        <v>0</v>
      </c>
      <c r="AD32" s="645">
        <f>IF(OR(AND($E32=$A$6,$D$9=AD$15),AND($E32=$A$10,$D$11=AD$15),AND($E32=$A$3,$D$5=AD$15)),$D32-SUM($R32:AC32),IF($E32=$A$10,ROUND(_xlfn.XLOOKUP(AD$15,$D$10:$D$11,$C$10:$C$11,0,0)*$D32,2),IF($E32=$A$3,ROUND(_xlfn.XLOOKUP(AD$15,$D$3:$D$5,$C$3:$C$5,0,0)*$D32,2),IF($E32=$A$6,ROUND(_xlfn.XLOOKUP(AD$15,$D$6:$D$9,$C$6:$C$9,0,0)*$D32,2),""))))</f>
        <v>0</v>
      </c>
      <c r="AE32" s="646">
        <f>IF(OR(AND($E32=$A$6,$D$9=AE$15),AND($E32=$A$10,$D$11=AE$15),AND($E32=$A$3,$D$5=AE$15)),$D32-SUM($R32:AD32),IF($E32=$A$10,ROUND(_xlfn.XLOOKUP(AE$15,$D$10:$D$11,$C$10:$C$11,0,0)*$D32,2),IF($E32=$A$3,ROUND(_xlfn.XLOOKUP(AE$15,$D$3:$D$5,$C$3:$C$5,0,0)*$D32,2),IF($E32=$A$6,ROUND(_xlfn.XLOOKUP(AE$15,$D$6:$D$9,$C$6:$C$9,0,0)*$D32,2),""))))</f>
        <v>0</v>
      </c>
      <c r="AF32" s="647">
        <f>IF(OR(AND($E32=$A$6,$D$9=AF$15),AND($E32=$A$10,$D$11=AF$15),AND($E32=$A$3,$D$5=AF$15)),$D32-SUM($R32:AE32),IF($E32=$A$10,ROUND(_xlfn.XLOOKUP(AF$15,$D$10:$D$11,$C$10:$C$11,0,0)*$D32,2),IF($E32=$A$3,ROUND(_xlfn.XLOOKUP(AF$15,$D$3:$D$5,$C$3:$C$5,0,0)*$D32,2),IF($E32=$A$6,ROUND(_xlfn.XLOOKUP(AF$15,$D$6:$D$9,$C$6:$C$9,0,0)*$D32,2),""))))</f>
        <v>48142.45</v>
      </c>
      <c r="AG32" s="645"/>
      <c r="AH32" s="646"/>
      <c r="AI32" s="646"/>
      <c r="AJ32" s="646"/>
      <c r="AK32" s="647"/>
      <c r="AL32" s="645">
        <f>IF(OR(AND($E32=$A$6,$D$9=AL$15),AND($E32=$A$10,$D$11=AL$15),AND($E32=$A$3,$D$5=AL$15)),$D32-SUM($R32:AK32),IF($E32=$A$10,ROUND(_xlfn.XLOOKUP(AL$15,$D$10:$D$11,$C$10:$C$11,0,0)*$D32,2),IF($E32=$A$3,ROUND(_xlfn.XLOOKUP(AL$15,$D$3:$D$5,$C$3:$C$5,0,0)*$D32,2),IF($E32=$A$6,ROUND(_xlfn.XLOOKUP(AL$15,$D$6:$D$9,$C$6:$C$9,0,0)*$D32,2),""))))</f>
        <v>0</v>
      </c>
      <c r="AM32" s="646">
        <f>IF(OR(AND($E32=$A$6,$D$9=AM$15),AND($E32=$A$10,$D$11=AM$15),AND($E32=$A$3,$D$5=AM$15)),$D32-SUM($R32:AL32),IF($E32=$A$10,ROUND(_xlfn.XLOOKUP(AM$15,$D$10:$D$11,$C$10:$C$11,0,0)*$D32,2),IF($E32=$A$3,ROUND(_xlfn.XLOOKUP(AM$15,$D$3:$D$5,$C$3:$C$5,0,0)*$D32,2),IF($E32=$A$6,ROUND(_xlfn.XLOOKUP(AM$15,$D$6:$D$9,$C$6:$C$9,0,0)*$D32,2),""))))</f>
        <v>0</v>
      </c>
      <c r="AN32" s="647">
        <f>IF(OR(AND($E32=$A$6,$D$9=AN$15),AND($E32=$A$10,$D$11=AN$15),AND($E32=$A$3,$D$5=AN$15)),$D32-SUM($R32:AM32),IF($E32=$A$10,ROUND(_xlfn.XLOOKUP(AN$15,$D$10:$D$11,$C$10:$C$11,0,0)*$D32,2),IF($E32=$A$3,ROUND(_xlfn.XLOOKUP(AN$15,$D$3:$D$5,$C$3:$C$5,0,0)*$D32,2),IF($E32=$A$6,ROUND(_xlfn.XLOOKUP(AN$15,$D$6:$D$9,$C$6:$C$9,0,0)*$D32,2),""))))</f>
        <v>48142.45</v>
      </c>
      <c r="AO32" s="645"/>
      <c r="AP32" s="646"/>
      <c r="AQ32" s="647"/>
      <c r="AR32" s="646"/>
      <c r="AS32" s="645"/>
      <c r="AT32" s="647"/>
      <c r="AU32" s="648">
        <f>IF(OR(AND($E32=$A$6,$D$9=AU$15),AND($E32=$A$10,$D$11=AU$15),AND($E32=$A$3,$D$5=AU$15)),$D32-SUM($R32:AT32),IF($E32=$A$10,ROUND(_xlfn.XLOOKUP(AU$15,$D$10:$D$11,$C$10:$C$11,0,0)*$D32,2),IF($E32=$A$3,ROUND(_xlfn.XLOOKUP(AU$15,$D$3:$D$5,$C$3:$C$5,0,0)*$D32,2),IF($E32=$A$6,ROUND(_xlfn.XLOOKUP(AU$15,$D$6:$D$9,$C$6:$C$9,0,0)*$D32,2),""))))</f>
        <v>48142.430000000022</v>
      </c>
      <c r="AV32" s="673" t="str">
        <f>IF(SUM(R32:AU32)=D32,"","CORRIGIR")</f>
        <v/>
      </c>
    </row>
    <row r="33" spans="1:48" ht="15" x14ac:dyDescent="0.2">
      <c r="A33" s="567" t="s">
        <v>2689</v>
      </c>
      <c r="B33" s="566" t="s">
        <v>4710</v>
      </c>
      <c r="C33" s="565">
        <f t="shared" si="3"/>
        <v>3.0997436491742997E-2</v>
      </c>
      <c r="D33" s="564">
        <f>SUBTOTAL(9,D34:D38)</f>
        <v>802374.07000000007</v>
      </c>
      <c r="E33" s="563"/>
      <c r="F33" s="561"/>
      <c r="G33" s="562"/>
      <c r="H33" s="561"/>
      <c r="I33" s="562"/>
      <c r="J33" s="561"/>
      <c r="K33" s="562"/>
      <c r="L33" s="561"/>
      <c r="M33" s="562"/>
      <c r="N33" s="561"/>
      <c r="O33" s="562"/>
      <c r="P33" s="561"/>
      <c r="Q33" s="560"/>
      <c r="R33" s="640"/>
      <c r="S33" s="641"/>
      <c r="T33" s="640"/>
      <c r="U33" s="641"/>
      <c r="V33" s="640"/>
      <c r="W33" s="641"/>
      <c r="X33" s="640"/>
      <c r="Y33" s="641"/>
      <c r="Z33" s="640"/>
      <c r="AA33" s="641"/>
      <c r="AB33" s="640"/>
      <c r="AC33" s="641"/>
      <c r="AD33" s="640"/>
      <c r="AE33" s="641"/>
      <c r="AF33" s="640"/>
      <c r="AG33" s="641"/>
      <c r="AH33" s="640"/>
      <c r="AI33" s="641"/>
      <c r="AJ33" s="640"/>
      <c r="AK33" s="641"/>
      <c r="AL33" s="640"/>
      <c r="AM33" s="641"/>
      <c r="AN33" s="640"/>
      <c r="AO33" s="641"/>
      <c r="AP33" s="640"/>
      <c r="AQ33" s="641"/>
      <c r="AR33" s="640"/>
      <c r="AS33" s="641"/>
      <c r="AT33" s="640"/>
      <c r="AU33" s="642"/>
      <c r="AV33" s="673"/>
    </row>
    <row r="34" spans="1:48" ht="71.25" outlineLevel="1" x14ac:dyDescent="0.2">
      <c r="A34" s="559" t="s">
        <v>2691</v>
      </c>
      <c r="B34" s="587" t="s">
        <v>4711</v>
      </c>
      <c r="C34" s="557">
        <f t="shared" si="3"/>
        <v>9.2992309088907477E-3</v>
      </c>
      <c r="D34" s="556">
        <f>Produtos!$D27</f>
        <v>240712.22</v>
      </c>
      <c r="E34" s="580" t="s">
        <v>5296</v>
      </c>
      <c r="F34" s="577"/>
      <c r="G34" s="577"/>
      <c r="H34" s="577"/>
      <c r="I34" s="577" t="s">
        <v>5295</v>
      </c>
      <c r="J34" s="577">
        <v>1</v>
      </c>
      <c r="K34" s="577"/>
      <c r="L34" s="577"/>
      <c r="M34" s="577"/>
      <c r="N34" s="577"/>
      <c r="O34" s="577"/>
      <c r="P34" s="577"/>
      <c r="Q34" s="577"/>
      <c r="R34" s="658">
        <f t="shared" ref="R34:R38" si="41">IF(F34=1,ROUND(_xlfn.XLOOKUP($E34,$A$2:$A$11,$C$2:$C$11,0,0)*F34*$D34,2),0)</f>
        <v>0</v>
      </c>
      <c r="S34" s="646">
        <f t="shared" ref="S34:S38" si="42">IF(G34=1,ROUND(_xlfn.XLOOKUP($E34,$A$2:$A$11,$C$2:$C$11,0,0)*G34*$D34,2),0)</f>
        <v>0</v>
      </c>
      <c r="T34" s="646">
        <f t="shared" ref="T34:T38" si="43">IF(H34=1,ROUND(_xlfn.XLOOKUP($E34,$A$2:$A$11,$C$2:$C$11,0,0)*H34*$D34,2),0)</f>
        <v>0</v>
      </c>
      <c r="U34" s="646">
        <f t="shared" ref="U34:U38" si="44">IF(I34=1,ROUND(_xlfn.XLOOKUP($E34,$A$2:$A$11,$C$2:$C$11,0,0)*I34*$D34,2),0)</f>
        <v>0</v>
      </c>
      <c r="V34" s="646">
        <f t="shared" ref="V34:V38" si="45">IF(J34=1,ROUND(_xlfn.XLOOKUP($E34,$A$2:$A$11,$C$2:$C$11,0,0)*J34*$D34,2),0)</f>
        <v>60178.06</v>
      </c>
      <c r="W34" s="646">
        <f t="shared" ref="W34:W38" si="46">IF(K34=1,ROUND(_xlfn.XLOOKUP($E34,$A$2:$A$11,$C$2:$C$11,0,0)*K34*$D34,2),0)</f>
        <v>0</v>
      </c>
      <c r="X34" s="646">
        <f t="shared" ref="X34:X38" si="47">IF(L34=1,ROUND(_xlfn.XLOOKUP($E34,$A$2:$A$11,$C$2:$C$11,0,0)*L34*$D34,2),0)</f>
        <v>0</v>
      </c>
      <c r="Y34" s="646">
        <f t="shared" ref="Y34:Y38" si="48">IF(M34=1,ROUND(_xlfn.XLOOKUP($E34,$A$2:$A$11,$C$2:$C$11,0,0)*M34*$D34,2),0)</f>
        <v>0</v>
      </c>
      <c r="Z34" s="646">
        <f t="shared" ref="Z34:Z38" si="49">IF(N34=1,ROUND(_xlfn.XLOOKUP($E34,$A$2:$A$11,$C$2:$C$11,0,0)*N34*$D34,2),0)</f>
        <v>0</v>
      </c>
      <c r="AA34" s="646">
        <f t="shared" ref="AA34:AA38" si="50">IF(O34=1,ROUND(_xlfn.XLOOKUP($E34,$A$2:$A$11,$C$2:$C$11,0,0)*O34*$D34,2),0)</f>
        <v>0</v>
      </c>
      <c r="AB34" s="646">
        <f t="shared" ref="AB34:AB38" si="51">IF(P34=1,ROUND(_xlfn.XLOOKUP($E34,$A$2:$A$11,$C$2:$C$11,0,0)*P34*$D34,2),0)</f>
        <v>0</v>
      </c>
      <c r="AC34" s="646">
        <f t="shared" ref="AC34:AC38" si="52">IF(Q34=1,ROUND(_xlfn.XLOOKUP($E34,$A$2:$A$11,$C$2:$C$11,0,0)*Q34*$D34,2),0)</f>
        <v>0</v>
      </c>
      <c r="AD34" s="645">
        <f>IF(OR(AND($E34=$A$6,$D$9=AD$15),AND($E34=$A$10,$D$11=AD$15),AND($E34=$A$3,$D$5=AD$15)),$D34-SUM($R34:AC34),IF($E34=$A$10,ROUND(_xlfn.XLOOKUP(AD$15,$D$10:$D$11,$C$10:$C$11,0,0)*$D34,2),IF($E34=$A$3,ROUND(_xlfn.XLOOKUP(AD$15,$D$3:$D$5,$C$3:$C$5,0,0)*$D34,2),IF($E34=$A$6,ROUND(_xlfn.XLOOKUP(AD$15,$D$6:$D$9,$C$6:$C$9,0,0)*$D34,2),""))))</f>
        <v>0</v>
      </c>
      <c r="AE34" s="646">
        <f>IF(OR(AND($E34=$A$6,$D$9=AE$15),AND($E34=$A$10,$D$11=AE$15),AND($E34=$A$3,$D$5=AE$15)),$D34-SUM($R34:AD34),IF($E34=$A$10,ROUND(_xlfn.XLOOKUP(AE$15,$D$10:$D$11,$C$10:$C$11,0,0)*$D34,2),IF($E34=$A$3,ROUND(_xlfn.XLOOKUP(AE$15,$D$3:$D$5,$C$3:$C$5,0,0)*$D34,2),IF($E34=$A$6,ROUND(_xlfn.XLOOKUP(AE$15,$D$6:$D$9,$C$6:$C$9,0,0)*$D34,2),""))))</f>
        <v>0</v>
      </c>
      <c r="AF34" s="647">
        <f>IF(OR(AND($E34=$A$6,$D$9=AF$15),AND($E34=$A$10,$D$11=AF$15),AND($E34=$A$3,$D$5=AF$15)),$D34-SUM($R34:AE34),IF($E34=$A$10,ROUND(_xlfn.XLOOKUP(AF$15,$D$10:$D$11,$C$10:$C$11,0,0)*$D34,2),IF($E34=$A$3,ROUND(_xlfn.XLOOKUP(AF$15,$D$3:$D$5,$C$3:$C$5,0,0)*$D34,2),IF($E34=$A$6,ROUND(_xlfn.XLOOKUP(AF$15,$D$6:$D$9,$C$6:$C$9,0,0)*$D34,2),""))))</f>
        <v>60178.06</v>
      </c>
      <c r="AG34" s="645"/>
      <c r="AH34" s="646"/>
      <c r="AI34" s="646"/>
      <c r="AJ34" s="646"/>
      <c r="AK34" s="647"/>
      <c r="AL34" s="645">
        <f>IF(OR(AND($E34=$A$6,$D$9=AL$15),AND($E34=$A$10,$D$11=AL$15),AND($E34=$A$3,$D$5=AL$15)),$D34-SUM($R34:AK34),IF($E34=$A$10,ROUND(_xlfn.XLOOKUP(AL$15,$D$10:$D$11,$C$10:$C$11,0,0)*$D34,2),IF($E34=$A$3,ROUND(_xlfn.XLOOKUP(AL$15,$D$3:$D$5,$C$3:$C$5,0,0)*$D34,2),IF($E34=$A$6,ROUND(_xlfn.XLOOKUP(AL$15,$D$6:$D$9,$C$6:$C$9,0,0)*$D34,2),""))))</f>
        <v>0</v>
      </c>
      <c r="AM34" s="646">
        <f>IF(OR(AND($E34=$A$6,$D$9=AM$15),AND($E34=$A$10,$D$11=AM$15),AND($E34=$A$3,$D$5=AM$15)),$D34-SUM($R34:AL34),IF($E34=$A$10,ROUND(_xlfn.XLOOKUP(AM$15,$D$10:$D$11,$C$10:$C$11,0,0)*$D34,2),IF($E34=$A$3,ROUND(_xlfn.XLOOKUP(AM$15,$D$3:$D$5,$C$3:$C$5,0,0)*$D34,2),IF($E34=$A$6,ROUND(_xlfn.XLOOKUP(AM$15,$D$6:$D$9,$C$6:$C$9,0,0)*$D34,2),""))))</f>
        <v>0</v>
      </c>
      <c r="AN34" s="647">
        <f>IF(OR(AND($E34=$A$6,$D$9=AN$15),AND($E34=$A$10,$D$11=AN$15),AND($E34=$A$3,$D$5=AN$15)),$D34-SUM($R34:AM34),IF($E34=$A$10,ROUND(_xlfn.XLOOKUP(AN$15,$D$10:$D$11,$C$10:$C$11,0,0)*$D34,2),IF($E34=$A$3,ROUND(_xlfn.XLOOKUP(AN$15,$D$3:$D$5,$C$3:$C$5,0,0)*$D34,2),IF($E34=$A$6,ROUND(_xlfn.XLOOKUP(AN$15,$D$6:$D$9,$C$6:$C$9,0,0)*$D34,2),""))))</f>
        <v>60178.06</v>
      </c>
      <c r="AO34" s="645"/>
      <c r="AP34" s="646"/>
      <c r="AQ34" s="647"/>
      <c r="AR34" s="646"/>
      <c r="AS34" s="645"/>
      <c r="AT34" s="647"/>
      <c r="AU34" s="648">
        <f>IF(OR(AND($E34=$A$6,$D$9=AU$15),AND($E34=$A$10,$D$11=AU$15),AND($E34=$A$3,$D$5=AU$15)),$D34-SUM($R34:AT34),IF($E34=$A$10,ROUND(_xlfn.XLOOKUP(AU$15,$D$10:$D$11,$C$10:$C$11,0,0)*$D34,2),IF($E34=$A$3,ROUND(_xlfn.XLOOKUP(AU$15,$D$3:$D$5,$C$3:$C$5,0,0)*$D34,2),IF($E34=$A$6,ROUND(_xlfn.XLOOKUP(AU$15,$D$6:$D$9,$C$6:$C$9,0,0)*$D34,2),""))))</f>
        <v>60178.040000000008</v>
      </c>
      <c r="AV34" s="673" t="str">
        <f>IF(SUM(R34:AU34)=D34,"","CORRIGIR")</f>
        <v/>
      </c>
    </row>
    <row r="35" spans="1:48" ht="57" outlineLevel="1" x14ac:dyDescent="0.2">
      <c r="A35" s="559" t="s">
        <v>2692</v>
      </c>
      <c r="B35" s="587" t="s">
        <v>4712</v>
      </c>
      <c r="C35" s="557">
        <f t="shared" si="3"/>
        <v>8.6792822331408989E-3</v>
      </c>
      <c r="D35" s="556">
        <f>Produtos!$D28</f>
        <v>224664.74</v>
      </c>
      <c r="E35" s="580" t="s">
        <v>5296</v>
      </c>
      <c r="F35" s="577"/>
      <c r="G35" s="577"/>
      <c r="H35" s="577"/>
      <c r="I35" s="577" t="s">
        <v>5295</v>
      </c>
      <c r="J35" s="577">
        <v>1</v>
      </c>
      <c r="K35" s="577"/>
      <c r="L35" s="577"/>
      <c r="M35" s="577"/>
      <c r="N35" s="577"/>
      <c r="O35" s="577"/>
      <c r="P35" s="577"/>
      <c r="Q35" s="577"/>
      <c r="R35" s="658">
        <f t="shared" si="41"/>
        <v>0</v>
      </c>
      <c r="S35" s="646">
        <f t="shared" si="42"/>
        <v>0</v>
      </c>
      <c r="T35" s="646">
        <f t="shared" si="43"/>
        <v>0</v>
      </c>
      <c r="U35" s="646">
        <f t="shared" si="44"/>
        <v>0</v>
      </c>
      <c r="V35" s="646">
        <f t="shared" si="45"/>
        <v>56166.19</v>
      </c>
      <c r="W35" s="646">
        <f t="shared" si="46"/>
        <v>0</v>
      </c>
      <c r="X35" s="646">
        <f t="shared" si="47"/>
        <v>0</v>
      </c>
      <c r="Y35" s="646">
        <f t="shared" si="48"/>
        <v>0</v>
      </c>
      <c r="Z35" s="646">
        <f t="shared" si="49"/>
        <v>0</v>
      </c>
      <c r="AA35" s="646">
        <f t="shared" si="50"/>
        <v>0</v>
      </c>
      <c r="AB35" s="646">
        <f t="shared" si="51"/>
        <v>0</v>
      </c>
      <c r="AC35" s="646">
        <f t="shared" si="52"/>
        <v>0</v>
      </c>
      <c r="AD35" s="645">
        <f>IF(OR(AND($E35=$A$6,$D$9=AD$15),AND($E35=$A$10,$D$11=AD$15),AND($E35=$A$3,$D$5=AD$15)),$D35-SUM($R35:AC35),IF($E35=$A$10,ROUND(_xlfn.XLOOKUP(AD$15,$D$10:$D$11,$C$10:$C$11,0,0)*$D35,2),IF($E35=$A$3,ROUND(_xlfn.XLOOKUP(AD$15,$D$3:$D$5,$C$3:$C$5,0,0)*$D35,2),IF($E35=$A$6,ROUND(_xlfn.XLOOKUP(AD$15,$D$6:$D$9,$C$6:$C$9,0,0)*$D35,2),""))))</f>
        <v>0</v>
      </c>
      <c r="AE35" s="646">
        <f>IF(OR(AND($E35=$A$6,$D$9=AE$15),AND($E35=$A$10,$D$11=AE$15),AND($E35=$A$3,$D$5=AE$15)),$D35-SUM($R35:AD35),IF($E35=$A$10,ROUND(_xlfn.XLOOKUP(AE$15,$D$10:$D$11,$C$10:$C$11,0,0)*$D35,2),IF($E35=$A$3,ROUND(_xlfn.XLOOKUP(AE$15,$D$3:$D$5,$C$3:$C$5,0,0)*$D35,2),IF($E35=$A$6,ROUND(_xlfn.XLOOKUP(AE$15,$D$6:$D$9,$C$6:$C$9,0,0)*$D35,2),""))))</f>
        <v>0</v>
      </c>
      <c r="AF35" s="647">
        <f>IF(OR(AND($E35=$A$6,$D$9=AF$15),AND($E35=$A$10,$D$11=AF$15),AND($E35=$A$3,$D$5=AF$15)),$D35-SUM($R35:AE35),IF($E35=$A$10,ROUND(_xlfn.XLOOKUP(AF$15,$D$10:$D$11,$C$10:$C$11,0,0)*$D35,2),IF($E35=$A$3,ROUND(_xlfn.XLOOKUP(AF$15,$D$3:$D$5,$C$3:$C$5,0,0)*$D35,2),IF($E35=$A$6,ROUND(_xlfn.XLOOKUP(AF$15,$D$6:$D$9,$C$6:$C$9,0,0)*$D35,2),""))))</f>
        <v>56166.19</v>
      </c>
      <c r="AG35" s="645"/>
      <c r="AH35" s="646"/>
      <c r="AI35" s="646"/>
      <c r="AJ35" s="646"/>
      <c r="AK35" s="647"/>
      <c r="AL35" s="645">
        <f>IF(OR(AND($E35=$A$6,$D$9=AL$15),AND($E35=$A$10,$D$11=AL$15),AND($E35=$A$3,$D$5=AL$15)),$D35-SUM($R35:AK35),IF($E35=$A$10,ROUND(_xlfn.XLOOKUP(AL$15,$D$10:$D$11,$C$10:$C$11,0,0)*$D35,2),IF($E35=$A$3,ROUND(_xlfn.XLOOKUP(AL$15,$D$3:$D$5,$C$3:$C$5,0,0)*$D35,2),IF($E35=$A$6,ROUND(_xlfn.XLOOKUP(AL$15,$D$6:$D$9,$C$6:$C$9,0,0)*$D35,2),""))))</f>
        <v>0</v>
      </c>
      <c r="AM35" s="646">
        <f>IF(OR(AND($E35=$A$6,$D$9=AM$15),AND($E35=$A$10,$D$11=AM$15),AND($E35=$A$3,$D$5=AM$15)),$D35-SUM($R35:AL35),IF($E35=$A$10,ROUND(_xlfn.XLOOKUP(AM$15,$D$10:$D$11,$C$10:$C$11,0,0)*$D35,2),IF($E35=$A$3,ROUND(_xlfn.XLOOKUP(AM$15,$D$3:$D$5,$C$3:$C$5,0,0)*$D35,2),IF($E35=$A$6,ROUND(_xlfn.XLOOKUP(AM$15,$D$6:$D$9,$C$6:$C$9,0,0)*$D35,2),""))))</f>
        <v>0</v>
      </c>
      <c r="AN35" s="647">
        <f>IF(OR(AND($E35=$A$6,$D$9=AN$15),AND($E35=$A$10,$D$11=AN$15),AND($E35=$A$3,$D$5=AN$15)),$D35-SUM($R35:AM35),IF($E35=$A$10,ROUND(_xlfn.XLOOKUP(AN$15,$D$10:$D$11,$C$10:$C$11,0,0)*$D35,2),IF($E35=$A$3,ROUND(_xlfn.XLOOKUP(AN$15,$D$3:$D$5,$C$3:$C$5,0,0)*$D35,2),IF($E35=$A$6,ROUND(_xlfn.XLOOKUP(AN$15,$D$6:$D$9,$C$6:$C$9,0,0)*$D35,2),""))))</f>
        <v>56166.19</v>
      </c>
      <c r="AO35" s="645"/>
      <c r="AP35" s="646"/>
      <c r="AQ35" s="647"/>
      <c r="AR35" s="646"/>
      <c r="AS35" s="645"/>
      <c r="AT35" s="647"/>
      <c r="AU35" s="648">
        <f>IF(OR(AND($E35=$A$6,$D$9=AU$15),AND($E35=$A$10,$D$11=AU$15),AND($E35=$A$3,$D$5=AU$15)),$D35-SUM($R35:AT35),IF($E35=$A$10,ROUND(_xlfn.XLOOKUP(AU$15,$D$10:$D$11,$C$10:$C$11,0,0)*$D35,2),IF($E35=$A$3,ROUND(_xlfn.XLOOKUP(AU$15,$D$3:$D$5,$C$3:$C$5,0,0)*$D35,2),IF($E35=$A$6,ROUND(_xlfn.XLOOKUP(AU$15,$D$6:$D$9,$C$6:$C$9,0,0)*$D35,2),""))))</f>
        <v>56166.169999999984</v>
      </c>
      <c r="AV35" s="673" t="str">
        <f>IF(SUM(R35:AU35)=D35,"","CORRIGIR")</f>
        <v/>
      </c>
    </row>
    <row r="36" spans="1:48" ht="42.75" outlineLevel="1" x14ac:dyDescent="0.2">
      <c r="A36" s="559" t="s">
        <v>5377</v>
      </c>
      <c r="B36" s="587" t="s">
        <v>4713</v>
      </c>
      <c r="C36" s="557">
        <f t="shared" si="3"/>
        <v>6.1994871438199942E-3</v>
      </c>
      <c r="D36" s="556">
        <f>Produtos!$D29</f>
        <v>160474.81</v>
      </c>
      <c r="E36" s="580" t="s">
        <v>5296</v>
      </c>
      <c r="F36" s="577"/>
      <c r="G36" s="577"/>
      <c r="H36" s="577"/>
      <c r="I36" s="577" t="s">
        <v>5295</v>
      </c>
      <c r="J36" s="577">
        <v>1</v>
      </c>
      <c r="K36" s="577"/>
      <c r="L36" s="577"/>
      <c r="M36" s="577"/>
      <c r="N36" s="577"/>
      <c r="O36" s="577"/>
      <c r="P36" s="577"/>
      <c r="Q36" s="577"/>
      <c r="R36" s="658">
        <f t="shared" si="41"/>
        <v>0</v>
      </c>
      <c r="S36" s="646">
        <f t="shared" si="42"/>
        <v>0</v>
      </c>
      <c r="T36" s="646">
        <f t="shared" si="43"/>
        <v>0</v>
      </c>
      <c r="U36" s="646">
        <f t="shared" si="44"/>
        <v>0</v>
      </c>
      <c r="V36" s="646">
        <f t="shared" si="45"/>
        <v>40118.699999999997</v>
      </c>
      <c r="W36" s="646">
        <f t="shared" si="46"/>
        <v>0</v>
      </c>
      <c r="X36" s="646">
        <f t="shared" si="47"/>
        <v>0</v>
      </c>
      <c r="Y36" s="646">
        <f t="shared" si="48"/>
        <v>0</v>
      </c>
      <c r="Z36" s="646">
        <f t="shared" si="49"/>
        <v>0</v>
      </c>
      <c r="AA36" s="646">
        <f t="shared" si="50"/>
        <v>0</v>
      </c>
      <c r="AB36" s="646">
        <f t="shared" si="51"/>
        <v>0</v>
      </c>
      <c r="AC36" s="646">
        <f t="shared" si="52"/>
        <v>0</v>
      </c>
      <c r="AD36" s="645">
        <f>IF(OR(AND($E36=$A$6,$D$9=AD$15),AND($E36=$A$10,$D$11=AD$15),AND($E36=$A$3,$D$5=AD$15)),$D36-SUM($R36:AC36),IF($E36=$A$10,ROUND(_xlfn.XLOOKUP(AD$15,$D$10:$D$11,$C$10:$C$11,0,0)*$D36,2),IF($E36=$A$3,ROUND(_xlfn.XLOOKUP(AD$15,$D$3:$D$5,$C$3:$C$5,0,0)*$D36,2),IF($E36=$A$6,ROUND(_xlfn.XLOOKUP(AD$15,$D$6:$D$9,$C$6:$C$9,0,0)*$D36,2),""))))</f>
        <v>0</v>
      </c>
      <c r="AE36" s="646">
        <f>IF(OR(AND($E36=$A$6,$D$9=AE$15),AND($E36=$A$10,$D$11=AE$15),AND($E36=$A$3,$D$5=AE$15)),$D36-SUM($R36:AD36),IF($E36=$A$10,ROUND(_xlfn.XLOOKUP(AE$15,$D$10:$D$11,$C$10:$C$11,0,0)*$D36,2),IF($E36=$A$3,ROUND(_xlfn.XLOOKUP(AE$15,$D$3:$D$5,$C$3:$C$5,0,0)*$D36,2),IF($E36=$A$6,ROUND(_xlfn.XLOOKUP(AE$15,$D$6:$D$9,$C$6:$C$9,0,0)*$D36,2),""))))</f>
        <v>0</v>
      </c>
      <c r="AF36" s="647">
        <f>IF(OR(AND($E36=$A$6,$D$9=AF$15),AND($E36=$A$10,$D$11=AF$15),AND($E36=$A$3,$D$5=AF$15)),$D36-SUM($R36:AE36),IF($E36=$A$10,ROUND(_xlfn.XLOOKUP(AF$15,$D$10:$D$11,$C$10:$C$11,0,0)*$D36,2),IF($E36=$A$3,ROUND(_xlfn.XLOOKUP(AF$15,$D$3:$D$5,$C$3:$C$5,0,0)*$D36,2),IF($E36=$A$6,ROUND(_xlfn.XLOOKUP(AF$15,$D$6:$D$9,$C$6:$C$9,0,0)*$D36,2),""))))</f>
        <v>40118.699999999997</v>
      </c>
      <c r="AG36" s="645"/>
      <c r="AH36" s="646"/>
      <c r="AI36" s="646"/>
      <c r="AJ36" s="646"/>
      <c r="AK36" s="647"/>
      <c r="AL36" s="645">
        <f>IF(OR(AND($E36=$A$6,$D$9=AL$15),AND($E36=$A$10,$D$11=AL$15),AND($E36=$A$3,$D$5=AL$15)),$D36-SUM($R36:AK36),IF($E36=$A$10,ROUND(_xlfn.XLOOKUP(AL$15,$D$10:$D$11,$C$10:$C$11,0,0)*$D36,2),IF($E36=$A$3,ROUND(_xlfn.XLOOKUP(AL$15,$D$3:$D$5,$C$3:$C$5,0,0)*$D36,2),IF($E36=$A$6,ROUND(_xlfn.XLOOKUP(AL$15,$D$6:$D$9,$C$6:$C$9,0,0)*$D36,2),""))))</f>
        <v>0</v>
      </c>
      <c r="AM36" s="646">
        <f>IF(OR(AND($E36=$A$6,$D$9=AM$15),AND($E36=$A$10,$D$11=AM$15),AND($E36=$A$3,$D$5=AM$15)),$D36-SUM($R36:AL36),IF($E36=$A$10,ROUND(_xlfn.XLOOKUP(AM$15,$D$10:$D$11,$C$10:$C$11,0,0)*$D36,2),IF($E36=$A$3,ROUND(_xlfn.XLOOKUP(AM$15,$D$3:$D$5,$C$3:$C$5,0,0)*$D36,2),IF($E36=$A$6,ROUND(_xlfn.XLOOKUP(AM$15,$D$6:$D$9,$C$6:$C$9,0,0)*$D36,2),""))))</f>
        <v>0</v>
      </c>
      <c r="AN36" s="647">
        <f>IF(OR(AND($E36=$A$6,$D$9=AN$15),AND($E36=$A$10,$D$11=AN$15),AND($E36=$A$3,$D$5=AN$15)),$D36-SUM($R36:AM36),IF($E36=$A$10,ROUND(_xlfn.XLOOKUP(AN$15,$D$10:$D$11,$C$10:$C$11,0,0)*$D36,2),IF($E36=$A$3,ROUND(_xlfn.XLOOKUP(AN$15,$D$3:$D$5,$C$3:$C$5,0,0)*$D36,2),IF($E36=$A$6,ROUND(_xlfn.XLOOKUP(AN$15,$D$6:$D$9,$C$6:$C$9,0,0)*$D36,2),""))))</f>
        <v>40118.699999999997</v>
      </c>
      <c r="AO36" s="645"/>
      <c r="AP36" s="646"/>
      <c r="AQ36" s="647"/>
      <c r="AR36" s="646"/>
      <c r="AS36" s="645"/>
      <c r="AT36" s="647"/>
      <c r="AU36" s="648">
        <f>IF(OR(AND($E36=$A$6,$D$9=AU$15),AND($E36=$A$10,$D$11=AU$15),AND($E36=$A$3,$D$5=AU$15)),$D36-SUM($R36:AT36),IF($E36=$A$10,ROUND(_xlfn.XLOOKUP(AU$15,$D$10:$D$11,$C$10:$C$11,0,0)*$D36,2),IF($E36=$A$3,ROUND(_xlfn.XLOOKUP(AU$15,$D$3:$D$5,$C$3:$C$5,0,0)*$D36,2),IF($E36=$A$6,ROUND(_xlfn.XLOOKUP(AU$15,$D$6:$D$9,$C$6:$C$9,0,0)*$D36,2),""))))</f>
        <v>40118.710000000006</v>
      </c>
      <c r="AV36" s="673" t="str">
        <f>IF(SUM(R36:AU36)=D36,"","CORRIGIR")</f>
        <v/>
      </c>
    </row>
    <row r="37" spans="1:48" ht="28.5" outlineLevel="1" x14ac:dyDescent="0.2">
      <c r="A37" s="559" t="s">
        <v>5376</v>
      </c>
      <c r="B37" s="587" t="s">
        <v>4714</v>
      </c>
      <c r="C37" s="557">
        <f t="shared" si="3"/>
        <v>3.7196924408206015E-3</v>
      </c>
      <c r="D37" s="556">
        <f>Produtos!$D30</f>
        <v>96284.89</v>
      </c>
      <c r="E37" s="580" t="s">
        <v>5296</v>
      </c>
      <c r="F37" s="577"/>
      <c r="G37" s="577"/>
      <c r="H37" s="577"/>
      <c r="I37" s="577" t="s">
        <v>5295</v>
      </c>
      <c r="J37" s="577">
        <v>1</v>
      </c>
      <c r="K37" s="577"/>
      <c r="L37" s="577"/>
      <c r="M37" s="577"/>
      <c r="N37" s="577"/>
      <c r="O37" s="577"/>
      <c r="P37" s="577"/>
      <c r="Q37" s="577"/>
      <c r="R37" s="658">
        <f t="shared" si="41"/>
        <v>0</v>
      </c>
      <c r="S37" s="646">
        <f t="shared" si="42"/>
        <v>0</v>
      </c>
      <c r="T37" s="646">
        <f t="shared" si="43"/>
        <v>0</v>
      </c>
      <c r="U37" s="646">
        <f t="shared" si="44"/>
        <v>0</v>
      </c>
      <c r="V37" s="646">
        <f t="shared" si="45"/>
        <v>24071.22</v>
      </c>
      <c r="W37" s="646">
        <f t="shared" si="46"/>
        <v>0</v>
      </c>
      <c r="X37" s="646">
        <f t="shared" si="47"/>
        <v>0</v>
      </c>
      <c r="Y37" s="646">
        <f t="shared" si="48"/>
        <v>0</v>
      </c>
      <c r="Z37" s="646">
        <f t="shared" si="49"/>
        <v>0</v>
      </c>
      <c r="AA37" s="646">
        <f t="shared" si="50"/>
        <v>0</v>
      </c>
      <c r="AB37" s="646">
        <f t="shared" si="51"/>
        <v>0</v>
      </c>
      <c r="AC37" s="646">
        <f t="shared" si="52"/>
        <v>0</v>
      </c>
      <c r="AD37" s="645">
        <f>IF(OR(AND($E37=$A$6,$D$9=AD$15),AND($E37=$A$10,$D$11=AD$15),AND($E37=$A$3,$D$5=AD$15)),$D37-SUM($R37:AC37),IF($E37=$A$10,ROUND(_xlfn.XLOOKUP(AD$15,$D$10:$D$11,$C$10:$C$11,0,0)*$D37,2),IF($E37=$A$3,ROUND(_xlfn.XLOOKUP(AD$15,$D$3:$D$5,$C$3:$C$5,0,0)*$D37,2),IF($E37=$A$6,ROUND(_xlfn.XLOOKUP(AD$15,$D$6:$D$9,$C$6:$C$9,0,0)*$D37,2),""))))</f>
        <v>0</v>
      </c>
      <c r="AE37" s="646">
        <f>IF(OR(AND($E37=$A$6,$D$9=AE$15),AND($E37=$A$10,$D$11=AE$15),AND($E37=$A$3,$D$5=AE$15)),$D37-SUM($R37:AD37),IF($E37=$A$10,ROUND(_xlfn.XLOOKUP(AE$15,$D$10:$D$11,$C$10:$C$11,0,0)*$D37,2),IF($E37=$A$3,ROUND(_xlfn.XLOOKUP(AE$15,$D$3:$D$5,$C$3:$C$5,0,0)*$D37,2),IF($E37=$A$6,ROUND(_xlfn.XLOOKUP(AE$15,$D$6:$D$9,$C$6:$C$9,0,0)*$D37,2),""))))</f>
        <v>0</v>
      </c>
      <c r="AF37" s="647">
        <f>IF(OR(AND($E37=$A$6,$D$9=AF$15),AND($E37=$A$10,$D$11=AF$15),AND($E37=$A$3,$D$5=AF$15)),$D37-SUM($R37:AE37),IF($E37=$A$10,ROUND(_xlfn.XLOOKUP(AF$15,$D$10:$D$11,$C$10:$C$11,0,0)*$D37,2),IF($E37=$A$3,ROUND(_xlfn.XLOOKUP(AF$15,$D$3:$D$5,$C$3:$C$5,0,0)*$D37,2),IF($E37=$A$6,ROUND(_xlfn.XLOOKUP(AF$15,$D$6:$D$9,$C$6:$C$9,0,0)*$D37,2),""))))</f>
        <v>24071.22</v>
      </c>
      <c r="AG37" s="645"/>
      <c r="AH37" s="646"/>
      <c r="AI37" s="646"/>
      <c r="AJ37" s="646"/>
      <c r="AK37" s="647"/>
      <c r="AL37" s="645">
        <f>IF(OR(AND($E37=$A$6,$D$9=AL$15),AND($E37=$A$10,$D$11=AL$15),AND($E37=$A$3,$D$5=AL$15)),$D37-SUM($R37:AK37),IF($E37=$A$10,ROUND(_xlfn.XLOOKUP(AL$15,$D$10:$D$11,$C$10:$C$11,0,0)*$D37,2),IF($E37=$A$3,ROUND(_xlfn.XLOOKUP(AL$15,$D$3:$D$5,$C$3:$C$5,0,0)*$D37,2),IF($E37=$A$6,ROUND(_xlfn.XLOOKUP(AL$15,$D$6:$D$9,$C$6:$C$9,0,0)*$D37,2),""))))</f>
        <v>0</v>
      </c>
      <c r="AM37" s="646">
        <f>IF(OR(AND($E37=$A$6,$D$9=AM$15),AND($E37=$A$10,$D$11=AM$15),AND($E37=$A$3,$D$5=AM$15)),$D37-SUM($R37:AL37),IF($E37=$A$10,ROUND(_xlfn.XLOOKUP(AM$15,$D$10:$D$11,$C$10:$C$11,0,0)*$D37,2),IF($E37=$A$3,ROUND(_xlfn.XLOOKUP(AM$15,$D$3:$D$5,$C$3:$C$5,0,0)*$D37,2),IF($E37=$A$6,ROUND(_xlfn.XLOOKUP(AM$15,$D$6:$D$9,$C$6:$C$9,0,0)*$D37,2),""))))</f>
        <v>0</v>
      </c>
      <c r="AN37" s="647">
        <f>IF(OR(AND($E37=$A$6,$D$9=AN$15),AND($E37=$A$10,$D$11=AN$15),AND($E37=$A$3,$D$5=AN$15)),$D37-SUM($R37:AM37),IF($E37=$A$10,ROUND(_xlfn.XLOOKUP(AN$15,$D$10:$D$11,$C$10:$C$11,0,0)*$D37,2),IF($E37=$A$3,ROUND(_xlfn.XLOOKUP(AN$15,$D$3:$D$5,$C$3:$C$5,0,0)*$D37,2),IF($E37=$A$6,ROUND(_xlfn.XLOOKUP(AN$15,$D$6:$D$9,$C$6:$C$9,0,0)*$D37,2),""))))</f>
        <v>24071.22</v>
      </c>
      <c r="AO37" s="645"/>
      <c r="AP37" s="646"/>
      <c r="AQ37" s="647"/>
      <c r="AR37" s="646"/>
      <c r="AS37" s="645"/>
      <c r="AT37" s="647"/>
      <c r="AU37" s="648">
        <f>IF(OR(AND($E37=$A$6,$D$9=AU$15),AND($E37=$A$10,$D$11=AU$15),AND($E37=$A$3,$D$5=AU$15)),$D37-SUM($R37:AT37),IF($E37=$A$10,ROUND(_xlfn.XLOOKUP(AU$15,$D$10:$D$11,$C$10:$C$11,0,0)*$D37,2),IF($E37=$A$3,ROUND(_xlfn.XLOOKUP(AU$15,$D$3:$D$5,$C$3:$C$5,0,0)*$D37,2),IF($E37=$A$6,ROUND(_xlfn.XLOOKUP(AU$15,$D$6:$D$9,$C$6:$C$9,0,0)*$D37,2),""))))</f>
        <v>24071.229999999996</v>
      </c>
      <c r="AV37" s="673" t="str">
        <f>IF(SUM(R37:AU37)=D37,"","CORRIGIR")</f>
        <v/>
      </c>
    </row>
    <row r="38" spans="1:48" ht="28.5" outlineLevel="1" x14ac:dyDescent="0.2">
      <c r="A38" s="559" t="s">
        <v>5375</v>
      </c>
      <c r="B38" s="587" t="s">
        <v>4715</v>
      </c>
      <c r="C38" s="557">
        <f t="shared" si="3"/>
        <v>3.0997437650707536E-3</v>
      </c>
      <c r="D38" s="556">
        <f>Produtos!$D31</f>
        <v>80237.41</v>
      </c>
      <c r="E38" s="580" t="s">
        <v>5296</v>
      </c>
      <c r="F38" s="586"/>
      <c r="G38" s="586"/>
      <c r="H38" s="586"/>
      <c r="I38" s="586" t="s">
        <v>5295</v>
      </c>
      <c r="J38" s="586">
        <v>1</v>
      </c>
      <c r="K38" s="586"/>
      <c r="L38" s="586"/>
      <c r="M38" s="586"/>
      <c r="N38" s="586"/>
      <c r="O38" s="586"/>
      <c r="P38" s="586"/>
      <c r="Q38" s="586"/>
      <c r="R38" s="658">
        <f t="shared" si="41"/>
        <v>0</v>
      </c>
      <c r="S38" s="646">
        <f t="shared" si="42"/>
        <v>0</v>
      </c>
      <c r="T38" s="646">
        <f t="shared" si="43"/>
        <v>0</v>
      </c>
      <c r="U38" s="646">
        <f t="shared" si="44"/>
        <v>0</v>
      </c>
      <c r="V38" s="646">
        <f t="shared" si="45"/>
        <v>20059.349999999999</v>
      </c>
      <c r="W38" s="646">
        <f t="shared" si="46"/>
        <v>0</v>
      </c>
      <c r="X38" s="646">
        <f t="shared" si="47"/>
        <v>0</v>
      </c>
      <c r="Y38" s="646">
        <f t="shared" si="48"/>
        <v>0</v>
      </c>
      <c r="Z38" s="646">
        <f t="shared" si="49"/>
        <v>0</v>
      </c>
      <c r="AA38" s="646">
        <f t="shared" si="50"/>
        <v>0</v>
      </c>
      <c r="AB38" s="646">
        <f t="shared" si="51"/>
        <v>0</v>
      </c>
      <c r="AC38" s="646">
        <f t="shared" si="52"/>
        <v>0</v>
      </c>
      <c r="AD38" s="645">
        <f>IF(OR(AND($E38=$A$6,$D$9=AD$15),AND($E38=$A$10,$D$11=AD$15),AND($E38=$A$3,$D$5=AD$15)),$D38-SUM($R38:AC38),IF($E38=$A$10,ROUND(_xlfn.XLOOKUP(AD$15,$D$10:$D$11,$C$10:$C$11,0,0)*$D38,2),IF($E38=$A$3,ROUND(_xlfn.XLOOKUP(AD$15,$D$3:$D$5,$C$3:$C$5,0,0)*$D38,2),IF($E38=$A$6,ROUND(_xlfn.XLOOKUP(AD$15,$D$6:$D$9,$C$6:$C$9,0,0)*$D38,2),""))))</f>
        <v>0</v>
      </c>
      <c r="AE38" s="646">
        <f>IF(OR(AND($E38=$A$6,$D$9=AE$15),AND($E38=$A$10,$D$11=AE$15),AND($E38=$A$3,$D$5=AE$15)),$D38-SUM($R38:AD38),IF($E38=$A$10,ROUND(_xlfn.XLOOKUP(AE$15,$D$10:$D$11,$C$10:$C$11,0,0)*$D38,2),IF($E38=$A$3,ROUND(_xlfn.XLOOKUP(AE$15,$D$3:$D$5,$C$3:$C$5,0,0)*$D38,2),IF($E38=$A$6,ROUND(_xlfn.XLOOKUP(AE$15,$D$6:$D$9,$C$6:$C$9,0,0)*$D38,2),""))))</f>
        <v>0</v>
      </c>
      <c r="AF38" s="647">
        <f>IF(OR(AND($E38=$A$6,$D$9=AF$15),AND($E38=$A$10,$D$11=AF$15),AND($E38=$A$3,$D$5=AF$15)),$D38-SUM($R38:AE38),IF($E38=$A$10,ROUND(_xlfn.XLOOKUP(AF$15,$D$10:$D$11,$C$10:$C$11,0,0)*$D38,2),IF($E38=$A$3,ROUND(_xlfn.XLOOKUP(AF$15,$D$3:$D$5,$C$3:$C$5,0,0)*$D38,2),IF($E38=$A$6,ROUND(_xlfn.XLOOKUP(AF$15,$D$6:$D$9,$C$6:$C$9,0,0)*$D38,2),""))))</f>
        <v>20059.349999999999</v>
      </c>
      <c r="AG38" s="645"/>
      <c r="AH38" s="646"/>
      <c r="AI38" s="646"/>
      <c r="AJ38" s="646"/>
      <c r="AK38" s="647"/>
      <c r="AL38" s="645">
        <f>IF(OR(AND($E38=$A$6,$D$9=AL$15),AND($E38=$A$10,$D$11=AL$15),AND($E38=$A$3,$D$5=AL$15)),$D38-SUM($R38:AK38),IF($E38=$A$10,ROUND(_xlfn.XLOOKUP(AL$15,$D$10:$D$11,$C$10:$C$11,0,0)*$D38,2),IF($E38=$A$3,ROUND(_xlfn.XLOOKUP(AL$15,$D$3:$D$5,$C$3:$C$5,0,0)*$D38,2),IF($E38=$A$6,ROUND(_xlfn.XLOOKUP(AL$15,$D$6:$D$9,$C$6:$C$9,0,0)*$D38,2),""))))</f>
        <v>0</v>
      </c>
      <c r="AM38" s="646">
        <f>IF(OR(AND($E38=$A$6,$D$9=AM$15),AND($E38=$A$10,$D$11=AM$15),AND($E38=$A$3,$D$5=AM$15)),$D38-SUM($R38:AL38),IF($E38=$A$10,ROUND(_xlfn.XLOOKUP(AM$15,$D$10:$D$11,$C$10:$C$11,0,0)*$D38,2),IF($E38=$A$3,ROUND(_xlfn.XLOOKUP(AM$15,$D$3:$D$5,$C$3:$C$5,0,0)*$D38,2),IF($E38=$A$6,ROUND(_xlfn.XLOOKUP(AM$15,$D$6:$D$9,$C$6:$C$9,0,0)*$D38,2),""))))</f>
        <v>0</v>
      </c>
      <c r="AN38" s="647">
        <f>IF(OR(AND($E38=$A$6,$D$9=AN$15),AND($E38=$A$10,$D$11=AN$15),AND($E38=$A$3,$D$5=AN$15)),$D38-SUM($R38:AM38),IF($E38=$A$10,ROUND(_xlfn.XLOOKUP(AN$15,$D$10:$D$11,$C$10:$C$11,0,0)*$D38,2),IF($E38=$A$3,ROUND(_xlfn.XLOOKUP(AN$15,$D$3:$D$5,$C$3:$C$5,0,0)*$D38,2),IF($E38=$A$6,ROUND(_xlfn.XLOOKUP(AN$15,$D$6:$D$9,$C$6:$C$9,0,0)*$D38,2),""))))</f>
        <v>20059.349999999999</v>
      </c>
      <c r="AO38" s="645"/>
      <c r="AP38" s="646"/>
      <c r="AQ38" s="647"/>
      <c r="AR38" s="646"/>
      <c r="AS38" s="645"/>
      <c r="AT38" s="647"/>
      <c r="AU38" s="648">
        <f>IF(OR(AND($E38=$A$6,$D$9=AU$15),AND($E38=$A$10,$D$11=AU$15),AND($E38=$A$3,$D$5=AU$15)),$D38-SUM($R38:AT38),IF($E38=$A$10,ROUND(_xlfn.XLOOKUP(AU$15,$D$10:$D$11,$C$10:$C$11,0,0)*$D38,2),IF($E38=$A$3,ROUND(_xlfn.XLOOKUP(AU$15,$D$3:$D$5,$C$3:$C$5,0,0)*$D38,2),IF($E38=$A$6,ROUND(_xlfn.XLOOKUP(AU$15,$D$6:$D$9,$C$6:$C$9,0,0)*$D38,2),""))))</f>
        <v>20059.360000000008</v>
      </c>
      <c r="AV38" s="673" t="str">
        <f>IF(SUM(R38:AU38)=D38,"","CORRIGIR")</f>
        <v/>
      </c>
    </row>
    <row r="39" spans="1:48" s="568" customFormat="1" ht="15" x14ac:dyDescent="0.2">
      <c r="A39" s="576">
        <v>2</v>
      </c>
      <c r="B39" s="575" t="s">
        <v>4716</v>
      </c>
      <c r="C39" s="584">
        <f t="shared" si="3"/>
        <v>0.50254285241832153</v>
      </c>
      <c r="D39" s="585">
        <f>SUBTOTAL(9,D40:D78)</f>
        <v>13008409.710000001</v>
      </c>
      <c r="E39" s="569"/>
      <c r="F39" s="572"/>
      <c r="G39" s="571"/>
      <c r="H39" s="570"/>
      <c r="I39" s="571"/>
      <c r="J39" s="570"/>
      <c r="K39" s="571"/>
      <c r="L39" s="570"/>
      <c r="M39" s="571"/>
      <c r="N39" s="570"/>
      <c r="O39" s="571"/>
      <c r="P39" s="570"/>
      <c r="Q39" s="569"/>
      <c r="R39" s="659"/>
      <c r="S39" s="660"/>
      <c r="T39" s="659"/>
      <c r="U39" s="660"/>
      <c r="V39" s="659"/>
      <c r="W39" s="660"/>
      <c r="X39" s="659"/>
      <c r="Y39" s="660"/>
      <c r="Z39" s="659"/>
      <c r="AA39" s="660"/>
      <c r="AB39" s="659"/>
      <c r="AC39" s="660"/>
      <c r="AD39" s="659"/>
      <c r="AE39" s="660"/>
      <c r="AF39" s="659"/>
      <c r="AG39" s="660"/>
      <c r="AH39" s="659"/>
      <c r="AI39" s="660"/>
      <c r="AJ39" s="659"/>
      <c r="AK39" s="660"/>
      <c r="AL39" s="659"/>
      <c r="AM39" s="660"/>
      <c r="AN39" s="659"/>
      <c r="AO39" s="660"/>
      <c r="AP39" s="659"/>
      <c r="AQ39" s="660"/>
      <c r="AR39" s="659"/>
      <c r="AS39" s="660"/>
      <c r="AT39" s="659"/>
      <c r="AU39" s="661"/>
      <c r="AV39" s="673"/>
    </row>
    <row r="40" spans="1:48" ht="15" x14ac:dyDescent="0.2">
      <c r="A40" s="567" t="s">
        <v>2707</v>
      </c>
      <c r="B40" s="566" t="s">
        <v>4694</v>
      </c>
      <c r="C40" s="565">
        <f t="shared" si="3"/>
        <v>8.0328913950949304E-4</v>
      </c>
      <c r="D40" s="564">
        <f>SUBTOTAL(9,D41:D48)</f>
        <v>20793.28</v>
      </c>
      <c r="E40" s="563"/>
      <c r="F40" s="561"/>
      <c r="G40" s="562"/>
      <c r="H40" s="561"/>
      <c r="I40" s="562"/>
      <c r="J40" s="561"/>
      <c r="K40" s="562"/>
      <c r="L40" s="561"/>
      <c r="M40" s="562"/>
      <c r="N40" s="561"/>
      <c r="O40" s="562"/>
      <c r="P40" s="561"/>
      <c r="Q40" s="560"/>
      <c r="R40" s="640"/>
      <c r="S40" s="641"/>
      <c r="T40" s="640"/>
      <c r="U40" s="641"/>
      <c r="V40" s="640"/>
      <c r="W40" s="641"/>
      <c r="X40" s="640"/>
      <c r="Y40" s="641"/>
      <c r="Z40" s="640"/>
      <c r="AA40" s="641"/>
      <c r="AB40" s="640"/>
      <c r="AC40" s="641"/>
      <c r="AD40" s="640"/>
      <c r="AE40" s="641"/>
      <c r="AF40" s="640"/>
      <c r="AG40" s="641"/>
      <c r="AH40" s="640"/>
      <c r="AI40" s="641"/>
      <c r="AJ40" s="640"/>
      <c r="AK40" s="641"/>
      <c r="AL40" s="640"/>
      <c r="AM40" s="641"/>
      <c r="AN40" s="640"/>
      <c r="AO40" s="641"/>
      <c r="AP40" s="640"/>
      <c r="AQ40" s="641"/>
      <c r="AR40" s="640"/>
      <c r="AS40" s="641"/>
      <c r="AT40" s="640"/>
      <c r="AU40" s="642"/>
      <c r="AV40" s="673"/>
    </row>
    <row r="41" spans="1:48" ht="14.25" outlineLevel="1" x14ac:dyDescent="0.2">
      <c r="A41" s="559" t="s">
        <v>5374</v>
      </c>
      <c r="B41" s="558" t="s">
        <v>4717</v>
      </c>
      <c r="C41" s="557">
        <f t="shared" si="3"/>
        <v>1.0041114243868663E-4</v>
      </c>
      <c r="D41" s="556">
        <f>Produtos!$D34</f>
        <v>2599.16</v>
      </c>
      <c r="E41" s="578" t="s">
        <v>5286</v>
      </c>
      <c r="F41" s="577">
        <v>1</v>
      </c>
      <c r="G41" s="577"/>
      <c r="H41" s="577"/>
      <c r="I41" s="577"/>
      <c r="J41" s="577"/>
      <c r="K41" s="577"/>
      <c r="L41" s="577"/>
      <c r="M41" s="577"/>
      <c r="N41" s="577"/>
      <c r="O41" s="577"/>
      <c r="P41" s="577"/>
      <c r="Q41" s="577"/>
      <c r="R41" s="658">
        <f t="shared" ref="R41:R48" si="53">IF(F41=1,ROUND(_xlfn.XLOOKUP($E41,$A$2:$A$11,$C$2:$C$11,0,0)*F41*$D41,2),0)</f>
        <v>2599.16</v>
      </c>
      <c r="S41" s="646">
        <f t="shared" ref="S41:S48" si="54">IF(G41=1,ROUND(_xlfn.XLOOKUP($E41,$A$2:$A$11,$C$2:$C$11,0,0)*G41*$D41,2),0)</f>
        <v>0</v>
      </c>
      <c r="T41" s="646">
        <f t="shared" ref="T41:T48" si="55">IF(H41=1,ROUND(_xlfn.XLOOKUP($E41,$A$2:$A$11,$C$2:$C$11,0,0)*H41*$D41,2),0)</f>
        <v>0</v>
      </c>
      <c r="U41" s="646">
        <f t="shared" ref="U41:U48" si="56">IF(I41=1,ROUND(_xlfn.XLOOKUP($E41,$A$2:$A$11,$C$2:$C$11,0,0)*I41*$D41,2),0)</f>
        <v>0</v>
      </c>
      <c r="V41" s="646">
        <f t="shared" ref="V41:V48" si="57">IF(J41=1,ROUND(_xlfn.XLOOKUP($E41,$A$2:$A$11,$C$2:$C$11,0,0)*J41*$D41,2),0)</f>
        <v>0</v>
      </c>
      <c r="W41" s="646">
        <f t="shared" ref="W41:W48" si="58">IF(K41=1,ROUND(_xlfn.XLOOKUP($E41,$A$2:$A$11,$C$2:$C$11,0,0)*K41*$D41,2),0)</f>
        <v>0</v>
      </c>
      <c r="X41" s="646">
        <f t="shared" ref="X41:X48" si="59">IF(L41=1,ROUND(_xlfn.XLOOKUP($E41,$A$2:$A$11,$C$2:$C$11,0,0)*L41*$D41,2),0)</f>
        <v>0</v>
      </c>
      <c r="Y41" s="646">
        <f t="shared" ref="Y41:Y48" si="60">IF(M41=1,ROUND(_xlfn.XLOOKUP($E41,$A$2:$A$11,$C$2:$C$11,0,0)*M41*$D41,2),0)</f>
        <v>0</v>
      </c>
      <c r="Z41" s="646">
        <f t="shared" ref="Z41:Z48" si="61">IF(N41=1,ROUND(_xlfn.XLOOKUP($E41,$A$2:$A$11,$C$2:$C$11,0,0)*N41*$D41,2),0)</f>
        <v>0</v>
      </c>
      <c r="AA41" s="646">
        <f t="shared" ref="AA41:AA48" si="62">IF(O41=1,ROUND(_xlfn.XLOOKUP($E41,$A$2:$A$11,$C$2:$C$11,0,0)*O41*$D41,2),0)</f>
        <v>0</v>
      </c>
      <c r="AB41" s="646">
        <f t="shared" ref="AB41:AB48" si="63">IF(P41=1,ROUND(_xlfn.XLOOKUP($E41,$A$2:$A$11,$C$2:$C$11,0,0)*P41*$D41,2),0)</f>
        <v>0</v>
      </c>
      <c r="AC41" s="646">
        <f t="shared" ref="AC41:AC48" si="64">IF(Q41=1,ROUND(_xlfn.XLOOKUP($E41,$A$2:$A$11,$C$2:$C$11,0,0)*Q41*$D41,2),0)</f>
        <v>0</v>
      </c>
      <c r="AD41" s="645" t="str">
        <f>IF(OR(AND($E41=$A$6,$D$9=AD$15),AND($E41=$A$10,$D$11=AD$15),AND($E41=$A$3,$D$5=AD$15)),$D41-SUM($R41:AC41),IF($E41=$A$10,ROUND(_xlfn.XLOOKUP(AD$15,$D$10:$D$11,$C$10:$C$11,0,0)*$D41,2),IF($E41=$A$3,ROUND(_xlfn.XLOOKUP(AD$15,$D$3:$D$5,$C$3:$C$5,0,0)*$D41,2),IF($E41=$A$6,ROUND(_xlfn.XLOOKUP(AD$15,$D$6:$D$9,$C$6:$C$9,0,0)*$D41,2),""))))</f>
        <v/>
      </c>
      <c r="AE41" s="646" t="str">
        <f>IF(OR(AND($E41=$A$6,$D$9=AE$15),AND($E41=$A$10,$D$11=AE$15),AND($E41=$A$3,$D$5=AE$15)),$D41-SUM($R41:AD41),IF($E41=$A$10,ROUND(_xlfn.XLOOKUP(AE$15,$D$10:$D$11,$C$10:$C$11,0,0)*$D41,2),IF($E41=$A$3,ROUND(_xlfn.XLOOKUP(AE$15,$D$3:$D$5,$C$3:$C$5,0,0)*$D41,2),IF($E41=$A$6,ROUND(_xlfn.XLOOKUP(AE$15,$D$6:$D$9,$C$6:$C$9,0,0)*$D41,2),""))))</f>
        <v/>
      </c>
      <c r="AF41" s="647" t="str">
        <f>IF(OR(AND($E41=$A$6,$D$9=AF$15),AND($E41=$A$10,$D$11=AF$15),AND($E41=$A$3,$D$5=AF$15)),$D41-SUM($R41:AE41),IF($E41=$A$10,ROUND(_xlfn.XLOOKUP(AF$15,$D$10:$D$11,$C$10:$C$11,0,0)*$D41,2),IF($E41=$A$3,ROUND(_xlfn.XLOOKUP(AF$15,$D$3:$D$5,$C$3:$C$5,0,0)*$D41,2),IF($E41=$A$6,ROUND(_xlfn.XLOOKUP(AF$15,$D$6:$D$9,$C$6:$C$9,0,0)*$D41,2),""))))</f>
        <v/>
      </c>
      <c r="AG41" s="645"/>
      <c r="AH41" s="646"/>
      <c r="AI41" s="646"/>
      <c r="AJ41" s="646"/>
      <c r="AK41" s="647"/>
      <c r="AL41" s="645" t="str">
        <f>IF(OR(AND($E41=$A$6,$D$9=AL$15),AND($E41=$A$10,$D$11=AL$15),AND($E41=$A$3,$D$5=AL$15)),$D41-SUM($R41:AK41),IF($E41=$A$10,ROUND(_xlfn.XLOOKUP(AL$15,$D$10:$D$11,$C$10:$C$11,0,0)*$D41,2),IF($E41=$A$3,ROUND(_xlfn.XLOOKUP(AL$15,$D$3:$D$5,$C$3:$C$5,0,0)*$D41,2),IF($E41=$A$6,ROUND(_xlfn.XLOOKUP(AL$15,$D$6:$D$9,$C$6:$C$9,0,0)*$D41,2),""))))</f>
        <v/>
      </c>
      <c r="AM41" s="646" t="str">
        <f>IF(OR(AND($E41=$A$6,$D$9=AM$15),AND($E41=$A$10,$D$11=AM$15),AND($E41=$A$3,$D$5=AM$15)),$D41-SUM($R41:AL41),IF($E41=$A$10,ROUND(_xlfn.XLOOKUP(AM$15,$D$10:$D$11,$C$10:$C$11,0,0)*$D41,2),IF($E41=$A$3,ROUND(_xlfn.XLOOKUP(AM$15,$D$3:$D$5,$C$3:$C$5,0,0)*$D41,2),IF($E41=$A$6,ROUND(_xlfn.XLOOKUP(AM$15,$D$6:$D$9,$C$6:$C$9,0,0)*$D41,2),""))))</f>
        <v/>
      </c>
      <c r="AN41" s="647" t="str">
        <f>IF(OR(AND($E41=$A$6,$D$9=AN$15),AND($E41=$A$10,$D$11=AN$15),AND($E41=$A$3,$D$5=AN$15)),$D41-SUM($R41:AM41),IF($E41=$A$10,ROUND(_xlfn.XLOOKUP(AN$15,$D$10:$D$11,$C$10:$C$11,0,0)*$D41,2),IF($E41=$A$3,ROUND(_xlfn.XLOOKUP(AN$15,$D$3:$D$5,$C$3:$C$5,0,0)*$D41,2),IF($E41=$A$6,ROUND(_xlfn.XLOOKUP(AN$15,$D$6:$D$9,$C$6:$C$9,0,0)*$D41,2),""))))</f>
        <v/>
      </c>
      <c r="AO41" s="645"/>
      <c r="AP41" s="646"/>
      <c r="AQ41" s="647"/>
      <c r="AR41" s="646"/>
      <c r="AS41" s="645"/>
      <c r="AT41" s="647"/>
      <c r="AU41" s="648" t="str">
        <f>IF(OR(AND($E41=$A$6,$D$9=AU$15),AND($E41=$A$10,$D$11=AU$15),AND($E41=$A$3,$D$5=AU$15)),$D41-SUM($R41:AT41),IF($E41=$A$10,ROUND(_xlfn.XLOOKUP(AU$15,$D$10:$D$11,$C$10:$C$11,0,0)*$D41,2),IF($E41=$A$3,ROUND(_xlfn.XLOOKUP(AU$15,$D$3:$D$5,$C$3:$C$5,0,0)*$D41,2),IF($E41=$A$6,ROUND(_xlfn.XLOOKUP(AU$15,$D$6:$D$9,$C$6:$C$9,0,0)*$D41,2),""))))</f>
        <v/>
      </c>
      <c r="AV41" s="673" t="str">
        <f t="shared" ref="AV41:AV48" si="65">IF(SUM(R41:AU41)=D41,"","CORRIGIR")</f>
        <v/>
      </c>
    </row>
    <row r="42" spans="1:48" ht="14.25" outlineLevel="1" x14ac:dyDescent="0.2">
      <c r="A42" s="559" t="s">
        <v>5373</v>
      </c>
      <c r="B42" s="558" t="s">
        <v>4718</v>
      </c>
      <c r="C42" s="557">
        <f t="shared" si="3"/>
        <v>1.0041114243868663E-4</v>
      </c>
      <c r="D42" s="556">
        <f>Produtos!$D35</f>
        <v>2599.16</v>
      </c>
      <c r="E42" s="578" t="s">
        <v>5286</v>
      </c>
      <c r="F42" s="577">
        <v>1</v>
      </c>
      <c r="G42" s="577"/>
      <c r="H42" s="577"/>
      <c r="I42" s="577"/>
      <c r="J42" s="577"/>
      <c r="K42" s="577"/>
      <c r="L42" s="577"/>
      <c r="M42" s="577"/>
      <c r="N42" s="577"/>
      <c r="O42" s="577"/>
      <c r="P42" s="577"/>
      <c r="Q42" s="577"/>
      <c r="R42" s="658">
        <f t="shared" si="53"/>
        <v>2599.16</v>
      </c>
      <c r="S42" s="646">
        <f t="shared" si="54"/>
        <v>0</v>
      </c>
      <c r="T42" s="646">
        <f t="shared" si="55"/>
        <v>0</v>
      </c>
      <c r="U42" s="646">
        <f t="shared" si="56"/>
        <v>0</v>
      </c>
      <c r="V42" s="646">
        <f t="shared" si="57"/>
        <v>0</v>
      </c>
      <c r="W42" s="646">
        <f t="shared" si="58"/>
        <v>0</v>
      </c>
      <c r="X42" s="646">
        <f t="shared" si="59"/>
        <v>0</v>
      </c>
      <c r="Y42" s="646">
        <f t="shared" si="60"/>
        <v>0</v>
      </c>
      <c r="Z42" s="646">
        <f t="shared" si="61"/>
        <v>0</v>
      </c>
      <c r="AA42" s="646">
        <f t="shared" si="62"/>
        <v>0</v>
      </c>
      <c r="AB42" s="646">
        <f t="shared" si="63"/>
        <v>0</v>
      </c>
      <c r="AC42" s="646">
        <f t="shared" si="64"/>
        <v>0</v>
      </c>
      <c r="AD42" s="645" t="str">
        <f>IF(OR(AND($E42=$A$6,$D$9=AD$15),AND($E42=$A$10,$D$11=AD$15),AND($E42=$A$3,$D$5=AD$15)),$D42-SUM($R42:AC42),IF($E42=$A$10,ROUND(_xlfn.XLOOKUP(AD$15,$D$10:$D$11,$C$10:$C$11,0,0)*$D42,2),IF($E42=$A$3,ROUND(_xlfn.XLOOKUP(AD$15,$D$3:$D$5,$C$3:$C$5,0,0)*$D42,2),IF($E42=$A$6,ROUND(_xlfn.XLOOKUP(AD$15,$D$6:$D$9,$C$6:$C$9,0,0)*$D42,2),""))))</f>
        <v/>
      </c>
      <c r="AE42" s="646" t="str">
        <f>IF(OR(AND($E42=$A$6,$D$9=AE$15),AND($E42=$A$10,$D$11=AE$15),AND($E42=$A$3,$D$5=AE$15)),$D42-SUM($R42:AD42),IF($E42=$A$10,ROUND(_xlfn.XLOOKUP(AE$15,$D$10:$D$11,$C$10:$C$11,0,0)*$D42,2),IF($E42=$A$3,ROUND(_xlfn.XLOOKUP(AE$15,$D$3:$D$5,$C$3:$C$5,0,0)*$D42,2),IF($E42=$A$6,ROUND(_xlfn.XLOOKUP(AE$15,$D$6:$D$9,$C$6:$C$9,0,0)*$D42,2),""))))</f>
        <v/>
      </c>
      <c r="AF42" s="647" t="str">
        <f>IF(OR(AND($E42=$A$6,$D$9=AF$15),AND($E42=$A$10,$D$11=AF$15),AND($E42=$A$3,$D$5=AF$15)),$D42-SUM($R42:AE42),IF($E42=$A$10,ROUND(_xlfn.XLOOKUP(AF$15,$D$10:$D$11,$C$10:$C$11,0,0)*$D42,2),IF($E42=$A$3,ROUND(_xlfn.XLOOKUP(AF$15,$D$3:$D$5,$C$3:$C$5,0,0)*$D42,2),IF($E42=$A$6,ROUND(_xlfn.XLOOKUP(AF$15,$D$6:$D$9,$C$6:$C$9,0,0)*$D42,2),""))))</f>
        <v/>
      </c>
      <c r="AG42" s="645"/>
      <c r="AH42" s="646"/>
      <c r="AI42" s="646"/>
      <c r="AJ42" s="646"/>
      <c r="AK42" s="647"/>
      <c r="AL42" s="645" t="str">
        <f>IF(OR(AND($E42=$A$6,$D$9=AL$15),AND($E42=$A$10,$D$11=AL$15),AND($E42=$A$3,$D$5=AL$15)),$D42-SUM($R42:AK42),IF($E42=$A$10,ROUND(_xlfn.XLOOKUP(AL$15,$D$10:$D$11,$C$10:$C$11,0,0)*$D42,2),IF($E42=$A$3,ROUND(_xlfn.XLOOKUP(AL$15,$D$3:$D$5,$C$3:$C$5,0,0)*$D42,2),IF($E42=$A$6,ROUND(_xlfn.XLOOKUP(AL$15,$D$6:$D$9,$C$6:$C$9,0,0)*$D42,2),""))))</f>
        <v/>
      </c>
      <c r="AM42" s="646" t="str">
        <f>IF(OR(AND($E42=$A$6,$D$9=AM$15),AND($E42=$A$10,$D$11=AM$15),AND($E42=$A$3,$D$5=AM$15)),$D42-SUM($R42:AL42),IF($E42=$A$10,ROUND(_xlfn.XLOOKUP(AM$15,$D$10:$D$11,$C$10:$C$11,0,0)*$D42,2),IF($E42=$A$3,ROUND(_xlfn.XLOOKUP(AM$15,$D$3:$D$5,$C$3:$C$5,0,0)*$D42,2),IF($E42=$A$6,ROUND(_xlfn.XLOOKUP(AM$15,$D$6:$D$9,$C$6:$C$9,0,0)*$D42,2),""))))</f>
        <v/>
      </c>
      <c r="AN42" s="647" t="str">
        <f>IF(OR(AND($E42=$A$6,$D$9=AN$15),AND($E42=$A$10,$D$11=AN$15),AND($E42=$A$3,$D$5=AN$15)),$D42-SUM($R42:AM42),IF($E42=$A$10,ROUND(_xlfn.XLOOKUP(AN$15,$D$10:$D$11,$C$10:$C$11,0,0)*$D42,2),IF($E42=$A$3,ROUND(_xlfn.XLOOKUP(AN$15,$D$3:$D$5,$C$3:$C$5,0,0)*$D42,2),IF($E42=$A$6,ROUND(_xlfn.XLOOKUP(AN$15,$D$6:$D$9,$C$6:$C$9,0,0)*$D42,2),""))))</f>
        <v/>
      </c>
      <c r="AO42" s="645"/>
      <c r="AP42" s="646"/>
      <c r="AQ42" s="647"/>
      <c r="AR42" s="646"/>
      <c r="AS42" s="645"/>
      <c r="AT42" s="647"/>
      <c r="AU42" s="648" t="str">
        <f>IF(OR(AND($E42=$A$6,$D$9=AU$15),AND($E42=$A$10,$D$11=AU$15),AND($E42=$A$3,$D$5=AU$15)),$D42-SUM($R42:AT42),IF($E42=$A$10,ROUND(_xlfn.XLOOKUP(AU$15,$D$10:$D$11,$C$10:$C$11,0,0)*$D42,2),IF($E42=$A$3,ROUND(_xlfn.XLOOKUP(AU$15,$D$3:$D$5,$C$3:$C$5,0,0)*$D42,2),IF($E42=$A$6,ROUND(_xlfn.XLOOKUP(AU$15,$D$6:$D$9,$C$6:$C$9,0,0)*$D42,2),""))))</f>
        <v/>
      </c>
      <c r="AV42" s="673" t="str">
        <f t="shared" si="65"/>
        <v/>
      </c>
    </row>
    <row r="43" spans="1:48" ht="14.25" outlineLevel="1" x14ac:dyDescent="0.2">
      <c r="A43" s="559" t="s">
        <v>5372</v>
      </c>
      <c r="B43" s="558" t="s">
        <v>4719</v>
      </c>
      <c r="C43" s="557">
        <f t="shared" si="3"/>
        <v>1.0041114243868663E-4</v>
      </c>
      <c r="D43" s="556">
        <f>Produtos!$D36</f>
        <v>2599.16</v>
      </c>
      <c r="E43" s="578" t="s">
        <v>5286</v>
      </c>
      <c r="F43" s="577">
        <v>1</v>
      </c>
      <c r="G43" s="577"/>
      <c r="H43" s="577"/>
      <c r="I43" s="577"/>
      <c r="J43" s="577"/>
      <c r="K43" s="577"/>
      <c r="L43" s="577"/>
      <c r="M43" s="577"/>
      <c r="N43" s="577"/>
      <c r="O43" s="577"/>
      <c r="P43" s="577"/>
      <c r="Q43" s="577"/>
      <c r="R43" s="658">
        <f t="shared" si="53"/>
        <v>2599.16</v>
      </c>
      <c r="S43" s="646">
        <f t="shared" si="54"/>
        <v>0</v>
      </c>
      <c r="T43" s="646">
        <f t="shared" si="55"/>
        <v>0</v>
      </c>
      <c r="U43" s="646">
        <f t="shared" si="56"/>
        <v>0</v>
      </c>
      <c r="V43" s="646">
        <f t="shared" si="57"/>
        <v>0</v>
      </c>
      <c r="W43" s="646">
        <f t="shared" si="58"/>
        <v>0</v>
      </c>
      <c r="X43" s="646">
        <f t="shared" si="59"/>
        <v>0</v>
      </c>
      <c r="Y43" s="646">
        <f t="shared" si="60"/>
        <v>0</v>
      </c>
      <c r="Z43" s="646">
        <f t="shared" si="61"/>
        <v>0</v>
      </c>
      <c r="AA43" s="646">
        <f t="shared" si="62"/>
        <v>0</v>
      </c>
      <c r="AB43" s="646">
        <f t="shared" si="63"/>
        <v>0</v>
      </c>
      <c r="AC43" s="646">
        <f t="shared" si="64"/>
        <v>0</v>
      </c>
      <c r="AD43" s="645" t="str">
        <f>IF(OR(AND($E43=$A$6,$D$9=AD$15),AND($E43=$A$10,$D$11=AD$15),AND($E43=$A$3,$D$5=AD$15)),$D43-SUM($R43:AC43),IF($E43=$A$10,ROUND(_xlfn.XLOOKUP(AD$15,$D$10:$D$11,$C$10:$C$11,0,0)*$D43,2),IF($E43=$A$3,ROUND(_xlfn.XLOOKUP(AD$15,$D$3:$D$5,$C$3:$C$5,0,0)*$D43,2),IF($E43=$A$6,ROUND(_xlfn.XLOOKUP(AD$15,$D$6:$D$9,$C$6:$C$9,0,0)*$D43,2),""))))</f>
        <v/>
      </c>
      <c r="AE43" s="646" t="str">
        <f>IF(OR(AND($E43=$A$6,$D$9=AE$15),AND($E43=$A$10,$D$11=AE$15),AND($E43=$A$3,$D$5=AE$15)),$D43-SUM($R43:AD43),IF($E43=$A$10,ROUND(_xlfn.XLOOKUP(AE$15,$D$10:$D$11,$C$10:$C$11,0,0)*$D43,2),IF($E43=$A$3,ROUND(_xlfn.XLOOKUP(AE$15,$D$3:$D$5,$C$3:$C$5,0,0)*$D43,2),IF($E43=$A$6,ROUND(_xlfn.XLOOKUP(AE$15,$D$6:$D$9,$C$6:$C$9,0,0)*$D43,2),""))))</f>
        <v/>
      </c>
      <c r="AF43" s="647" t="str">
        <f>IF(OR(AND($E43=$A$6,$D$9=AF$15),AND($E43=$A$10,$D$11=AF$15),AND($E43=$A$3,$D$5=AF$15)),$D43-SUM($R43:AE43),IF($E43=$A$10,ROUND(_xlfn.XLOOKUP(AF$15,$D$10:$D$11,$C$10:$C$11,0,0)*$D43,2),IF($E43=$A$3,ROUND(_xlfn.XLOOKUP(AF$15,$D$3:$D$5,$C$3:$C$5,0,0)*$D43,2),IF($E43=$A$6,ROUND(_xlfn.XLOOKUP(AF$15,$D$6:$D$9,$C$6:$C$9,0,0)*$D43,2),""))))</f>
        <v/>
      </c>
      <c r="AG43" s="645"/>
      <c r="AH43" s="646"/>
      <c r="AI43" s="646"/>
      <c r="AJ43" s="646"/>
      <c r="AK43" s="647"/>
      <c r="AL43" s="645" t="str">
        <f>IF(OR(AND($E43=$A$6,$D$9=AL$15),AND($E43=$A$10,$D$11=AL$15),AND($E43=$A$3,$D$5=AL$15)),$D43-SUM($R43:AK43),IF($E43=$A$10,ROUND(_xlfn.XLOOKUP(AL$15,$D$10:$D$11,$C$10:$C$11,0,0)*$D43,2),IF($E43=$A$3,ROUND(_xlfn.XLOOKUP(AL$15,$D$3:$D$5,$C$3:$C$5,0,0)*$D43,2),IF($E43=$A$6,ROUND(_xlfn.XLOOKUP(AL$15,$D$6:$D$9,$C$6:$C$9,0,0)*$D43,2),""))))</f>
        <v/>
      </c>
      <c r="AM43" s="646" t="str">
        <f>IF(OR(AND($E43=$A$6,$D$9=AM$15),AND($E43=$A$10,$D$11=AM$15),AND($E43=$A$3,$D$5=AM$15)),$D43-SUM($R43:AL43),IF($E43=$A$10,ROUND(_xlfn.XLOOKUP(AM$15,$D$10:$D$11,$C$10:$C$11,0,0)*$D43,2),IF($E43=$A$3,ROUND(_xlfn.XLOOKUP(AM$15,$D$3:$D$5,$C$3:$C$5,0,0)*$D43,2),IF($E43=$A$6,ROUND(_xlfn.XLOOKUP(AM$15,$D$6:$D$9,$C$6:$C$9,0,0)*$D43,2),""))))</f>
        <v/>
      </c>
      <c r="AN43" s="647" t="str">
        <f>IF(OR(AND($E43=$A$6,$D$9=AN$15),AND($E43=$A$10,$D$11=AN$15),AND($E43=$A$3,$D$5=AN$15)),$D43-SUM($R43:AM43),IF($E43=$A$10,ROUND(_xlfn.XLOOKUP(AN$15,$D$10:$D$11,$C$10:$C$11,0,0)*$D43,2),IF($E43=$A$3,ROUND(_xlfn.XLOOKUP(AN$15,$D$3:$D$5,$C$3:$C$5,0,0)*$D43,2),IF($E43=$A$6,ROUND(_xlfn.XLOOKUP(AN$15,$D$6:$D$9,$C$6:$C$9,0,0)*$D43,2),""))))</f>
        <v/>
      </c>
      <c r="AO43" s="645"/>
      <c r="AP43" s="646"/>
      <c r="AQ43" s="647"/>
      <c r="AR43" s="646"/>
      <c r="AS43" s="645"/>
      <c r="AT43" s="647"/>
      <c r="AU43" s="648" t="str">
        <f>IF(OR(AND($E43=$A$6,$D$9=AU$15),AND($E43=$A$10,$D$11=AU$15),AND($E43=$A$3,$D$5=AU$15)),$D43-SUM($R43:AT43),IF($E43=$A$10,ROUND(_xlfn.XLOOKUP(AU$15,$D$10:$D$11,$C$10:$C$11,0,0)*$D43,2),IF($E43=$A$3,ROUND(_xlfn.XLOOKUP(AU$15,$D$3:$D$5,$C$3:$C$5,0,0)*$D43,2),IF($E43=$A$6,ROUND(_xlfn.XLOOKUP(AU$15,$D$6:$D$9,$C$6:$C$9,0,0)*$D43,2),""))))</f>
        <v/>
      </c>
      <c r="AV43" s="673" t="str">
        <f t="shared" si="65"/>
        <v/>
      </c>
    </row>
    <row r="44" spans="1:48" ht="14.25" outlineLevel="1" x14ac:dyDescent="0.2">
      <c r="A44" s="559" t="s">
        <v>5371</v>
      </c>
      <c r="B44" s="558" t="s">
        <v>4720</v>
      </c>
      <c r="C44" s="557">
        <f t="shared" si="3"/>
        <v>1.0041114243868663E-4</v>
      </c>
      <c r="D44" s="556">
        <f>Produtos!$D37</f>
        <v>2599.16</v>
      </c>
      <c r="E44" s="578" t="s">
        <v>5286</v>
      </c>
      <c r="F44" s="577">
        <v>1</v>
      </c>
      <c r="G44" s="577"/>
      <c r="H44" s="577"/>
      <c r="I44" s="577"/>
      <c r="J44" s="577"/>
      <c r="K44" s="577"/>
      <c r="L44" s="577"/>
      <c r="M44" s="577"/>
      <c r="N44" s="577"/>
      <c r="O44" s="577"/>
      <c r="P44" s="577"/>
      <c r="Q44" s="577"/>
      <c r="R44" s="658">
        <f t="shared" si="53"/>
        <v>2599.16</v>
      </c>
      <c r="S44" s="646">
        <f t="shared" si="54"/>
        <v>0</v>
      </c>
      <c r="T44" s="646">
        <f t="shared" si="55"/>
        <v>0</v>
      </c>
      <c r="U44" s="646">
        <f t="shared" si="56"/>
        <v>0</v>
      </c>
      <c r="V44" s="646">
        <f t="shared" si="57"/>
        <v>0</v>
      </c>
      <c r="W44" s="646">
        <f t="shared" si="58"/>
        <v>0</v>
      </c>
      <c r="X44" s="646">
        <f t="shared" si="59"/>
        <v>0</v>
      </c>
      <c r="Y44" s="646">
        <f t="shared" si="60"/>
        <v>0</v>
      </c>
      <c r="Z44" s="646">
        <f t="shared" si="61"/>
        <v>0</v>
      </c>
      <c r="AA44" s="646">
        <f t="shared" si="62"/>
        <v>0</v>
      </c>
      <c r="AB44" s="646">
        <f t="shared" si="63"/>
        <v>0</v>
      </c>
      <c r="AC44" s="646">
        <f t="shared" si="64"/>
        <v>0</v>
      </c>
      <c r="AD44" s="645" t="str">
        <f>IF(OR(AND($E44=$A$6,$D$9=AD$15),AND($E44=$A$10,$D$11=AD$15),AND($E44=$A$3,$D$5=AD$15)),$D44-SUM($R44:AC44),IF($E44=$A$10,ROUND(_xlfn.XLOOKUP(AD$15,$D$10:$D$11,$C$10:$C$11,0,0)*$D44,2),IF($E44=$A$3,ROUND(_xlfn.XLOOKUP(AD$15,$D$3:$D$5,$C$3:$C$5,0,0)*$D44,2),IF($E44=$A$6,ROUND(_xlfn.XLOOKUP(AD$15,$D$6:$D$9,$C$6:$C$9,0,0)*$D44,2),""))))</f>
        <v/>
      </c>
      <c r="AE44" s="646" t="str">
        <f>IF(OR(AND($E44=$A$6,$D$9=AE$15),AND($E44=$A$10,$D$11=AE$15),AND($E44=$A$3,$D$5=AE$15)),$D44-SUM($R44:AD44),IF($E44=$A$10,ROUND(_xlfn.XLOOKUP(AE$15,$D$10:$D$11,$C$10:$C$11,0,0)*$D44,2),IF($E44=$A$3,ROUND(_xlfn.XLOOKUP(AE$15,$D$3:$D$5,$C$3:$C$5,0,0)*$D44,2),IF($E44=$A$6,ROUND(_xlfn.XLOOKUP(AE$15,$D$6:$D$9,$C$6:$C$9,0,0)*$D44,2),""))))</f>
        <v/>
      </c>
      <c r="AF44" s="647" t="str">
        <f>IF(OR(AND($E44=$A$6,$D$9=AF$15),AND($E44=$A$10,$D$11=AF$15),AND($E44=$A$3,$D$5=AF$15)),$D44-SUM($R44:AE44),IF($E44=$A$10,ROUND(_xlfn.XLOOKUP(AF$15,$D$10:$D$11,$C$10:$C$11,0,0)*$D44,2),IF($E44=$A$3,ROUND(_xlfn.XLOOKUP(AF$15,$D$3:$D$5,$C$3:$C$5,0,0)*$D44,2),IF($E44=$A$6,ROUND(_xlfn.XLOOKUP(AF$15,$D$6:$D$9,$C$6:$C$9,0,0)*$D44,2),""))))</f>
        <v/>
      </c>
      <c r="AG44" s="645"/>
      <c r="AH44" s="646"/>
      <c r="AI44" s="646"/>
      <c r="AJ44" s="646"/>
      <c r="AK44" s="647"/>
      <c r="AL44" s="645" t="str">
        <f>IF(OR(AND($E44=$A$6,$D$9=AL$15),AND($E44=$A$10,$D$11=AL$15),AND($E44=$A$3,$D$5=AL$15)),$D44-SUM($R44:AK44),IF($E44=$A$10,ROUND(_xlfn.XLOOKUP(AL$15,$D$10:$D$11,$C$10:$C$11,0,0)*$D44,2),IF($E44=$A$3,ROUND(_xlfn.XLOOKUP(AL$15,$D$3:$D$5,$C$3:$C$5,0,0)*$D44,2),IF($E44=$A$6,ROUND(_xlfn.XLOOKUP(AL$15,$D$6:$D$9,$C$6:$C$9,0,0)*$D44,2),""))))</f>
        <v/>
      </c>
      <c r="AM44" s="646" t="str">
        <f>IF(OR(AND($E44=$A$6,$D$9=AM$15),AND($E44=$A$10,$D$11=AM$15),AND($E44=$A$3,$D$5=AM$15)),$D44-SUM($R44:AL44),IF($E44=$A$10,ROUND(_xlfn.XLOOKUP(AM$15,$D$10:$D$11,$C$10:$C$11,0,0)*$D44,2),IF($E44=$A$3,ROUND(_xlfn.XLOOKUP(AM$15,$D$3:$D$5,$C$3:$C$5,0,0)*$D44,2),IF($E44=$A$6,ROUND(_xlfn.XLOOKUP(AM$15,$D$6:$D$9,$C$6:$C$9,0,0)*$D44,2),""))))</f>
        <v/>
      </c>
      <c r="AN44" s="647" t="str">
        <f>IF(OR(AND($E44=$A$6,$D$9=AN$15),AND($E44=$A$10,$D$11=AN$15),AND($E44=$A$3,$D$5=AN$15)),$D44-SUM($R44:AM44),IF($E44=$A$10,ROUND(_xlfn.XLOOKUP(AN$15,$D$10:$D$11,$C$10:$C$11,0,0)*$D44,2),IF($E44=$A$3,ROUND(_xlfn.XLOOKUP(AN$15,$D$3:$D$5,$C$3:$C$5,0,0)*$D44,2),IF($E44=$A$6,ROUND(_xlfn.XLOOKUP(AN$15,$D$6:$D$9,$C$6:$C$9,0,0)*$D44,2),""))))</f>
        <v/>
      </c>
      <c r="AO44" s="645"/>
      <c r="AP44" s="646"/>
      <c r="AQ44" s="647"/>
      <c r="AR44" s="646"/>
      <c r="AS44" s="645"/>
      <c r="AT44" s="647"/>
      <c r="AU44" s="648" t="str">
        <f>IF(OR(AND($E44=$A$6,$D$9=AU$15),AND($E44=$A$10,$D$11=AU$15),AND($E44=$A$3,$D$5=AU$15)),$D44-SUM($R44:AT44),IF($E44=$A$10,ROUND(_xlfn.XLOOKUP(AU$15,$D$10:$D$11,$C$10:$C$11,0,0)*$D44,2),IF($E44=$A$3,ROUND(_xlfn.XLOOKUP(AU$15,$D$3:$D$5,$C$3:$C$5,0,0)*$D44,2),IF($E44=$A$6,ROUND(_xlfn.XLOOKUP(AU$15,$D$6:$D$9,$C$6:$C$9,0,0)*$D44,2),""))))</f>
        <v/>
      </c>
      <c r="AV44" s="673" t="str">
        <f t="shared" si="65"/>
        <v/>
      </c>
    </row>
    <row r="45" spans="1:48" ht="14.25" outlineLevel="1" x14ac:dyDescent="0.2">
      <c r="A45" s="559" t="s">
        <v>5370</v>
      </c>
      <c r="B45" s="558" t="s">
        <v>4721</v>
      </c>
      <c r="C45" s="557">
        <f t="shared" si="3"/>
        <v>1.0041114243868663E-4</v>
      </c>
      <c r="D45" s="556">
        <f>Produtos!$D38</f>
        <v>2599.16</v>
      </c>
      <c r="E45" s="578" t="s">
        <v>5286</v>
      </c>
      <c r="F45" s="577">
        <v>1</v>
      </c>
      <c r="G45" s="577"/>
      <c r="H45" s="577"/>
      <c r="I45" s="577"/>
      <c r="J45" s="577"/>
      <c r="K45" s="577"/>
      <c r="L45" s="577"/>
      <c r="M45" s="577"/>
      <c r="N45" s="577"/>
      <c r="O45" s="577"/>
      <c r="P45" s="577"/>
      <c r="Q45" s="577"/>
      <c r="R45" s="658">
        <f t="shared" si="53"/>
        <v>2599.16</v>
      </c>
      <c r="S45" s="646">
        <f t="shared" si="54"/>
        <v>0</v>
      </c>
      <c r="T45" s="646">
        <f t="shared" si="55"/>
        <v>0</v>
      </c>
      <c r="U45" s="646">
        <f t="shared" si="56"/>
        <v>0</v>
      </c>
      <c r="V45" s="646">
        <f t="shared" si="57"/>
        <v>0</v>
      </c>
      <c r="W45" s="646">
        <f t="shared" si="58"/>
        <v>0</v>
      </c>
      <c r="X45" s="646">
        <f t="shared" si="59"/>
        <v>0</v>
      </c>
      <c r="Y45" s="646">
        <f t="shared" si="60"/>
        <v>0</v>
      </c>
      <c r="Z45" s="646">
        <f t="shared" si="61"/>
        <v>0</v>
      </c>
      <c r="AA45" s="646">
        <f t="shared" si="62"/>
        <v>0</v>
      </c>
      <c r="AB45" s="646">
        <f t="shared" si="63"/>
        <v>0</v>
      </c>
      <c r="AC45" s="646">
        <f t="shared" si="64"/>
        <v>0</v>
      </c>
      <c r="AD45" s="645" t="str">
        <f>IF(OR(AND($E45=$A$6,$D$9=AD$15),AND($E45=$A$10,$D$11=AD$15),AND($E45=$A$3,$D$5=AD$15)),$D45-SUM($R45:AC45),IF($E45=$A$10,ROUND(_xlfn.XLOOKUP(AD$15,$D$10:$D$11,$C$10:$C$11,0,0)*$D45,2),IF($E45=$A$3,ROUND(_xlfn.XLOOKUP(AD$15,$D$3:$D$5,$C$3:$C$5,0,0)*$D45,2),IF($E45=$A$6,ROUND(_xlfn.XLOOKUP(AD$15,$D$6:$D$9,$C$6:$C$9,0,0)*$D45,2),""))))</f>
        <v/>
      </c>
      <c r="AE45" s="646" t="str">
        <f>IF(OR(AND($E45=$A$6,$D$9=AE$15),AND($E45=$A$10,$D$11=AE$15),AND($E45=$A$3,$D$5=AE$15)),$D45-SUM($R45:AD45),IF($E45=$A$10,ROUND(_xlfn.XLOOKUP(AE$15,$D$10:$D$11,$C$10:$C$11,0,0)*$D45,2),IF($E45=$A$3,ROUND(_xlfn.XLOOKUP(AE$15,$D$3:$D$5,$C$3:$C$5,0,0)*$D45,2),IF($E45=$A$6,ROUND(_xlfn.XLOOKUP(AE$15,$D$6:$D$9,$C$6:$C$9,0,0)*$D45,2),""))))</f>
        <v/>
      </c>
      <c r="AF45" s="647" t="str">
        <f>IF(OR(AND($E45=$A$6,$D$9=AF$15),AND($E45=$A$10,$D$11=AF$15),AND($E45=$A$3,$D$5=AF$15)),$D45-SUM($R45:AE45),IF($E45=$A$10,ROUND(_xlfn.XLOOKUP(AF$15,$D$10:$D$11,$C$10:$C$11,0,0)*$D45,2),IF($E45=$A$3,ROUND(_xlfn.XLOOKUP(AF$15,$D$3:$D$5,$C$3:$C$5,0,0)*$D45,2),IF($E45=$A$6,ROUND(_xlfn.XLOOKUP(AF$15,$D$6:$D$9,$C$6:$C$9,0,0)*$D45,2),""))))</f>
        <v/>
      </c>
      <c r="AG45" s="645"/>
      <c r="AH45" s="646"/>
      <c r="AI45" s="646"/>
      <c r="AJ45" s="646"/>
      <c r="AK45" s="647"/>
      <c r="AL45" s="645" t="str">
        <f>IF(OR(AND($E45=$A$6,$D$9=AL$15),AND($E45=$A$10,$D$11=AL$15),AND($E45=$A$3,$D$5=AL$15)),$D45-SUM($R45:AK45),IF($E45=$A$10,ROUND(_xlfn.XLOOKUP(AL$15,$D$10:$D$11,$C$10:$C$11,0,0)*$D45,2),IF($E45=$A$3,ROUND(_xlfn.XLOOKUP(AL$15,$D$3:$D$5,$C$3:$C$5,0,0)*$D45,2),IF($E45=$A$6,ROUND(_xlfn.XLOOKUP(AL$15,$D$6:$D$9,$C$6:$C$9,0,0)*$D45,2),""))))</f>
        <v/>
      </c>
      <c r="AM45" s="646" t="str">
        <f>IF(OR(AND($E45=$A$6,$D$9=AM$15),AND($E45=$A$10,$D$11=AM$15),AND($E45=$A$3,$D$5=AM$15)),$D45-SUM($R45:AL45),IF($E45=$A$10,ROUND(_xlfn.XLOOKUP(AM$15,$D$10:$D$11,$C$10:$C$11,0,0)*$D45,2),IF($E45=$A$3,ROUND(_xlfn.XLOOKUP(AM$15,$D$3:$D$5,$C$3:$C$5,0,0)*$D45,2),IF($E45=$A$6,ROUND(_xlfn.XLOOKUP(AM$15,$D$6:$D$9,$C$6:$C$9,0,0)*$D45,2),""))))</f>
        <v/>
      </c>
      <c r="AN45" s="647" t="str">
        <f>IF(OR(AND($E45=$A$6,$D$9=AN$15),AND($E45=$A$10,$D$11=AN$15),AND($E45=$A$3,$D$5=AN$15)),$D45-SUM($R45:AM45),IF($E45=$A$10,ROUND(_xlfn.XLOOKUP(AN$15,$D$10:$D$11,$C$10:$C$11,0,0)*$D45,2),IF($E45=$A$3,ROUND(_xlfn.XLOOKUP(AN$15,$D$3:$D$5,$C$3:$C$5,0,0)*$D45,2),IF($E45=$A$6,ROUND(_xlfn.XLOOKUP(AN$15,$D$6:$D$9,$C$6:$C$9,0,0)*$D45,2),""))))</f>
        <v/>
      </c>
      <c r="AO45" s="645"/>
      <c r="AP45" s="646"/>
      <c r="AQ45" s="647"/>
      <c r="AR45" s="646"/>
      <c r="AS45" s="645"/>
      <c r="AT45" s="647"/>
      <c r="AU45" s="648" t="str">
        <f>IF(OR(AND($E45=$A$6,$D$9=AU$15),AND($E45=$A$10,$D$11=AU$15),AND($E45=$A$3,$D$5=AU$15)),$D45-SUM($R45:AT45),IF($E45=$A$10,ROUND(_xlfn.XLOOKUP(AU$15,$D$10:$D$11,$C$10:$C$11,0,0)*$D45,2),IF($E45=$A$3,ROUND(_xlfn.XLOOKUP(AU$15,$D$3:$D$5,$C$3:$C$5,0,0)*$D45,2),IF($E45=$A$6,ROUND(_xlfn.XLOOKUP(AU$15,$D$6:$D$9,$C$6:$C$9,0,0)*$D45,2),""))))</f>
        <v/>
      </c>
      <c r="AV45" s="673" t="str">
        <f t="shared" si="65"/>
        <v/>
      </c>
    </row>
    <row r="46" spans="1:48" ht="14.25" outlineLevel="1" x14ac:dyDescent="0.2">
      <c r="A46" s="559" t="s">
        <v>5369</v>
      </c>
      <c r="B46" s="558" t="s">
        <v>4722</v>
      </c>
      <c r="C46" s="557">
        <f t="shared" si="3"/>
        <v>1.0041114243868663E-4</v>
      </c>
      <c r="D46" s="556">
        <f>Produtos!$D39</f>
        <v>2599.16</v>
      </c>
      <c r="E46" s="578" t="s">
        <v>5286</v>
      </c>
      <c r="F46" s="577">
        <v>1</v>
      </c>
      <c r="G46" s="577"/>
      <c r="H46" s="577"/>
      <c r="I46" s="577"/>
      <c r="J46" s="577"/>
      <c r="K46" s="577"/>
      <c r="L46" s="577"/>
      <c r="M46" s="577"/>
      <c r="N46" s="577"/>
      <c r="O46" s="577"/>
      <c r="P46" s="577"/>
      <c r="Q46" s="577"/>
      <c r="R46" s="658">
        <f t="shared" si="53"/>
        <v>2599.16</v>
      </c>
      <c r="S46" s="646">
        <f t="shared" si="54"/>
        <v>0</v>
      </c>
      <c r="T46" s="646">
        <f t="shared" si="55"/>
        <v>0</v>
      </c>
      <c r="U46" s="646">
        <f t="shared" si="56"/>
        <v>0</v>
      </c>
      <c r="V46" s="646">
        <f t="shared" si="57"/>
        <v>0</v>
      </c>
      <c r="W46" s="646">
        <f t="shared" si="58"/>
        <v>0</v>
      </c>
      <c r="X46" s="646">
        <f t="shared" si="59"/>
        <v>0</v>
      </c>
      <c r="Y46" s="646">
        <f t="shared" si="60"/>
        <v>0</v>
      </c>
      <c r="Z46" s="646">
        <f t="shared" si="61"/>
        <v>0</v>
      </c>
      <c r="AA46" s="646">
        <f t="shared" si="62"/>
        <v>0</v>
      </c>
      <c r="AB46" s="646">
        <f t="shared" si="63"/>
        <v>0</v>
      </c>
      <c r="AC46" s="646">
        <f t="shared" si="64"/>
        <v>0</v>
      </c>
      <c r="AD46" s="645" t="str">
        <f>IF(OR(AND($E46=$A$6,$D$9=AD$15),AND($E46=$A$10,$D$11=AD$15),AND($E46=$A$3,$D$5=AD$15)),$D46-SUM($R46:AC46),IF($E46=$A$10,ROUND(_xlfn.XLOOKUP(AD$15,$D$10:$D$11,$C$10:$C$11,0,0)*$D46,2),IF($E46=$A$3,ROUND(_xlfn.XLOOKUP(AD$15,$D$3:$D$5,$C$3:$C$5,0,0)*$D46,2),IF($E46=$A$6,ROUND(_xlfn.XLOOKUP(AD$15,$D$6:$D$9,$C$6:$C$9,0,0)*$D46,2),""))))</f>
        <v/>
      </c>
      <c r="AE46" s="646" t="str">
        <f>IF(OR(AND($E46=$A$6,$D$9=AE$15),AND($E46=$A$10,$D$11=AE$15),AND($E46=$A$3,$D$5=AE$15)),$D46-SUM($R46:AD46),IF($E46=$A$10,ROUND(_xlfn.XLOOKUP(AE$15,$D$10:$D$11,$C$10:$C$11,0,0)*$D46,2),IF($E46=$A$3,ROUND(_xlfn.XLOOKUP(AE$15,$D$3:$D$5,$C$3:$C$5,0,0)*$D46,2),IF($E46=$A$6,ROUND(_xlfn.XLOOKUP(AE$15,$D$6:$D$9,$C$6:$C$9,0,0)*$D46,2),""))))</f>
        <v/>
      </c>
      <c r="AF46" s="647" t="str">
        <f>IF(OR(AND($E46=$A$6,$D$9=AF$15),AND($E46=$A$10,$D$11=AF$15),AND($E46=$A$3,$D$5=AF$15)),$D46-SUM($R46:AE46),IF($E46=$A$10,ROUND(_xlfn.XLOOKUP(AF$15,$D$10:$D$11,$C$10:$C$11,0,0)*$D46,2),IF($E46=$A$3,ROUND(_xlfn.XLOOKUP(AF$15,$D$3:$D$5,$C$3:$C$5,0,0)*$D46,2),IF($E46=$A$6,ROUND(_xlfn.XLOOKUP(AF$15,$D$6:$D$9,$C$6:$C$9,0,0)*$D46,2),""))))</f>
        <v/>
      </c>
      <c r="AG46" s="645"/>
      <c r="AH46" s="646"/>
      <c r="AI46" s="646"/>
      <c r="AJ46" s="646"/>
      <c r="AK46" s="647"/>
      <c r="AL46" s="645" t="str">
        <f>IF(OR(AND($E46=$A$6,$D$9=AL$15),AND($E46=$A$10,$D$11=AL$15),AND($E46=$A$3,$D$5=AL$15)),$D46-SUM($R46:AK46),IF($E46=$A$10,ROUND(_xlfn.XLOOKUP(AL$15,$D$10:$D$11,$C$10:$C$11,0,0)*$D46,2),IF($E46=$A$3,ROUND(_xlfn.XLOOKUP(AL$15,$D$3:$D$5,$C$3:$C$5,0,0)*$D46,2),IF($E46=$A$6,ROUND(_xlfn.XLOOKUP(AL$15,$D$6:$D$9,$C$6:$C$9,0,0)*$D46,2),""))))</f>
        <v/>
      </c>
      <c r="AM46" s="646" t="str">
        <f>IF(OR(AND($E46=$A$6,$D$9=AM$15),AND($E46=$A$10,$D$11=AM$15),AND($E46=$A$3,$D$5=AM$15)),$D46-SUM($R46:AL46),IF($E46=$A$10,ROUND(_xlfn.XLOOKUP(AM$15,$D$10:$D$11,$C$10:$C$11,0,0)*$D46,2),IF($E46=$A$3,ROUND(_xlfn.XLOOKUP(AM$15,$D$3:$D$5,$C$3:$C$5,0,0)*$D46,2),IF($E46=$A$6,ROUND(_xlfn.XLOOKUP(AM$15,$D$6:$D$9,$C$6:$C$9,0,0)*$D46,2),""))))</f>
        <v/>
      </c>
      <c r="AN46" s="647" t="str">
        <f>IF(OR(AND($E46=$A$6,$D$9=AN$15),AND($E46=$A$10,$D$11=AN$15),AND($E46=$A$3,$D$5=AN$15)),$D46-SUM($R46:AM46),IF($E46=$A$10,ROUND(_xlfn.XLOOKUP(AN$15,$D$10:$D$11,$C$10:$C$11,0,0)*$D46,2),IF($E46=$A$3,ROUND(_xlfn.XLOOKUP(AN$15,$D$3:$D$5,$C$3:$C$5,0,0)*$D46,2),IF($E46=$A$6,ROUND(_xlfn.XLOOKUP(AN$15,$D$6:$D$9,$C$6:$C$9,0,0)*$D46,2),""))))</f>
        <v/>
      </c>
      <c r="AO46" s="645"/>
      <c r="AP46" s="646"/>
      <c r="AQ46" s="647"/>
      <c r="AR46" s="646"/>
      <c r="AS46" s="645"/>
      <c r="AT46" s="647"/>
      <c r="AU46" s="648" t="str">
        <f>IF(OR(AND($E46=$A$6,$D$9=AU$15),AND($E46=$A$10,$D$11=AU$15),AND($E46=$A$3,$D$5=AU$15)),$D46-SUM($R46:AT46),IF($E46=$A$10,ROUND(_xlfn.XLOOKUP(AU$15,$D$10:$D$11,$C$10:$C$11,0,0)*$D46,2),IF($E46=$A$3,ROUND(_xlfn.XLOOKUP(AU$15,$D$3:$D$5,$C$3:$C$5,0,0)*$D46,2),IF($E46=$A$6,ROUND(_xlfn.XLOOKUP(AU$15,$D$6:$D$9,$C$6:$C$9,0,0)*$D46,2),""))))</f>
        <v/>
      </c>
      <c r="AV46" s="673" t="str">
        <f t="shared" si="65"/>
        <v/>
      </c>
    </row>
    <row r="47" spans="1:48" ht="14.25" outlineLevel="1" x14ac:dyDescent="0.2">
      <c r="A47" s="559" t="s">
        <v>5368</v>
      </c>
      <c r="B47" s="558" t="s">
        <v>4723</v>
      </c>
      <c r="C47" s="557">
        <f t="shared" si="3"/>
        <v>1.0041114243868663E-4</v>
      </c>
      <c r="D47" s="556">
        <f>Produtos!$D40</f>
        <v>2599.16</v>
      </c>
      <c r="E47" s="578" t="s">
        <v>5286</v>
      </c>
      <c r="F47" s="577">
        <v>1</v>
      </c>
      <c r="G47" s="577"/>
      <c r="H47" s="577"/>
      <c r="I47" s="577"/>
      <c r="J47" s="577"/>
      <c r="K47" s="577"/>
      <c r="L47" s="577"/>
      <c r="M47" s="577"/>
      <c r="N47" s="577"/>
      <c r="O47" s="577"/>
      <c r="P47" s="577"/>
      <c r="Q47" s="577"/>
      <c r="R47" s="658">
        <f t="shared" si="53"/>
        <v>2599.16</v>
      </c>
      <c r="S47" s="646">
        <f t="shared" si="54"/>
        <v>0</v>
      </c>
      <c r="T47" s="646">
        <f t="shared" si="55"/>
        <v>0</v>
      </c>
      <c r="U47" s="646">
        <f t="shared" si="56"/>
        <v>0</v>
      </c>
      <c r="V47" s="646">
        <f t="shared" si="57"/>
        <v>0</v>
      </c>
      <c r="W47" s="646">
        <f t="shared" si="58"/>
        <v>0</v>
      </c>
      <c r="X47" s="646">
        <f t="shared" si="59"/>
        <v>0</v>
      </c>
      <c r="Y47" s="646">
        <f t="shared" si="60"/>
        <v>0</v>
      </c>
      <c r="Z47" s="646">
        <f t="shared" si="61"/>
        <v>0</v>
      </c>
      <c r="AA47" s="646">
        <f t="shared" si="62"/>
        <v>0</v>
      </c>
      <c r="AB47" s="646">
        <f t="shared" si="63"/>
        <v>0</v>
      </c>
      <c r="AC47" s="646">
        <f t="shared" si="64"/>
        <v>0</v>
      </c>
      <c r="AD47" s="645" t="str">
        <f>IF(OR(AND($E47=$A$6,$D$9=AD$15),AND($E47=$A$10,$D$11=AD$15),AND($E47=$A$3,$D$5=AD$15)),$D47-SUM($R47:AC47),IF($E47=$A$10,ROUND(_xlfn.XLOOKUP(AD$15,$D$10:$D$11,$C$10:$C$11,0,0)*$D47,2),IF($E47=$A$3,ROUND(_xlfn.XLOOKUP(AD$15,$D$3:$D$5,$C$3:$C$5,0,0)*$D47,2),IF($E47=$A$6,ROUND(_xlfn.XLOOKUP(AD$15,$D$6:$D$9,$C$6:$C$9,0,0)*$D47,2),""))))</f>
        <v/>
      </c>
      <c r="AE47" s="646" t="str">
        <f>IF(OR(AND($E47=$A$6,$D$9=AE$15),AND($E47=$A$10,$D$11=AE$15),AND($E47=$A$3,$D$5=AE$15)),$D47-SUM($R47:AD47),IF($E47=$A$10,ROUND(_xlfn.XLOOKUP(AE$15,$D$10:$D$11,$C$10:$C$11,0,0)*$D47,2),IF($E47=$A$3,ROUND(_xlfn.XLOOKUP(AE$15,$D$3:$D$5,$C$3:$C$5,0,0)*$D47,2),IF($E47=$A$6,ROUND(_xlfn.XLOOKUP(AE$15,$D$6:$D$9,$C$6:$C$9,0,0)*$D47,2),""))))</f>
        <v/>
      </c>
      <c r="AF47" s="647" t="str">
        <f>IF(OR(AND($E47=$A$6,$D$9=AF$15),AND($E47=$A$10,$D$11=AF$15),AND($E47=$A$3,$D$5=AF$15)),$D47-SUM($R47:AE47),IF($E47=$A$10,ROUND(_xlfn.XLOOKUP(AF$15,$D$10:$D$11,$C$10:$C$11,0,0)*$D47,2),IF($E47=$A$3,ROUND(_xlfn.XLOOKUP(AF$15,$D$3:$D$5,$C$3:$C$5,0,0)*$D47,2),IF($E47=$A$6,ROUND(_xlfn.XLOOKUP(AF$15,$D$6:$D$9,$C$6:$C$9,0,0)*$D47,2),""))))</f>
        <v/>
      </c>
      <c r="AG47" s="645"/>
      <c r="AH47" s="646"/>
      <c r="AI47" s="646"/>
      <c r="AJ47" s="646"/>
      <c r="AK47" s="647"/>
      <c r="AL47" s="645" t="str">
        <f>IF(OR(AND($E47=$A$6,$D$9=AL$15),AND($E47=$A$10,$D$11=AL$15),AND($E47=$A$3,$D$5=AL$15)),$D47-SUM($R47:AK47),IF($E47=$A$10,ROUND(_xlfn.XLOOKUP(AL$15,$D$10:$D$11,$C$10:$C$11,0,0)*$D47,2),IF($E47=$A$3,ROUND(_xlfn.XLOOKUP(AL$15,$D$3:$D$5,$C$3:$C$5,0,0)*$D47,2),IF($E47=$A$6,ROUND(_xlfn.XLOOKUP(AL$15,$D$6:$D$9,$C$6:$C$9,0,0)*$D47,2),""))))</f>
        <v/>
      </c>
      <c r="AM47" s="646" t="str">
        <f>IF(OR(AND($E47=$A$6,$D$9=AM$15),AND($E47=$A$10,$D$11=AM$15),AND($E47=$A$3,$D$5=AM$15)),$D47-SUM($R47:AL47),IF($E47=$A$10,ROUND(_xlfn.XLOOKUP(AM$15,$D$10:$D$11,$C$10:$C$11,0,0)*$D47,2),IF($E47=$A$3,ROUND(_xlfn.XLOOKUP(AM$15,$D$3:$D$5,$C$3:$C$5,0,0)*$D47,2),IF($E47=$A$6,ROUND(_xlfn.XLOOKUP(AM$15,$D$6:$D$9,$C$6:$C$9,0,0)*$D47,2),""))))</f>
        <v/>
      </c>
      <c r="AN47" s="647" t="str">
        <f>IF(OR(AND($E47=$A$6,$D$9=AN$15),AND($E47=$A$10,$D$11=AN$15),AND($E47=$A$3,$D$5=AN$15)),$D47-SUM($R47:AM47),IF($E47=$A$10,ROUND(_xlfn.XLOOKUP(AN$15,$D$10:$D$11,$C$10:$C$11,0,0)*$D47,2),IF($E47=$A$3,ROUND(_xlfn.XLOOKUP(AN$15,$D$3:$D$5,$C$3:$C$5,0,0)*$D47,2),IF($E47=$A$6,ROUND(_xlfn.XLOOKUP(AN$15,$D$6:$D$9,$C$6:$C$9,0,0)*$D47,2),""))))</f>
        <v/>
      </c>
      <c r="AO47" s="645"/>
      <c r="AP47" s="646"/>
      <c r="AQ47" s="647"/>
      <c r="AR47" s="646"/>
      <c r="AS47" s="645"/>
      <c r="AT47" s="647"/>
      <c r="AU47" s="648" t="str">
        <f>IF(OR(AND($E47=$A$6,$D$9=AU$15),AND($E47=$A$10,$D$11=AU$15),AND($E47=$A$3,$D$5=AU$15)),$D47-SUM($R47:AT47),IF($E47=$A$10,ROUND(_xlfn.XLOOKUP(AU$15,$D$10:$D$11,$C$10:$C$11,0,0)*$D47,2),IF($E47=$A$3,ROUND(_xlfn.XLOOKUP(AU$15,$D$3:$D$5,$C$3:$C$5,0,0)*$D47,2),IF($E47=$A$6,ROUND(_xlfn.XLOOKUP(AU$15,$D$6:$D$9,$C$6:$C$9,0,0)*$D47,2),""))))</f>
        <v/>
      </c>
      <c r="AV47" s="673" t="str">
        <f t="shared" si="65"/>
        <v/>
      </c>
    </row>
    <row r="48" spans="1:48" ht="14.25" outlineLevel="1" x14ac:dyDescent="0.2">
      <c r="A48" s="559" t="s">
        <v>5367</v>
      </c>
      <c r="B48" s="558" t="s">
        <v>4724</v>
      </c>
      <c r="C48" s="557">
        <f t="shared" si="3"/>
        <v>1.0041114243868663E-4</v>
      </c>
      <c r="D48" s="556">
        <f>Produtos!$D41</f>
        <v>2599.16</v>
      </c>
      <c r="E48" s="578" t="s">
        <v>5286</v>
      </c>
      <c r="F48" s="577">
        <v>1</v>
      </c>
      <c r="G48" s="577"/>
      <c r="H48" s="577"/>
      <c r="I48" s="577"/>
      <c r="J48" s="577"/>
      <c r="K48" s="577"/>
      <c r="L48" s="577"/>
      <c r="M48" s="577"/>
      <c r="N48" s="577"/>
      <c r="O48" s="577"/>
      <c r="P48" s="577"/>
      <c r="Q48" s="577"/>
      <c r="R48" s="658">
        <f t="shared" si="53"/>
        <v>2599.16</v>
      </c>
      <c r="S48" s="646">
        <f t="shared" si="54"/>
        <v>0</v>
      </c>
      <c r="T48" s="646">
        <f t="shared" si="55"/>
        <v>0</v>
      </c>
      <c r="U48" s="646">
        <f t="shared" si="56"/>
        <v>0</v>
      </c>
      <c r="V48" s="646">
        <f t="shared" si="57"/>
        <v>0</v>
      </c>
      <c r="W48" s="646">
        <f t="shared" si="58"/>
        <v>0</v>
      </c>
      <c r="X48" s="646">
        <f t="shared" si="59"/>
        <v>0</v>
      </c>
      <c r="Y48" s="646">
        <f t="shared" si="60"/>
        <v>0</v>
      </c>
      <c r="Z48" s="646">
        <f t="shared" si="61"/>
        <v>0</v>
      </c>
      <c r="AA48" s="646">
        <f t="shared" si="62"/>
        <v>0</v>
      </c>
      <c r="AB48" s="646">
        <f t="shared" si="63"/>
        <v>0</v>
      </c>
      <c r="AC48" s="646">
        <f t="shared" si="64"/>
        <v>0</v>
      </c>
      <c r="AD48" s="645" t="str">
        <f>IF(OR(AND($E48=$A$6,$D$9=AD$15),AND($E48=$A$10,$D$11=AD$15),AND($E48=$A$3,$D$5=AD$15)),$D48-SUM($R48:AC48),IF($E48=$A$10,ROUND(_xlfn.XLOOKUP(AD$15,$D$10:$D$11,$C$10:$C$11,0,0)*$D48,2),IF($E48=$A$3,ROUND(_xlfn.XLOOKUP(AD$15,$D$3:$D$5,$C$3:$C$5,0,0)*$D48,2),IF($E48=$A$6,ROUND(_xlfn.XLOOKUP(AD$15,$D$6:$D$9,$C$6:$C$9,0,0)*$D48,2),""))))</f>
        <v/>
      </c>
      <c r="AE48" s="646" t="str">
        <f>IF(OR(AND($E48=$A$6,$D$9=AE$15),AND($E48=$A$10,$D$11=AE$15),AND($E48=$A$3,$D$5=AE$15)),$D48-SUM($R48:AD48),IF($E48=$A$10,ROUND(_xlfn.XLOOKUP(AE$15,$D$10:$D$11,$C$10:$C$11,0,0)*$D48,2),IF($E48=$A$3,ROUND(_xlfn.XLOOKUP(AE$15,$D$3:$D$5,$C$3:$C$5,0,0)*$D48,2),IF($E48=$A$6,ROUND(_xlfn.XLOOKUP(AE$15,$D$6:$D$9,$C$6:$C$9,0,0)*$D48,2),""))))</f>
        <v/>
      </c>
      <c r="AF48" s="647" t="str">
        <f>IF(OR(AND($E48=$A$6,$D$9=AF$15),AND($E48=$A$10,$D$11=AF$15),AND($E48=$A$3,$D$5=AF$15)),$D48-SUM($R48:AE48),IF($E48=$A$10,ROUND(_xlfn.XLOOKUP(AF$15,$D$10:$D$11,$C$10:$C$11,0,0)*$D48,2),IF($E48=$A$3,ROUND(_xlfn.XLOOKUP(AF$15,$D$3:$D$5,$C$3:$C$5,0,0)*$D48,2),IF($E48=$A$6,ROUND(_xlfn.XLOOKUP(AF$15,$D$6:$D$9,$C$6:$C$9,0,0)*$D48,2),""))))</f>
        <v/>
      </c>
      <c r="AG48" s="645"/>
      <c r="AH48" s="646"/>
      <c r="AI48" s="646"/>
      <c r="AJ48" s="646"/>
      <c r="AK48" s="647"/>
      <c r="AL48" s="645" t="str">
        <f>IF(OR(AND($E48=$A$6,$D$9=AL$15),AND($E48=$A$10,$D$11=AL$15),AND($E48=$A$3,$D$5=AL$15)),$D48-SUM($R48:AK48),IF($E48=$A$10,ROUND(_xlfn.XLOOKUP(AL$15,$D$10:$D$11,$C$10:$C$11,0,0)*$D48,2),IF($E48=$A$3,ROUND(_xlfn.XLOOKUP(AL$15,$D$3:$D$5,$C$3:$C$5,0,0)*$D48,2),IF($E48=$A$6,ROUND(_xlfn.XLOOKUP(AL$15,$D$6:$D$9,$C$6:$C$9,0,0)*$D48,2),""))))</f>
        <v/>
      </c>
      <c r="AM48" s="646" t="str">
        <f>IF(OR(AND($E48=$A$6,$D$9=AM$15),AND($E48=$A$10,$D$11=AM$15),AND($E48=$A$3,$D$5=AM$15)),$D48-SUM($R48:AL48),IF($E48=$A$10,ROUND(_xlfn.XLOOKUP(AM$15,$D$10:$D$11,$C$10:$C$11,0,0)*$D48,2),IF($E48=$A$3,ROUND(_xlfn.XLOOKUP(AM$15,$D$3:$D$5,$C$3:$C$5,0,0)*$D48,2),IF($E48=$A$6,ROUND(_xlfn.XLOOKUP(AM$15,$D$6:$D$9,$C$6:$C$9,0,0)*$D48,2),""))))</f>
        <v/>
      </c>
      <c r="AN48" s="647" t="str">
        <f>IF(OR(AND($E48=$A$6,$D$9=AN$15),AND($E48=$A$10,$D$11=AN$15),AND($E48=$A$3,$D$5=AN$15)),$D48-SUM($R48:AM48),IF($E48=$A$10,ROUND(_xlfn.XLOOKUP(AN$15,$D$10:$D$11,$C$10:$C$11,0,0)*$D48,2),IF($E48=$A$3,ROUND(_xlfn.XLOOKUP(AN$15,$D$3:$D$5,$C$3:$C$5,0,0)*$D48,2),IF($E48=$A$6,ROUND(_xlfn.XLOOKUP(AN$15,$D$6:$D$9,$C$6:$C$9,0,0)*$D48,2),""))))</f>
        <v/>
      </c>
      <c r="AO48" s="645"/>
      <c r="AP48" s="646"/>
      <c r="AQ48" s="647"/>
      <c r="AR48" s="646"/>
      <c r="AS48" s="645"/>
      <c r="AT48" s="647"/>
      <c r="AU48" s="648" t="str">
        <f>IF(OR(AND($E48=$A$6,$D$9=AU$15),AND($E48=$A$10,$D$11=AU$15),AND($E48=$A$3,$D$5=AU$15)),$D48-SUM($R48:AT48),IF($E48=$A$10,ROUND(_xlfn.XLOOKUP(AU$15,$D$10:$D$11,$C$10:$C$11,0,0)*$D48,2),IF($E48=$A$3,ROUND(_xlfn.XLOOKUP(AU$15,$D$3:$D$5,$C$3:$C$5,0,0)*$D48,2),IF($E48=$A$6,ROUND(_xlfn.XLOOKUP(AU$15,$D$6:$D$9,$C$6:$C$9,0,0)*$D48,2),""))))</f>
        <v/>
      </c>
      <c r="AV48" s="673" t="str">
        <f t="shared" si="65"/>
        <v/>
      </c>
    </row>
    <row r="49" spans="1:48" ht="15" x14ac:dyDescent="0.2">
      <c r="A49" s="567" t="s">
        <v>2708</v>
      </c>
      <c r="B49" s="566" t="s">
        <v>4717</v>
      </c>
      <c r="C49" s="565">
        <f t="shared" si="3"/>
        <v>5.3027696232238637E-3</v>
      </c>
      <c r="D49" s="564">
        <f>SUBTOTAL(9,D50)</f>
        <v>137263.12</v>
      </c>
      <c r="E49" s="563"/>
      <c r="F49" s="561"/>
      <c r="G49" s="562"/>
      <c r="H49" s="561"/>
      <c r="I49" s="562"/>
      <c r="J49" s="561"/>
      <c r="K49" s="562"/>
      <c r="L49" s="561"/>
      <c r="M49" s="562"/>
      <c r="N49" s="561"/>
      <c r="O49" s="562"/>
      <c r="P49" s="561"/>
      <c r="Q49" s="560"/>
      <c r="R49" s="640"/>
      <c r="S49" s="641"/>
      <c r="T49" s="640"/>
      <c r="U49" s="641"/>
      <c r="V49" s="640"/>
      <c r="W49" s="641"/>
      <c r="X49" s="640"/>
      <c r="Y49" s="641"/>
      <c r="Z49" s="640"/>
      <c r="AA49" s="641"/>
      <c r="AB49" s="640"/>
      <c r="AC49" s="641"/>
      <c r="AD49" s="640"/>
      <c r="AE49" s="641"/>
      <c r="AF49" s="640"/>
      <c r="AG49" s="641"/>
      <c r="AH49" s="640"/>
      <c r="AI49" s="641"/>
      <c r="AJ49" s="640"/>
      <c r="AK49" s="641"/>
      <c r="AL49" s="640"/>
      <c r="AM49" s="641"/>
      <c r="AN49" s="640"/>
      <c r="AO49" s="641"/>
      <c r="AP49" s="640"/>
      <c r="AQ49" s="641"/>
      <c r="AR49" s="640"/>
      <c r="AS49" s="641"/>
      <c r="AT49" s="640"/>
      <c r="AU49" s="642"/>
      <c r="AV49" s="673"/>
    </row>
    <row r="50" spans="1:48" ht="14.25" outlineLevel="1" x14ac:dyDescent="0.2">
      <c r="A50" s="559" t="s">
        <v>5366</v>
      </c>
      <c r="B50" s="558" t="s">
        <v>4725</v>
      </c>
      <c r="C50" s="557">
        <f t="shared" si="3"/>
        <v>5.3027696232238637E-3</v>
      </c>
      <c r="D50" s="556">
        <f>Produtos!$D43</f>
        <v>137263.12</v>
      </c>
      <c r="E50" s="578" t="s">
        <v>1853</v>
      </c>
      <c r="F50" s="577" t="s">
        <v>5295</v>
      </c>
      <c r="G50" s="577" t="s">
        <v>5295</v>
      </c>
      <c r="H50" s="577">
        <v>1</v>
      </c>
      <c r="I50" s="577"/>
      <c r="J50" s="577"/>
      <c r="K50" s="577"/>
      <c r="L50" s="577"/>
      <c r="M50" s="577"/>
      <c r="N50" s="577"/>
      <c r="O50" s="577"/>
      <c r="P50" s="577"/>
      <c r="Q50" s="577"/>
      <c r="R50" s="658">
        <f t="shared" ref="R50:AC50" si="66">IF(F50=1,ROUND(_xlfn.XLOOKUP($E50,$A$2:$A$11,$C$2:$C$11,0,0)*F50*$D50,2),0)</f>
        <v>0</v>
      </c>
      <c r="S50" s="646">
        <f t="shared" si="66"/>
        <v>0</v>
      </c>
      <c r="T50" s="646">
        <f t="shared" si="66"/>
        <v>82357.87</v>
      </c>
      <c r="U50" s="646">
        <f t="shared" si="66"/>
        <v>0</v>
      </c>
      <c r="V50" s="646">
        <f t="shared" si="66"/>
        <v>0</v>
      </c>
      <c r="W50" s="646">
        <f t="shared" si="66"/>
        <v>0</v>
      </c>
      <c r="X50" s="646">
        <f t="shared" si="66"/>
        <v>0</v>
      </c>
      <c r="Y50" s="646">
        <f t="shared" si="66"/>
        <v>0</v>
      </c>
      <c r="Z50" s="646">
        <f t="shared" si="66"/>
        <v>0</v>
      </c>
      <c r="AA50" s="646">
        <f t="shared" si="66"/>
        <v>0</v>
      </c>
      <c r="AB50" s="646">
        <f t="shared" si="66"/>
        <v>0</v>
      </c>
      <c r="AC50" s="646">
        <f t="shared" si="66"/>
        <v>0</v>
      </c>
      <c r="AD50" s="645">
        <f>IF(OR(AND($E50=$A$6,$D$9=AD$15),AND($E50=$A$10,$D$11=AD$15),AND($E50=$A$3,$D$5=AD$15)),$D50-SUM($R50:AC50),IF($E50=$A$10,ROUND(_xlfn.XLOOKUP(AD$15,$D$10:$D$11,$C$10:$C$11,0,0)*$D50,2),IF($E50=$A$3,ROUND(_xlfn.XLOOKUP(AD$15,$D$3:$D$5,$C$3:$C$5,0,0)*$D50,2),IF($E50=$A$6,ROUND(_xlfn.XLOOKUP(AD$15,$D$6:$D$9,$C$6:$C$9,0,0)*$D50,2),""))))</f>
        <v>0</v>
      </c>
      <c r="AE50" s="646">
        <f>IF(OR(AND($E50=$A$6,$D$9=AE$15),AND($E50=$A$10,$D$11=AE$15),AND($E50=$A$3,$D$5=AE$15)),$D50-SUM($R50:AD50),IF($E50=$A$10,ROUND(_xlfn.XLOOKUP(AE$15,$D$10:$D$11,$C$10:$C$11,0,0)*$D50,2),IF($E50=$A$3,ROUND(_xlfn.XLOOKUP(AE$15,$D$3:$D$5,$C$3:$C$5,0,0)*$D50,2),IF($E50=$A$6,ROUND(_xlfn.XLOOKUP(AE$15,$D$6:$D$9,$C$6:$C$9,0,0)*$D50,2),""))))</f>
        <v>0</v>
      </c>
      <c r="AF50" s="647">
        <f>IF(OR(AND($E50=$A$6,$D$9=AF$15),AND($E50=$A$10,$D$11=AF$15),AND($E50=$A$3,$D$5=AF$15)),$D50-SUM($R50:AE50),IF($E50=$A$10,ROUND(_xlfn.XLOOKUP(AF$15,$D$10:$D$11,$C$10:$C$11,0,0)*$D50,2),IF($E50=$A$3,ROUND(_xlfn.XLOOKUP(AF$15,$D$3:$D$5,$C$3:$C$5,0,0)*$D50,2),IF($E50=$A$6,ROUND(_xlfn.XLOOKUP(AF$15,$D$6:$D$9,$C$6:$C$9,0,0)*$D50,2),""))))</f>
        <v>27452.62</v>
      </c>
      <c r="AG50" s="645"/>
      <c r="AH50" s="646"/>
      <c r="AI50" s="646"/>
      <c r="AJ50" s="646"/>
      <c r="AK50" s="647"/>
      <c r="AL50" s="645">
        <f>IF(OR(AND($E50=$A$6,$D$9=AL$15),AND($E50=$A$10,$D$11=AL$15),AND($E50=$A$3,$D$5=AL$15)),$D50-SUM($R50:AK50),IF($E50=$A$10,ROUND(_xlfn.XLOOKUP(AL$15,$D$10:$D$11,$C$10:$C$11,0,0)*$D50,2),IF($E50=$A$3,ROUND(_xlfn.XLOOKUP(AL$15,$D$3:$D$5,$C$3:$C$5,0,0)*$D50,2),IF($E50=$A$6,ROUND(_xlfn.XLOOKUP(AL$15,$D$6:$D$9,$C$6:$C$9,0,0)*$D50,2),""))))</f>
        <v>0</v>
      </c>
      <c r="AM50" s="646">
        <f>IF(OR(AND($E50=$A$6,$D$9=AM$15),AND($E50=$A$10,$D$11=AM$15),AND($E50=$A$3,$D$5=AM$15)),$D50-SUM($R50:AL50),IF($E50=$A$10,ROUND(_xlfn.XLOOKUP(AM$15,$D$10:$D$11,$C$10:$C$11,0,0)*$D50,2),IF($E50=$A$3,ROUND(_xlfn.XLOOKUP(AM$15,$D$3:$D$5,$C$3:$C$5,0,0)*$D50,2),IF($E50=$A$6,ROUND(_xlfn.XLOOKUP(AM$15,$D$6:$D$9,$C$6:$C$9,0,0)*$D50,2),""))))</f>
        <v>0</v>
      </c>
      <c r="AN50" s="647">
        <f>IF(OR(AND($E50=$A$6,$D$9=AN$15),AND($E50=$A$10,$D$11=AN$15),AND($E50=$A$3,$D$5=AN$15)),$D50-SUM($R50:AM50),IF($E50=$A$10,ROUND(_xlfn.XLOOKUP(AN$15,$D$10:$D$11,$C$10:$C$11,0,0)*$D50,2),IF($E50=$A$3,ROUND(_xlfn.XLOOKUP(AN$15,$D$3:$D$5,$C$3:$C$5,0,0)*$D50,2),IF($E50=$A$6,ROUND(_xlfn.XLOOKUP(AN$15,$D$6:$D$9,$C$6:$C$9,0,0)*$D50,2),""))))</f>
        <v>27452.630000000005</v>
      </c>
      <c r="AO50" s="645"/>
      <c r="AP50" s="646"/>
      <c r="AQ50" s="647"/>
      <c r="AR50" s="646"/>
      <c r="AS50" s="645"/>
      <c r="AT50" s="647"/>
      <c r="AU50" s="648">
        <f>IF(OR(AND($E50=$A$6,$D$9=AU$15),AND($E50=$A$10,$D$11=AU$15),AND($E50=$A$3,$D$5=AU$15)),$D50-SUM($R50:AT50),IF($E50=$A$10,ROUND(_xlfn.XLOOKUP(AU$15,$D$10:$D$11,$C$10:$C$11,0,0)*$D50,2),IF($E50=$A$3,ROUND(_xlfn.XLOOKUP(AU$15,$D$3:$D$5,$C$3:$C$5,0,0)*$D50,2),IF($E50=$A$6,ROUND(_xlfn.XLOOKUP(AU$15,$D$6:$D$9,$C$6:$C$9,0,0)*$D50,2),""))))</f>
        <v>0</v>
      </c>
      <c r="AV50" s="673" t="str">
        <f>IF(SUM(R50:AU50)=D50,"","CORRIGIR")</f>
        <v/>
      </c>
    </row>
    <row r="51" spans="1:48" ht="15" x14ac:dyDescent="0.2">
      <c r="A51" s="567" t="s">
        <v>2709</v>
      </c>
      <c r="B51" s="566" t="s">
        <v>4718</v>
      </c>
      <c r="C51" s="565">
        <f t="shared" si="3"/>
        <v>0.26090972474960722</v>
      </c>
      <c r="D51" s="564">
        <f>SUBTOTAL(9,D52:D54)</f>
        <v>6753693.9000000004</v>
      </c>
      <c r="E51" s="563"/>
      <c r="F51" s="561"/>
      <c r="G51" s="562"/>
      <c r="H51" s="561"/>
      <c r="I51" s="562"/>
      <c r="J51" s="561"/>
      <c r="K51" s="562"/>
      <c r="L51" s="561"/>
      <c r="M51" s="562"/>
      <c r="N51" s="561"/>
      <c r="O51" s="562"/>
      <c r="P51" s="561"/>
      <c r="Q51" s="560"/>
      <c r="R51" s="640"/>
      <c r="S51" s="641"/>
      <c r="T51" s="640"/>
      <c r="U51" s="641"/>
      <c r="V51" s="640"/>
      <c r="W51" s="641"/>
      <c r="X51" s="640"/>
      <c r="Y51" s="641"/>
      <c r="Z51" s="640"/>
      <c r="AA51" s="641"/>
      <c r="AB51" s="640"/>
      <c r="AC51" s="641"/>
      <c r="AD51" s="640"/>
      <c r="AE51" s="641"/>
      <c r="AF51" s="640"/>
      <c r="AG51" s="641"/>
      <c r="AH51" s="640"/>
      <c r="AI51" s="641"/>
      <c r="AJ51" s="640"/>
      <c r="AK51" s="641"/>
      <c r="AL51" s="640"/>
      <c r="AM51" s="641"/>
      <c r="AN51" s="640"/>
      <c r="AO51" s="641"/>
      <c r="AP51" s="640"/>
      <c r="AQ51" s="641"/>
      <c r="AR51" s="640"/>
      <c r="AS51" s="641"/>
      <c r="AT51" s="640"/>
      <c r="AU51" s="642"/>
      <c r="AV51" s="673"/>
    </row>
    <row r="52" spans="1:48" ht="14.25" outlineLevel="1" x14ac:dyDescent="0.2">
      <c r="A52" s="559" t="s">
        <v>5365</v>
      </c>
      <c r="B52" s="558" t="s">
        <v>4726</v>
      </c>
      <c r="C52" s="557">
        <f t="shared" si="3"/>
        <v>8.2186563354074496E-2</v>
      </c>
      <c r="D52" s="556">
        <f>Produtos!$D45</f>
        <v>2127413.58</v>
      </c>
      <c r="E52" s="578" t="s">
        <v>1853</v>
      </c>
      <c r="F52" s="577" t="s">
        <v>5295</v>
      </c>
      <c r="G52" s="577" t="s">
        <v>5295</v>
      </c>
      <c r="H52" s="577">
        <v>1</v>
      </c>
      <c r="I52" s="577"/>
      <c r="J52" s="577"/>
      <c r="K52" s="577"/>
      <c r="L52" s="577"/>
      <c r="M52" s="577"/>
      <c r="N52" s="577"/>
      <c r="O52" s="577"/>
      <c r="P52" s="577"/>
      <c r="Q52" s="577"/>
      <c r="R52" s="658">
        <f t="shared" ref="R52:R54" si="67">IF(F52=1,ROUND(_xlfn.XLOOKUP($E52,$A$2:$A$11,$C$2:$C$11,0,0)*F52*$D52,2),0)</f>
        <v>0</v>
      </c>
      <c r="S52" s="646">
        <f t="shared" ref="S52:S54" si="68">IF(G52=1,ROUND(_xlfn.XLOOKUP($E52,$A$2:$A$11,$C$2:$C$11,0,0)*G52*$D52,2),0)</f>
        <v>0</v>
      </c>
      <c r="T52" s="646">
        <f t="shared" ref="T52:T54" si="69">IF(H52=1,ROUND(_xlfn.XLOOKUP($E52,$A$2:$A$11,$C$2:$C$11,0,0)*H52*$D52,2),0)</f>
        <v>1276448.1499999999</v>
      </c>
      <c r="U52" s="646">
        <f t="shared" ref="U52:U54" si="70">IF(I52=1,ROUND(_xlfn.XLOOKUP($E52,$A$2:$A$11,$C$2:$C$11,0,0)*I52*$D52,2),0)</f>
        <v>0</v>
      </c>
      <c r="V52" s="646">
        <f t="shared" ref="V52:V54" si="71">IF(J52=1,ROUND(_xlfn.XLOOKUP($E52,$A$2:$A$11,$C$2:$C$11,0,0)*J52*$D52,2),0)</f>
        <v>0</v>
      </c>
      <c r="W52" s="646">
        <f t="shared" ref="W52:W54" si="72">IF(K52=1,ROUND(_xlfn.XLOOKUP($E52,$A$2:$A$11,$C$2:$C$11,0,0)*K52*$D52,2),0)</f>
        <v>0</v>
      </c>
      <c r="X52" s="646">
        <f t="shared" ref="X52:X54" si="73">IF(L52=1,ROUND(_xlfn.XLOOKUP($E52,$A$2:$A$11,$C$2:$C$11,0,0)*L52*$D52,2),0)</f>
        <v>0</v>
      </c>
      <c r="Y52" s="646">
        <f t="shared" ref="Y52:Y54" si="74">IF(M52=1,ROUND(_xlfn.XLOOKUP($E52,$A$2:$A$11,$C$2:$C$11,0,0)*M52*$D52,2),0)</f>
        <v>0</v>
      </c>
      <c r="Z52" s="646">
        <f t="shared" ref="Z52:Z54" si="75">IF(N52=1,ROUND(_xlfn.XLOOKUP($E52,$A$2:$A$11,$C$2:$C$11,0,0)*N52*$D52,2),0)</f>
        <v>0</v>
      </c>
      <c r="AA52" s="646">
        <f t="shared" ref="AA52:AA54" si="76">IF(O52=1,ROUND(_xlfn.XLOOKUP($E52,$A$2:$A$11,$C$2:$C$11,0,0)*O52*$D52,2),0)</f>
        <v>0</v>
      </c>
      <c r="AB52" s="646">
        <f t="shared" ref="AB52:AB54" si="77">IF(P52=1,ROUND(_xlfn.XLOOKUP($E52,$A$2:$A$11,$C$2:$C$11,0,0)*P52*$D52,2),0)</f>
        <v>0</v>
      </c>
      <c r="AC52" s="646">
        <f t="shared" ref="AC52:AC54" si="78">IF(Q52=1,ROUND(_xlfn.XLOOKUP($E52,$A$2:$A$11,$C$2:$C$11,0,0)*Q52*$D52,2),0)</f>
        <v>0</v>
      </c>
      <c r="AD52" s="645">
        <f>IF(OR(AND($E52=$A$6,$D$9=AD$15),AND($E52=$A$10,$D$11=AD$15),AND($E52=$A$3,$D$5=AD$15)),$D52-SUM($R52:AC52),IF($E52=$A$10,ROUND(_xlfn.XLOOKUP(AD$15,$D$10:$D$11,$C$10:$C$11,0,0)*$D52,2),IF($E52=$A$3,ROUND(_xlfn.XLOOKUP(AD$15,$D$3:$D$5,$C$3:$C$5,0,0)*$D52,2),IF($E52=$A$6,ROUND(_xlfn.XLOOKUP(AD$15,$D$6:$D$9,$C$6:$C$9,0,0)*$D52,2),""))))</f>
        <v>0</v>
      </c>
      <c r="AE52" s="646">
        <f>IF(OR(AND($E52=$A$6,$D$9=AE$15),AND($E52=$A$10,$D$11=AE$15),AND($E52=$A$3,$D$5=AE$15)),$D52-SUM($R52:AD52),IF($E52=$A$10,ROUND(_xlfn.XLOOKUP(AE$15,$D$10:$D$11,$C$10:$C$11,0,0)*$D52,2),IF($E52=$A$3,ROUND(_xlfn.XLOOKUP(AE$15,$D$3:$D$5,$C$3:$C$5,0,0)*$D52,2),IF($E52=$A$6,ROUND(_xlfn.XLOOKUP(AE$15,$D$6:$D$9,$C$6:$C$9,0,0)*$D52,2),""))))</f>
        <v>0</v>
      </c>
      <c r="AF52" s="647">
        <f>IF(OR(AND($E52=$A$6,$D$9=AF$15),AND($E52=$A$10,$D$11=AF$15),AND($E52=$A$3,$D$5=AF$15)),$D52-SUM($R52:AE52),IF($E52=$A$10,ROUND(_xlfn.XLOOKUP(AF$15,$D$10:$D$11,$C$10:$C$11,0,0)*$D52,2),IF($E52=$A$3,ROUND(_xlfn.XLOOKUP(AF$15,$D$3:$D$5,$C$3:$C$5,0,0)*$D52,2),IF($E52=$A$6,ROUND(_xlfn.XLOOKUP(AF$15,$D$6:$D$9,$C$6:$C$9,0,0)*$D52,2),""))))</f>
        <v>425482.72</v>
      </c>
      <c r="AG52" s="645"/>
      <c r="AH52" s="646"/>
      <c r="AI52" s="646"/>
      <c r="AJ52" s="646"/>
      <c r="AK52" s="647"/>
      <c r="AL52" s="645">
        <f>IF(OR(AND($E52=$A$6,$D$9=AL$15),AND($E52=$A$10,$D$11=AL$15),AND($E52=$A$3,$D$5=AL$15)),$D52-SUM($R52:AK52),IF($E52=$A$10,ROUND(_xlfn.XLOOKUP(AL$15,$D$10:$D$11,$C$10:$C$11,0,0)*$D52,2),IF($E52=$A$3,ROUND(_xlfn.XLOOKUP(AL$15,$D$3:$D$5,$C$3:$C$5,0,0)*$D52,2),IF($E52=$A$6,ROUND(_xlfn.XLOOKUP(AL$15,$D$6:$D$9,$C$6:$C$9,0,0)*$D52,2),""))))</f>
        <v>0</v>
      </c>
      <c r="AM52" s="646">
        <f>IF(OR(AND($E52=$A$6,$D$9=AM$15),AND($E52=$A$10,$D$11=AM$15),AND($E52=$A$3,$D$5=AM$15)),$D52-SUM($R52:AL52),IF($E52=$A$10,ROUND(_xlfn.XLOOKUP(AM$15,$D$10:$D$11,$C$10:$C$11,0,0)*$D52,2),IF($E52=$A$3,ROUND(_xlfn.XLOOKUP(AM$15,$D$3:$D$5,$C$3:$C$5,0,0)*$D52,2),IF($E52=$A$6,ROUND(_xlfn.XLOOKUP(AM$15,$D$6:$D$9,$C$6:$C$9,0,0)*$D52,2),""))))</f>
        <v>0</v>
      </c>
      <c r="AN52" s="647">
        <f>IF(OR(AND($E52=$A$6,$D$9=AN$15),AND($E52=$A$10,$D$11=AN$15),AND($E52=$A$3,$D$5=AN$15)),$D52-SUM($R52:AM52),IF($E52=$A$10,ROUND(_xlfn.XLOOKUP(AN$15,$D$10:$D$11,$C$10:$C$11,0,0)*$D52,2),IF($E52=$A$3,ROUND(_xlfn.XLOOKUP(AN$15,$D$3:$D$5,$C$3:$C$5,0,0)*$D52,2),IF($E52=$A$6,ROUND(_xlfn.XLOOKUP(AN$15,$D$6:$D$9,$C$6:$C$9,0,0)*$D52,2),""))))</f>
        <v>425482.7100000002</v>
      </c>
      <c r="AO52" s="645"/>
      <c r="AP52" s="646"/>
      <c r="AQ52" s="647"/>
      <c r="AR52" s="646"/>
      <c r="AS52" s="645"/>
      <c r="AT52" s="647"/>
      <c r="AU52" s="648">
        <f>IF(OR(AND($E52=$A$6,$D$9=AU$15),AND($E52=$A$10,$D$11=AU$15),AND($E52=$A$3,$D$5=AU$15)),$D52-SUM($R52:AT52),IF($E52=$A$10,ROUND(_xlfn.XLOOKUP(AU$15,$D$10:$D$11,$C$10:$C$11,0,0)*$D52,2),IF($E52=$A$3,ROUND(_xlfn.XLOOKUP(AU$15,$D$3:$D$5,$C$3:$C$5,0,0)*$D52,2),IF($E52=$A$6,ROUND(_xlfn.XLOOKUP(AU$15,$D$6:$D$9,$C$6:$C$9,0,0)*$D52,2),""))))</f>
        <v>0</v>
      </c>
      <c r="AV52" s="673" t="str">
        <f>IF(SUM(R52:AU52)=D52,"","CORRIGIR")</f>
        <v/>
      </c>
    </row>
    <row r="53" spans="1:48" ht="28.5" outlineLevel="1" x14ac:dyDescent="0.2">
      <c r="A53" s="559" t="s">
        <v>5364</v>
      </c>
      <c r="B53" s="558" t="s">
        <v>4727</v>
      </c>
      <c r="C53" s="557">
        <f t="shared" si="3"/>
        <v>3.0004618404153059E-2</v>
      </c>
      <c r="D53" s="556">
        <f>Produtos!$D46</f>
        <v>776674.8</v>
      </c>
      <c r="E53" s="578" t="s">
        <v>1853</v>
      </c>
      <c r="F53" s="577" t="s">
        <v>5295</v>
      </c>
      <c r="G53" s="577" t="s">
        <v>5295</v>
      </c>
      <c r="H53" s="577" t="s">
        <v>5295</v>
      </c>
      <c r="I53" s="577">
        <v>1</v>
      </c>
      <c r="J53" s="577"/>
      <c r="K53" s="577"/>
      <c r="L53" s="577"/>
      <c r="M53" s="577"/>
      <c r="N53" s="577"/>
      <c r="O53" s="577"/>
      <c r="P53" s="577"/>
      <c r="Q53" s="577"/>
      <c r="R53" s="658">
        <f t="shared" si="67"/>
        <v>0</v>
      </c>
      <c r="S53" s="646">
        <f t="shared" si="68"/>
        <v>0</v>
      </c>
      <c r="T53" s="646">
        <f t="shared" si="69"/>
        <v>0</v>
      </c>
      <c r="U53" s="646">
        <f t="shared" si="70"/>
        <v>466004.88</v>
      </c>
      <c r="V53" s="646">
        <f t="shared" si="71"/>
        <v>0</v>
      </c>
      <c r="W53" s="646">
        <f t="shared" si="72"/>
        <v>0</v>
      </c>
      <c r="X53" s="646">
        <f t="shared" si="73"/>
        <v>0</v>
      </c>
      <c r="Y53" s="646">
        <f t="shared" si="74"/>
        <v>0</v>
      </c>
      <c r="Z53" s="646">
        <f t="shared" si="75"/>
        <v>0</v>
      </c>
      <c r="AA53" s="646">
        <f t="shared" si="76"/>
        <v>0</v>
      </c>
      <c r="AB53" s="646">
        <f t="shared" si="77"/>
        <v>0</v>
      </c>
      <c r="AC53" s="646">
        <f t="shared" si="78"/>
        <v>0</v>
      </c>
      <c r="AD53" s="645">
        <f>IF(OR(AND($E53=$A$6,$D$9=AD$15),AND($E53=$A$10,$D$11=AD$15),AND($E53=$A$3,$D$5=AD$15)),$D53-SUM($R53:AC53),IF($E53=$A$10,ROUND(_xlfn.XLOOKUP(AD$15,$D$10:$D$11,$C$10:$C$11,0,0)*$D53,2),IF($E53=$A$3,ROUND(_xlfn.XLOOKUP(AD$15,$D$3:$D$5,$C$3:$C$5,0,0)*$D53,2),IF($E53=$A$6,ROUND(_xlfn.XLOOKUP(AD$15,$D$6:$D$9,$C$6:$C$9,0,0)*$D53,2),""))))</f>
        <v>0</v>
      </c>
      <c r="AE53" s="646">
        <f>IF(OR(AND($E53=$A$6,$D$9=AE$15),AND($E53=$A$10,$D$11=AE$15),AND($E53=$A$3,$D$5=AE$15)),$D53-SUM($R53:AD53),IF($E53=$A$10,ROUND(_xlfn.XLOOKUP(AE$15,$D$10:$D$11,$C$10:$C$11,0,0)*$D53,2),IF($E53=$A$3,ROUND(_xlfn.XLOOKUP(AE$15,$D$3:$D$5,$C$3:$C$5,0,0)*$D53,2),IF($E53=$A$6,ROUND(_xlfn.XLOOKUP(AE$15,$D$6:$D$9,$C$6:$C$9,0,0)*$D53,2),""))))</f>
        <v>0</v>
      </c>
      <c r="AF53" s="647">
        <f>IF(OR(AND($E53=$A$6,$D$9=AF$15),AND($E53=$A$10,$D$11=AF$15),AND($E53=$A$3,$D$5=AF$15)),$D53-SUM($R53:AE53),IF($E53=$A$10,ROUND(_xlfn.XLOOKUP(AF$15,$D$10:$D$11,$C$10:$C$11,0,0)*$D53,2),IF($E53=$A$3,ROUND(_xlfn.XLOOKUP(AF$15,$D$3:$D$5,$C$3:$C$5,0,0)*$D53,2),IF($E53=$A$6,ROUND(_xlfn.XLOOKUP(AF$15,$D$6:$D$9,$C$6:$C$9,0,0)*$D53,2),""))))</f>
        <v>155334.96</v>
      </c>
      <c r="AG53" s="645"/>
      <c r="AH53" s="646"/>
      <c r="AI53" s="646"/>
      <c r="AJ53" s="646"/>
      <c r="AK53" s="647"/>
      <c r="AL53" s="645">
        <f>IF(OR(AND($E53=$A$6,$D$9=AL$15),AND($E53=$A$10,$D$11=AL$15),AND($E53=$A$3,$D$5=AL$15)),$D53-SUM($R53:AK53),IF($E53=$A$10,ROUND(_xlfn.XLOOKUP(AL$15,$D$10:$D$11,$C$10:$C$11,0,0)*$D53,2),IF($E53=$A$3,ROUND(_xlfn.XLOOKUP(AL$15,$D$3:$D$5,$C$3:$C$5,0,0)*$D53,2),IF($E53=$A$6,ROUND(_xlfn.XLOOKUP(AL$15,$D$6:$D$9,$C$6:$C$9,0,0)*$D53,2),""))))</f>
        <v>0</v>
      </c>
      <c r="AM53" s="646">
        <f>IF(OR(AND($E53=$A$6,$D$9=AM$15),AND($E53=$A$10,$D$11=AM$15),AND($E53=$A$3,$D$5=AM$15)),$D53-SUM($R53:AL53),IF($E53=$A$10,ROUND(_xlfn.XLOOKUP(AM$15,$D$10:$D$11,$C$10:$C$11,0,0)*$D53,2),IF($E53=$A$3,ROUND(_xlfn.XLOOKUP(AM$15,$D$3:$D$5,$C$3:$C$5,0,0)*$D53,2),IF($E53=$A$6,ROUND(_xlfn.XLOOKUP(AM$15,$D$6:$D$9,$C$6:$C$9,0,0)*$D53,2),""))))</f>
        <v>0</v>
      </c>
      <c r="AN53" s="647">
        <f>IF(OR(AND($E53=$A$6,$D$9=AN$15),AND($E53=$A$10,$D$11=AN$15),AND($E53=$A$3,$D$5=AN$15)),$D53-SUM($R53:AM53),IF($E53=$A$10,ROUND(_xlfn.XLOOKUP(AN$15,$D$10:$D$11,$C$10:$C$11,0,0)*$D53,2),IF($E53=$A$3,ROUND(_xlfn.XLOOKUP(AN$15,$D$3:$D$5,$C$3:$C$5,0,0)*$D53,2),IF($E53=$A$6,ROUND(_xlfn.XLOOKUP(AN$15,$D$6:$D$9,$C$6:$C$9,0,0)*$D53,2),""))))</f>
        <v>155334.96000000008</v>
      </c>
      <c r="AO53" s="645"/>
      <c r="AP53" s="646"/>
      <c r="AQ53" s="647"/>
      <c r="AR53" s="646"/>
      <c r="AS53" s="645"/>
      <c r="AT53" s="647"/>
      <c r="AU53" s="648">
        <f>IF(OR(AND($E53=$A$6,$D$9=AU$15),AND($E53=$A$10,$D$11=AU$15),AND($E53=$A$3,$D$5=AU$15)),$D53-SUM($R53:AT53),IF($E53=$A$10,ROUND(_xlfn.XLOOKUP(AU$15,$D$10:$D$11,$C$10:$C$11,0,0)*$D53,2),IF($E53=$A$3,ROUND(_xlfn.XLOOKUP(AU$15,$D$3:$D$5,$C$3:$C$5,0,0)*$D53,2),IF($E53=$A$6,ROUND(_xlfn.XLOOKUP(AU$15,$D$6:$D$9,$C$6:$C$9,0,0)*$D53,2),""))))</f>
        <v>0</v>
      </c>
      <c r="AV53" s="673" t="str">
        <f>IF(SUM(R53:AU53)=D53,"","CORRIGIR")</f>
        <v/>
      </c>
    </row>
    <row r="54" spans="1:48" ht="28.5" outlineLevel="1" x14ac:dyDescent="0.2">
      <c r="A54" s="559" t="s">
        <v>5363</v>
      </c>
      <c r="B54" s="558" t="s">
        <v>4728</v>
      </c>
      <c r="C54" s="557">
        <f t="shared" si="3"/>
        <v>0.14871854299137965</v>
      </c>
      <c r="D54" s="556">
        <f>Produtos!$D47</f>
        <v>3849605.52</v>
      </c>
      <c r="E54" s="578" t="s">
        <v>1853</v>
      </c>
      <c r="F54" s="577" t="s">
        <v>5295</v>
      </c>
      <c r="G54" s="577" t="s">
        <v>5295</v>
      </c>
      <c r="H54" s="577" t="s">
        <v>5295</v>
      </c>
      <c r="I54" s="577">
        <v>1</v>
      </c>
      <c r="J54" s="577"/>
      <c r="K54" s="577"/>
      <c r="L54" s="577"/>
      <c r="M54" s="577"/>
      <c r="N54" s="577"/>
      <c r="O54" s="577"/>
      <c r="P54" s="577"/>
      <c r="Q54" s="577"/>
      <c r="R54" s="658">
        <f t="shared" si="67"/>
        <v>0</v>
      </c>
      <c r="S54" s="646">
        <f t="shared" si="68"/>
        <v>0</v>
      </c>
      <c r="T54" s="646">
        <f t="shared" si="69"/>
        <v>0</v>
      </c>
      <c r="U54" s="646">
        <f t="shared" si="70"/>
        <v>2309763.31</v>
      </c>
      <c r="V54" s="646">
        <f t="shared" si="71"/>
        <v>0</v>
      </c>
      <c r="W54" s="646">
        <f t="shared" si="72"/>
        <v>0</v>
      </c>
      <c r="X54" s="646">
        <f t="shared" si="73"/>
        <v>0</v>
      </c>
      <c r="Y54" s="646">
        <f t="shared" si="74"/>
        <v>0</v>
      </c>
      <c r="Z54" s="646">
        <f t="shared" si="75"/>
        <v>0</v>
      </c>
      <c r="AA54" s="646">
        <f t="shared" si="76"/>
        <v>0</v>
      </c>
      <c r="AB54" s="646">
        <f t="shared" si="77"/>
        <v>0</v>
      </c>
      <c r="AC54" s="646">
        <f t="shared" si="78"/>
        <v>0</v>
      </c>
      <c r="AD54" s="645">
        <f>IF(OR(AND($E54=$A$6,$D$9=AD$15),AND($E54=$A$10,$D$11=AD$15),AND($E54=$A$3,$D$5=AD$15)),$D54-SUM($R54:AC54),IF($E54=$A$10,ROUND(_xlfn.XLOOKUP(AD$15,$D$10:$D$11,$C$10:$C$11,0,0)*$D54,2),IF($E54=$A$3,ROUND(_xlfn.XLOOKUP(AD$15,$D$3:$D$5,$C$3:$C$5,0,0)*$D54,2),IF($E54=$A$6,ROUND(_xlfn.XLOOKUP(AD$15,$D$6:$D$9,$C$6:$C$9,0,0)*$D54,2),""))))</f>
        <v>0</v>
      </c>
      <c r="AE54" s="646">
        <f>IF(OR(AND($E54=$A$6,$D$9=AE$15),AND($E54=$A$10,$D$11=AE$15),AND($E54=$A$3,$D$5=AE$15)),$D54-SUM($R54:AD54),IF($E54=$A$10,ROUND(_xlfn.XLOOKUP(AE$15,$D$10:$D$11,$C$10:$C$11,0,0)*$D54,2),IF($E54=$A$3,ROUND(_xlfn.XLOOKUP(AE$15,$D$3:$D$5,$C$3:$C$5,0,0)*$D54,2),IF($E54=$A$6,ROUND(_xlfn.XLOOKUP(AE$15,$D$6:$D$9,$C$6:$C$9,0,0)*$D54,2),""))))</f>
        <v>0</v>
      </c>
      <c r="AF54" s="647">
        <f>IF(OR(AND($E54=$A$6,$D$9=AF$15),AND($E54=$A$10,$D$11=AF$15),AND($E54=$A$3,$D$5=AF$15)),$D54-SUM($R54:AE54),IF($E54=$A$10,ROUND(_xlfn.XLOOKUP(AF$15,$D$10:$D$11,$C$10:$C$11,0,0)*$D54,2),IF($E54=$A$3,ROUND(_xlfn.XLOOKUP(AF$15,$D$3:$D$5,$C$3:$C$5,0,0)*$D54,2),IF($E54=$A$6,ROUND(_xlfn.XLOOKUP(AF$15,$D$6:$D$9,$C$6:$C$9,0,0)*$D54,2),""))))</f>
        <v>769921.1</v>
      </c>
      <c r="AG54" s="645"/>
      <c r="AH54" s="646"/>
      <c r="AI54" s="646"/>
      <c r="AJ54" s="646"/>
      <c r="AK54" s="647"/>
      <c r="AL54" s="645">
        <f>IF(OR(AND($E54=$A$6,$D$9=AL$15),AND($E54=$A$10,$D$11=AL$15),AND($E54=$A$3,$D$5=AL$15)),$D54-SUM($R54:AK54),IF($E54=$A$10,ROUND(_xlfn.XLOOKUP(AL$15,$D$10:$D$11,$C$10:$C$11,0,0)*$D54,2),IF($E54=$A$3,ROUND(_xlfn.XLOOKUP(AL$15,$D$3:$D$5,$C$3:$C$5,0,0)*$D54,2),IF($E54=$A$6,ROUND(_xlfn.XLOOKUP(AL$15,$D$6:$D$9,$C$6:$C$9,0,0)*$D54,2),""))))</f>
        <v>0</v>
      </c>
      <c r="AM54" s="646">
        <f>IF(OR(AND($E54=$A$6,$D$9=AM$15),AND($E54=$A$10,$D$11=AM$15),AND($E54=$A$3,$D$5=AM$15)),$D54-SUM($R54:AL54),IF($E54=$A$10,ROUND(_xlfn.XLOOKUP(AM$15,$D$10:$D$11,$C$10:$C$11,0,0)*$D54,2),IF($E54=$A$3,ROUND(_xlfn.XLOOKUP(AM$15,$D$3:$D$5,$C$3:$C$5,0,0)*$D54,2),IF($E54=$A$6,ROUND(_xlfn.XLOOKUP(AM$15,$D$6:$D$9,$C$6:$C$9,0,0)*$D54,2),""))))</f>
        <v>0</v>
      </c>
      <c r="AN54" s="647">
        <f>IF(OR(AND($E54=$A$6,$D$9=AN$15),AND($E54=$A$10,$D$11=AN$15),AND($E54=$A$3,$D$5=AN$15)),$D54-SUM($R54:AM54),IF($E54=$A$10,ROUND(_xlfn.XLOOKUP(AN$15,$D$10:$D$11,$C$10:$C$11,0,0)*$D54,2),IF($E54=$A$3,ROUND(_xlfn.XLOOKUP(AN$15,$D$3:$D$5,$C$3:$C$5,0,0)*$D54,2),IF($E54=$A$6,ROUND(_xlfn.XLOOKUP(AN$15,$D$6:$D$9,$C$6:$C$9,0,0)*$D54,2),""))))</f>
        <v>769921.10999999987</v>
      </c>
      <c r="AO54" s="645"/>
      <c r="AP54" s="646"/>
      <c r="AQ54" s="647"/>
      <c r="AR54" s="646"/>
      <c r="AS54" s="645"/>
      <c r="AT54" s="647"/>
      <c r="AU54" s="648">
        <f>IF(OR(AND($E54=$A$6,$D$9=AU$15),AND($E54=$A$10,$D$11=AU$15),AND($E54=$A$3,$D$5=AU$15)),$D54-SUM($R54:AT54),IF($E54=$A$10,ROUND(_xlfn.XLOOKUP(AU$15,$D$10:$D$11,$C$10:$C$11,0,0)*$D54,2),IF($E54=$A$3,ROUND(_xlfn.XLOOKUP(AU$15,$D$3:$D$5,$C$3:$C$5,0,0)*$D54,2),IF($E54=$A$6,ROUND(_xlfn.XLOOKUP(AU$15,$D$6:$D$9,$C$6:$C$9,0,0)*$D54,2),""))))</f>
        <v>0</v>
      </c>
      <c r="AV54" s="673" t="str">
        <f>IF(SUM(R54:AU54)=D54,"","CORRIGIR")</f>
        <v/>
      </c>
    </row>
    <row r="55" spans="1:48" ht="15" x14ac:dyDescent="0.2">
      <c r="A55" s="567" t="s">
        <v>2710</v>
      </c>
      <c r="B55" s="566" t="s">
        <v>4729</v>
      </c>
      <c r="C55" s="565">
        <f t="shared" si="3"/>
        <v>6.6976704464288814E-2</v>
      </c>
      <c r="D55" s="564">
        <f>SUBTOTAL(9,D56:D58)</f>
        <v>1733703.72</v>
      </c>
      <c r="E55" s="563"/>
      <c r="F55" s="561"/>
      <c r="G55" s="562"/>
      <c r="H55" s="561"/>
      <c r="I55" s="562"/>
      <c r="J55" s="561"/>
      <c r="K55" s="562"/>
      <c r="L55" s="561"/>
      <c r="M55" s="562"/>
      <c r="N55" s="561"/>
      <c r="O55" s="562"/>
      <c r="P55" s="561"/>
      <c r="Q55" s="560"/>
      <c r="R55" s="640"/>
      <c r="S55" s="641"/>
      <c r="T55" s="640"/>
      <c r="U55" s="641"/>
      <c r="V55" s="640"/>
      <c r="W55" s="641"/>
      <c r="X55" s="640"/>
      <c r="Y55" s="641"/>
      <c r="Z55" s="640"/>
      <c r="AA55" s="641"/>
      <c r="AB55" s="640"/>
      <c r="AC55" s="641"/>
      <c r="AD55" s="640"/>
      <c r="AE55" s="641"/>
      <c r="AF55" s="640"/>
      <c r="AG55" s="641"/>
      <c r="AH55" s="640"/>
      <c r="AI55" s="641"/>
      <c r="AJ55" s="640"/>
      <c r="AK55" s="641"/>
      <c r="AL55" s="640"/>
      <c r="AM55" s="641"/>
      <c r="AN55" s="640"/>
      <c r="AO55" s="641"/>
      <c r="AP55" s="640"/>
      <c r="AQ55" s="641"/>
      <c r="AR55" s="640"/>
      <c r="AS55" s="641"/>
      <c r="AT55" s="640"/>
      <c r="AU55" s="642"/>
      <c r="AV55" s="673"/>
    </row>
    <row r="56" spans="1:48" ht="14.25" outlineLevel="1" x14ac:dyDescent="0.2">
      <c r="A56" s="559" t="s">
        <v>5362</v>
      </c>
      <c r="B56" s="558" t="s">
        <v>4730</v>
      </c>
      <c r="C56" s="557">
        <f t="shared" si="3"/>
        <v>2.1030685275960415E-2</v>
      </c>
      <c r="D56" s="556">
        <f>Produtos!$D49</f>
        <v>544382.97</v>
      </c>
      <c r="E56" s="578" t="s">
        <v>1853</v>
      </c>
      <c r="F56" s="577" t="s">
        <v>5295</v>
      </c>
      <c r="G56" s="577" t="s">
        <v>5295</v>
      </c>
      <c r="H56" s="577">
        <v>1</v>
      </c>
      <c r="I56" s="577"/>
      <c r="J56" s="577"/>
      <c r="K56" s="577"/>
      <c r="L56" s="577"/>
      <c r="M56" s="577"/>
      <c r="N56" s="577"/>
      <c r="O56" s="577"/>
      <c r="P56" s="577"/>
      <c r="Q56" s="577"/>
      <c r="R56" s="658">
        <f t="shared" ref="R56:R58" si="79">IF(F56=1,ROUND(_xlfn.XLOOKUP($E56,$A$2:$A$11,$C$2:$C$11,0,0)*F56*$D56,2),0)</f>
        <v>0</v>
      </c>
      <c r="S56" s="646">
        <f t="shared" ref="S56:S58" si="80">IF(G56=1,ROUND(_xlfn.XLOOKUP($E56,$A$2:$A$11,$C$2:$C$11,0,0)*G56*$D56,2),0)</f>
        <v>0</v>
      </c>
      <c r="T56" s="646">
        <f t="shared" ref="T56:T58" si="81">IF(H56=1,ROUND(_xlfn.XLOOKUP($E56,$A$2:$A$11,$C$2:$C$11,0,0)*H56*$D56,2),0)</f>
        <v>326629.78000000003</v>
      </c>
      <c r="U56" s="646">
        <f t="shared" ref="U56:U58" si="82">IF(I56=1,ROUND(_xlfn.XLOOKUP($E56,$A$2:$A$11,$C$2:$C$11,0,0)*I56*$D56,2),0)</f>
        <v>0</v>
      </c>
      <c r="V56" s="646">
        <f t="shared" ref="V56:V58" si="83">IF(J56=1,ROUND(_xlfn.XLOOKUP($E56,$A$2:$A$11,$C$2:$C$11,0,0)*J56*$D56,2),0)</f>
        <v>0</v>
      </c>
      <c r="W56" s="646">
        <f t="shared" ref="W56:W58" si="84">IF(K56=1,ROUND(_xlfn.XLOOKUP($E56,$A$2:$A$11,$C$2:$C$11,0,0)*K56*$D56,2),0)</f>
        <v>0</v>
      </c>
      <c r="X56" s="646">
        <f t="shared" ref="X56:X58" si="85">IF(L56=1,ROUND(_xlfn.XLOOKUP($E56,$A$2:$A$11,$C$2:$C$11,0,0)*L56*$D56,2),0)</f>
        <v>0</v>
      </c>
      <c r="Y56" s="646">
        <f t="shared" ref="Y56:Y58" si="86">IF(M56=1,ROUND(_xlfn.XLOOKUP($E56,$A$2:$A$11,$C$2:$C$11,0,0)*M56*$D56,2),0)</f>
        <v>0</v>
      </c>
      <c r="Z56" s="646">
        <f t="shared" ref="Z56:Z58" si="87">IF(N56=1,ROUND(_xlfn.XLOOKUP($E56,$A$2:$A$11,$C$2:$C$11,0,0)*N56*$D56,2),0)</f>
        <v>0</v>
      </c>
      <c r="AA56" s="646">
        <f t="shared" ref="AA56:AA58" si="88">IF(O56=1,ROUND(_xlfn.XLOOKUP($E56,$A$2:$A$11,$C$2:$C$11,0,0)*O56*$D56,2),0)</f>
        <v>0</v>
      </c>
      <c r="AB56" s="646">
        <f t="shared" ref="AB56:AB58" si="89">IF(P56=1,ROUND(_xlfn.XLOOKUP($E56,$A$2:$A$11,$C$2:$C$11,0,0)*P56*$D56,2),0)</f>
        <v>0</v>
      </c>
      <c r="AC56" s="646">
        <f t="shared" ref="AC56:AC58" si="90">IF(Q56=1,ROUND(_xlfn.XLOOKUP($E56,$A$2:$A$11,$C$2:$C$11,0,0)*Q56*$D56,2),0)</f>
        <v>0</v>
      </c>
      <c r="AD56" s="645">
        <f>IF(OR(AND($E56=$A$6,$D$9=AD$15),AND($E56=$A$10,$D$11=AD$15),AND($E56=$A$3,$D$5=AD$15)),$D56-SUM($R56:AC56),IF($E56=$A$10,ROUND(_xlfn.XLOOKUP(AD$15,$D$10:$D$11,$C$10:$C$11,0,0)*$D56,2),IF($E56=$A$3,ROUND(_xlfn.XLOOKUP(AD$15,$D$3:$D$5,$C$3:$C$5,0,0)*$D56,2),IF($E56=$A$6,ROUND(_xlfn.XLOOKUP(AD$15,$D$6:$D$9,$C$6:$C$9,0,0)*$D56,2),""))))</f>
        <v>0</v>
      </c>
      <c r="AE56" s="646">
        <f>IF(OR(AND($E56=$A$6,$D$9=AE$15),AND($E56=$A$10,$D$11=AE$15),AND($E56=$A$3,$D$5=AE$15)),$D56-SUM($R56:AD56),IF($E56=$A$10,ROUND(_xlfn.XLOOKUP(AE$15,$D$10:$D$11,$C$10:$C$11,0,0)*$D56,2),IF($E56=$A$3,ROUND(_xlfn.XLOOKUP(AE$15,$D$3:$D$5,$C$3:$C$5,0,0)*$D56,2),IF($E56=$A$6,ROUND(_xlfn.XLOOKUP(AE$15,$D$6:$D$9,$C$6:$C$9,0,0)*$D56,2),""))))</f>
        <v>0</v>
      </c>
      <c r="AF56" s="647">
        <f>IF(OR(AND($E56=$A$6,$D$9=AF$15),AND($E56=$A$10,$D$11=AF$15),AND($E56=$A$3,$D$5=AF$15)),$D56-SUM($R56:AE56),IF($E56=$A$10,ROUND(_xlfn.XLOOKUP(AF$15,$D$10:$D$11,$C$10:$C$11,0,0)*$D56,2),IF($E56=$A$3,ROUND(_xlfn.XLOOKUP(AF$15,$D$3:$D$5,$C$3:$C$5,0,0)*$D56,2),IF($E56=$A$6,ROUND(_xlfn.XLOOKUP(AF$15,$D$6:$D$9,$C$6:$C$9,0,0)*$D56,2),""))))</f>
        <v>108876.59</v>
      </c>
      <c r="AG56" s="645"/>
      <c r="AH56" s="646"/>
      <c r="AI56" s="646"/>
      <c r="AJ56" s="646"/>
      <c r="AK56" s="647"/>
      <c r="AL56" s="645">
        <f>IF(OR(AND($E56=$A$6,$D$9=AL$15),AND($E56=$A$10,$D$11=AL$15),AND($E56=$A$3,$D$5=AL$15)),$D56-SUM($R56:AK56),IF($E56=$A$10,ROUND(_xlfn.XLOOKUP(AL$15,$D$10:$D$11,$C$10:$C$11,0,0)*$D56,2),IF($E56=$A$3,ROUND(_xlfn.XLOOKUP(AL$15,$D$3:$D$5,$C$3:$C$5,0,0)*$D56,2),IF($E56=$A$6,ROUND(_xlfn.XLOOKUP(AL$15,$D$6:$D$9,$C$6:$C$9,0,0)*$D56,2),""))))</f>
        <v>0</v>
      </c>
      <c r="AM56" s="646">
        <f>IF(OR(AND($E56=$A$6,$D$9=AM$15),AND($E56=$A$10,$D$11=AM$15),AND($E56=$A$3,$D$5=AM$15)),$D56-SUM($R56:AL56),IF($E56=$A$10,ROUND(_xlfn.XLOOKUP(AM$15,$D$10:$D$11,$C$10:$C$11,0,0)*$D56,2),IF($E56=$A$3,ROUND(_xlfn.XLOOKUP(AM$15,$D$3:$D$5,$C$3:$C$5,0,0)*$D56,2),IF($E56=$A$6,ROUND(_xlfn.XLOOKUP(AM$15,$D$6:$D$9,$C$6:$C$9,0,0)*$D56,2),""))))</f>
        <v>0</v>
      </c>
      <c r="AN56" s="647">
        <f>IF(OR(AND($E56=$A$6,$D$9=AN$15),AND($E56=$A$10,$D$11=AN$15),AND($E56=$A$3,$D$5=AN$15)),$D56-SUM($R56:AM56),IF($E56=$A$10,ROUND(_xlfn.XLOOKUP(AN$15,$D$10:$D$11,$C$10:$C$11,0,0)*$D56,2),IF($E56=$A$3,ROUND(_xlfn.XLOOKUP(AN$15,$D$3:$D$5,$C$3:$C$5,0,0)*$D56,2),IF($E56=$A$6,ROUND(_xlfn.XLOOKUP(AN$15,$D$6:$D$9,$C$6:$C$9,0,0)*$D56,2),""))))</f>
        <v>108876.59999999998</v>
      </c>
      <c r="AO56" s="645"/>
      <c r="AP56" s="646"/>
      <c r="AQ56" s="647"/>
      <c r="AR56" s="646"/>
      <c r="AS56" s="645"/>
      <c r="AT56" s="647"/>
      <c r="AU56" s="648">
        <f>IF(OR(AND($E56=$A$6,$D$9=AU$15),AND($E56=$A$10,$D$11=AU$15),AND($E56=$A$3,$D$5=AU$15)),$D56-SUM($R56:AT56),IF($E56=$A$10,ROUND(_xlfn.XLOOKUP(AU$15,$D$10:$D$11,$C$10:$C$11,0,0)*$D56,2),IF($E56=$A$3,ROUND(_xlfn.XLOOKUP(AU$15,$D$3:$D$5,$C$3:$C$5,0,0)*$D56,2),IF($E56=$A$6,ROUND(_xlfn.XLOOKUP(AU$15,$D$6:$D$9,$C$6:$C$9,0,0)*$D56,2),""))))</f>
        <v>0</v>
      </c>
      <c r="AV56" s="673" t="str">
        <f>IF(SUM(R56:AU56)=D56,"","CORRIGIR")</f>
        <v/>
      </c>
    </row>
    <row r="57" spans="1:48" ht="14.25" outlineLevel="1" x14ac:dyDescent="0.2">
      <c r="A57" s="559" t="s">
        <v>5361</v>
      </c>
      <c r="B57" s="558" t="s">
        <v>4731</v>
      </c>
      <c r="C57" s="557">
        <f t="shared" si="3"/>
        <v>2.7594402137298111E-2</v>
      </c>
      <c r="D57" s="556">
        <f>Produtos!$D50</f>
        <v>714285.93</v>
      </c>
      <c r="E57" s="578" t="s">
        <v>1853</v>
      </c>
      <c r="F57" s="577" t="s">
        <v>5295</v>
      </c>
      <c r="G57" s="577" t="s">
        <v>5295</v>
      </c>
      <c r="H57" s="577" t="s">
        <v>5295</v>
      </c>
      <c r="I57" s="577">
        <v>1</v>
      </c>
      <c r="J57" s="577"/>
      <c r="K57" s="577"/>
      <c r="L57" s="577"/>
      <c r="M57" s="577"/>
      <c r="N57" s="577"/>
      <c r="O57" s="577"/>
      <c r="P57" s="577"/>
      <c r="Q57" s="577"/>
      <c r="R57" s="658">
        <f t="shared" si="79"/>
        <v>0</v>
      </c>
      <c r="S57" s="646">
        <f t="shared" si="80"/>
        <v>0</v>
      </c>
      <c r="T57" s="646">
        <f t="shared" si="81"/>
        <v>0</v>
      </c>
      <c r="U57" s="646">
        <f t="shared" si="82"/>
        <v>428571.56</v>
      </c>
      <c r="V57" s="646">
        <f t="shared" si="83"/>
        <v>0</v>
      </c>
      <c r="W57" s="646">
        <f t="shared" si="84"/>
        <v>0</v>
      </c>
      <c r="X57" s="646">
        <f t="shared" si="85"/>
        <v>0</v>
      </c>
      <c r="Y57" s="646">
        <f t="shared" si="86"/>
        <v>0</v>
      </c>
      <c r="Z57" s="646">
        <f t="shared" si="87"/>
        <v>0</v>
      </c>
      <c r="AA57" s="646">
        <f t="shared" si="88"/>
        <v>0</v>
      </c>
      <c r="AB57" s="646">
        <f t="shared" si="89"/>
        <v>0</v>
      </c>
      <c r="AC57" s="646">
        <f t="shared" si="90"/>
        <v>0</v>
      </c>
      <c r="AD57" s="645">
        <f>IF(OR(AND($E57=$A$6,$D$9=AD$15),AND($E57=$A$10,$D$11=AD$15),AND($E57=$A$3,$D$5=AD$15)),$D57-SUM($R57:AC57),IF($E57=$A$10,ROUND(_xlfn.XLOOKUP(AD$15,$D$10:$D$11,$C$10:$C$11,0,0)*$D57,2),IF($E57=$A$3,ROUND(_xlfn.XLOOKUP(AD$15,$D$3:$D$5,$C$3:$C$5,0,0)*$D57,2),IF($E57=$A$6,ROUND(_xlfn.XLOOKUP(AD$15,$D$6:$D$9,$C$6:$C$9,0,0)*$D57,2),""))))</f>
        <v>0</v>
      </c>
      <c r="AE57" s="646">
        <f>IF(OR(AND($E57=$A$6,$D$9=AE$15),AND($E57=$A$10,$D$11=AE$15),AND($E57=$A$3,$D$5=AE$15)),$D57-SUM($R57:AD57),IF($E57=$A$10,ROUND(_xlfn.XLOOKUP(AE$15,$D$10:$D$11,$C$10:$C$11,0,0)*$D57,2),IF($E57=$A$3,ROUND(_xlfn.XLOOKUP(AE$15,$D$3:$D$5,$C$3:$C$5,0,0)*$D57,2),IF($E57=$A$6,ROUND(_xlfn.XLOOKUP(AE$15,$D$6:$D$9,$C$6:$C$9,0,0)*$D57,2),""))))</f>
        <v>0</v>
      </c>
      <c r="AF57" s="647">
        <f>IF(OR(AND($E57=$A$6,$D$9=AF$15),AND($E57=$A$10,$D$11=AF$15),AND($E57=$A$3,$D$5=AF$15)),$D57-SUM($R57:AE57),IF($E57=$A$10,ROUND(_xlfn.XLOOKUP(AF$15,$D$10:$D$11,$C$10:$C$11,0,0)*$D57,2),IF($E57=$A$3,ROUND(_xlfn.XLOOKUP(AF$15,$D$3:$D$5,$C$3:$C$5,0,0)*$D57,2),IF($E57=$A$6,ROUND(_xlfn.XLOOKUP(AF$15,$D$6:$D$9,$C$6:$C$9,0,0)*$D57,2),""))))</f>
        <v>142857.19</v>
      </c>
      <c r="AG57" s="645"/>
      <c r="AH57" s="646"/>
      <c r="AI57" s="646"/>
      <c r="AJ57" s="646"/>
      <c r="AK57" s="647"/>
      <c r="AL57" s="645">
        <f>IF(OR(AND($E57=$A$6,$D$9=AL$15),AND($E57=$A$10,$D$11=AL$15),AND($E57=$A$3,$D$5=AL$15)),$D57-SUM($R57:AK57),IF($E57=$A$10,ROUND(_xlfn.XLOOKUP(AL$15,$D$10:$D$11,$C$10:$C$11,0,0)*$D57,2),IF($E57=$A$3,ROUND(_xlfn.XLOOKUP(AL$15,$D$3:$D$5,$C$3:$C$5,0,0)*$D57,2),IF($E57=$A$6,ROUND(_xlfn.XLOOKUP(AL$15,$D$6:$D$9,$C$6:$C$9,0,0)*$D57,2),""))))</f>
        <v>0</v>
      </c>
      <c r="AM57" s="646">
        <f>IF(OR(AND($E57=$A$6,$D$9=AM$15),AND($E57=$A$10,$D$11=AM$15),AND($E57=$A$3,$D$5=AM$15)),$D57-SUM($R57:AL57),IF($E57=$A$10,ROUND(_xlfn.XLOOKUP(AM$15,$D$10:$D$11,$C$10:$C$11,0,0)*$D57,2),IF($E57=$A$3,ROUND(_xlfn.XLOOKUP(AM$15,$D$3:$D$5,$C$3:$C$5,0,0)*$D57,2),IF($E57=$A$6,ROUND(_xlfn.XLOOKUP(AM$15,$D$6:$D$9,$C$6:$C$9,0,0)*$D57,2),""))))</f>
        <v>0</v>
      </c>
      <c r="AN57" s="647">
        <f>IF(OR(AND($E57=$A$6,$D$9=AN$15),AND($E57=$A$10,$D$11=AN$15),AND($E57=$A$3,$D$5=AN$15)),$D57-SUM($R57:AM57),IF($E57=$A$10,ROUND(_xlfn.XLOOKUP(AN$15,$D$10:$D$11,$C$10:$C$11,0,0)*$D57,2),IF($E57=$A$3,ROUND(_xlfn.XLOOKUP(AN$15,$D$3:$D$5,$C$3:$C$5,0,0)*$D57,2),IF($E57=$A$6,ROUND(_xlfn.XLOOKUP(AN$15,$D$6:$D$9,$C$6:$C$9,0,0)*$D57,2),""))))</f>
        <v>142857.18000000005</v>
      </c>
      <c r="AO57" s="645"/>
      <c r="AP57" s="646"/>
      <c r="AQ57" s="647"/>
      <c r="AR57" s="646"/>
      <c r="AS57" s="645"/>
      <c r="AT57" s="647"/>
      <c r="AU57" s="648">
        <f>IF(OR(AND($E57=$A$6,$D$9=AU$15),AND($E57=$A$10,$D$11=AU$15),AND($E57=$A$3,$D$5=AU$15)),$D57-SUM($R57:AT57),IF($E57=$A$10,ROUND(_xlfn.XLOOKUP(AU$15,$D$10:$D$11,$C$10:$C$11,0,0)*$D57,2),IF($E57=$A$3,ROUND(_xlfn.XLOOKUP(AU$15,$D$3:$D$5,$C$3:$C$5,0,0)*$D57,2),IF($E57=$A$6,ROUND(_xlfn.XLOOKUP(AU$15,$D$6:$D$9,$C$6:$C$9,0,0)*$D57,2),""))))</f>
        <v>0</v>
      </c>
      <c r="AV57" s="673" t="str">
        <f>IF(SUM(R57:AU57)=D57,"","CORRIGIR")</f>
        <v/>
      </c>
    </row>
    <row r="58" spans="1:48" ht="14.25" outlineLevel="1" x14ac:dyDescent="0.2">
      <c r="A58" s="559" t="s">
        <v>5360</v>
      </c>
      <c r="B58" s="558" t="s">
        <v>4732</v>
      </c>
      <c r="C58" s="557">
        <f t="shared" si="3"/>
        <v>1.8351617051030281E-2</v>
      </c>
      <c r="D58" s="556">
        <f>Produtos!$D51</f>
        <v>475034.82</v>
      </c>
      <c r="E58" s="578" t="s">
        <v>1853</v>
      </c>
      <c r="F58" s="577" t="s">
        <v>5295</v>
      </c>
      <c r="G58" s="577" t="s">
        <v>5295</v>
      </c>
      <c r="H58" s="577" t="s">
        <v>5295</v>
      </c>
      <c r="I58" s="577">
        <v>1</v>
      </c>
      <c r="J58" s="577"/>
      <c r="K58" s="577"/>
      <c r="L58" s="577"/>
      <c r="M58" s="577"/>
      <c r="N58" s="577"/>
      <c r="O58" s="577"/>
      <c r="P58" s="577"/>
      <c r="Q58" s="577"/>
      <c r="R58" s="658">
        <f t="shared" si="79"/>
        <v>0</v>
      </c>
      <c r="S58" s="646">
        <f t="shared" si="80"/>
        <v>0</v>
      </c>
      <c r="T58" s="646">
        <f t="shared" si="81"/>
        <v>0</v>
      </c>
      <c r="U58" s="646">
        <f t="shared" si="82"/>
        <v>285020.89</v>
      </c>
      <c r="V58" s="646">
        <f t="shared" si="83"/>
        <v>0</v>
      </c>
      <c r="W58" s="646">
        <f t="shared" si="84"/>
        <v>0</v>
      </c>
      <c r="X58" s="646">
        <f t="shared" si="85"/>
        <v>0</v>
      </c>
      <c r="Y58" s="646">
        <f t="shared" si="86"/>
        <v>0</v>
      </c>
      <c r="Z58" s="646">
        <f t="shared" si="87"/>
        <v>0</v>
      </c>
      <c r="AA58" s="646">
        <f t="shared" si="88"/>
        <v>0</v>
      </c>
      <c r="AB58" s="646">
        <f t="shared" si="89"/>
        <v>0</v>
      </c>
      <c r="AC58" s="646">
        <f t="shared" si="90"/>
        <v>0</v>
      </c>
      <c r="AD58" s="645">
        <f>IF(OR(AND($E58=$A$6,$D$9=AD$15),AND($E58=$A$10,$D$11=AD$15),AND($E58=$A$3,$D$5=AD$15)),$D58-SUM($R58:AC58),IF($E58=$A$10,ROUND(_xlfn.XLOOKUP(AD$15,$D$10:$D$11,$C$10:$C$11,0,0)*$D58,2),IF($E58=$A$3,ROUND(_xlfn.XLOOKUP(AD$15,$D$3:$D$5,$C$3:$C$5,0,0)*$D58,2),IF($E58=$A$6,ROUND(_xlfn.XLOOKUP(AD$15,$D$6:$D$9,$C$6:$C$9,0,0)*$D58,2),""))))</f>
        <v>0</v>
      </c>
      <c r="AE58" s="646">
        <f>IF(OR(AND($E58=$A$6,$D$9=AE$15),AND($E58=$A$10,$D$11=AE$15),AND($E58=$A$3,$D$5=AE$15)),$D58-SUM($R58:AD58),IF($E58=$A$10,ROUND(_xlfn.XLOOKUP(AE$15,$D$10:$D$11,$C$10:$C$11,0,0)*$D58,2),IF($E58=$A$3,ROUND(_xlfn.XLOOKUP(AE$15,$D$3:$D$5,$C$3:$C$5,0,0)*$D58,2),IF($E58=$A$6,ROUND(_xlfn.XLOOKUP(AE$15,$D$6:$D$9,$C$6:$C$9,0,0)*$D58,2),""))))</f>
        <v>0</v>
      </c>
      <c r="AF58" s="647">
        <f>IF(OR(AND($E58=$A$6,$D$9=AF$15),AND($E58=$A$10,$D$11=AF$15),AND($E58=$A$3,$D$5=AF$15)),$D58-SUM($R58:AE58),IF($E58=$A$10,ROUND(_xlfn.XLOOKUP(AF$15,$D$10:$D$11,$C$10:$C$11,0,0)*$D58,2),IF($E58=$A$3,ROUND(_xlfn.XLOOKUP(AF$15,$D$3:$D$5,$C$3:$C$5,0,0)*$D58,2),IF($E58=$A$6,ROUND(_xlfn.XLOOKUP(AF$15,$D$6:$D$9,$C$6:$C$9,0,0)*$D58,2),""))))</f>
        <v>95006.96</v>
      </c>
      <c r="AG58" s="645"/>
      <c r="AH58" s="646"/>
      <c r="AI58" s="646"/>
      <c r="AJ58" s="646"/>
      <c r="AK58" s="647"/>
      <c r="AL58" s="645">
        <f>IF(OR(AND($E58=$A$6,$D$9=AL$15),AND($E58=$A$10,$D$11=AL$15),AND($E58=$A$3,$D$5=AL$15)),$D58-SUM($R58:AK58),IF($E58=$A$10,ROUND(_xlfn.XLOOKUP(AL$15,$D$10:$D$11,$C$10:$C$11,0,0)*$D58,2),IF($E58=$A$3,ROUND(_xlfn.XLOOKUP(AL$15,$D$3:$D$5,$C$3:$C$5,0,0)*$D58,2),IF($E58=$A$6,ROUND(_xlfn.XLOOKUP(AL$15,$D$6:$D$9,$C$6:$C$9,0,0)*$D58,2),""))))</f>
        <v>0</v>
      </c>
      <c r="AM58" s="646">
        <f>IF(OR(AND($E58=$A$6,$D$9=AM$15),AND($E58=$A$10,$D$11=AM$15),AND($E58=$A$3,$D$5=AM$15)),$D58-SUM($R58:AL58),IF($E58=$A$10,ROUND(_xlfn.XLOOKUP(AM$15,$D$10:$D$11,$C$10:$C$11,0,0)*$D58,2),IF($E58=$A$3,ROUND(_xlfn.XLOOKUP(AM$15,$D$3:$D$5,$C$3:$C$5,0,0)*$D58,2),IF($E58=$A$6,ROUND(_xlfn.XLOOKUP(AM$15,$D$6:$D$9,$C$6:$C$9,0,0)*$D58,2),""))))</f>
        <v>0</v>
      </c>
      <c r="AN58" s="647">
        <f>IF(OR(AND($E58=$A$6,$D$9=AN$15),AND($E58=$A$10,$D$11=AN$15),AND($E58=$A$3,$D$5=AN$15)),$D58-SUM($R58:AM58),IF($E58=$A$10,ROUND(_xlfn.XLOOKUP(AN$15,$D$10:$D$11,$C$10:$C$11,0,0)*$D58,2),IF($E58=$A$3,ROUND(_xlfn.XLOOKUP(AN$15,$D$3:$D$5,$C$3:$C$5,0,0)*$D58,2),IF($E58=$A$6,ROUND(_xlfn.XLOOKUP(AN$15,$D$6:$D$9,$C$6:$C$9,0,0)*$D58,2),""))))</f>
        <v>95006.969999999972</v>
      </c>
      <c r="AO58" s="645"/>
      <c r="AP58" s="646"/>
      <c r="AQ58" s="647"/>
      <c r="AR58" s="646"/>
      <c r="AS58" s="645"/>
      <c r="AT58" s="647"/>
      <c r="AU58" s="648">
        <f>IF(OR(AND($E58=$A$6,$D$9=AU$15),AND($E58=$A$10,$D$11=AU$15),AND($E58=$A$3,$D$5=AU$15)),$D58-SUM($R58:AT58),IF($E58=$A$10,ROUND(_xlfn.XLOOKUP(AU$15,$D$10:$D$11,$C$10:$C$11,0,0)*$D58,2),IF($E58=$A$3,ROUND(_xlfn.XLOOKUP(AU$15,$D$3:$D$5,$C$3:$C$5,0,0)*$D58,2),IF($E58=$A$6,ROUND(_xlfn.XLOOKUP(AU$15,$D$6:$D$9,$C$6:$C$9,0,0)*$D58,2),""))))</f>
        <v>0</v>
      </c>
      <c r="AV58" s="673" t="str">
        <f>IF(SUM(R58:AU58)=D58,"","CORRIGIR")</f>
        <v/>
      </c>
    </row>
    <row r="59" spans="1:48" ht="15" x14ac:dyDescent="0.2">
      <c r="A59" s="567" t="s">
        <v>4733</v>
      </c>
      <c r="B59" s="566" t="s">
        <v>4734</v>
      </c>
      <c r="C59" s="565">
        <f t="shared" si="3"/>
        <v>6.5650357629839389E-4</v>
      </c>
      <c r="D59" s="564">
        <f>SUBTOTAL(9,D60)</f>
        <v>16993.71</v>
      </c>
      <c r="E59" s="563"/>
      <c r="F59" s="561"/>
      <c r="G59" s="562"/>
      <c r="H59" s="561"/>
      <c r="I59" s="562"/>
      <c r="J59" s="561"/>
      <c r="K59" s="562"/>
      <c r="L59" s="561"/>
      <c r="M59" s="562"/>
      <c r="N59" s="561"/>
      <c r="O59" s="562"/>
      <c r="P59" s="561"/>
      <c r="Q59" s="560"/>
      <c r="R59" s="640"/>
      <c r="S59" s="641"/>
      <c r="T59" s="640"/>
      <c r="U59" s="641"/>
      <c r="V59" s="640"/>
      <c r="W59" s="641"/>
      <c r="X59" s="640"/>
      <c r="Y59" s="641"/>
      <c r="Z59" s="640"/>
      <c r="AA59" s="641"/>
      <c r="AB59" s="640"/>
      <c r="AC59" s="641"/>
      <c r="AD59" s="640"/>
      <c r="AE59" s="641"/>
      <c r="AF59" s="640"/>
      <c r="AG59" s="641"/>
      <c r="AH59" s="640"/>
      <c r="AI59" s="641"/>
      <c r="AJ59" s="640"/>
      <c r="AK59" s="641"/>
      <c r="AL59" s="640"/>
      <c r="AM59" s="641"/>
      <c r="AN59" s="640"/>
      <c r="AO59" s="641"/>
      <c r="AP59" s="640"/>
      <c r="AQ59" s="641"/>
      <c r="AR59" s="640"/>
      <c r="AS59" s="641"/>
      <c r="AT59" s="640"/>
      <c r="AU59" s="642"/>
      <c r="AV59" s="673"/>
    </row>
    <row r="60" spans="1:48" ht="14.25" outlineLevel="1" x14ac:dyDescent="0.2">
      <c r="A60" s="559" t="s">
        <v>5359</v>
      </c>
      <c r="B60" s="558" t="s">
        <v>4735</v>
      </c>
      <c r="C60" s="557">
        <f t="shared" si="3"/>
        <v>6.5650357629839389E-4</v>
      </c>
      <c r="D60" s="556">
        <f>Produtos!$D53</f>
        <v>16993.71</v>
      </c>
      <c r="E60" s="578" t="s">
        <v>1853</v>
      </c>
      <c r="F60" s="577" t="s">
        <v>5295</v>
      </c>
      <c r="G60" s="577" t="s">
        <v>5295</v>
      </c>
      <c r="H60" s="577">
        <v>1</v>
      </c>
      <c r="I60" s="577"/>
      <c r="J60" s="577"/>
      <c r="K60" s="577"/>
      <c r="L60" s="577"/>
      <c r="M60" s="577"/>
      <c r="N60" s="577"/>
      <c r="O60" s="577"/>
      <c r="P60" s="577"/>
      <c r="Q60" s="577"/>
      <c r="R60" s="658">
        <f t="shared" ref="R60:AC60" si="91">IF(F60=1,ROUND(_xlfn.XLOOKUP($E60,$A$2:$A$11,$C$2:$C$11,0,0)*F60*$D60,2),0)</f>
        <v>0</v>
      </c>
      <c r="S60" s="646">
        <f t="shared" si="91"/>
        <v>0</v>
      </c>
      <c r="T60" s="646">
        <f t="shared" si="91"/>
        <v>10196.23</v>
      </c>
      <c r="U60" s="646">
        <f t="shared" si="91"/>
        <v>0</v>
      </c>
      <c r="V60" s="646">
        <f t="shared" si="91"/>
        <v>0</v>
      </c>
      <c r="W60" s="646">
        <f t="shared" si="91"/>
        <v>0</v>
      </c>
      <c r="X60" s="646">
        <f t="shared" si="91"/>
        <v>0</v>
      </c>
      <c r="Y60" s="646">
        <f t="shared" si="91"/>
        <v>0</v>
      </c>
      <c r="Z60" s="646">
        <f t="shared" si="91"/>
        <v>0</v>
      </c>
      <c r="AA60" s="646">
        <f t="shared" si="91"/>
        <v>0</v>
      </c>
      <c r="AB60" s="646">
        <f t="shared" si="91"/>
        <v>0</v>
      </c>
      <c r="AC60" s="646">
        <f t="shared" si="91"/>
        <v>0</v>
      </c>
      <c r="AD60" s="645">
        <f>IF(OR(AND($E60=$A$6,$D$9=AD$15),AND($E60=$A$10,$D$11=AD$15),AND($E60=$A$3,$D$5=AD$15)),$D60-SUM($R60:AC60),IF($E60=$A$10,ROUND(_xlfn.XLOOKUP(AD$15,$D$10:$D$11,$C$10:$C$11,0,0)*$D60,2),IF($E60=$A$3,ROUND(_xlfn.XLOOKUP(AD$15,$D$3:$D$5,$C$3:$C$5,0,0)*$D60,2),IF($E60=$A$6,ROUND(_xlfn.XLOOKUP(AD$15,$D$6:$D$9,$C$6:$C$9,0,0)*$D60,2),""))))</f>
        <v>0</v>
      </c>
      <c r="AE60" s="646">
        <f>IF(OR(AND($E60=$A$6,$D$9=AE$15),AND($E60=$A$10,$D$11=AE$15),AND($E60=$A$3,$D$5=AE$15)),$D60-SUM($R60:AD60),IF($E60=$A$10,ROUND(_xlfn.XLOOKUP(AE$15,$D$10:$D$11,$C$10:$C$11,0,0)*$D60,2),IF($E60=$A$3,ROUND(_xlfn.XLOOKUP(AE$15,$D$3:$D$5,$C$3:$C$5,0,0)*$D60,2),IF($E60=$A$6,ROUND(_xlfn.XLOOKUP(AE$15,$D$6:$D$9,$C$6:$C$9,0,0)*$D60,2),""))))</f>
        <v>0</v>
      </c>
      <c r="AF60" s="647">
        <f>IF(OR(AND($E60=$A$6,$D$9=AF$15),AND($E60=$A$10,$D$11=AF$15),AND($E60=$A$3,$D$5=AF$15)),$D60-SUM($R60:AE60),IF($E60=$A$10,ROUND(_xlfn.XLOOKUP(AF$15,$D$10:$D$11,$C$10:$C$11,0,0)*$D60,2),IF($E60=$A$3,ROUND(_xlfn.XLOOKUP(AF$15,$D$3:$D$5,$C$3:$C$5,0,0)*$D60,2),IF($E60=$A$6,ROUND(_xlfn.XLOOKUP(AF$15,$D$6:$D$9,$C$6:$C$9,0,0)*$D60,2),""))))</f>
        <v>3398.74</v>
      </c>
      <c r="AG60" s="645"/>
      <c r="AH60" s="646"/>
      <c r="AI60" s="646"/>
      <c r="AJ60" s="646"/>
      <c r="AK60" s="647"/>
      <c r="AL60" s="645">
        <f>IF(OR(AND($E60=$A$6,$D$9=AL$15),AND($E60=$A$10,$D$11=AL$15),AND($E60=$A$3,$D$5=AL$15)),$D60-SUM($R60:AK60),IF($E60=$A$10,ROUND(_xlfn.XLOOKUP(AL$15,$D$10:$D$11,$C$10:$C$11,0,0)*$D60,2),IF($E60=$A$3,ROUND(_xlfn.XLOOKUP(AL$15,$D$3:$D$5,$C$3:$C$5,0,0)*$D60,2),IF($E60=$A$6,ROUND(_xlfn.XLOOKUP(AL$15,$D$6:$D$9,$C$6:$C$9,0,0)*$D60,2),""))))</f>
        <v>0</v>
      </c>
      <c r="AM60" s="646">
        <f>IF(OR(AND($E60=$A$6,$D$9=AM$15),AND($E60=$A$10,$D$11=AM$15),AND($E60=$A$3,$D$5=AM$15)),$D60-SUM($R60:AL60),IF($E60=$A$10,ROUND(_xlfn.XLOOKUP(AM$15,$D$10:$D$11,$C$10:$C$11,0,0)*$D60,2),IF($E60=$A$3,ROUND(_xlfn.XLOOKUP(AM$15,$D$3:$D$5,$C$3:$C$5,0,0)*$D60,2),IF($E60=$A$6,ROUND(_xlfn.XLOOKUP(AM$15,$D$6:$D$9,$C$6:$C$9,0,0)*$D60,2),""))))</f>
        <v>0</v>
      </c>
      <c r="AN60" s="647">
        <f>IF(OR(AND($E60=$A$6,$D$9=AN$15),AND($E60=$A$10,$D$11=AN$15),AND($E60=$A$3,$D$5=AN$15)),$D60-SUM($R60:AM60),IF($E60=$A$10,ROUND(_xlfn.XLOOKUP(AN$15,$D$10:$D$11,$C$10:$C$11,0,0)*$D60,2),IF($E60=$A$3,ROUND(_xlfn.XLOOKUP(AN$15,$D$3:$D$5,$C$3:$C$5,0,0)*$D60,2),IF($E60=$A$6,ROUND(_xlfn.XLOOKUP(AN$15,$D$6:$D$9,$C$6:$C$9,0,0)*$D60,2),""))))</f>
        <v>3398.74</v>
      </c>
      <c r="AO60" s="645"/>
      <c r="AP60" s="646"/>
      <c r="AQ60" s="647"/>
      <c r="AR60" s="646"/>
      <c r="AS60" s="645"/>
      <c r="AT60" s="647"/>
      <c r="AU60" s="648">
        <f>IF(OR(AND($E60=$A$6,$D$9=AU$15),AND($E60=$A$10,$D$11=AU$15),AND($E60=$A$3,$D$5=AU$15)),$D60-SUM($R60:AT60),IF($E60=$A$10,ROUND(_xlfn.XLOOKUP(AU$15,$D$10:$D$11,$C$10:$C$11,0,0)*$D60,2),IF($E60=$A$3,ROUND(_xlfn.XLOOKUP(AU$15,$D$3:$D$5,$C$3:$C$5,0,0)*$D60,2),IF($E60=$A$6,ROUND(_xlfn.XLOOKUP(AU$15,$D$6:$D$9,$C$6:$C$9,0,0)*$D60,2),""))))</f>
        <v>0</v>
      </c>
      <c r="AV60" s="673" t="str">
        <f>IF(SUM(R60:AU60)=D60,"","CORRIGIR")</f>
        <v/>
      </c>
    </row>
    <row r="61" spans="1:48" ht="15" x14ac:dyDescent="0.2">
      <c r="A61" s="567" t="s">
        <v>4736</v>
      </c>
      <c r="B61" s="566" t="s">
        <v>4737</v>
      </c>
      <c r="C61" s="565">
        <f t="shared" si="3"/>
        <v>7.3620007420571773E-2</v>
      </c>
      <c r="D61" s="564">
        <f>SUBTOTAL(9,D62:D65)</f>
        <v>1905666.78</v>
      </c>
      <c r="E61" s="563"/>
      <c r="F61" s="561"/>
      <c r="G61" s="562"/>
      <c r="H61" s="561"/>
      <c r="I61" s="562"/>
      <c r="J61" s="561"/>
      <c r="K61" s="562"/>
      <c r="L61" s="561"/>
      <c r="M61" s="562"/>
      <c r="N61" s="561"/>
      <c r="O61" s="562"/>
      <c r="P61" s="561"/>
      <c r="Q61" s="560"/>
      <c r="R61" s="640"/>
      <c r="S61" s="641"/>
      <c r="T61" s="640"/>
      <c r="U61" s="641"/>
      <c r="V61" s="640"/>
      <c r="W61" s="641"/>
      <c r="X61" s="640"/>
      <c r="Y61" s="641"/>
      <c r="Z61" s="640"/>
      <c r="AA61" s="641"/>
      <c r="AB61" s="640"/>
      <c r="AC61" s="641"/>
      <c r="AD61" s="640"/>
      <c r="AE61" s="641"/>
      <c r="AF61" s="640"/>
      <c r="AG61" s="641"/>
      <c r="AH61" s="640"/>
      <c r="AI61" s="641"/>
      <c r="AJ61" s="640"/>
      <c r="AK61" s="641"/>
      <c r="AL61" s="640"/>
      <c r="AM61" s="641"/>
      <c r="AN61" s="640"/>
      <c r="AO61" s="641"/>
      <c r="AP61" s="640"/>
      <c r="AQ61" s="641"/>
      <c r="AR61" s="640"/>
      <c r="AS61" s="641"/>
      <c r="AT61" s="640"/>
      <c r="AU61" s="642"/>
      <c r="AV61" s="673"/>
    </row>
    <row r="62" spans="1:48" ht="14.25" outlineLevel="1" x14ac:dyDescent="0.2">
      <c r="A62" s="559" t="s">
        <v>5358</v>
      </c>
      <c r="B62" s="558" t="s">
        <v>4738</v>
      </c>
      <c r="C62" s="557">
        <f t="shared" si="3"/>
        <v>7.3620008193214792E-3</v>
      </c>
      <c r="D62" s="556">
        <f>Produtos!$D55</f>
        <v>190566.68</v>
      </c>
      <c r="E62" s="578" t="s">
        <v>1853</v>
      </c>
      <c r="F62" s="577" t="s">
        <v>5295</v>
      </c>
      <c r="G62" s="577" t="s">
        <v>5295</v>
      </c>
      <c r="H62" s="577">
        <v>1</v>
      </c>
      <c r="I62" s="577"/>
      <c r="J62" s="577"/>
      <c r="K62" s="577"/>
      <c r="L62" s="577"/>
      <c r="M62" s="577"/>
      <c r="N62" s="577"/>
      <c r="O62" s="577"/>
      <c r="P62" s="577"/>
      <c r="Q62" s="577"/>
      <c r="R62" s="658">
        <f t="shared" ref="R62:R65" si="92">IF(F62=1,ROUND(_xlfn.XLOOKUP($E62,$A$2:$A$11,$C$2:$C$11,0,0)*F62*$D62,2),0)</f>
        <v>0</v>
      </c>
      <c r="S62" s="646">
        <f t="shared" ref="S62:S65" si="93">IF(G62=1,ROUND(_xlfn.XLOOKUP($E62,$A$2:$A$11,$C$2:$C$11,0,0)*G62*$D62,2),0)</f>
        <v>0</v>
      </c>
      <c r="T62" s="646">
        <f t="shared" ref="T62:T65" si="94">IF(H62=1,ROUND(_xlfn.XLOOKUP($E62,$A$2:$A$11,$C$2:$C$11,0,0)*H62*$D62,2),0)</f>
        <v>114340.01</v>
      </c>
      <c r="U62" s="646">
        <f t="shared" ref="U62:U65" si="95">IF(I62=1,ROUND(_xlfn.XLOOKUP($E62,$A$2:$A$11,$C$2:$C$11,0,0)*I62*$D62,2),0)</f>
        <v>0</v>
      </c>
      <c r="V62" s="646">
        <f t="shared" ref="V62:V65" si="96">IF(J62=1,ROUND(_xlfn.XLOOKUP($E62,$A$2:$A$11,$C$2:$C$11,0,0)*J62*$D62,2),0)</f>
        <v>0</v>
      </c>
      <c r="W62" s="646">
        <f t="shared" ref="W62:W65" si="97">IF(K62=1,ROUND(_xlfn.XLOOKUP($E62,$A$2:$A$11,$C$2:$C$11,0,0)*K62*$D62,2),0)</f>
        <v>0</v>
      </c>
      <c r="X62" s="646">
        <f t="shared" ref="X62:X65" si="98">IF(L62=1,ROUND(_xlfn.XLOOKUP($E62,$A$2:$A$11,$C$2:$C$11,0,0)*L62*$D62,2),0)</f>
        <v>0</v>
      </c>
      <c r="Y62" s="646">
        <f t="shared" ref="Y62:Y65" si="99">IF(M62=1,ROUND(_xlfn.XLOOKUP($E62,$A$2:$A$11,$C$2:$C$11,0,0)*M62*$D62,2),0)</f>
        <v>0</v>
      </c>
      <c r="Z62" s="646">
        <f t="shared" ref="Z62:Z65" si="100">IF(N62=1,ROUND(_xlfn.XLOOKUP($E62,$A$2:$A$11,$C$2:$C$11,0,0)*N62*$D62,2),0)</f>
        <v>0</v>
      </c>
      <c r="AA62" s="646">
        <f t="shared" ref="AA62:AA65" si="101">IF(O62=1,ROUND(_xlfn.XLOOKUP($E62,$A$2:$A$11,$C$2:$C$11,0,0)*O62*$D62,2),0)</f>
        <v>0</v>
      </c>
      <c r="AB62" s="646">
        <f t="shared" ref="AB62:AB65" si="102">IF(P62=1,ROUND(_xlfn.XLOOKUP($E62,$A$2:$A$11,$C$2:$C$11,0,0)*P62*$D62,2),0)</f>
        <v>0</v>
      </c>
      <c r="AC62" s="646">
        <f t="shared" ref="AC62:AC65" si="103">IF(Q62=1,ROUND(_xlfn.XLOOKUP($E62,$A$2:$A$11,$C$2:$C$11,0,0)*Q62*$D62,2),0)</f>
        <v>0</v>
      </c>
      <c r="AD62" s="645">
        <f>IF(OR(AND($E62=$A$6,$D$9=AD$15),AND($E62=$A$10,$D$11=AD$15),AND($E62=$A$3,$D$5=AD$15)),$D62-SUM($R62:AC62),IF($E62=$A$10,ROUND(_xlfn.XLOOKUP(AD$15,$D$10:$D$11,$C$10:$C$11,0,0)*$D62,2),IF($E62=$A$3,ROUND(_xlfn.XLOOKUP(AD$15,$D$3:$D$5,$C$3:$C$5,0,0)*$D62,2),IF($E62=$A$6,ROUND(_xlfn.XLOOKUP(AD$15,$D$6:$D$9,$C$6:$C$9,0,0)*$D62,2),""))))</f>
        <v>0</v>
      </c>
      <c r="AE62" s="646">
        <f>IF(OR(AND($E62=$A$6,$D$9=AE$15),AND($E62=$A$10,$D$11=AE$15),AND($E62=$A$3,$D$5=AE$15)),$D62-SUM($R62:AD62),IF($E62=$A$10,ROUND(_xlfn.XLOOKUP(AE$15,$D$10:$D$11,$C$10:$C$11,0,0)*$D62,2),IF($E62=$A$3,ROUND(_xlfn.XLOOKUP(AE$15,$D$3:$D$5,$C$3:$C$5,0,0)*$D62,2),IF($E62=$A$6,ROUND(_xlfn.XLOOKUP(AE$15,$D$6:$D$9,$C$6:$C$9,0,0)*$D62,2),""))))</f>
        <v>0</v>
      </c>
      <c r="AF62" s="647">
        <f>IF(OR(AND($E62=$A$6,$D$9=AF$15),AND($E62=$A$10,$D$11=AF$15),AND($E62=$A$3,$D$5=AF$15)),$D62-SUM($R62:AE62),IF($E62=$A$10,ROUND(_xlfn.XLOOKUP(AF$15,$D$10:$D$11,$C$10:$C$11,0,0)*$D62,2),IF($E62=$A$3,ROUND(_xlfn.XLOOKUP(AF$15,$D$3:$D$5,$C$3:$C$5,0,0)*$D62,2),IF($E62=$A$6,ROUND(_xlfn.XLOOKUP(AF$15,$D$6:$D$9,$C$6:$C$9,0,0)*$D62,2),""))))</f>
        <v>38113.339999999997</v>
      </c>
      <c r="AG62" s="645"/>
      <c r="AH62" s="646"/>
      <c r="AI62" s="646"/>
      <c r="AJ62" s="646"/>
      <c r="AK62" s="647"/>
      <c r="AL62" s="645">
        <f>IF(OR(AND($E62=$A$6,$D$9=AL$15),AND($E62=$A$10,$D$11=AL$15),AND($E62=$A$3,$D$5=AL$15)),$D62-SUM($R62:AK62),IF($E62=$A$10,ROUND(_xlfn.XLOOKUP(AL$15,$D$10:$D$11,$C$10:$C$11,0,0)*$D62,2),IF($E62=$A$3,ROUND(_xlfn.XLOOKUP(AL$15,$D$3:$D$5,$C$3:$C$5,0,0)*$D62,2),IF($E62=$A$6,ROUND(_xlfn.XLOOKUP(AL$15,$D$6:$D$9,$C$6:$C$9,0,0)*$D62,2),""))))</f>
        <v>0</v>
      </c>
      <c r="AM62" s="646">
        <f>IF(OR(AND($E62=$A$6,$D$9=AM$15),AND($E62=$A$10,$D$11=AM$15),AND($E62=$A$3,$D$5=AM$15)),$D62-SUM($R62:AL62),IF($E62=$A$10,ROUND(_xlfn.XLOOKUP(AM$15,$D$10:$D$11,$C$10:$C$11,0,0)*$D62,2),IF($E62=$A$3,ROUND(_xlfn.XLOOKUP(AM$15,$D$3:$D$5,$C$3:$C$5,0,0)*$D62,2),IF($E62=$A$6,ROUND(_xlfn.XLOOKUP(AM$15,$D$6:$D$9,$C$6:$C$9,0,0)*$D62,2),""))))</f>
        <v>0</v>
      </c>
      <c r="AN62" s="647">
        <f>IF(OR(AND($E62=$A$6,$D$9=AN$15),AND($E62=$A$10,$D$11=AN$15),AND($E62=$A$3,$D$5=AN$15)),$D62-SUM($R62:AM62),IF($E62=$A$10,ROUND(_xlfn.XLOOKUP(AN$15,$D$10:$D$11,$C$10:$C$11,0,0)*$D62,2),IF($E62=$A$3,ROUND(_xlfn.XLOOKUP(AN$15,$D$3:$D$5,$C$3:$C$5,0,0)*$D62,2),IF($E62=$A$6,ROUND(_xlfn.XLOOKUP(AN$15,$D$6:$D$9,$C$6:$C$9,0,0)*$D62,2),""))))</f>
        <v>38113.330000000016</v>
      </c>
      <c r="AO62" s="645"/>
      <c r="AP62" s="646"/>
      <c r="AQ62" s="647"/>
      <c r="AR62" s="646"/>
      <c r="AS62" s="645"/>
      <c r="AT62" s="647"/>
      <c r="AU62" s="648">
        <f>IF(OR(AND($E62=$A$6,$D$9=AU$15),AND($E62=$A$10,$D$11=AU$15),AND($E62=$A$3,$D$5=AU$15)),$D62-SUM($R62:AT62),IF($E62=$A$10,ROUND(_xlfn.XLOOKUP(AU$15,$D$10:$D$11,$C$10:$C$11,0,0)*$D62,2),IF($E62=$A$3,ROUND(_xlfn.XLOOKUP(AU$15,$D$3:$D$5,$C$3:$C$5,0,0)*$D62,2),IF($E62=$A$6,ROUND(_xlfn.XLOOKUP(AU$15,$D$6:$D$9,$C$6:$C$9,0,0)*$D62,2),""))))</f>
        <v>0</v>
      </c>
      <c r="AV62" s="673" t="str">
        <f>IF(SUM(R62:AU62)=D62,"","CORRIGIR")</f>
        <v/>
      </c>
    </row>
    <row r="63" spans="1:48" ht="14.25" outlineLevel="1" x14ac:dyDescent="0.2">
      <c r="A63" s="559" t="s">
        <v>5357</v>
      </c>
      <c r="B63" s="558" t="s">
        <v>4739</v>
      </c>
      <c r="C63" s="557">
        <f t="shared" si="3"/>
        <v>1.4724001638642958E-2</v>
      </c>
      <c r="D63" s="556">
        <f>Produtos!$D56</f>
        <v>381133.36</v>
      </c>
      <c r="E63" s="578" t="s">
        <v>1853</v>
      </c>
      <c r="F63" s="577" t="s">
        <v>5295</v>
      </c>
      <c r="G63" s="577" t="s">
        <v>5295</v>
      </c>
      <c r="H63" s="577" t="s">
        <v>5295</v>
      </c>
      <c r="I63" s="577">
        <v>1</v>
      </c>
      <c r="J63" s="577"/>
      <c r="K63" s="577"/>
      <c r="L63" s="577"/>
      <c r="M63" s="577"/>
      <c r="N63" s="577"/>
      <c r="O63" s="577"/>
      <c r="P63" s="577"/>
      <c r="Q63" s="577"/>
      <c r="R63" s="658">
        <f t="shared" si="92"/>
        <v>0</v>
      </c>
      <c r="S63" s="646">
        <f t="shared" si="93"/>
        <v>0</v>
      </c>
      <c r="T63" s="646">
        <f t="shared" si="94"/>
        <v>0</v>
      </c>
      <c r="U63" s="646">
        <f t="shared" si="95"/>
        <v>228680.02</v>
      </c>
      <c r="V63" s="646">
        <f t="shared" si="96"/>
        <v>0</v>
      </c>
      <c r="W63" s="646">
        <f t="shared" si="97"/>
        <v>0</v>
      </c>
      <c r="X63" s="646">
        <f t="shared" si="98"/>
        <v>0</v>
      </c>
      <c r="Y63" s="646">
        <f t="shared" si="99"/>
        <v>0</v>
      </c>
      <c r="Z63" s="646">
        <f t="shared" si="100"/>
        <v>0</v>
      </c>
      <c r="AA63" s="646">
        <f t="shared" si="101"/>
        <v>0</v>
      </c>
      <c r="AB63" s="646">
        <f t="shared" si="102"/>
        <v>0</v>
      </c>
      <c r="AC63" s="646">
        <f t="shared" si="103"/>
        <v>0</v>
      </c>
      <c r="AD63" s="645">
        <f>IF(OR(AND($E63=$A$6,$D$9=AD$15),AND($E63=$A$10,$D$11=AD$15),AND($E63=$A$3,$D$5=AD$15)),$D63-SUM($R63:AC63),IF($E63=$A$10,ROUND(_xlfn.XLOOKUP(AD$15,$D$10:$D$11,$C$10:$C$11,0,0)*$D63,2),IF($E63=$A$3,ROUND(_xlfn.XLOOKUP(AD$15,$D$3:$D$5,$C$3:$C$5,0,0)*$D63,2),IF($E63=$A$6,ROUND(_xlfn.XLOOKUP(AD$15,$D$6:$D$9,$C$6:$C$9,0,0)*$D63,2),""))))</f>
        <v>0</v>
      </c>
      <c r="AE63" s="646">
        <f>IF(OR(AND($E63=$A$6,$D$9=AE$15),AND($E63=$A$10,$D$11=AE$15),AND($E63=$A$3,$D$5=AE$15)),$D63-SUM($R63:AD63),IF($E63=$A$10,ROUND(_xlfn.XLOOKUP(AE$15,$D$10:$D$11,$C$10:$C$11,0,0)*$D63,2),IF($E63=$A$3,ROUND(_xlfn.XLOOKUP(AE$15,$D$3:$D$5,$C$3:$C$5,0,0)*$D63,2),IF($E63=$A$6,ROUND(_xlfn.XLOOKUP(AE$15,$D$6:$D$9,$C$6:$C$9,0,0)*$D63,2),""))))</f>
        <v>0</v>
      </c>
      <c r="AF63" s="647">
        <f>IF(OR(AND($E63=$A$6,$D$9=AF$15),AND($E63=$A$10,$D$11=AF$15),AND($E63=$A$3,$D$5=AF$15)),$D63-SUM($R63:AE63),IF($E63=$A$10,ROUND(_xlfn.XLOOKUP(AF$15,$D$10:$D$11,$C$10:$C$11,0,0)*$D63,2),IF($E63=$A$3,ROUND(_xlfn.XLOOKUP(AF$15,$D$3:$D$5,$C$3:$C$5,0,0)*$D63,2),IF($E63=$A$6,ROUND(_xlfn.XLOOKUP(AF$15,$D$6:$D$9,$C$6:$C$9,0,0)*$D63,2),""))))</f>
        <v>76226.67</v>
      </c>
      <c r="AG63" s="645"/>
      <c r="AH63" s="646"/>
      <c r="AI63" s="646"/>
      <c r="AJ63" s="646"/>
      <c r="AK63" s="647"/>
      <c r="AL63" s="645">
        <f>IF(OR(AND($E63=$A$6,$D$9=AL$15),AND($E63=$A$10,$D$11=AL$15),AND($E63=$A$3,$D$5=AL$15)),$D63-SUM($R63:AK63),IF($E63=$A$10,ROUND(_xlfn.XLOOKUP(AL$15,$D$10:$D$11,$C$10:$C$11,0,0)*$D63,2),IF($E63=$A$3,ROUND(_xlfn.XLOOKUP(AL$15,$D$3:$D$5,$C$3:$C$5,0,0)*$D63,2),IF($E63=$A$6,ROUND(_xlfn.XLOOKUP(AL$15,$D$6:$D$9,$C$6:$C$9,0,0)*$D63,2),""))))</f>
        <v>0</v>
      </c>
      <c r="AM63" s="646">
        <f>IF(OR(AND($E63=$A$6,$D$9=AM$15),AND($E63=$A$10,$D$11=AM$15),AND($E63=$A$3,$D$5=AM$15)),$D63-SUM($R63:AL63),IF($E63=$A$10,ROUND(_xlfn.XLOOKUP(AM$15,$D$10:$D$11,$C$10:$C$11,0,0)*$D63,2),IF($E63=$A$3,ROUND(_xlfn.XLOOKUP(AM$15,$D$3:$D$5,$C$3:$C$5,0,0)*$D63,2),IF($E63=$A$6,ROUND(_xlfn.XLOOKUP(AM$15,$D$6:$D$9,$C$6:$C$9,0,0)*$D63,2),""))))</f>
        <v>0</v>
      </c>
      <c r="AN63" s="647">
        <f>IF(OR(AND($E63=$A$6,$D$9=AN$15),AND($E63=$A$10,$D$11=AN$15),AND($E63=$A$3,$D$5=AN$15)),$D63-SUM($R63:AM63),IF($E63=$A$10,ROUND(_xlfn.XLOOKUP(AN$15,$D$10:$D$11,$C$10:$C$11,0,0)*$D63,2),IF($E63=$A$3,ROUND(_xlfn.XLOOKUP(AN$15,$D$3:$D$5,$C$3:$C$5,0,0)*$D63,2),IF($E63=$A$6,ROUND(_xlfn.XLOOKUP(AN$15,$D$6:$D$9,$C$6:$C$9,0,0)*$D63,2),""))))</f>
        <v>76226.669999999984</v>
      </c>
      <c r="AO63" s="645"/>
      <c r="AP63" s="646"/>
      <c r="AQ63" s="647"/>
      <c r="AR63" s="646"/>
      <c r="AS63" s="645"/>
      <c r="AT63" s="647"/>
      <c r="AU63" s="648">
        <f>IF(OR(AND($E63=$A$6,$D$9=AU$15),AND($E63=$A$10,$D$11=AU$15),AND($E63=$A$3,$D$5=AU$15)),$D63-SUM($R63:AT63),IF($E63=$A$10,ROUND(_xlfn.XLOOKUP(AU$15,$D$10:$D$11,$C$10:$C$11,0,0)*$D63,2),IF($E63=$A$3,ROUND(_xlfn.XLOOKUP(AU$15,$D$3:$D$5,$C$3:$C$5,0,0)*$D63,2),IF($E63=$A$6,ROUND(_xlfn.XLOOKUP(AU$15,$D$6:$D$9,$C$6:$C$9,0,0)*$D63,2),""))))</f>
        <v>0</v>
      </c>
      <c r="AV63" s="673" t="str">
        <f>IF(SUM(R63:AU63)=D63,"","CORRIGIR")</f>
        <v/>
      </c>
    </row>
    <row r="64" spans="1:48" ht="28.5" outlineLevel="1" x14ac:dyDescent="0.2">
      <c r="A64" s="559" t="s">
        <v>5356</v>
      </c>
      <c r="B64" s="558" t="s">
        <v>4740</v>
      </c>
      <c r="C64" s="557">
        <f t="shared" si="3"/>
        <v>2.9448002890964404E-2</v>
      </c>
      <c r="D64" s="556">
        <f>Produtos!$D57</f>
        <v>762266.71</v>
      </c>
      <c r="E64" s="578" t="s">
        <v>1853</v>
      </c>
      <c r="F64" s="577" t="s">
        <v>5295</v>
      </c>
      <c r="G64" s="577" t="s">
        <v>5295</v>
      </c>
      <c r="H64" s="577" t="s">
        <v>5295</v>
      </c>
      <c r="I64" s="577">
        <v>1</v>
      </c>
      <c r="J64" s="577"/>
      <c r="K64" s="577"/>
      <c r="L64" s="577"/>
      <c r="M64" s="577"/>
      <c r="N64" s="577"/>
      <c r="O64" s="577"/>
      <c r="P64" s="577"/>
      <c r="Q64" s="577"/>
      <c r="R64" s="658">
        <f t="shared" si="92"/>
        <v>0</v>
      </c>
      <c r="S64" s="646">
        <f t="shared" si="93"/>
        <v>0</v>
      </c>
      <c r="T64" s="646">
        <f t="shared" si="94"/>
        <v>0</v>
      </c>
      <c r="U64" s="646">
        <f t="shared" si="95"/>
        <v>457360.03</v>
      </c>
      <c r="V64" s="646">
        <f t="shared" si="96"/>
        <v>0</v>
      </c>
      <c r="W64" s="646">
        <f t="shared" si="97"/>
        <v>0</v>
      </c>
      <c r="X64" s="646">
        <f t="shared" si="98"/>
        <v>0</v>
      </c>
      <c r="Y64" s="646">
        <f t="shared" si="99"/>
        <v>0</v>
      </c>
      <c r="Z64" s="646">
        <f t="shared" si="100"/>
        <v>0</v>
      </c>
      <c r="AA64" s="646">
        <f t="shared" si="101"/>
        <v>0</v>
      </c>
      <c r="AB64" s="646">
        <f t="shared" si="102"/>
        <v>0</v>
      </c>
      <c r="AC64" s="646">
        <f t="shared" si="103"/>
        <v>0</v>
      </c>
      <c r="AD64" s="645">
        <f>IF(OR(AND($E64=$A$6,$D$9=AD$15),AND($E64=$A$10,$D$11=AD$15),AND($E64=$A$3,$D$5=AD$15)),$D64-SUM($R64:AC64),IF($E64=$A$10,ROUND(_xlfn.XLOOKUP(AD$15,$D$10:$D$11,$C$10:$C$11,0,0)*$D64,2),IF($E64=$A$3,ROUND(_xlfn.XLOOKUP(AD$15,$D$3:$D$5,$C$3:$C$5,0,0)*$D64,2),IF($E64=$A$6,ROUND(_xlfn.XLOOKUP(AD$15,$D$6:$D$9,$C$6:$C$9,0,0)*$D64,2),""))))</f>
        <v>0</v>
      </c>
      <c r="AE64" s="646">
        <f>IF(OR(AND($E64=$A$6,$D$9=AE$15),AND($E64=$A$10,$D$11=AE$15),AND($E64=$A$3,$D$5=AE$15)),$D64-SUM($R64:AD64),IF($E64=$A$10,ROUND(_xlfn.XLOOKUP(AE$15,$D$10:$D$11,$C$10:$C$11,0,0)*$D64,2),IF($E64=$A$3,ROUND(_xlfn.XLOOKUP(AE$15,$D$3:$D$5,$C$3:$C$5,0,0)*$D64,2),IF($E64=$A$6,ROUND(_xlfn.XLOOKUP(AE$15,$D$6:$D$9,$C$6:$C$9,0,0)*$D64,2),""))))</f>
        <v>0</v>
      </c>
      <c r="AF64" s="647">
        <f>IF(OR(AND($E64=$A$6,$D$9=AF$15),AND($E64=$A$10,$D$11=AF$15),AND($E64=$A$3,$D$5=AF$15)),$D64-SUM($R64:AE64),IF($E64=$A$10,ROUND(_xlfn.XLOOKUP(AF$15,$D$10:$D$11,$C$10:$C$11,0,0)*$D64,2),IF($E64=$A$3,ROUND(_xlfn.XLOOKUP(AF$15,$D$3:$D$5,$C$3:$C$5,0,0)*$D64,2),IF($E64=$A$6,ROUND(_xlfn.XLOOKUP(AF$15,$D$6:$D$9,$C$6:$C$9,0,0)*$D64,2),""))))</f>
        <v>152453.34</v>
      </c>
      <c r="AG64" s="645"/>
      <c r="AH64" s="646"/>
      <c r="AI64" s="646"/>
      <c r="AJ64" s="646"/>
      <c r="AK64" s="647"/>
      <c r="AL64" s="645">
        <f>IF(OR(AND($E64=$A$6,$D$9=AL$15),AND($E64=$A$10,$D$11=AL$15),AND($E64=$A$3,$D$5=AL$15)),$D64-SUM($R64:AK64),IF($E64=$A$10,ROUND(_xlfn.XLOOKUP(AL$15,$D$10:$D$11,$C$10:$C$11,0,0)*$D64,2),IF($E64=$A$3,ROUND(_xlfn.XLOOKUP(AL$15,$D$3:$D$5,$C$3:$C$5,0,0)*$D64,2),IF($E64=$A$6,ROUND(_xlfn.XLOOKUP(AL$15,$D$6:$D$9,$C$6:$C$9,0,0)*$D64,2),""))))</f>
        <v>0</v>
      </c>
      <c r="AM64" s="646">
        <f>IF(OR(AND($E64=$A$6,$D$9=AM$15),AND($E64=$A$10,$D$11=AM$15),AND($E64=$A$3,$D$5=AM$15)),$D64-SUM($R64:AL64),IF($E64=$A$10,ROUND(_xlfn.XLOOKUP(AM$15,$D$10:$D$11,$C$10:$C$11,0,0)*$D64,2),IF($E64=$A$3,ROUND(_xlfn.XLOOKUP(AM$15,$D$3:$D$5,$C$3:$C$5,0,0)*$D64,2),IF($E64=$A$6,ROUND(_xlfn.XLOOKUP(AM$15,$D$6:$D$9,$C$6:$C$9,0,0)*$D64,2),""))))</f>
        <v>0</v>
      </c>
      <c r="AN64" s="647">
        <f>IF(OR(AND($E64=$A$6,$D$9=AN$15),AND($E64=$A$10,$D$11=AN$15),AND($E64=$A$3,$D$5=AN$15)),$D64-SUM($R64:AM64),IF($E64=$A$10,ROUND(_xlfn.XLOOKUP(AN$15,$D$10:$D$11,$C$10:$C$11,0,0)*$D64,2),IF($E64=$A$3,ROUND(_xlfn.XLOOKUP(AN$15,$D$3:$D$5,$C$3:$C$5,0,0)*$D64,2),IF($E64=$A$6,ROUND(_xlfn.XLOOKUP(AN$15,$D$6:$D$9,$C$6:$C$9,0,0)*$D64,2),""))))</f>
        <v>152453.33999999997</v>
      </c>
      <c r="AO64" s="645"/>
      <c r="AP64" s="646"/>
      <c r="AQ64" s="647"/>
      <c r="AR64" s="646"/>
      <c r="AS64" s="645"/>
      <c r="AT64" s="647"/>
      <c r="AU64" s="648">
        <f>IF(OR(AND($E64=$A$6,$D$9=AU$15),AND($E64=$A$10,$D$11=AU$15),AND($E64=$A$3,$D$5=AU$15)),$D64-SUM($R64:AT64),IF($E64=$A$10,ROUND(_xlfn.XLOOKUP(AU$15,$D$10:$D$11,$C$10:$C$11,0,0)*$D64,2),IF($E64=$A$3,ROUND(_xlfn.XLOOKUP(AU$15,$D$3:$D$5,$C$3:$C$5,0,0)*$D64,2),IF($E64=$A$6,ROUND(_xlfn.XLOOKUP(AU$15,$D$6:$D$9,$C$6:$C$9,0,0)*$D64,2),""))))</f>
        <v>0</v>
      </c>
      <c r="AV64" s="673" t="str">
        <f>IF(SUM(R64:AU64)=D64,"","CORRIGIR")</f>
        <v/>
      </c>
    </row>
    <row r="65" spans="1:48" ht="14.25" outlineLevel="1" x14ac:dyDescent="0.2">
      <c r="A65" s="559" t="s">
        <v>5355</v>
      </c>
      <c r="B65" s="558" t="s">
        <v>4741</v>
      </c>
      <c r="C65" s="557">
        <f t="shared" si="3"/>
        <v>2.2086002071642925E-2</v>
      </c>
      <c r="D65" s="556">
        <f>Produtos!$D58</f>
        <v>571700.03</v>
      </c>
      <c r="E65" s="578" t="s">
        <v>1853</v>
      </c>
      <c r="F65" s="577" t="s">
        <v>5295</v>
      </c>
      <c r="G65" s="577" t="s">
        <v>5295</v>
      </c>
      <c r="H65" s="577" t="s">
        <v>5295</v>
      </c>
      <c r="I65" s="577">
        <v>1</v>
      </c>
      <c r="J65" s="577"/>
      <c r="K65" s="577"/>
      <c r="L65" s="577"/>
      <c r="M65" s="577"/>
      <c r="N65" s="577"/>
      <c r="O65" s="577"/>
      <c r="P65" s="577"/>
      <c r="Q65" s="577"/>
      <c r="R65" s="658">
        <f t="shared" si="92"/>
        <v>0</v>
      </c>
      <c r="S65" s="646">
        <f t="shared" si="93"/>
        <v>0</v>
      </c>
      <c r="T65" s="646">
        <f t="shared" si="94"/>
        <v>0</v>
      </c>
      <c r="U65" s="646">
        <f t="shared" si="95"/>
        <v>343020.02</v>
      </c>
      <c r="V65" s="646">
        <f t="shared" si="96"/>
        <v>0</v>
      </c>
      <c r="W65" s="646">
        <f t="shared" si="97"/>
        <v>0</v>
      </c>
      <c r="X65" s="646">
        <f t="shared" si="98"/>
        <v>0</v>
      </c>
      <c r="Y65" s="646">
        <f t="shared" si="99"/>
        <v>0</v>
      </c>
      <c r="Z65" s="646">
        <f t="shared" si="100"/>
        <v>0</v>
      </c>
      <c r="AA65" s="646">
        <f t="shared" si="101"/>
        <v>0</v>
      </c>
      <c r="AB65" s="646">
        <f t="shared" si="102"/>
        <v>0</v>
      </c>
      <c r="AC65" s="646">
        <f t="shared" si="103"/>
        <v>0</v>
      </c>
      <c r="AD65" s="645">
        <f>IF(OR(AND($E65=$A$6,$D$9=AD$15),AND($E65=$A$10,$D$11=AD$15),AND($E65=$A$3,$D$5=AD$15)),$D65-SUM($R65:AC65),IF($E65=$A$10,ROUND(_xlfn.XLOOKUP(AD$15,$D$10:$D$11,$C$10:$C$11,0,0)*$D65,2),IF($E65=$A$3,ROUND(_xlfn.XLOOKUP(AD$15,$D$3:$D$5,$C$3:$C$5,0,0)*$D65,2),IF($E65=$A$6,ROUND(_xlfn.XLOOKUP(AD$15,$D$6:$D$9,$C$6:$C$9,0,0)*$D65,2),""))))</f>
        <v>0</v>
      </c>
      <c r="AE65" s="646">
        <f>IF(OR(AND($E65=$A$6,$D$9=AE$15),AND($E65=$A$10,$D$11=AE$15),AND($E65=$A$3,$D$5=AE$15)),$D65-SUM($R65:AD65),IF($E65=$A$10,ROUND(_xlfn.XLOOKUP(AE$15,$D$10:$D$11,$C$10:$C$11,0,0)*$D65,2),IF($E65=$A$3,ROUND(_xlfn.XLOOKUP(AE$15,$D$3:$D$5,$C$3:$C$5,0,0)*$D65,2),IF($E65=$A$6,ROUND(_xlfn.XLOOKUP(AE$15,$D$6:$D$9,$C$6:$C$9,0,0)*$D65,2),""))))</f>
        <v>0</v>
      </c>
      <c r="AF65" s="647">
        <f>IF(OR(AND($E65=$A$6,$D$9=AF$15),AND($E65=$A$10,$D$11=AF$15),AND($E65=$A$3,$D$5=AF$15)),$D65-SUM($R65:AE65),IF($E65=$A$10,ROUND(_xlfn.XLOOKUP(AF$15,$D$10:$D$11,$C$10:$C$11,0,0)*$D65,2),IF($E65=$A$3,ROUND(_xlfn.XLOOKUP(AF$15,$D$3:$D$5,$C$3:$C$5,0,0)*$D65,2),IF($E65=$A$6,ROUND(_xlfn.XLOOKUP(AF$15,$D$6:$D$9,$C$6:$C$9,0,0)*$D65,2),""))))</f>
        <v>114340.01</v>
      </c>
      <c r="AG65" s="645"/>
      <c r="AH65" s="646"/>
      <c r="AI65" s="646"/>
      <c r="AJ65" s="646"/>
      <c r="AK65" s="647"/>
      <c r="AL65" s="645">
        <f>IF(OR(AND($E65=$A$6,$D$9=AL$15),AND($E65=$A$10,$D$11=AL$15),AND($E65=$A$3,$D$5=AL$15)),$D65-SUM($R65:AK65),IF($E65=$A$10,ROUND(_xlfn.XLOOKUP(AL$15,$D$10:$D$11,$C$10:$C$11,0,0)*$D65,2),IF($E65=$A$3,ROUND(_xlfn.XLOOKUP(AL$15,$D$3:$D$5,$C$3:$C$5,0,0)*$D65,2),IF($E65=$A$6,ROUND(_xlfn.XLOOKUP(AL$15,$D$6:$D$9,$C$6:$C$9,0,0)*$D65,2),""))))</f>
        <v>0</v>
      </c>
      <c r="AM65" s="646">
        <f>IF(OR(AND($E65=$A$6,$D$9=AM$15),AND($E65=$A$10,$D$11=AM$15),AND($E65=$A$3,$D$5=AM$15)),$D65-SUM($R65:AL65),IF($E65=$A$10,ROUND(_xlfn.XLOOKUP(AM$15,$D$10:$D$11,$C$10:$C$11,0,0)*$D65,2),IF($E65=$A$3,ROUND(_xlfn.XLOOKUP(AM$15,$D$3:$D$5,$C$3:$C$5,0,0)*$D65,2),IF($E65=$A$6,ROUND(_xlfn.XLOOKUP(AM$15,$D$6:$D$9,$C$6:$C$9,0,0)*$D65,2),""))))</f>
        <v>0</v>
      </c>
      <c r="AN65" s="647">
        <f>IF(OR(AND($E65=$A$6,$D$9=AN$15),AND($E65=$A$10,$D$11=AN$15),AND($E65=$A$3,$D$5=AN$15)),$D65-SUM($R65:AM65),IF($E65=$A$10,ROUND(_xlfn.XLOOKUP(AN$15,$D$10:$D$11,$C$10:$C$11,0,0)*$D65,2),IF($E65=$A$3,ROUND(_xlfn.XLOOKUP(AN$15,$D$3:$D$5,$C$3:$C$5,0,0)*$D65,2),IF($E65=$A$6,ROUND(_xlfn.XLOOKUP(AN$15,$D$6:$D$9,$C$6:$C$9,0,0)*$D65,2),""))))</f>
        <v>114340</v>
      </c>
      <c r="AO65" s="645"/>
      <c r="AP65" s="646"/>
      <c r="AQ65" s="647"/>
      <c r="AR65" s="646"/>
      <c r="AS65" s="645"/>
      <c r="AT65" s="647"/>
      <c r="AU65" s="648">
        <f>IF(OR(AND($E65=$A$6,$D$9=AU$15),AND($E65=$A$10,$D$11=AU$15),AND($E65=$A$3,$D$5=AU$15)),$D65-SUM($R65:AT65),IF($E65=$A$10,ROUND(_xlfn.XLOOKUP(AU$15,$D$10:$D$11,$C$10:$C$11,0,0)*$D65,2),IF($E65=$A$3,ROUND(_xlfn.XLOOKUP(AU$15,$D$3:$D$5,$C$3:$C$5,0,0)*$D65,2),IF($E65=$A$6,ROUND(_xlfn.XLOOKUP(AU$15,$D$6:$D$9,$C$6:$C$9,0,0)*$D65,2),""))))</f>
        <v>0</v>
      </c>
      <c r="AV65" s="673" t="str">
        <f>IF(SUM(R65:AU65)=D65,"","CORRIGIR")</f>
        <v/>
      </c>
    </row>
    <row r="66" spans="1:48" ht="15" x14ac:dyDescent="0.2">
      <c r="A66" s="567" t="s">
        <v>4742</v>
      </c>
      <c r="B66" s="566" t="s">
        <v>4721</v>
      </c>
      <c r="C66" s="565">
        <f t="shared" si="3"/>
        <v>6.2750280661999877E-2</v>
      </c>
      <c r="D66" s="564">
        <f>SUBTOTAL(9,D67:D68)</f>
        <v>1624302</v>
      </c>
      <c r="E66" s="563"/>
      <c r="F66" s="561"/>
      <c r="G66" s="562"/>
      <c r="H66" s="561"/>
      <c r="I66" s="562"/>
      <c r="J66" s="561"/>
      <c r="K66" s="562"/>
      <c r="L66" s="561"/>
      <c r="M66" s="562"/>
      <c r="N66" s="561"/>
      <c r="O66" s="562"/>
      <c r="P66" s="561"/>
      <c r="Q66" s="560"/>
      <c r="R66" s="640"/>
      <c r="S66" s="641"/>
      <c r="T66" s="640"/>
      <c r="U66" s="641"/>
      <c r="V66" s="640"/>
      <c r="W66" s="641"/>
      <c r="X66" s="640"/>
      <c r="Y66" s="641"/>
      <c r="Z66" s="640"/>
      <c r="AA66" s="641"/>
      <c r="AB66" s="640"/>
      <c r="AC66" s="641"/>
      <c r="AD66" s="640"/>
      <c r="AE66" s="641"/>
      <c r="AF66" s="640"/>
      <c r="AG66" s="641"/>
      <c r="AH66" s="640"/>
      <c r="AI66" s="641"/>
      <c r="AJ66" s="640"/>
      <c r="AK66" s="641"/>
      <c r="AL66" s="640"/>
      <c r="AM66" s="641"/>
      <c r="AN66" s="640"/>
      <c r="AO66" s="641"/>
      <c r="AP66" s="640"/>
      <c r="AQ66" s="641"/>
      <c r="AR66" s="640"/>
      <c r="AS66" s="641"/>
      <c r="AT66" s="640"/>
      <c r="AU66" s="642"/>
      <c r="AV66" s="673"/>
    </row>
    <row r="67" spans="1:48" ht="28.5" outlineLevel="1" x14ac:dyDescent="0.2">
      <c r="A67" s="559" t="s">
        <v>5354</v>
      </c>
      <c r="B67" s="558" t="s">
        <v>4743</v>
      </c>
      <c r="C67" s="557">
        <f t="shared" si="3"/>
        <v>3.7650168397199923E-2</v>
      </c>
      <c r="D67" s="556">
        <f>Produtos!$D60</f>
        <v>974581.2</v>
      </c>
      <c r="E67" s="578" t="s">
        <v>1853</v>
      </c>
      <c r="F67" s="577" t="s">
        <v>5295</v>
      </c>
      <c r="G67" s="577" t="s">
        <v>5295</v>
      </c>
      <c r="H67" s="577">
        <v>1</v>
      </c>
      <c r="I67" s="577"/>
      <c r="J67" s="577"/>
      <c r="K67" s="577"/>
      <c r="L67" s="577"/>
      <c r="M67" s="577"/>
      <c r="N67" s="577"/>
      <c r="O67" s="577"/>
      <c r="P67" s="577"/>
      <c r="Q67" s="577"/>
      <c r="R67" s="658">
        <f t="shared" ref="R67:R68" si="104">IF(F67=1,ROUND(_xlfn.XLOOKUP($E67,$A$2:$A$11,$C$2:$C$11,0,0)*F67*$D67,2),0)</f>
        <v>0</v>
      </c>
      <c r="S67" s="646">
        <f t="shared" ref="S67:S68" si="105">IF(G67=1,ROUND(_xlfn.XLOOKUP($E67,$A$2:$A$11,$C$2:$C$11,0,0)*G67*$D67,2),0)</f>
        <v>0</v>
      </c>
      <c r="T67" s="646">
        <f t="shared" ref="T67:T68" si="106">IF(H67=1,ROUND(_xlfn.XLOOKUP($E67,$A$2:$A$11,$C$2:$C$11,0,0)*H67*$D67,2),0)</f>
        <v>584748.72</v>
      </c>
      <c r="U67" s="646">
        <f t="shared" ref="U67:U68" si="107">IF(I67=1,ROUND(_xlfn.XLOOKUP($E67,$A$2:$A$11,$C$2:$C$11,0,0)*I67*$D67,2),0)</f>
        <v>0</v>
      </c>
      <c r="V67" s="646">
        <f t="shared" ref="V67:V68" si="108">IF(J67=1,ROUND(_xlfn.XLOOKUP($E67,$A$2:$A$11,$C$2:$C$11,0,0)*J67*$D67,2),0)</f>
        <v>0</v>
      </c>
      <c r="W67" s="646">
        <f t="shared" ref="W67:W68" si="109">IF(K67=1,ROUND(_xlfn.XLOOKUP($E67,$A$2:$A$11,$C$2:$C$11,0,0)*K67*$D67,2),0)</f>
        <v>0</v>
      </c>
      <c r="X67" s="646">
        <f t="shared" ref="X67:X68" si="110">IF(L67=1,ROUND(_xlfn.XLOOKUP($E67,$A$2:$A$11,$C$2:$C$11,0,0)*L67*$D67,2),0)</f>
        <v>0</v>
      </c>
      <c r="Y67" s="646">
        <f t="shared" ref="Y67:Y68" si="111">IF(M67=1,ROUND(_xlfn.XLOOKUP($E67,$A$2:$A$11,$C$2:$C$11,0,0)*M67*$D67,2),0)</f>
        <v>0</v>
      </c>
      <c r="Z67" s="646">
        <f t="shared" ref="Z67:Z68" si="112">IF(N67=1,ROUND(_xlfn.XLOOKUP($E67,$A$2:$A$11,$C$2:$C$11,0,0)*N67*$D67,2),0)</f>
        <v>0</v>
      </c>
      <c r="AA67" s="646">
        <f t="shared" ref="AA67:AA68" si="113">IF(O67=1,ROUND(_xlfn.XLOOKUP($E67,$A$2:$A$11,$C$2:$C$11,0,0)*O67*$D67,2),0)</f>
        <v>0</v>
      </c>
      <c r="AB67" s="646">
        <f t="shared" ref="AB67:AB68" si="114">IF(P67=1,ROUND(_xlfn.XLOOKUP($E67,$A$2:$A$11,$C$2:$C$11,0,0)*P67*$D67,2),0)</f>
        <v>0</v>
      </c>
      <c r="AC67" s="646">
        <f t="shared" ref="AC67:AC68" si="115">IF(Q67=1,ROUND(_xlfn.XLOOKUP($E67,$A$2:$A$11,$C$2:$C$11,0,0)*Q67*$D67,2),0)</f>
        <v>0</v>
      </c>
      <c r="AD67" s="645">
        <f>IF(OR(AND($E67=$A$6,$D$9=AD$15),AND($E67=$A$10,$D$11=AD$15),AND($E67=$A$3,$D$5=AD$15)),$D67-SUM($R67:AC67),IF($E67=$A$10,ROUND(_xlfn.XLOOKUP(AD$15,$D$10:$D$11,$C$10:$C$11,0,0)*$D67,2),IF($E67=$A$3,ROUND(_xlfn.XLOOKUP(AD$15,$D$3:$D$5,$C$3:$C$5,0,0)*$D67,2),IF($E67=$A$6,ROUND(_xlfn.XLOOKUP(AD$15,$D$6:$D$9,$C$6:$C$9,0,0)*$D67,2),""))))</f>
        <v>0</v>
      </c>
      <c r="AE67" s="646">
        <f>IF(OR(AND($E67=$A$6,$D$9=AE$15),AND($E67=$A$10,$D$11=AE$15),AND($E67=$A$3,$D$5=AE$15)),$D67-SUM($R67:AD67),IF($E67=$A$10,ROUND(_xlfn.XLOOKUP(AE$15,$D$10:$D$11,$C$10:$C$11,0,0)*$D67,2),IF($E67=$A$3,ROUND(_xlfn.XLOOKUP(AE$15,$D$3:$D$5,$C$3:$C$5,0,0)*$D67,2),IF($E67=$A$6,ROUND(_xlfn.XLOOKUP(AE$15,$D$6:$D$9,$C$6:$C$9,0,0)*$D67,2),""))))</f>
        <v>0</v>
      </c>
      <c r="AF67" s="647">
        <f>IF(OR(AND($E67=$A$6,$D$9=AF$15),AND($E67=$A$10,$D$11=AF$15),AND($E67=$A$3,$D$5=AF$15)),$D67-SUM($R67:AE67),IF($E67=$A$10,ROUND(_xlfn.XLOOKUP(AF$15,$D$10:$D$11,$C$10:$C$11,0,0)*$D67,2),IF($E67=$A$3,ROUND(_xlfn.XLOOKUP(AF$15,$D$3:$D$5,$C$3:$C$5,0,0)*$D67,2),IF($E67=$A$6,ROUND(_xlfn.XLOOKUP(AF$15,$D$6:$D$9,$C$6:$C$9,0,0)*$D67,2),""))))</f>
        <v>194916.24</v>
      </c>
      <c r="AG67" s="645"/>
      <c r="AH67" s="646"/>
      <c r="AI67" s="646"/>
      <c r="AJ67" s="646"/>
      <c r="AK67" s="647"/>
      <c r="AL67" s="645">
        <f>IF(OR(AND($E67=$A$6,$D$9=AL$15),AND($E67=$A$10,$D$11=AL$15),AND($E67=$A$3,$D$5=AL$15)),$D67-SUM($R67:AK67),IF($E67=$A$10,ROUND(_xlfn.XLOOKUP(AL$15,$D$10:$D$11,$C$10:$C$11,0,0)*$D67,2),IF($E67=$A$3,ROUND(_xlfn.XLOOKUP(AL$15,$D$3:$D$5,$C$3:$C$5,0,0)*$D67,2),IF($E67=$A$6,ROUND(_xlfn.XLOOKUP(AL$15,$D$6:$D$9,$C$6:$C$9,0,0)*$D67,2),""))))</f>
        <v>0</v>
      </c>
      <c r="AM67" s="646">
        <f>IF(OR(AND($E67=$A$6,$D$9=AM$15),AND($E67=$A$10,$D$11=AM$15),AND($E67=$A$3,$D$5=AM$15)),$D67-SUM($R67:AL67),IF($E67=$A$10,ROUND(_xlfn.XLOOKUP(AM$15,$D$10:$D$11,$C$10:$C$11,0,0)*$D67,2),IF($E67=$A$3,ROUND(_xlfn.XLOOKUP(AM$15,$D$3:$D$5,$C$3:$C$5,0,0)*$D67,2),IF($E67=$A$6,ROUND(_xlfn.XLOOKUP(AM$15,$D$6:$D$9,$C$6:$C$9,0,0)*$D67,2),""))))</f>
        <v>0</v>
      </c>
      <c r="AN67" s="647">
        <f>IF(OR(AND($E67=$A$6,$D$9=AN$15),AND($E67=$A$10,$D$11=AN$15),AND($E67=$A$3,$D$5=AN$15)),$D67-SUM($R67:AM67),IF($E67=$A$10,ROUND(_xlfn.XLOOKUP(AN$15,$D$10:$D$11,$C$10:$C$11,0,0)*$D67,2),IF($E67=$A$3,ROUND(_xlfn.XLOOKUP(AN$15,$D$3:$D$5,$C$3:$C$5,0,0)*$D67,2),IF($E67=$A$6,ROUND(_xlfn.XLOOKUP(AN$15,$D$6:$D$9,$C$6:$C$9,0,0)*$D67,2),""))))</f>
        <v>194916.24</v>
      </c>
      <c r="AO67" s="645"/>
      <c r="AP67" s="646"/>
      <c r="AQ67" s="647"/>
      <c r="AR67" s="646"/>
      <c r="AS67" s="645"/>
      <c r="AT67" s="647"/>
      <c r="AU67" s="648">
        <f>IF(OR(AND($E67=$A$6,$D$9=AU$15),AND($E67=$A$10,$D$11=AU$15),AND($E67=$A$3,$D$5=AU$15)),$D67-SUM($R67:AT67),IF($E67=$A$10,ROUND(_xlfn.XLOOKUP(AU$15,$D$10:$D$11,$C$10:$C$11,0,0)*$D67,2),IF($E67=$A$3,ROUND(_xlfn.XLOOKUP(AU$15,$D$3:$D$5,$C$3:$C$5,0,0)*$D67,2),IF($E67=$A$6,ROUND(_xlfn.XLOOKUP(AU$15,$D$6:$D$9,$C$6:$C$9,0,0)*$D67,2),""))))</f>
        <v>0</v>
      </c>
      <c r="AV67" s="673" t="str">
        <f>IF(SUM(R67:AU67)=D67,"","CORRIGIR")</f>
        <v/>
      </c>
    </row>
    <row r="68" spans="1:48" ht="28.5" outlineLevel="1" x14ac:dyDescent="0.2">
      <c r="A68" s="559" t="s">
        <v>5353</v>
      </c>
      <c r="B68" s="558" t="s">
        <v>4744</v>
      </c>
      <c r="C68" s="557">
        <f t="shared" si="3"/>
        <v>2.510011226479995E-2</v>
      </c>
      <c r="D68" s="556">
        <f>Produtos!$D61</f>
        <v>649720.80000000005</v>
      </c>
      <c r="E68" s="578" t="s">
        <v>1853</v>
      </c>
      <c r="F68" s="577" t="s">
        <v>5295</v>
      </c>
      <c r="G68" s="577" t="s">
        <v>5295</v>
      </c>
      <c r="H68" s="577" t="s">
        <v>5295</v>
      </c>
      <c r="I68" s="577">
        <v>1</v>
      </c>
      <c r="J68" s="577"/>
      <c r="K68" s="577"/>
      <c r="L68" s="577"/>
      <c r="M68" s="577"/>
      <c r="N68" s="577"/>
      <c r="O68" s="577"/>
      <c r="P68" s="577"/>
      <c r="Q68" s="577"/>
      <c r="R68" s="658">
        <f t="shared" si="104"/>
        <v>0</v>
      </c>
      <c r="S68" s="646">
        <f t="shared" si="105"/>
        <v>0</v>
      </c>
      <c r="T68" s="646">
        <f t="shared" si="106"/>
        <v>0</v>
      </c>
      <c r="U68" s="646">
        <f t="shared" si="107"/>
        <v>389832.48</v>
      </c>
      <c r="V68" s="646">
        <f t="shared" si="108"/>
        <v>0</v>
      </c>
      <c r="W68" s="646">
        <f t="shared" si="109"/>
        <v>0</v>
      </c>
      <c r="X68" s="646">
        <f t="shared" si="110"/>
        <v>0</v>
      </c>
      <c r="Y68" s="646">
        <f t="shared" si="111"/>
        <v>0</v>
      </c>
      <c r="Z68" s="646">
        <f t="shared" si="112"/>
        <v>0</v>
      </c>
      <c r="AA68" s="646">
        <f t="shared" si="113"/>
        <v>0</v>
      </c>
      <c r="AB68" s="646">
        <f t="shared" si="114"/>
        <v>0</v>
      </c>
      <c r="AC68" s="646">
        <f t="shared" si="115"/>
        <v>0</v>
      </c>
      <c r="AD68" s="645">
        <f>IF(OR(AND($E68=$A$6,$D$9=AD$15),AND($E68=$A$10,$D$11=AD$15),AND($E68=$A$3,$D$5=AD$15)),$D68-SUM($R68:AC68),IF($E68=$A$10,ROUND(_xlfn.XLOOKUP(AD$15,$D$10:$D$11,$C$10:$C$11,0,0)*$D68,2),IF($E68=$A$3,ROUND(_xlfn.XLOOKUP(AD$15,$D$3:$D$5,$C$3:$C$5,0,0)*$D68,2),IF($E68=$A$6,ROUND(_xlfn.XLOOKUP(AD$15,$D$6:$D$9,$C$6:$C$9,0,0)*$D68,2),""))))</f>
        <v>0</v>
      </c>
      <c r="AE68" s="646">
        <f>IF(OR(AND($E68=$A$6,$D$9=AE$15),AND($E68=$A$10,$D$11=AE$15),AND($E68=$A$3,$D$5=AE$15)),$D68-SUM($R68:AD68),IF($E68=$A$10,ROUND(_xlfn.XLOOKUP(AE$15,$D$10:$D$11,$C$10:$C$11,0,0)*$D68,2),IF($E68=$A$3,ROUND(_xlfn.XLOOKUP(AE$15,$D$3:$D$5,$C$3:$C$5,0,0)*$D68,2),IF($E68=$A$6,ROUND(_xlfn.XLOOKUP(AE$15,$D$6:$D$9,$C$6:$C$9,0,0)*$D68,2),""))))</f>
        <v>0</v>
      </c>
      <c r="AF68" s="647">
        <f>IF(OR(AND($E68=$A$6,$D$9=AF$15),AND($E68=$A$10,$D$11=AF$15),AND($E68=$A$3,$D$5=AF$15)),$D68-SUM($R68:AE68),IF($E68=$A$10,ROUND(_xlfn.XLOOKUP(AF$15,$D$10:$D$11,$C$10:$C$11,0,0)*$D68,2),IF($E68=$A$3,ROUND(_xlfn.XLOOKUP(AF$15,$D$3:$D$5,$C$3:$C$5,0,0)*$D68,2),IF($E68=$A$6,ROUND(_xlfn.XLOOKUP(AF$15,$D$6:$D$9,$C$6:$C$9,0,0)*$D68,2),""))))</f>
        <v>129944.16</v>
      </c>
      <c r="AG68" s="645"/>
      <c r="AH68" s="646"/>
      <c r="AI68" s="646"/>
      <c r="AJ68" s="646"/>
      <c r="AK68" s="647"/>
      <c r="AL68" s="645">
        <f>IF(OR(AND($E68=$A$6,$D$9=AL$15),AND($E68=$A$10,$D$11=AL$15),AND($E68=$A$3,$D$5=AL$15)),$D68-SUM($R68:AK68),IF($E68=$A$10,ROUND(_xlfn.XLOOKUP(AL$15,$D$10:$D$11,$C$10:$C$11,0,0)*$D68,2),IF($E68=$A$3,ROUND(_xlfn.XLOOKUP(AL$15,$D$3:$D$5,$C$3:$C$5,0,0)*$D68,2),IF($E68=$A$6,ROUND(_xlfn.XLOOKUP(AL$15,$D$6:$D$9,$C$6:$C$9,0,0)*$D68,2),""))))</f>
        <v>0</v>
      </c>
      <c r="AM68" s="646">
        <f>IF(OR(AND($E68=$A$6,$D$9=AM$15),AND($E68=$A$10,$D$11=AM$15),AND($E68=$A$3,$D$5=AM$15)),$D68-SUM($R68:AL68),IF($E68=$A$10,ROUND(_xlfn.XLOOKUP(AM$15,$D$10:$D$11,$C$10:$C$11,0,0)*$D68,2),IF($E68=$A$3,ROUND(_xlfn.XLOOKUP(AM$15,$D$3:$D$5,$C$3:$C$5,0,0)*$D68,2),IF($E68=$A$6,ROUND(_xlfn.XLOOKUP(AM$15,$D$6:$D$9,$C$6:$C$9,0,0)*$D68,2),""))))</f>
        <v>0</v>
      </c>
      <c r="AN68" s="647">
        <f>IF(OR(AND($E68=$A$6,$D$9=AN$15),AND($E68=$A$10,$D$11=AN$15),AND($E68=$A$3,$D$5=AN$15)),$D68-SUM($R68:AM68),IF($E68=$A$10,ROUND(_xlfn.XLOOKUP(AN$15,$D$10:$D$11,$C$10:$C$11,0,0)*$D68,2),IF($E68=$A$3,ROUND(_xlfn.XLOOKUP(AN$15,$D$3:$D$5,$C$3:$C$5,0,0)*$D68,2),IF($E68=$A$6,ROUND(_xlfn.XLOOKUP(AN$15,$D$6:$D$9,$C$6:$C$9,0,0)*$D68,2),""))))</f>
        <v>129944.16000000003</v>
      </c>
      <c r="AO68" s="645"/>
      <c r="AP68" s="646"/>
      <c r="AQ68" s="647"/>
      <c r="AR68" s="646"/>
      <c r="AS68" s="645"/>
      <c r="AT68" s="647"/>
      <c r="AU68" s="648">
        <f>IF(OR(AND($E68=$A$6,$D$9=AU$15),AND($E68=$A$10,$D$11=AU$15),AND($E68=$A$3,$D$5=AU$15)),$D68-SUM($R68:AT68),IF($E68=$A$10,ROUND(_xlfn.XLOOKUP(AU$15,$D$10:$D$11,$C$10:$C$11,0,0)*$D68,2),IF($E68=$A$3,ROUND(_xlfn.XLOOKUP(AU$15,$D$3:$D$5,$C$3:$C$5,0,0)*$D68,2),IF($E68=$A$6,ROUND(_xlfn.XLOOKUP(AU$15,$D$6:$D$9,$C$6:$C$9,0,0)*$D68,2),""))))</f>
        <v>0</v>
      </c>
      <c r="AV68" s="673" t="str">
        <f>IF(SUM(R68:AU68)=D68,"","CORRIGIR")</f>
        <v/>
      </c>
    </row>
    <row r="69" spans="1:48" ht="15" x14ac:dyDescent="0.2">
      <c r="A69" s="567" t="s">
        <v>4745</v>
      </c>
      <c r="B69" s="566" t="s">
        <v>4746</v>
      </c>
      <c r="C69" s="565">
        <f t="shared" si="3"/>
        <v>9.1496557180324473E-3</v>
      </c>
      <c r="D69" s="564">
        <f>SUBTOTAL(9,D70:D71)</f>
        <v>236840.44</v>
      </c>
      <c r="E69" s="563"/>
      <c r="F69" s="561"/>
      <c r="G69" s="562"/>
      <c r="H69" s="561"/>
      <c r="I69" s="562"/>
      <c r="J69" s="561"/>
      <c r="K69" s="562"/>
      <c r="L69" s="561"/>
      <c r="M69" s="562"/>
      <c r="N69" s="561"/>
      <c r="O69" s="562"/>
      <c r="P69" s="561"/>
      <c r="Q69" s="560"/>
      <c r="R69" s="640"/>
      <c r="S69" s="641"/>
      <c r="T69" s="640"/>
      <c r="U69" s="641"/>
      <c r="V69" s="640"/>
      <c r="W69" s="641"/>
      <c r="X69" s="640"/>
      <c r="Y69" s="641"/>
      <c r="Z69" s="640"/>
      <c r="AA69" s="641"/>
      <c r="AB69" s="640"/>
      <c r="AC69" s="641"/>
      <c r="AD69" s="640"/>
      <c r="AE69" s="641"/>
      <c r="AF69" s="640"/>
      <c r="AG69" s="641"/>
      <c r="AH69" s="640"/>
      <c r="AI69" s="641"/>
      <c r="AJ69" s="640"/>
      <c r="AK69" s="641"/>
      <c r="AL69" s="640"/>
      <c r="AM69" s="641"/>
      <c r="AN69" s="640"/>
      <c r="AO69" s="641"/>
      <c r="AP69" s="640"/>
      <c r="AQ69" s="641"/>
      <c r="AR69" s="640"/>
      <c r="AS69" s="641"/>
      <c r="AT69" s="640"/>
      <c r="AU69" s="642"/>
      <c r="AV69" s="673"/>
    </row>
    <row r="70" spans="1:48" ht="28.5" outlineLevel="1" x14ac:dyDescent="0.2">
      <c r="A70" s="559" t="s">
        <v>5352</v>
      </c>
      <c r="B70" s="558" t="s">
        <v>4747</v>
      </c>
      <c r="C70" s="557">
        <f t="shared" si="3"/>
        <v>2.744896638145432E-3</v>
      </c>
      <c r="D70" s="556">
        <f>Produtos!$D63</f>
        <v>71052.13</v>
      </c>
      <c r="E70" s="578" t="s">
        <v>1853</v>
      </c>
      <c r="F70" s="577" t="s">
        <v>5295</v>
      </c>
      <c r="G70" s="577" t="s">
        <v>5295</v>
      </c>
      <c r="H70" s="577">
        <v>1</v>
      </c>
      <c r="I70" s="577"/>
      <c r="J70" s="577"/>
      <c r="K70" s="577"/>
      <c r="L70" s="577"/>
      <c r="M70" s="577"/>
      <c r="N70" s="577"/>
      <c r="O70" s="577"/>
      <c r="P70" s="577"/>
      <c r="Q70" s="577"/>
      <c r="R70" s="658">
        <f t="shared" ref="R70:R71" si="116">IF(F70=1,ROUND(_xlfn.XLOOKUP($E70,$A$2:$A$11,$C$2:$C$11,0,0)*F70*$D70,2),0)</f>
        <v>0</v>
      </c>
      <c r="S70" s="646">
        <f t="shared" ref="S70:S71" si="117">IF(G70=1,ROUND(_xlfn.XLOOKUP($E70,$A$2:$A$11,$C$2:$C$11,0,0)*G70*$D70,2),0)</f>
        <v>0</v>
      </c>
      <c r="T70" s="646">
        <f t="shared" ref="T70:T71" si="118">IF(H70=1,ROUND(_xlfn.XLOOKUP($E70,$A$2:$A$11,$C$2:$C$11,0,0)*H70*$D70,2),0)</f>
        <v>42631.28</v>
      </c>
      <c r="U70" s="646">
        <f t="shared" ref="U70:U71" si="119">IF(I70=1,ROUND(_xlfn.XLOOKUP($E70,$A$2:$A$11,$C$2:$C$11,0,0)*I70*$D70,2),0)</f>
        <v>0</v>
      </c>
      <c r="V70" s="646">
        <f t="shared" ref="V70:V71" si="120">IF(J70=1,ROUND(_xlfn.XLOOKUP($E70,$A$2:$A$11,$C$2:$C$11,0,0)*J70*$D70,2),0)</f>
        <v>0</v>
      </c>
      <c r="W70" s="646">
        <f t="shared" ref="W70:W71" si="121">IF(K70=1,ROUND(_xlfn.XLOOKUP($E70,$A$2:$A$11,$C$2:$C$11,0,0)*K70*$D70,2),0)</f>
        <v>0</v>
      </c>
      <c r="X70" s="646">
        <f t="shared" ref="X70:X71" si="122">IF(L70=1,ROUND(_xlfn.XLOOKUP($E70,$A$2:$A$11,$C$2:$C$11,0,0)*L70*$D70,2),0)</f>
        <v>0</v>
      </c>
      <c r="Y70" s="646">
        <f t="shared" ref="Y70:Y71" si="123">IF(M70=1,ROUND(_xlfn.XLOOKUP($E70,$A$2:$A$11,$C$2:$C$11,0,0)*M70*$D70,2),0)</f>
        <v>0</v>
      </c>
      <c r="Z70" s="646">
        <f t="shared" ref="Z70:Z71" si="124">IF(N70=1,ROUND(_xlfn.XLOOKUP($E70,$A$2:$A$11,$C$2:$C$11,0,0)*N70*$D70,2),0)</f>
        <v>0</v>
      </c>
      <c r="AA70" s="646">
        <f t="shared" ref="AA70:AA71" si="125">IF(O70=1,ROUND(_xlfn.XLOOKUP($E70,$A$2:$A$11,$C$2:$C$11,0,0)*O70*$D70,2),0)</f>
        <v>0</v>
      </c>
      <c r="AB70" s="646">
        <f t="shared" ref="AB70:AB71" si="126">IF(P70=1,ROUND(_xlfn.XLOOKUP($E70,$A$2:$A$11,$C$2:$C$11,0,0)*P70*$D70,2),0)</f>
        <v>0</v>
      </c>
      <c r="AC70" s="646">
        <f t="shared" ref="AC70:AC71" si="127">IF(Q70=1,ROUND(_xlfn.XLOOKUP($E70,$A$2:$A$11,$C$2:$C$11,0,0)*Q70*$D70,2),0)</f>
        <v>0</v>
      </c>
      <c r="AD70" s="645">
        <f>IF(OR(AND($E70=$A$6,$D$9=AD$15),AND($E70=$A$10,$D$11=AD$15),AND($E70=$A$3,$D$5=AD$15)),$D70-SUM($R70:AC70),IF($E70=$A$10,ROUND(_xlfn.XLOOKUP(AD$15,$D$10:$D$11,$C$10:$C$11,0,0)*$D70,2),IF($E70=$A$3,ROUND(_xlfn.XLOOKUP(AD$15,$D$3:$D$5,$C$3:$C$5,0,0)*$D70,2),IF($E70=$A$6,ROUND(_xlfn.XLOOKUP(AD$15,$D$6:$D$9,$C$6:$C$9,0,0)*$D70,2),""))))</f>
        <v>0</v>
      </c>
      <c r="AE70" s="646">
        <f>IF(OR(AND($E70=$A$6,$D$9=AE$15),AND($E70=$A$10,$D$11=AE$15),AND($E70=$A$3,$D$5=AE$15)),$D70-SUM($R70:AD70),IF($E70=$A$10,ROUND(_xlfn.XLOOKUP(AE$15,$D$10:$D$11,$C$10:$C$11,0,0)*$D70,2),IF($E70=$A$3,ROUND(_xlfn.XLOOKUP(AE$15,$D$3:$D$5,$C$3:$C$5,0,0)*$D70,2),IF($E70=$A$6,ROUND(_xlfn.XLOOKUP(AE$15,$D$6:$D$9,$C$6:$C$9,0,0)*$D70,2),""))))</f>
        <v>0</v>
      </c>
      <c r="AF70" s="647">
        <f>IF(OR(AND($E70=$A$6,$D$9=AF$15),AND($E70=$A$10,$D$11=AF$15),AND($E70=$A$3,$D$5=AF$15)),$D70-SUM($R70:AE70),IF($E70=$A$10,ROUND(_xlfn.XLOOKUP(AF$15,$D$10:$D$11,$C$10:$C$11,0,0)*$D70,2),IF($E70=$A$3,ROUND(_xlfn.XLOOKUP(AF$15,$D$3:$D$5,$C$3:$C$5,0,0)*$D70,2),IF($E70=$A$6,ROUND(_xlfn.XLOOKUP(AF$15,$D$6:$D$9,$C$6:$C$9,0,0)*$D70,2),""))))</f>
        <v>14210.43</v>
      </c>
      <c r="AG70" s="645"/>
      <c r="AH70" s="646"/>
      <c r="AI70" s="646"/>
      <c r="AJ70" s="646"/>
      <c r="AK70" s="647"/>
      <c r="AL70" s="645">
        <f>IF(OR(AND($E70=$A$6,$D$9=AL$15),AND($E70=$A$10,$D$11=AL$15),AND($E70=$A$3,$D$5=AL$15)),$D70-SUM($R70:AK70),IF($E70=$A$10,ROUND(_xlfn.XLOOKUP(AL$15,$D$10:$D$11,$C$10:$C$11,0,0)*$D70,2),IF($E70=$A$3,ROUND(_xlfn.XLOOKUP(AL$15,$D$3:$D$5,$C$3:$C$5,0,0)*$D70,2),IF($E70=$A$6,ROUND(_xlfn.XLOOKUP(AL$15,$D$6:$D$9,$C$6:$C$9,0,0)*$D70,2),""))))</f>
        <v>0</v>
      </c>
      <c r="AM70" s="646">
        <f>IF(OR(AND($E70=$A$6,$D$9=AM$15),AND($E70=$A$10,$D$11=AM$15),AND($E70=$A$3,$D$5=AM$15)),$D70-SUM($R70:AL70),IF($E70=$A$10,ROUND(_xlfn.XLOOKUP(AM$15,$D$10:$D$11,$C$10:$C$11,0,0)*$D70,2),IF($E70=$A$3,ROUND(_xlfn.XLOOKUP(AM$15,$D$3:$D$5,$C$3:$C$5,0,0)*$D70,2),IF($E70=$A$6,ROUND(_xlfn.XLOOKUP(AM$15,$D$6:$D$9,$C$6:$C$9,0,0)*$D70,2),""))))</f>
        <v>0</v>
      </c>
      <c r="AN70" s="647">
        <f>IF(OR(AND($E70=$A$6,$D$9=AN$15),AND($E70=$A$10,$D$11=AN$15),AND($E70=$A$3,$D$5=AN$15)),$D70-SUM($R70:AM70),IF($E70=$A$10,ROUND(_xlfn.XLOOKUP(AN$15,$D$10:$D$11,$C$10:$C$11,0,0)*$D70,2),IF($E70=$A$3,ROUND(_xlfn.XLOOKUP(AN$15,$D$3:$D$5,$C$3:$C$5,0,0)*$D70,2),IF($E70=$A$6,ROUND(_xlfn.XLOOKUP(AN$15,$D$6:$D$9,$C$6:$C$9,0,0)*$D70,2),""))))</f>
        <v>14210.420000000006</v>
      </c>
      <c r="AO70" s="645"/>
      <c r="AP70" s="646"/>
      <c r="AQ70" s="647"/>
      <c r="AR70" s="646"/>
      <c r="AS70" s="645"/>
      <c r="AT70" s="647"/>
      <c r="AU70" s="648">
        <f>IF(OR(AND($E70=$A$6,$D$9=AU$15),AND($E70=$A$10,$D$11=AU$15),AND($E70=$A$3,$D$5=AU$15)),$D70-SUM($R70:AT70),IF($E70=$A$10,ROUND(_xlfn.XLOOKUP(AU$15,$D$10:$D$11,$C$10:$C$11,0,0)*$D70,2),IF($E70=$A$3,ROUND(_xlfn.XLOOKUP(AU$15,$D$3:$D$5,$C$3:$C$5,0,0)*$D70,2),IF($E70=$A$6,ROUND(_xlfn.XLOOKUP(AU$15,$D$6:$D$9,$C$6:$C$9,0,0)*$D70,2),""))))</f>
        <v>0</v>
      </c>
      <c r="AV70" s="673" t="str">
        <f>IF(SUM(R70:AU70)=D70,"","CORRIGIR")</f>
        <v/>
      </c>
    </row>
    <row r="71" spans="1:48" ht="28.5" outlineLevel="1" x14ac:dyDescent="0.2">
      <c r="A71" s="559" t="s">
        <v>5351</v>
      </c>
      <c r="B71" s="558" t="s">
        <v>4748</v>
      </c>
      <c r="C71" s="557">
        <f t="shared" si="3"/>
        <v>6.4047590798870157E-3</v>
      </c>
      <c r="D71" s="556">
        <f>Produtos!$D64</f>
        <v>165788.31</v>
      </c>
      <c r="E71" s="578" t="s">
        <v>1853</v>
      </c>
      <c r="F71" s="577" t="s">
        <v>5295</v>
      </c>
      <c r="G71" s="577" t="s">
        <v>5295</v>
      </c>
      <c r="H71" s="577" t="s">
        <v>5295</v>
      </c>
      <c r="I71" s="577">
        <v>1</v>
      </c>
      <c r="J71" s="577"/>
      <c r="K71" s="577"/>
      <c r="L71" s="577"/>
      <c r="M71" s="577"/>
      <c r="N71" s="577"/>
      <c r="O71" s="577"/>
      <c r="P71" s="577"/>
      <c r="Q71" s="577"/>
      <c r="R71" s="658">
        <f t="shared" si="116"/>
        <v>0</v>
      </c>
      <c r="S71" s="646">
        <f t="shared" si="117"/>
        <v>0</v>
      </c>
      <c r="T71" s="646">
        <f t="shared" si="118"/>
        <v>0</v>
      </c>
      <c r="U71" s="646">
        <f t="shared" si="119"/>
        <v>99472.99</v>
      </c>
      <c r="V71" s="646">
        <f t="shared" si="120"/>
        <v>0</v>
      </c>
      <c r="W71" s="646">
        <f t="shared" si="121"/>
        <v>0</v>
      </c>
      <c r="X71" s="646">
        <f t="shared" si="122"/>
        <v>0</v>
      </c>
      <c r="Y71" s="646">
        <f t="shared" si="123"/>
        <v>0</v>
      </c>
      <c r="Z71" s="646">
        <f t="shared" si="124"/>
        <v>0</v>
      </c>
      <c r="AA71" s="646">
        <f t="shared" si="125"/>
        <v>0</v>
      </c>
      <c r="AB71" s="646">
        <f t="shared" si="126"/>
        <v>0</v>
      </c>
      <c r="AC71" s="646">
        <f t="shared" si="127"/>
        <v>0</v>
      </c>
      <c r="AD71" s="645">
        <f>IF(OR(AND($E71=$A$6,$D$9=AD$15),AND($E71=$A$10,$D$11=AD$15),AND($E71=$A$3,$D$5=AD$15)),$D71-SUM($R71:AC71),IF($E71=$A$10,ROUND(_xlfn.XLOOKUP(AD$15,$D$10:$D$11,$C$10:$C$11,0,0)*$D71,2),IF($E71=$A$3,ROUND(_xlfn.XLOOKUP(AD$15,$D$3:$D$5,$C$3:$C$5,0,0)*$D71,2),IF($E71=$A$6,ROUND(_xlfn.XLOOKUP(AD$15,$D$6:$D$9,$C$6:$C$9,0,0)*$D71,2),""))))</f>
        <v>0</v>
      </c>
      <c r="AE71" s="646">
        <f>IF(OR(AND($E71=$A$6,$D$9=AE$15),AND($E71=$A$10,$D$11=AE$15),AND($E71=$A$3,$D$5=AE$15)),$D71-SUM($R71:AD71),IF($E71=$A$10,ROUND(_xlfn.XLOOKUP(AE$15,$D$10:$D$11,$C$10:$C$11,0,0)*$D71,2),IF($E71=$A$3,ROUND(_xlfn.XLOOKUP(AE$15,$D$3:$D$5,$C$3:$C$5,0,0)*$D71,2),IF($E71=$A$6,ROUND(_xlfn.XLOOKUP(AE$15,$D$6:$D$9,$C$6:$C$9,0,0)*$D71,2),""))))</f>
        <v>0</v>
      </c>
      <c r="AF71" s="647">
        <f>IF(OR(AND($E71=$A$6,$D$9=AF$15),AND($E71=$A$10,$D$11=AF$15),AND($E71=$A$3,$D$5=AF$15)),$D71-SUM($R71:AE71),IF($E71=$A$10,ROUND(_xlfn.XLOOKUP(AF$15,$D$10:$D$11,$C$10:$C$11,0,0)*$D71,2),IF($E71=$A$3,ROUND(_xlfn.XLOOKUP(AF$15,$D$3:$D$5,$C$3:$C$5,0,0)*$D71,2),IF($E71=$A$6,ROUND(_xlfn.XLOOKUP(AF$15,$D$6:$D$9,$C$6:$C$9,0,0)*$D71,2),""))))</f>
        <v>33157.660000000003</v>
      </c>
      <c r="AG71" s="645"/>
      <c r="AH71" s="646"/>
      <c r="AI71" s="646"/>
      <c r="AJ71" s="646"/>
      <c r="AK71" s="647"/>
      <c r="AL71" s="645">
        <f>IF(OR(AND($E71=$A$6,$D$9=AL$15),AND($E71=$A$10,$D$11=AL$15),AND($E71=$A$3,$D$5=AL$15)),$D71-SUM($R71:AK71),IF($E71=$A$10,ROUND(_xlfn.XLOOKUP(AL$15,$D$10:$D$11,$C$10:$C$11,0,0)*$D71,2),IF($E71=$A$3,ROUND(_xlfn.XLOOKUP(AL$15,$D$3:$D$5,$C$3:$C$5,0,0)*$D71,2),IF($E71=$A$6,ROUND(_xlfn.XLOOKUP(AL$15,$D$6:$D$9,$C$6:$C$9,0,0)*$D71,2),""))))</f>
        <v>0</v>
      </c>
      <c r="AM71" s="646">
        <f>IF(OR(AND($E71=$A$6,$D$9=AM$15),AND($E71=$A$10,$D$11=AM$15),AND($E71=$A$3,$D$5=AM$15)),$D71-SUM($R71:AL71),IF($E71=$A$10,ROUND(_xlfn.XLOOKUP(AM$15,$D$10:$D$11,$C$10:$C$11,0,0)*$D71,2),IF($E71=$A$3,ROUND(_xlfn.XLOOKUP(AM$15,$D$3:$D$5,$C$3:$C$5,0,0)*$D71,2),IF($E71=$A$6,ROUND(_xlfn.XLOOKUP(AM$15,$D$6:$D$9,$C$6:$C$9,0,0)*$D71,2),""))))</f>
        <v>0</v>
      </c>
      <c r="AN71" s="647">
        <f>IF(OR(AND($E71=$A$6,$D$9=AN$15),AND($E71=$A$10,$D$11=AN$15),AND($E71=$A$3,$D$5=AN$15)),$D71-SUM($R71:AM71),IF($E71=$A$10,ROUND(_xlfn.XLOOKUP(AN$15,$D$10:$D$11,$C$10:$C$11,0,0)*$D71,2),IF($E71=$A$3,ROUND(_xlfn.XLOOKUP(AN$15,$D$3:$D$5,$C$3:$C$5,0,0)*$D71,2),IF($E71=$A$6,ROUND(_xlfn.XLOOKUP(AN$15,$D$6:$D$9,$C$6:$C$9,0,0)*$D71,2),""))))</f>
        <v>33157.659999999974</v>
      </c>
      <c r="AO71" s="645"/>
      <c r="AP71" s="646"/>
      <c r="AQ71" s="647"/>
      <c r="AR71" s="646"/>
      <c r="AS71" s="645"/>
      <c r="AT71" s="647"/>
      <c r="AU71" s="648">
        <f>IF(OR(AND($E71=$A$6,$D$9=AU$15),AND($E71=$A$10,$D$11=AU$15),AND($E71=$A$3,$D$5=AU$15)),$D71-SUM($R71:AT71),IF($E71=$A$10,ROUND(_xlfn.XLOOKUP(AU$15,$D$10:$D$11,$C$10:$C$11,0,0)*$D71,2),IF($E71=$A$3,ROUND(_xlfn.XLOOKUP(AU$15,$D$3:$D$5,$C$3:$C$5,0,0)*$D71,2),IF($E71=$A$6,ROUND(_xlfn.XLOOKUP(AU$15,$D$6:$D$9,$C$6:$C$9,0,0)*$D71,2),""))))</f>
        <v>0</v>
      </c>
      <c r="AV71" s="673" t="str">
        <f>IF(SUM(R71:AU71)=D71,"","CORRIGIR")</f>
        <v/>
      </c>
    </row>
    <row r="72" spans="1:48" ht="15" x14ac:dyDescent="0.2">
      <c r="A72" s="567" t="s">
        <v>4749</v>
      </c>
      <c r="B72" s="566" t="s">
        <v>4723</v>
      </c>
      <c r="C72" s="565">
        <f t="shared" si="3"/>
        <v>1.1245210794413684E-2</v>
      </c>
      <c r="D72" s="564">
        <f>SUBTOTAL(9,D73)</f>
        <v>291084.25</v>
      </c>
      <c r="E72" s="563"/>
      <c r="F72" s="561"/>
      <c r="G72" s="562"/>
      <c r="H72" s="561"/>
      <c r="I72" s="562"/>
      <c r="J72" s="561"/>
      <c r="K72" s="562"/>
      <c r="L72" s="561"/>
      <c r="M72" s="562"/>
      <c r="N72" s="561"/>
      <c r="O72" s="562"/>
      <c r="P72" s="561"/>
      <c r="Q72" s="560"/>
      <c r="R72" s="640"/>
      <c r="S72" s="641"/>
      <c r="T72" s="640"/>
      <c r="U72" s="641"/>
      <c r="V72" s="640"/>
      <c r="W72" s="641"/>
      <c r="X72" s="640"/>
      <c r="Y72" s="641"/>
      <c r="Z72" s="640"/>
      <c r="AA72" s="641"/>
      <c r="AB72" s="640"/>
      <c r="AC72" s="641"/>
      <c r="AD72" s="640"/>
      <c r="AE72" s="641"/>
      <c r="AF72" s="640"/>
      <c r="AG72" s="641"/>
      <c r="AH72" s="640"/>
      <c r="AI72" s="641"/>
      <c r="AJ72" s="640"/>
      <c r="AK72" s="641"/>
      <c r="AL72" s="640"/>
      <c r="AM72" s="641"/>
      <c r="AN72" s="640"/>
      <c r="AO72" s="641"/>
      <c r="AP72" s="640"/>
      <c r="AQ72" s="641"/>
      <c r="AR72" s="640"/>
      <c r="AS72" s="641"/>
      <c r="AT72" s="640"/>
      <c r="AU72" s="642"/>
      <c r="AV72" s="673"/>
    </row>
    <row r="73" spans="1:48" ht="14.25" outlineLevel="1" x14ac:dyDescent="0.2">
      <c r="A73" s="559" t="s">
        <v>5350</v>
      </c>
      <c r="B73" s="558" t="s">
        <v>4750</v>
      </c>
      <c r="C73" s="557">
        <f t="shared" si="3"/>
        <v>1.1245210794413684E-2</v>
      </c>
      <c r="D73" s="556">
        <f>Produtos!$D66</f>
        <v>291084.25</v>
      </c>
      <c r="E73" s="578" t="s">
        <v>1853</v>
      </c>
      <c r="F73" s="577" t="s">
        <v>5295</v>
      </c>
      <c r="G73" s="577" t="s">
        <v>5295</v>
      </c>
      <c r="H73" s="577" t="s">
        <v>5295</v>
      </c>
      <c r="I73" s="577">
        <v>1</v>
      </c>
      <c r="J73" s="577"/>
      <c r="K73" s="577"/>
      <c r="L73" s="577"/>
      <c r="M73" s="577"/>
      <c r="N73" s="577"/>
      <c r="O73" s="577"/>
      <c r="P73" s="577"/>
      <c r="Q73" s="577"/>
      <c r="R73" s="658">
        <f t="shared" ref="R73:AC73" si="128">IF(F73=1,ROUND(_xlfn.XLOOKUP($E73,$A$2:$A$11,$C$2:$C$11,0,0)*F73*$D73,2),0)</f>
        <v>0</v>
      </c>
      <c r="S73" s="646">
        <f t="shared" si="128"/>
        <v>0</v>
      </c>
      <c r="T73" s="646">
        <f t="shared" si="128"/>
        <v>0</v>
      </c>
      <c r="U73" s="646">
        <f t="shared" si="128"/>
        <v>174650.55</v>
      </c>
      <c r="V73" s="646">
        <f t="shared" si="128"/>
        <v>0</v>
      </c>
      <c r="W73" s="646">
        <f t="shared" si="128"/>
        <v>0</v>
      </c>
      <c r="X73" s="646">
        <f t="shared" si="128"/>
        <v>0</v>
      </c>
      <c r="Y73" s="646">
        <f t="shared" si="128"/>
        <v>0</v>
      </c>
      <c r="Z73" s="646">
        <f t="shared" si="128"/>
        <v>0</v>
      </c>
      <c r="AA73" s="646">
        <f t="shared" si="128"/>
        <v>0</v>
      </c>
      <c r="AB73" s="646">
        <f t="shared" si="128"/>
        <v>0</v>
      </c>
      <c r="AC73" s="646">
        <f t="shared" si="128"/>
        <v>0</v>
      </c>
      <c r="AD73" s="645">
        <f>IF(OR(AND($E73=$A$6,$D$9=AD$15),AND($E73=$A$10,$D$11=AD$15),AND($E73=$A$3,$D$5=AD$15)),$D73-SUM($R73:AC73),IF($E73=$A$10,ROUND(_xlfn.XLOOKUP(AD$15,$D$10:$D$11,$C$10:$C$11,0,0)*$D73,2),IF($E73=$A$3,ROUND(_xlfn.XLOOKUP(AD$15,$D$3:$D$5,$C$3:$C$5,0,0)*$D73,2),IF($E73=$A$6,ROUND(_xlfn.XLOOKUP(AD$15,$D$6:$D$9,$C$6:$C$9,0,0)*$D73,2),""))))</f>
        <v>0</v>
      </c>
      <c r="AE73" s="646">
        <f>IF(OR(AND($E73=$A$6,$D$9=AE$15),AND($E73=$A$10,$D$11=AE$15),AND($E73=$A$3,$D$5=AE$15)),$D73-SUM($R73:AD73),IF($E73=$A$10,ROUND(_xlfn.XLOOKUP(AE$15,$D$10:$D$11,$C$10:$C$11,0,0)*$D73,2),IF($E73=$A$3,ROUND(_xlfn.XLOOKUP(AE$15,$D$3:$D$5,$C$3:$C$5,0,0)*$D73,2),IF($E73=$A$6,ROUND(_xlfn.XLOOKUP(AE$15,$D$6:$D$9,$C$6:$C$9,0,0)*$D73,2),""))))</f>
        <v>0</v>
      </c>
      <c r="AF73" s="647">
        <f>IF(OR(AND($E73=$A$6,$D$9=AF$15),AND($E73=$A$10,$D$11=AF$15),AND($E73=$A$3,$D$5=AF$15)),$D73-SUM($R73:AE73),IF($E73=$A$10,ROUND(_xlfn.XLOOKUP(AF$15,$D$10:$D$11,$C$10:$C$11,0,0)*$D73,2),IF($E73=$A$3,ROUND(_xlfn.XLOOKUP(AF$15,$D$3:$D$5,$C$3:$C$5,0,0)*$D73,2),IF($E73=$A$6,ROUND(_xlfn.XLOOKUP(AF$15,$D$6:$D$9,$C$6:$C$9,0,0)*$D73,2),""))))</f>
        <v>58216.85</v>
      </c>
      <c r="AG73" s="645"/>
      <c r="AH73" s="646"/>
      <c r="AI73" s="646"/>
      <c r="AJ73" s="646"/>
      <c r="AK73" s="647"/>
      <c r="AL73" s="645">
        <f>IF(OR(AND($E73=$A$6,$D$9=AL$15),AND($E73=$A$10,$D$11=AL$15),AND($E73=$A$3,$D$5=AL$15)),$D73-SUM($R73:AK73),IF($E73=$A$10,ROUND(_xlfn.XLOOKUP(AL$15,$D$10:$D$11,$C$10:$C$11,0,0)*$D73,2),IF($E73=$A$3,ROUND(_xlfn.XLOOKUP(AL$15,$D$3:$D$5,$C$3:$C$5,0,0)*$D73,2),IF($E73=$A$6,ROUND(_xlfn.XLOOKUP(AL$15,$D$6:$D$9,$C$6:$C$9,0,0)*$D73,2),""))))</f>
        <v>0</v>
      </c>
      <c r="AM73" s="646">
        <f>IF(OR(AND($E73=$A$6,$D$9=AM$15),AND($E73=$A$10,$D$11=AM$15),AND($E73=$A$3,$D$5=AM$15)),$D73-SUM($R73:AL73),IF($E73=$A$10,ROUND(_xlfn.XLOOKUP(AM$15,$D$10:$D$11,$C$10:$C$11,0,0)*$D73,2),IF($E73=$A$3,ROUND(_xlfn.XLOOKUP(AM$15,$D$3:$D$5,$C$3:$C$5,0,0)*$D73,2),IF($E73=$A$6,ROUND(_xlfn.XLOOKUP(AM$15,$D$6:$D$9,$C$6:$C$9,0,0)*$D73,2),""))))</f>
        <v>0</v>
      </c>
      <c r="AN73" s="647">
        <f>IF(OR(AND($E73=$A$6,$D$9=AN$15),AND($E73=$A$10,$D$11=AN$15),AND($E73=$A$3,$D$5=AN$15)),$D73-SUM($R73:AM73),IF($E73=$A$10,ROUND(_xlfn.XLOOKUP(AN$15,$D$10:$D$11,$C$10:$C$11,0,0)*$D73,2),IF($E73=$A$3,ROUND(_xlfn.XLOOKUP(AN$15,$D$3:$D$5,$C$3:$C$5,0,0)*$D73,2),IF($E73=$A$6,ROUND(_xlfn.XLOOKUP(AN$15,$D$6:$D$9,$C$6:$C$9,0,0)*$D73,2),""))))</f>
        <v>58216.850000000006</v>
      </c>
      <c r="AO73" s="645"/>
      <c r="AP73" s="646"/>
      <c r="AQ73" s="647"/>
      <c r="AR73" s="646"/>
      <c r="AS73" s="645"/>
      <c r="AT73" s="647"/>
      <c r="AU73" s="648">
        <f>IF(OR(AND($E73=$A$6,$D$9=AU$15),AND($E73=$A$10,$D$11=AU$15),AND($E73=$A$3,$D$5=AU$15)),$D73-SUM($R73:AT73),IF($E73=$A$10,ROUND(_xlfn.XLOOKUP(AU$15,$D$10:$D$11,$C$10:$C$11,0,0)*$D73,2),IF($E73=$A$3,ROUND(_xlfn.XLOOKUP(AU$15,$D$3:$D$5,$C$3:$C$5,0,0)*$D73,2),IF($E73=$A$6,ROUND(_xlfn.XLOOKUP(AU$15,$D$6:$D$9,$C$6:$C$9,0,0)*$D73,2),""))))</f>
        <v>0</v>
      </c>
      <c r="AV73" s="673" t="str">
        <f>IF(SUM(R73:AU73)=D73,"","CORRIGIR")</f>
        <v/>
      </c>
    </row>
    <row r="74" spans="1:48" ht="15" x14ac:dyDescent="0.2">
      <c r="A74" s="567" t="s">
        <v>4751</v>
      </c>
      <c r="B74" s="566" t="s">
        <v>4752</v>
      </c>
      <c r="C74" s="565">
        <f t="shared" si="3"/>
        <v>7.772618478864555E-3</v>
      </c>
      <c r="D74" s="564">
        <f>SUBTOTAL(9,D75)</f>
        <v>201195.59</v>
      </c>
      <c r="E74" s="563"/>
      <c r="F74" s="561"/>
      <c r="G74" s="562"/>
      <c r="H74" s="561"/>
      <c r="I74" s="562"/>
      <c r="J74" s="561"/>
      <c r="K74" s="562"/>
      <c r="L74" s="561"/>
      <c r="M74" s="562"/>
      <c r="N74" s="561"/>
      <c r="O74" s="562"/>
      <c r="P74" s="561"/>
      <c r="Q74" s="560"/>
      <c r="R74" s="640"/>
      <c r="S74" s="641"/>
      <c r="T74" s="640"/>
      <c r="U74" s="641"/>
      <c r="V74" s="640"/>
      <c r="W74" s="641"/>
      <c r="X74" s="640"/>
      <c r="Y74" s="641"/>
      <c r="Z74" s="640"/>
      <c r="AA74" s="641"/>
      <c r="AB74" s="640"/>
      <c r="AC74" s="641"/>
      <c r="AD74" s="640"/>
      <c r="AE74" s="641"/>
      <c r="AF74" s="640"/>
      <c r="AG74" s="641"/>
      <c r="AH74" s="640"/>
      <c r="AI74" s="641"/>
      <c r="AJ74" s="640"/>
      <c r="AK74" s="641"/>
      <c r="AL74" s="640"/>
      <c r="AM74" s="641"/>
      <c r="AN74" s="640"/>
      <c r="AO74" s="641"/>
      <c r="AP74" s="640"/>
      <c r="AQ74" s="641"/>
      <c r="AR74" s="640"/>
      <c r="AS74" s="641"/>
      <c r="AT74" s="640"/>
      <c r="AU74" s="642"/>
      <c r="AV74" s="673"/>
    </row>
    <row r="75" spans="1:48" ht="14.25" outlineLevel="1" x14ac:dyDescent="0.2">
      <c r="A75" s="559" t="s">
        <v>5349</v>
      </c>
      <c r="B75" s="558" t="s">
        <v>4753</v>
      </c>
      <c r="C75" s="557">
        <f t="shared" si="3"/>
        <v>7.772618478864555E-3</v>
      </c>
      <c r="D75" s="556">
        <f>Produtos!$D68</f>
        <v>201195.59</v>
      </c>
      <c r="E75" s="578" t="s">
        <v>1853</v>
      </c>
      <c r="F75" s="577" t="s">
        <v>5295</v>
      </c>
      <c r="G75" s="577" t="s">
        <v>5295</v>
      </c>
      <c r="H75" s="577" t="s">
        <v>5295</v>
      </c>
      <c r="I75" s="577">
        <v>1</v>
      </c>
      <c r="J75" s="577"/>
      <c r="K75" s="577"/>
      <c r="L75" s="577"/>
      <c r="M75" s="577"/>
      <c r="N75" s="577"/>
      <c r="O75" s="577"/>
      <c r="P75" s="577"/>
      <c r="Q75" s="577"/>
      <c r="R75" s="658">
        <f t="shared" ref="R75:AC75" si="129">IF(F75=1,ROUND(_xlfn.XLOOKUP($E75,$A$2:$A$11,$C$2:$C$11,0,0)*F75*$D75,2),0)</f>
        <v>0</v>
      </c>
      <c r="S75" s="646">
        <f t="shared" si="129"/>
        <v>0</v>
      </c>
      <c r="T75" s="646">
        <f t="shared" si="129"/>
        <v>0</v>
      </c>
      <c r="U75" s="646">
        <f t="shared" si="129"/>
        <v>120717.35</v>
      </c>
      <c r="V75" s="646">
        <f t="shared" si="129"/>
        <v>0</v>
      </c>
      <c r="W75" s="646">
        <f t="shared" si="129"/>
        <v>0</v>
      </c>
      <c r="X75" s="646">
        <f t="shared" si="129"/>
        <v>0</v>
      </c>
      <c r="Y75" s="646">
        <f t="shared" si="129"/>
        <v>0</v>
      </c>
      <c r="Z75" s="646">
        <f t="shared" si="129"/>
        <v>0</v>
      </c>
      <c r="AA75" s="646">
        <f t="shared" si="129"/>
        <v>0</v>
      </c>
      <c r="AB75" s="646">
        <f t="shared" si="129"/>
        <v>0</v>
      </c>
      <c r="AC75" s="646">
        <f t="shared" si="129"/>
        <v>0</v>
      </c>
      <c r="AD75" s="645">
        <f>IF(OR(AND($E75=$A$6,$D$9=AD$15),AND($E75=$A$10,$D$11=AD$15),AND($E75=$A$3,$D$5=AD$15)),$D75-SUM($R75:AC75),IF($E75=$A$10,ROUND(_xlfn.XLOOKUP(AD$15,$D$10:$D$11,$C$10:$C$11,0,0)*$D75,2),IF($E75=$A$3,ROUND(_xlfn.XLOOKUP(AD$15,$D$3:$D$5,$C$3:$C$5,0,0)*$D75,2),IF($E75=$A$6,ROUND(_xlfn.XLOOKUP(AD$15,$D$6:$D$9,$C$6:$C$9,0,0)*$D75,2),""))))</f>
        <v>0</v>
      </c>
      <c r="AE75" s="646">
        <f>IF(OR(AND($E75=$A$6,$D$9=AE$15),AND($E75=$A$10,$D$11=AE$15),AND($E75=$A$3,$D$5=AE$15)),$D75-SUM($R75:AD75),IF($E75=$A$10,ROUND(_xlfn.XLOOKUP(AE$15,$D$10:$D$11,$C$10:$C$11,0,0)*$D75,2),IF($E75=$A$3,ROUND(_xlfn.XLOOKUP(AE$15,$D$3:$D$5,$C$3:$C$5,0,0)*$D75,2),IF($E75=$A$6,ROUND(_xlfn.XLOOKUP(AE$15,$D$6:$D$9,$C$6:$C$9,0,0)*$D75,2),""))))</f>
        <v>0</v>
      </c>
      <c r="AF75" s="647">
        <f>IF(OR(AND($E75=$A$6,$D$9=AF$15),AND($E75=$A$10,$D$11=AF$15),AND($E75=$A$3,$D$5=AF$15)),$D75-SUM($R75:AE75),IF($E75=$A$10,ROUND(_xlfn.XLOOKUP(AF$15,$D$10:$D$11,$C$10:$C$11,0,0)*$D75,2),IF($E75=$A$3,ROUND(_xlfn.XLOOKUP(AF$15,$D$3:$D$5,$C$3:$C$5,0,0)*$D75,2),IF($E75=$A$6,ROUND(_xlfn.XLOOKUP(AF$15,$D$6:$D$9,$C$6:$C$9,0,0)*$D75,2),""))))</f>
        <v>40239.120000000003</v>
      </c>
      <c r="AG75" s="645"/>
      <c r="AH75" s="646"/>
      <c r="AI75" s="646"/>
      <c r="AJ75" s="646"/>
      <c r="AK75" s="647"/>
      <c r="AL75" s="645">
        <f>IF(OR(AND($E75=$A$6,$D$9=AL$15),AND($E75=$A$10,$D$11=AL$15),AND($E75=$A$3,$D$5=AL$15)),$D75-SUM($R75:AK75),IF($E75=$A$10,ROUND(_xlfn.XLOOKUP(AL$15,$D$10:$D$11,$C$10:$C$11,0,0)*$D75,2),IF($E75=$A$3,ROUND(_xlfn.XLOOKUP(AL$15,$D$3:$D$5,$C$3:$C$5,0,0)*$D75,2),IF($E75=$A$6,ROUND(_xlfn.XLOOKUP(AL$15,$D$6:$D$9,$C$6:$C$9,0,0)*$D75,2),""))))</f>
        <v>0</v>
      </c>
      <c r="AM75" s="646">
        <f>IF(OR(AND($E75=$A$6,$D$9=AM$15),AND($E75=$A$10,$D$11=AM$15),AND($E75=$A$3,$D$5=AM$15)),$D75-SUM($R75:AL75),IF($E75=$A$10,ROUND(_xlfn.XLOOKUP(AM$15,$D$10:$D$11,$C$10:$C$11,0,0)*$D75,2),IF($E75=$A$3,ROUND(_xlfn.XLOOKUP(AM$15,$D$3:$D$5,$C$3:$C$5,0,0)*$D75,2),IF($E75=$A$6,ROUND(_xlfn.XLOOKUP(AM$15,$D$6:$D$9,$C$6:$C$9,0,0)*$D75,2),""))))</f>
        <v>0</v>
      </c>
      <c r="AN75" s="647">
        <f>IF(OR(AND($E75=$A$6,$D$9=AN$15),AND($E75=$A$10,$D$11=AN$15),AND($E75=$A$3,$D$5=AN$15)),$D75-SUM($R75:AM75),IF($E75=$A$10,ROUND(_xlfn.XLOOKUP(AN$15,$D$10:$D$11,$C$10:$C$11,0,0)*$D75,2),IF($E75=$A$3,ROUND(_xlfn.XLOOKUP(AN$15,$D$3:$D$5,$C$3:$C$5,0,0)*$D75,2),IF($E75=$A$6,ROUND(_xlfn.XLOOKUP(AN$15,$D$6:$D$9,$C$6:$C$9,0,0)*$D75,2),""))))</f>
        <v>40239.119999999995</v>
      </c>
      <c r="AO75" s="645"/>
      <c r="AP75" s="646"/>
      <c r="AQ75" s="647"/>
      <c r="AR75" s="646"/>
      <c r="AS75" s="645"/>
      <c r="AT75" s="647"/>
      <c r="AU75" s="648">
        <f>IF(OR(AND($E75=$A$6,$D$9=AU$15),AND($E75=$A$10,$D$11=AU$15),AND($E75=$A$3,$D$5=AU$15)),$D75-SUM($R75:AT75),IF($E75=$A$10,ROUND(_xlfn.XLOOKUP(AU$15,$D$10:$D$11,$C$10:$C$11,0,0)*$D75,2),IF($E75=$A$3,ROUND(_xlfn.XLOOKUP(AU$15,$D$3:$D$5,$C$3:$C$5,0,0)*$D75,2),IF($E75=$A$6,ROUND(_xlfn.XLOOKUP(AU$15,$D$6:$D$9,$C$6:$C$9,0,0)*$D75,2),""))))</f>
        <v>0</v>
      </c>
      <c r="AV75" s="673" t="str">
        <f>IF(SUM(R75:AU75)=D75,"","CORRIGIR")</f>
        <v/>
      </c>
    </row>
    <row r="76" spans="1:48" ht="15" x14ac:dyDescent="0.2">
      <c r="A76" s="567" t="s">
        <v>4754</v>
      </c>
      <c r="B76" s="566" t="s">
        <v>4755</v>
      </c>
      <c r="C76" s="565">
        <f t="shared" si="3"/>
        <v>3.3560877915113458E-3</v>
      </c>
      <c r="D76" s="564">
        <f>SUBTOTAL(9,D77:D78)</f>
        <v>86872.92</v>
      </c>
      <c r="E76" s="563"/>
      <c r="F76" s="561"/>
      <c r="G76" s="562"/>
      <c r="H76" s="561"/>
      <c r="I76" s="562"/>
      <c r="J76" s="561"/>
      <c r="K76" s="562"/>
      <c r="L76" s="561"/>
      <c r="M76" s="562"/>
      <c r="N76" s="561"/>
      <c r="O76" s="562"/>
      <c r="P76" s="561"/>
      <c r="Q76" s="560"/>
      <c r="R76" s="640"/>
      <c r="S76" s="641"/>
      <c r="T76" s="640"/>
      <c r="U76" s="641"/>
      <c r="V76" s="640"/>
      <c r="W76" s="641"/>
      <c r="X76" s="640"/>
      <c r="Y76" s="641"/>
      <c r="Z76" s="640"/>
      <c r="AA76" s="641"/>
      <c r="AB76" s="640"/>
      <c r="AC76" s="641"/>
      <c r="AD76" s="640"/>
      <c r="AE76" s="641"/>
      <c r="AF76" s="640"/>
      <c r="AG76" s="641"/>
      <c r="AH76" s="640"/>
      <c r="AI76" s="641"/>
      <c r="AJ76" s="640"/>
      <c r="AK76" s="641"/>
      <c r="AL76" s="640"/>
      <c r="AM76" s="641"/>
      <c r="AN76" s="640"/>
      <c r="AO76" s="641"/>
      <c r="AP76" s="640"/>
      <c r="AQ76" s="641"/>
      <c r="AR76" s="640"/>
      <c r="AS76" s="641"/>
      <c r="AT76" s="640"/>
      <c r="AU76" s="642"/>
      <c r="AV76" s="673"/>
    </row>
    <row r="77" spans="1:48" ht="42.75" outlineLevel="1" x14ac:dyDescent="0.2">
      <c r="A77" s="559" t="s">
        <v>5348</v>
      </c>
      <c r="B77" s="558" t="s">
        <v>4756</v>
      </c>
      <c r="C77" s="557">
        <f t="shared" si="3"/>
        <v>2.0136525976425048E-3</v>
      </c>
      <c r="D77" s="556">
        <f>Produtos!$D70</f>
        <v>52123.75</v>
      </c>
      <c r="E77" s="578" t="s">
        <v>1853</v>
      </c>
      <c r="F77" s="577" t="s">
        <v>5295</v>
      </c>
      <c r="G77" s="577" t="s">
        <v>5295</v>
      </c>
      <c r="H77" s="577" t="s">
        <v>5295</v>
      </c>
      <c r="I77" s="577">
        <v>1</v>
      </c>
      <c r="J77" s="577"/>
      <c r="K77" s="577"/>
      <c r="L77" s="577"/>
      <c r="M77" s="577"/>
      <c r="N77" s="577"/>
      <c r="O77" s="577"/>
      <c r="P77" s="577"/>
      <c r="Q77" s="577"/>
      <c r="R77" s="658">
        <f t="shared" ref="R77:R78" si="130">IF(F77=1,ROUND(_xlfn.XLOOKUP($E77,$A$2:$A$11,$C$2:$C$11,0,0)*F77*$D77,2),0)</f>
        <v>0</v>
      </c>
      <c r="S77" s="646">
        <f t="shared" ref="S77:S78" si="131">IF(G77=1,ROUND(_xlfn.XLOOKUP($E77,$A$2:$A$11,$C$2:$C$11,0,0)*G77*$D77,2),0)</f>
        <v>0</v>
      </c>
      <c r="T77" s="646">
        <f t="shared" ref="T77:T78" si="132">IF(H77=1,ROUND(_xlfn.XLOOKUP($E77,$A$2:$A$11,$C$2:$C$11,0,0)*H77*$D77,2),0)</f>
        <v>0</v>
      </c>
      <c r="U77" s="646">
        <f t="shared" ref="U77:U78" si="133">IF(I77=1,ROUND(_xlfn.XLOOKUP($E77,$A$2:$A$11,$C$2:$C$11,0,0)*I77*$D77,2),0)</f>
        <v>31274.25</v>
      </c>
      <c r="V77" s="646">
        <f t="shared" ref="V77:V78" si="134">IF(J77=1,ROUND(_xlfn.XLOOKUP($E77,$A$2:$A$11,$C$2:$C$11,0,0)*J77*$D77,2),0)</f>
        <v>0</v>
      </c>
      <c r="W77" s="646">
        <f t="shared" ref="W77:W78" si="135">IF(K77=1,ROUND(_xlfn.XLOOKUP($E77,$A$2:$A$11,$C$2:$C$11,0,0)*K77*$D77,2),0)</f>
        <v>0</v>
      </c>
      <c r="X77" s="646">
        <f t="shared" ref="X77:X78" si="136">IF(L77=1,ROUND(_xlfn.XLOOKUP($E77,$A$2:$A$11,$C$2:$C$11,0,0)*L77*$D77,2),0)</f>
        <v>0</v>
      </c>
      <c r="Y77" s="646">
        <f t="shared" ref="Y77:Y78" si="137">IF(M77=1,ROUND(_xlfn.XLOOKUP($E77,$A$2:$A$11,$C$2:$C$11,0,0)*M77*$D77,2),0)</f>
        <v>0</v>
      </c>
      <c r="Z77" s="646">
        <f t="shared" ref="Z77:Z78" si="138">IF(N77=1,ROUND(_xlfn.XLOOKUP($E77,$A$2:$A$11,$C$2:$C$11,0,0)*N77*$D77,2),0)</f>
        <v>0</v>
      </c>
      <c r="AA77" s="646">
        <f t="shared" ref="AA77:AA78" si="139">IF(O77=1,ROUND(_xlfn.XLOOKUP($E77,$A$2:$A$11,$C$2:$C$11,0,0)*O77*$D77,2),0)</f>
        <v>0</v>
      </c>
      <c r="AB77" s="646">
        <f t="shared" ref="AB77:AB78" si="140">IF(P77=1,ROUND(_xlfn.XLOOKUP($E77,$A$2:$A$11,$C$2:$C$11,0,0)*P77*$D77,2),0)</f>
        <v>0</v>
      </c>
      <c r="AC77" s="646">
        <f t="shared" ref="AC77:AC78" si="141">IF(Q77=1,ROUND(_xlfn.XLOOKUP($E77,$A$2:$A$11,$C$2:$C$11,0,0)*Q77*$D77,2),0)</f>
        <v>0</v>
      </c>
      <c r="AD77" s="645">
        <f>IF(OR(AND($E77=$A$6,$D$9=AD$15),AND($E77=$A$10,$D$11=AD$15),AND($E77=$A$3,$D$5=AD$15)),$D77-SUM($R77:AC77),IF($E77=$A$10,ROUND(_xlfn.XLOOKUP(AD$15,$D$10:$D$11,$C$10:$C$11,0,0)*$D77,2),IF($E77=$A$3,ROUND(_xlfn.XLOOKUP(AD$15,$D$3:$D$5,$C$3:$C$5,0,0)*$D77,2),IF($E77=$A$6,ROUND(_xlfn.XLOOKUP(AD$15,$D$6:$D$9,$C$6:$C$9,0,0)*$D77,2),""))))</f>
        <v>0</v>
      </c>
      <c r="AE77" s="646">
        <f>IF(OR(AND($E77=$A$6,$D$9=AE$15),AND($E77=$A$10,$D$11=AE$15),AND($E77=$A$3,$D$5=AE$15)),$D77-SUM($R77:AD77),IF($E77=$A$10,ROUND(_xlfn.XLOOKUP(AE$15,$D$10:$D$11,$C$10:$C$11,0,0)*$D77,2),IF($E77=$A$3,ROUND(_xlfn.XLOOKUP(AE$15,$D$3:$D$5,$C$3:$C$5,0,0)*$D77,2),IF($E77=$A$6,ROUND(_xlfn.XLOOKUP(AE$15,$D$6:$D$9,$C$6:$C$9,0,0)*$D77,2),""))))</f>
        <v>0</v>
      </c>
      <c r="AF77" s="647">
        <f>IF(OR(AND($E77=$A$6,$D$9=AF$15),AND($E77=$A$10,$D$11=AF$15),AND($E77=$A$3,$D$5=AF$15)),$D77-SUM($R77:AE77),IF($E77=$A$10,ROUND(_xlfn.XLOOKUP(AF$15,$D$10:$D$11,$C$10:$C$11,0,0)*$D77,2),IF($E77=$A$3,ROUND(_xlfn.XLOOKUP(AF$15,$D$3:$D$5,$C$3:$C$5,0,0)*$D77,2),IF($E77=$A$6,ROUND(_xlfn.XLOOKUP(AF$15,$D$6:$D$9,$C$6:$C$9,0,0)*$D77,2),""))))</f>
        <v>10424.75</v>
      </c>
      <c r="AG77" s="645"/>
      <c r="AH77" s="646"/>
      <c r="AI77" s="646"/>
      <c r="AJ77" s="646"/>
      <c r="AK77" s="647"/>
      <c r="AL77" s="645">
        <f>IF(OR(AND($E77=$A$6,$D$9=AL$15),AND($E77=$A$10,$D$11=AL$15),AND($E77=$A$3,$D$5=AL$15)),$D77-SUM($R77:AK77),IF($E77=$A$10,ROUND(_xlfn.XLOOKUP(AL$15,$D$10:$D$11,$C$10:$C$11,0,0)*$D77,2),IF($E77=$A$3,ROUND(_xlfn.XLOOKUP(AL$15,$D$3:$D$5,$C$3:$C$5,0,0)*$D77,2),IF($E77=$A$6,ROUND(_xlfn.XLOOKUP(AL$15,$D$6:$D$9,$C$6:$C$9,0,0)*$D77,2),""))))</f>
        <v>0</v>
      </c>
      <c r="AM77" s="646">
        <f>IF(OR(AND($E77=$A$6,$D$9=AM$15),AND($E77=$A$10,$D$11=AM$15),AND($E77=$A$3,$D$5=AM$15)),$D77-SUM($R77:AL77),IF($E77=$A$10,ROUND(_xlfn.XLOOKUP(AM$15,$D$10:$D$11,$C$10:$C$11,0,0)*$D77,2),IF($E77=$A$3,ROUND(_xlfn.XLOOKUP(AM$15,$D$3:$D$5,$C$3:$C$5,0,0)*$D77,2),IF($E77=$A$6,ROUND(_xlfn.XLOOKUP(AM$15,$D$6:$D$9,$C$6:$C$9,0,0)*$D77,2),""))))</f>
        <v>0</v>
      </c>
      <c r="AN77" s="647">
        <f>IF(OR(AND($E77=$A$6,$D$9=AN$15),AND($E77=$A$10,$D$11=AN$15),AND($E77=$A$3,$D$5=AN$15)),$D77-SUM($R77:AM77),IF($E77=$A$10,ROUND(_xlfn.XLOOKUP(AN$15,$D$10:$D$11,$C$10:$C$11,0,0)*$D77,2),IF($E77=$A$3,ROUND(_xlfn.XLOOKUP(AN$15,$D$3:$D$5,$C$3:$C$5,0,0)*$D77,2),IF($E77=$A$6,ROUND(_xlfn.XLOOKUP(AN$15,$D$6:$D$9,$C$6:$C$9,0,0)*$D77,2),""))))</f>
        <v>10424.75</v>
      </c>
      <c r="AO77" s="645"/>
      <c r="AP77" s="646"/>
      <c r="AQ77" s="647"/>
      <c r="AR77" s="646"/>
      <c r="AS77" s="645"/>
      <c r="AT77" s="647"/>
      <c r="AU77" s="648">
        <f>IF(OR(AND($E77=$A$6,$D$9=AU$15),AND($E77=$A$10,$D$11=AU$15),AND($E77=$A$3,$D$5=AU$15)),$D77-SUM($R77:AT77),IF($E77=$A$10,ROUND(_xlfn.XLOOKUP(AU$15,$D$10:$D$11,$C$10:$C$11,0,0)*$D77,2),IF($E77=$A$3,ROUND(_xlfn.XLOOKUP(AU$15,$D$3:$D$5,$C$3:$C$5,0,0)*$D77,2),IF($E77=$A$6,ROUND(_xlfn.XLOOKUP(AU$15,$D$6:$D$9,$C$6:$C$9,0,0)*$D77,2),""))))</f>
        <v>0</v>
      </c>
      <c r="AV77" s="673" t="str">
        <f>IF(SUM(R77:AU77)=D77,"","CORRIGIR")</f>
        <v/>
      </c>
    </row>
    <row r="78" spans="1:48" ht="14.25" outlineLevel="1" x14ac:dyDescent="0.2">
      <c r="A78" s="559" t="s">
        <v>5347</v>
      </c>
      <c r="B78" s="558" t="s">
        <v>4755</v>
      </c>
      <c r="C78" s="557">
        <f t="shared" si="3"/>
        <v>1.3424351938688408E-3</v>
      </c>
      <c r="D78" s="556">
        <f>Produtos!$D71</f>
        <v>34749.17</v>
      </c>
      <c r="E78" s="578" t="s">
        <v>1853</v>
      </c>
      <c r="F78" s="577" t="s">
        <v>5295</v>
      </c>
      <c r="G78" s="577" t="s">
        <v>5295</v>
      </c>
      <c r="H78" s="577" t="s">
        <v>5295</v>
      </c>
      <c r="I78" s="577">
        <v>1</v>
      </c>
      <c r="J78" s="577"/>
      <c r="K78" s="577"/>
      <c r="L78" s="577"/>
      <c r="M78" s="577"/>
      <c r="N78" s="577"/>
      <c r="O78" s="577"/>
      <c r="P78" s="577"/>
      <c r="Q78" s="577"/>
      <c r="R78" s="658">
        <f t="shared" si="130"/>
        <v>0</v>
      </c>
      <c r="S78" s="646">
        <f t="shared" si="131"/>
        <v>0</v>
      </c>
      <c r="T78" s="646">
        <f t="shared" si="132"/>
        <v>0</v>
      </c>
      <c r="U78" s="646">
        <f t="shared" si="133"/>
        <v>20849.5</v>
      </c>
      <c r="V78" s="646">
        <f t="shared" si="134"/>
        <v>0</v>
      </c>
      <c r="W78" s="646">
        <f t="shared" si="135"/>
        <v>0</v>
      </c>
      <c r="X78" s="646">
        <f t="shared" si="136"/>
        <v>0</v>
      </c>
      <c r="Y78" s="646">
        <f t="shared" si="137"/>
        <v>0</v>
      </c>
      <c r="Z78" s="646">
        <f t="shared" si="138"/>
        <v>0</v>
      </c>
      <c r="AA78" s="646">
        <f t="shared" si="139"/>
        <v>0</v>
      </c>
      <c r="AB78" s="646">
        <f t="shared" si="140"/>
        <v>0</v>
      </c>
      <c r="AC78" s="646">
        <f t="shared" si="141"/>
        <v>0</v>
      </c>
      <c r="AD78" s="645">
        <f>IF(OR(AND($E78=$A$6,$D$9=AD$15),AND($E78=$A$10,$D$11=AD$15),AND($E78=$A$3,$D$5=AD$15)),$D78-SUM($R78:AC78),IF($E78=$A$10,ROUND(_xlfn.XLOOKUP(AD$15,$D$10:$D$11,$C$10:$C$11,0,0)*$D78,2),IF($E78=$A$3,ROUND(_xlfn.XLOOKUP(AD$15,$D$3:$D$5,$C$3:$C$5,0,0)*$D78,2),IF($E78=$A$6,ROUND(_xlfn.XLOOKUP(AD$15,$D$6:$D$9,$C$6:$C$9,0,0)*$D78,2),""))))</f>
        <v>0</v>
      </c>
      <c r="AE78" s="646">
        <f>IF(OR(AND($E78=$A$6,$D$9=AE$15),AND($E78=$A$10,$D$11=AE$15),AND($E78=$A$3,$D$5=AE$15)),$D78-SUM($R78:AD78),IF($E78=$A$10,ROUND(_xlfn.XLOOKUP(AE$15,$D$10:$D$11,$C$10:$C$11,0,0)*$D78,2),IF($E78=$A$3,ROUND(_xlfn.XLOOKUP(AE$15,$D$3:$D$5,$C$3:$C$5,0,0)*$D78,2),IF($E78=$A$6,ROUND(_xlfn.XLOOKUP(AE$15,$D$6:$D$9,$C$6:$C$9,0,0)*$D78,2),""))))</f>
        <v>0</v>
      </c>
      <c r="AF78" s="647">
        <f>IF(OR(AND($E78=$A$6,$D$9=AF$15),AND($E78=$A$10,$D$11=AF$15),AND($E78=$A$3,$D$5=AF$15)),$D78-SUM($R78:AE78),IF($E78=$A$10,ROUND(_xlfn.XLOOKUP(AF$15,$D$10:$D$11,$C$10:$C$11,0,0)*$D78,2),IF($E78=$A$3,ROUND(_xlfn.XLOOKUP(AF$15,$D$3:$D$5,$C$3:$C$5,0,0)*$D78,2),IF($E78=$A$6,ROUND(_xlfn.XLOOKUP(AF$15,$D$6:$D$9,$C$6:$C$9,0,0)*$D78,2),""))))</f>
        <v>6949.83</v>
      </c>
      <c r="AG78" s="645"/>
      <c r="AH78" s="646"/>
      <c r="AI78" s="646"/>
      <c r="AJ78" s="646"/>
      <c r="AK78" s="647"/>
      <c r="AL78" s="645">
        <f>IF(OR(AND($E78=$A$6,$D$9=AL$15),AND($E78=$A$10,$D$11=AL$15),AND($E78=$A$3,$D$5=AL$15)),$D78-SUM($R78:AK78),IF($E78=$A$10,ROUND(_xlfn.XLOOKUP(AL$15,$D$10:$D$11,$C$10:$C$11,0,0)*$D78,2),IF($E78=$A$3,ROUND(_xlfn.XLOOKUP(AL$15,$D$3:$D$5,$C$3:$C$5,0,0)*$D78,2),IF($E78=$A$6,ROUND(_xlfn.XLOOKUP(AL$15,$D$6:$D$9,$C$6:$C$9,0,0)*$D78,2),""))))</f>
        <v>0</v>
      </c>
      <c r="AM78" s="646">
        <f>IF(OR(AND($E78=$A$6,$D$9=AM$15),AND($E78=$A$10,$D$11=AM$15),AND($E78=$A$3,$D$5=AM$15)),$D78-SUM($R78:AL78),IF($E78=$A$10,ROUND(_xlfn.XLOOKUP(AM$15,$D$10:$D$11,$C$10:$C$11,0,0)*$D78,2),IF($E78=$A$3,ROUND(_xlfn.XLOOKUP(AM$15,$D$3:$D$5,$C$3:$C$5,0,0)*$D78,2),IF($E78=$A$6,ROUND(_xlfn.XLOOKUP(AM$15,$D$6:$D$9,$C$6:$C$9,0,0)*$D78,2),""))))</f>
        <v>0</v>
      </c>
      <c r="AN78" s="647">
        <f>IF(OR(AND($E78=$A$6,$D$9=AN$15),AND($E78=$A$10,$D$11=AN$15),AND($E78=$A$3,$D$5=AN$15)),$D78-SUM($R78:AM78),IF($E78=$A$10,ROUND(_xlfn.XLOOKUP(AN$15,$D$10:$D$11,$C$10:$C$11,0,0)*$D78,2),IF($E78=$A$3,ROUND(_xlfn.XLOOKUP(AN$15,$D$3:$D$5,$C$3:$C$5,0,0)*$D78,2),IF($E78=$A$6,ROUND(_xlfn.XLOOKUP(AN$15,$D$6:$D$9,$C$6:$C$9,0,0)*$D78,2),""))))</f>
        <v>6949.8399999999965</v>
      </c>
      <c r="AO78" s="645"/>
      <c r="AP78" s="646"/>
      <c r="AQ78" s="647"/>
      <c r="AR78" s="646"/>
      <c r="AS78" s="645"/>
      <c r="AT78" s="647"/>
      <c r="AU78" s="648">
        <f>IF(OR(AND($E78=$A$6,$D$9=AU$15),AND($E78=$A$10,$D$11=AU$15),AND($E78=$A$3,$D$5=AU$15)),$D78-SUM($R78:AT78),IF($E78=$A$10,ROUND(_xlfn.XLOOKUP(AU$15,$D$10:$D$11,$C$10:$C$11,0,0)*$D78,2),IF($E78=$A$3,ROUND(_xlfn.XLOOKUP(AU$15,$D$3:$D$5,$C$3:$C$5,0,0)*$D78,2),IF($E78=$A$6,ROUND(_xlfn.XLOOKUP(AU$15,$D$6:$D$9,$C$6:$C$9,0,0)*$D78,2),""))))</f>
        <v>0</v>
      </c>
      <c r="AV78" s="673" t="str">
        <f>IF(SUM(R78:AU78)=D78,"","CORRIGIR")</f>
        <v/>
      </c>
    </row>
    <row r="79" spans="1:48" s="568" customFormat="1" ht="15" x14ac:dyDescent="0.2">
      <c r="A79" s="576">
        <v>3</v>
      </c>
      <c r="B79" s="575" t="s">
        <v>4757</v>
      </c>
      <c r="C79" s="584">
        <f t="shared" si="3"/>
        <v>3.9222062730759046E-2</v>
      </c>
      <c r="D79" s="573">
        <f>SUBTOTAL(9,D80:D88)</f>
        <v>1015269.96</v>
      </c>
      <c r="E79" s="569"/>
      <c r="F79" s="572"/>
      <c r="G79" s="571"/>
      <c r="H79" s="570"/>
      <c r="I79" s="571"/>
      <c r="J79" s="570"/>
      <c r="K79" s="571"/>
      <c r="L79" s="570"/>
      <c r="M79" s="571"/>
      <c r="N79" s="570"/>
      <c r="O79" s="571"/>
      <c r="P79" s="570"/>
      <c r="Q79" s="569"/>
      <c r="R79" s="659"/>
      <c r="S79" s="660"/>
      <c r="T79" s="659"/>
      <c r="U79" s="660"/>
      <c r="V79" s="659"/>
      <c r="W79" s="660"/>
      <c r="X79" s="659"/>
      <c r="Y79" s="660"/>
      <c r="Z79" s="659"/>
      <c r="AA79" s="660"/>
      <c r="AB79" s="659"/>
      <c r="AC79" s="660"/>
      <c r="AD79" s="659"/>
      <c r="AE79" s="660"/>
      <c r="AF79" s="659"/>
      <c r="AG79" s="660"/>
      <c r="AH79" s="659"/>
      <c r="AI79" s="660"/>
      <c r="AJ79" s="659"/>
      <c r="AK79" s="660"/>
      <c r="AL79" s="659"/>
      <c r="AM79" s="660"/>
      <c r="AN79" s="659"/>
      <c r="AO79" s="660"/>
      <c r="AP79" s="659"/>
      <c r="AQ79" s="660"/>
      <c r="AR79" s="659"/>
      <c r="AS79" s="660"/>
      <c r="AT79" s="659"/>
      <c r="AU79" s="661"/>
      <c r="AV79" s="673"/>
    </row>
    <row r="80" spans="1:48" ht="15" x14ac:dyDescent="0.2">
      <c r="A80" s="567" t="s">
        <v>2724</v>
      </c>
      <c r="B80" s="566" t="s">
        <v>4694</v>
      </c>
      <c r="C80" s="565">
        <f t="shared" si="3"/>
        <v>6.7387606842787145E-5</v>
      </c>
      <c r="D80" s="564">
        <f>SUBTOTAL(9,D81)</f>
        <v>1744.34</v>
      </c>
      <c r="E80" s="563"/>
      <c r="F80" s="561"/>
      <c r="G80" s="562"/>
      <c r="H80" s="561"/>
      <c r="I80" s="562"/>
      <c r="J80" s="561"/>
      <c r="K80" s="562"/>
      <c r="L80" s="561"/>
      <c r="M80" s="562"/>
      <c r="N80" s="561"/>
      <c r="O80" s="562"/>
      <c r="P80" s="561"/>
      <c r="Q80" s="560"/>
      <c r="R80" s="640"/>
      <c r="S80" s="641"/>
      <c r="T80" s="640"/>
      <c r="U80" s="641"/>
      <c r="V80" s="640"/>
      <c r="W80" s="641"/>
      <c r="X80" s="640"/>
      <c r="Y80" s="641"/>
      <c r="Z80" s="640"/>
      <c r="AA80" s="641"/>
      <c r="AB80" s="640"/>
      <c r="AC80" s="641"/>
      <c r="AD80" s="640"/>
      <c r="AE80" s="641"/>
      <c r="AF80" s="640"/>
      <c r="AG80" s="641"/>
      <c r="AH80" s="640"/>
      <c r="AI80" s="641"/>
      <c r="AJ80" s="640"/>
      <c r="AK80" s="641"/>
      <c r="AL80" s="640"/>
      <c r="AM80" s="641"/>
      <c r="AN80" s="640"/>
      <c r="AO80" s="641"/>
      <c r="AP80" s="640"/>
      <c r="AQ80" s="641"/>
      <c r="AR80" s="640"/>
      <c r="AS80" s="641"/>
      <c r="AT80" s="640"/>
      <c r="AU80" s="642"/>
      <c r="AV80" s="673"/>
    </row>
    <row r="81" spans="1:48" ht="14.25" outlineLevel="1" x14ac:dyDescent="0.2">
      <c r="A81" s="559" t="s">
        <v>5346</v>
      </c>
      <c r="B81" s="558" t="s">
        <v>4758</v>
      </c>
      <c r="C81" s="557">
        <f t="shared" ref="C81:C144" si="142">D81/$D$13</f>
        <v>6.7387606842787145E-5</v>
      </c>
      <c r="D81" s="556">
        <f>Produtos!$D74</f>
        <v>1744.34</v>
      </c>
      <c r="E81" s="580" t="s">
        <v>5286</v>
      </c>
      <c r="F81" s="577" t="s">
        <v>5295</v>
      </c>
      <c r="G81" s="577">
        <v>1</v>
      </c>
      <c r="H81" s="577"/>
      <c r="I81" s="577"/>
      <c r="J81" s="577"/>
      <c r="K81" s="577"/>
      <c r="L81" s="577"/>
      <c r="M81" s="577"/>
      <c r="N81" s="577"/>
      <c r="O81" s="577"/>
      <c r="P81" s="577"/>
      <c r="Q81" s="577"/>
      <c r="R81" s="658">
        <f t="shared" ref="R81:AC81" si="143">IF(F81=1,ROUND(_xlfn.XLOOKUP($E81,$A$2:$A$11,$C$2:$C$11,0,0)*F81*$D81,2),0)</f>
        <v>0</v>
      </c>
      <c r="S81" s="646">
        <f t="shared" si="143"/>
        <v>1744.34</v>
      </c>
      <c r="T81" s="646">
        <f t="shared" si="143"/>
        <v>0</v>
      </c>
      <c r="U81" s="646">
        <f t="shared" si="143"/>
        <v>0</v>
      </c>
      <c r="V81" s="646">
        <f t="shared" si="143"/>
        <v>0</v>
      </c>
      <c r="W81" s="646">
        <f t="shared" si="143"/>
        <v>0</v>
      </c>
      <c r="X81" s="646">
        <f t="shared" si="143"/>
        <v>0</v>
      </c>
      <c r="Y81" s="646">
        <f t="shared" si="143"/>
        <v>0</v>
      </c>
      <c r="Z81" s="646">
        <f t="shared" si="143"/>
        <v>0</v>
      </c>
      <c r="AA81" s="646">
        <f t="shared" si="143"/>
        <v>0</v>
      </c>
      <c r="AB81" s="646">
        <f t="shared" si="143"/>
        <v>0</v>
      </c>
      <c r="AC81" s="646">
        <f t="shared" si="143"/>
        <v>0</v>
      </c>
      <c r="AD81" s="645" t="str">
        <f>IF(OR(AND($E81=$A$6,$D$9=AD$15),AND($E81=$A$10,$D$11=AD$15),AND($E81=$A$3,$D$5=AD$15)),$D81-SUM($R81:AC81),IF($E81=$A$10,ROUND(_xlfn.XLOOKUP(AD$15,$D$10:$D$11,$C$10:$C$11,0,0)*$D81,2),IF($E81=$A$3,ROUND(_xlfn.XLOOKUP(AD$15,$D$3:$D$5,$C$3:$C$5,0,0)*$D81,2),IF($E81=$A$6,ROUND(_xlfn.XLOOKUP(AD$15,$D$6:$D$9,$C$6:$C$9,0,0)*$D81,2),""))))</f>
        <v/>
      </c>
      <c r="AE81" s="646" t="str">
        <f>IF(OR(AND($E81=$A$6,$D$9=AE$15),AND($E81=$A$10,$D$11=AE$15),AND($E81=$A$3,$D$5=AE$15)),$D81-SUM($R81:AD81),IF($E81=$A$10,ROUND(_xlfn.XLOOKUP(AE$15,$D$10:$D$11,$C$10:$C$11,0,0)*$D81,2),IF($E81=$A$3,ROUND(_xlfn.XLOOKUP(AE$15,$D$3:$D$5,$C$3:$C$5,0,0)*$D81,2),IF($E81=$A$6,ROUND(_xlfn.XLOOKUP(AE$15,$D$6:$D$9,$C$6:$C$9,0,0)*$D81,2),""))))</f>
        <v/>
      </c>
      <c r="AF81" s="647" t="str">
        <f>IF(OR(AND($E81=$A$6,$D$9=AF$15),AND($E81=$A$10,$D$11=AF$15),AND($E81=$A$3,$D$5=AF$15)),$D81-SUM($R81:AE81),IF($E81=$A$10,ROUND(_xlfn.XLOOKUP(AF$15,$D$10:$D$11,$C$10:$C$11,0,0)*$D81,2),IF($E81=$A$3,ROUND(_xlfn.XLOOKUP(AF$15,$D$3:$D$5,$C$3:$C$5,0,0)*$D81,2),IF($E81=$A$6,ROUND(_xlfn.XLOOKUP(AF$15,$D$6:$D$9,$C$6:$C$9,0,0)*$D81,2),""))))</f>
        <v/>
      </c>
      <c r="AG81" s="645"/>
      <c r="AH81" s="646"/>
      <c r="AI81" s="646"/>
      <c r="AJ81" s="646"/>
      <c r="AK81" s="647"/>
      <c r="AL81" s="645" t="str">
        <f>IF(OR(AND($E81=$A$6,$D$9=AL$15),AND($E81=$A$10,$D$11=AL$15),AND($E81=$A$3,$D$5=AL$15)),$D81-SUM($R81:AK81),IF($E81=$A$10,ROUND(_xlfn.XLOOKUP(AL$15,$D$10:$D$11,$C$10:$C$11,0,0)*$D81,2),IF($E81=$A$3,ROUND(_xlfn.XLOOKUP(AL$15,$D$3:$D$5,$C$3:$C$5,0,0)*$D81,2),IF($E81=$A$6,ROUND(_xlfn.XLOOKUP(AL$15,$D$6:$D$9,$C$6:$C$9,0,0)*$D81,2),""))))</f>
        <v/>
      </c>
      <c r="AM81" s="646" t="str">
        <f>IF(OR(AND($E81=$A$6,$D$9=AM$15),AND($E81=$A$10,$D$11=AM$15),AND($E81=$A$3,$D$5=AM$15)),$D81-SUM($R81:AL81),IF($E81=$A$10,ROUND(_xlfn.XLOOKUP(AM$15,$D$10:$D$11,$C$10:$C$11,0,0)*$D81,2),IF($E81=$A$3,ROUND(_xlfn.XLOOKUP(AM$15,$D$3:$D$5,$C$3:$C$5,0,0)*$D81,2),IF($E81=$A$6,ROUND(_xlfn.XLOOKUP(AM$15,$D$6:$D$9,$C$6:$C$9,0,0)*$D81,2),""))))</f>
        <v/>
      </c>
      <c r="AN81" s="647" t="str">
        <f>IF(OR(AND($E81=$A$6,$D$9=AN$15),AND($E81=$A$10,$D$11=AN$15),AND($E81=$A$3,$D$5=AN$15)),$D81-SUM($R81:AM81),IF($E81=$A$10,ROUND(_xlfn.XLOOKUP(AN$15,$D$10:$D$11,$C$10:$C$11,0,0)*$D81,2),IF($E81=$A$3,ROUND(_xlfn.XLOOKUP(AN$15,$D$3:$D$5,$C$3:$C$5,0,0)*$D81,2),IF($E81=$A$6,ROUND(_xlfn.XLOOKUP(AN$15,$D$6:$D$9,$C$6:$C$9,0,0)*$D81,2),""))))</f>
        <v/>
      </c>
      <c r="AO81" s="645"/>
      <c r="AP81" s="646"/>
      <c r="AQ81" s="647"/>
      <c r="AR81" s="646"/>
      <c r="AS81" s="645"/>
      <c r="AT81" s="647"/>
      <c r="AU81" s="648" t="str">
        <f>IF(OR(AND($E81=$A$6,$D$9=AU$15),AND($E81=$A$10,$D$11=AU$15),AND($E81=$A$3,$D$5=AU$15)),$D81-SUM($R81:AT81),IF($E81=$A$10,ROUND(_xlfn.XLOOKUP(AU$15,$D$10:$D$11,$C$10:$C$11,0,0)*$D81,2),IF($E81=$A$3,ROUND(_xlfn.XLOOKUP(AU$15,$D$3:$D$5,$C$3:$C$5,0,0)*$D81,2),IF($E81=$A$6,ROUND(_xlfn.XLOOKUP(AU$15,$D$6:$D$9,$C$6:$C$9,0,0)*$D81,2),""))))</f>
        <v/>
      </c>
      <c r="AV81" s="673" t="str">
        <f>IF(SUM(R81:AU81)=D81,"","CORRIGIR")</f>
        <v/>
      </c>
    </row>
    <row r="82" spans="1:48" ht="15" x14ac:dyDescent="0.2">
      <c r="A82" s="567" t="s">
        <v>4759</v>
      </c>
      <c r="B82" s="566" t="s">
        <v>4760</v>
      </c>
      <c r="C82" s="565">
        <f t="shared" si="142"/>
        <v>7.332359142252597E-3</v>
      </c>
      <c r="D82" s="564">
        <f>SUBTOTAL(9,D83:D84)</f>
        <v>189799.4</v>
      </c>
      <c r="E82" s="563"/>
      <c r="F82" s="561"/>
      <c r="G82" s="562"/>
      <c r="H82" s="561"/>
      <c r="I82" s="562"/>
      <c r="J82" s="561"/>
      <c r="K82" s="562"/>
      <c r="L82" s="561"/>
      <c r="M82" s="562"/>
      <c r="N82" s="561"/>
      <c r="O82" s="562"/>
      <c r="P82" s="561"/>
      <c r="Q82" s="560"/>
      <c r="R82" s="640"/>
      <c r="S82" s="641"/>
      <c r="T82" s="640"/>
      <c r="U82" s="641"/>
      <c r="V82" s="640"/>
      <c r="W82" s="641"/>
      <c r="X82" s="640"/>
      <c r="Y82" s="641"/>
      <c r="Z82" s="640"/>
      <c r="AA82" s="641"/>
      <c r="AB82" s="640"/>
      <c r="AC82" s="641"/>
      <c r="AD82" s="640"/>
      <c r="AE82" s="641"/>
      <c r="AF82" s="640"/>
      <c r="AG82" s="641"/>
      <c r="AH82" s="640"/>
      <c r="AI82" s="641"/>
      <c r="AJ82" s="640"/>
      <c r="AK82" s="641"/>
      <c r="AL82" s="640"/>
      <c r="AM82" s="641"/>
      <c r="AN82" s="640"/>
      <c r="AO82" s="641"/>
      <c r="AP82" s="640"/>
      <c r="AQ82" s="641"/>
      <c r="AR82" s="640"/>
      <c r="AS82" s="641"/>
      <c r="AT82" s="640"/>
      <c r="AU82" s="642"/>
      <c r="AV82" s="673"/>
    </row>
    <row r="83" spans="1:48" ht="14.25" outlineLevel="1" x14ac:dyDescent="0.2">
      <c r="A83" s="559" t="s">
        <v>5345</v>
      </c>
      <c r="B83" s="558" t="s">
        <v>4761</v>
      </c>
      <c r="C83" s="557">
        <f t="shared" si="142"/>
        <v>3.6661795711262985E-3</v>
      </c>
      <c r="D83" s="556">
        <f>Produtos!$D76</f>
        <v>94899.7</v>
      </c>
      <c r="E83" s="578" t="s">
        <v>1853</v>
      </c>
      <c r="F83" s="577" t="s">
        <v>5295</v>
      </c>
      <c r="G83" s="577" t="s">
        <v>5295</v>
      </c>
      <c r="H83" s="577" t="s">
        <v>5295</v>
      </c>
      <c r="I83" s="577">
        <v>1</v>
      </c>
      <c r="J83" s="577"/>
      <c r="K83" s="577"/>
      <c r="L83" s="577"/>
      <c r="M83" s="577"/>
      <c r="N83" s="577"/>
      <c r="O83" s="577"/>
      <c r="P83" s="577"/>
      <c r="Q83" s="577"/>
      <c r="R83" s="658">
        <f t="shared" ref="R83:R84" si="144">IF(F83=1,ROUND(_xlfn.XLOOKUP($E83,$A$2:$A$11,$C$2:$C$11,0,0)*F83*$D83,2),0)</f>
        <v>0</v>
      </c>
      <c r="S83" s="646">
        <f t="shared" ref="S83:S84" si="145">IF(G83=1,ROUND(_xlfn.XLOOKUP($E83,$A$2:$A$11,$C$2:$C$11,0,0)*G83*$D83,2),0)</f>
        <v>0</v>
      </c>
      <c r="T83" s="646">
        <f t="shared" ref="T83:T84" si="146">IF(H83=1,ROUND(_xlfn.XLOOKUP($E83,$A$2:$A$11,$C$2:$C$11,0,0)*H83*$D83,2),0)</f>
        <v>0</v>
      </c>
      <c r="U83" s="646">
        <f t="shared" ref="U83:U84" si="147">IF(I83=1,ROUND(_xlfn.XLOOKUP($E83,$A$2:$A$11,$C$2:$C$11,0,0)*I83*$D83,2),0)</f>
        <v>56939.82</v>
      </c>
      <c r="V83" s="646">
        <f t="shared" ref="V83:V84" si="148">IF(J83=1,ROUND(_xlfn.XLOOKUP($E83,$A$2:$A$11,$C$2:$C$11,0,0)*J83*$D83,2),0)</f>
        <v>0</v>
      </c>
      <c r="W83" s="646">
        <f t="shared" ref="W83:W84" si="149">IF(K83=1,ROUND(_xlfn.XLOOKUP($E83,$A$2:$A$11,$C$2:$C$11,0,0)*K83*$D83,2),0)</f>
        <v>0</v>
      </c>
      <c r="X83" s="646">
        <f t="shared" ref="X83:X84" si="150">IF(L83=1,ROUND(_xlfn.XLOOKUP($E83,$A$2:$A$11,$C$2:$C$11,0,0)*L83*$D83,2),0)</f>
        <v>0</v>
      </c>
      <c r="Y83" s="646">
        <f t="shared" ref="Y83:Y84" si="151">IF(M83=1,ROUND(_xlfn.XLOOKUP($E83,$A$2:$A$11,$C$2:$C$11,0,0)*M83*$D83,2),0)</f>
        <v>0</v>
      </c>
      <c r="Z83" s="646">
        <f t="shared" ref="Z83:Z84" si="152">IF(N83=1,ROUND(_xlfn.XLOOKUP($E83,$A$2:$A$11,$C$2:$C$11,0,0)*N83*$D83,2),0)</f>
        <v>0</v>
      </c>
      <c r="AA83" s="646">
        <f t="shared" ref="AA83:AA84" si="153">IF(O83=1,ROUND(_xlfn.XLOOKUP($E83,$A$2:$A$11,$C$2:$C$11,0,0)*O83*$D83,2),0)</f>
        <v>0</v>
      </c>
      <c r="AB83" s="646">
        <f t="shared" ref="AB83:AB84" si="154">IF(P83=1,ROUND(_xlfn.XLOOKUP($E83,$A$2:$A$11,$C$2:$C$11,0,0)*P83*$D83,2),0)</f>
        <v>0</v>
      </c>
      <c r="AC83" s="646">
        <f t="shared" ref="AC83:AC84" si="155">IF(Q83=1,ROUND(_xlfn.XLOOKUP($E83,$A$2:$A$11,$C$2:$C$11,0,0)*Q83*$D83,2),0)</f>
        <v>0</v>
      </c>
      <c r="AD83" s="645">
        <f>IF(OR(AND($E83=$A$6,$D$9=AD$15),AND($E83=$A$10,$D$11=AD$15),AND($E83=$A$3,$D$5=AD$15)),$D83-SUM($R83:AC83),IF($E83=$A$10,ROUND(_xlfn.XLOOKUP(AD$15,$D$10:$D$11,$C$10:$C$11,0,0)*$D83,2),IF($E83=$A$3,ROUND(_xlfn.XLOOKUP(AD$15,$D$3:$D$5,$C$3:$C$5,0,0)*$D83,2),IF($E83=$A$6,ROUND(_xlfn.XLOOKUP(AD$15,$D$6:$D$9,$C$6:$C$9,0,0)*$D83,2),""))))</f>
        <v>0</v>
      </c>
      <c r="AE83" s="646">
        <f>IF(OR(AND($E83=$A$6,$D$9=AE$15),AND($E83=$A$10,$D$11=AE$15),AND($E83=$A$3,$D$5=AE$15)),$D83-SUM($R83:AD83),IF($E83=$A$10,ROUND(_xlfn.XLOOKUP(AE$15,$D$10:$D$11,$C$10:$C$11,0,0)*$D83,2),IF($E83=$A$3,ROUND(_xlfn.XLOOKUP(AE$15,$D$3:$D$5,$C$3:$C$5,0,0)*$D83,2),IF($E83=$A$6,ROUND(_xlfn.XLOOKUP(AE$15,$D$6:$D$9,$C$6:$C$9,0,0)*$D83,2),""))))</f>
        <v>0</v>
      </c>
      <c r="AF83" s="647">
        <f>IF(OR(AND($E83=$A$6,$D$9=AF$15),AND($E83=$A$10,$D$11=AF$15),AND($E83=$A$3,$D$5=AF$15)),$D83-SUM($R83:AE83),IF($E83=$A$10,ROUND(_xlfn.XLOOKUP(AF$15,$D$10:$D$11,$C$10:$C$11,0,0)*$D83,2),IF($E83=$A$3,ROUND(_xlfn.XLOOKUP(AF$15,$D$3:$D$5,$C$3:$C$5,0,0)*$D83,2),IF($E83=$A$6,ROUND(_xlfn.XLOOKUP(AF$15,$D$6:$D$9,$C$6:$C$9,0,0)*$D83,2),""))))</f>
        <v>18979.939999999999</v>
      </c>
      <c r="AG83" s="645"/>
      <c r="AH83" s="646"/>
      <c r="AI83" s="646"/>
      <c r="AJ83" s="646"/>
      <c r="AK83" s="647"/>
      <c r="AL83" s="645">
        <f>IF(OR(AND($E83=$A$6,$D$9=AL$15),AND($E83=$A$10,$D$11=AL$15),AND($E83=$A$3,$D$5=AL$15)),$D83-SUM($R83:AK83),IF($E83=$A$10,ROUND(_xlfn.XLOOKUP(AL$15,$D$10:$D$11,$C$10:$C$11,0,0)*$D83,2),IF($E83=$A$3,ROUND(_xlfn.XLOOKUP(AL$15,$D$3:$D$5,$C$3:$C$5,0,0)*$D83,2),IF($E83=$A$6,ROUND(_xlfn.XLOOKUP(AL$15,$D$6:$D$9,$C$6:$C$9,0,0)*$D83,2),""))))</f>
        <v>0</v>
      </c>
      <c r="AM83" s="646">
        <f>IF(OR(AND($E83=$A$6,$D$9=AM$15),AND($E83=$A$10,$D$11=AM$15),AND($E83=$A$3,$D$5=AM$15)),$D83-SUM($R83:AL83),IF($E83=$A$10,ROUND(_xlfn.XLOOKUP(AM$15,$D$10:$D$11,$C$10:$C$11,0,0)*$D83,2),IF($E83=$A$3,ROUND(_xlfn.XLOOKUP(AM$15,$D$3:$D$5,$C$3:$C$5,0,0)*$D83,2),IF($E83=$A$6,ROUND(_xlfn.XLOOKUP(AM$15,$D$6:$D$9,$C$6:$C$9,0,0)*$D83,2),""))))</f>
        <v>0</v>
      </c>
      <c r="AN83" s="647">
        <f>IF(OR(AND($E83=$A$6,$D$9=AN$15),AND($E83=$A$10,$D$11=AN$15),AND($E83=$A$3,$D$5=AN$15)),$D83-SUM($R83:AM83),IF($E83=$A$10,ROUND(_xlfn.XLOOKUP(AN$15,$D$10:$D$11,$C$10:$C$11,0,0)*$D83,2),IF($E83=$A$3,ROUND(_xlfn.XLOOKUP(AN$15,$D$3:$D$5,$C$3:$C$5,0,0)*$D83,2),IF($E83=$A$6,ROUND(_xlfn.XLOOKUP(AN$15,$D$6:$D$9,$C$6:$C$9,0,0)*$D83,2),""))))</f>
        <v>18979.940000000002</v>
      </c>
      <c r="AO83" s="645"/>
      <c r="AP83" s="646"/>
      <c r="AQ83" s="647"/>
      <c r="AR83" s="646"/>
      <c r="AS83" s="645"/>
      <c r="AT83" s="647"/>
      <c r="AU83" s="648">
        <f>IF(OR(AND($E83=$A$6,$D$9=AU$15),AND($E83=$A$10,$D$11=AU$15),AND($E83=$A$3,$D$5=AU$15)),$D83-SUM($R83:AT83),IF($E83=$A$10,ROUND(_xlfn.XLOOKUP(AU$15,$D$10:$D$11,$C$10:$C$11,0,0)*$D83,2),IF($E83=$A$3,ROUND(_xlfn.XLOOKUP(AU$15,$D$3:$D$5,$C$3:$C$5,0,0)*$D83,2),IF($E83=$A$6,ROUND(_xlfn.XLOOKUP(AU$15,$D$6:$D$9,$C$6:$C$9,0,0)*$D83,2),""))))</f>
        <v>0</v>
      </c>
      <c r="AV83" s="673" t="str">
        <f>IF(SUM(R83:AU83)=D83,"","CORRIGIR")</f>
        <v/>
      </c>
    </row>
    <row r="84" spans="1:48" ht="14.25" outlineLevel="1" x14ac:dyDescent="0.2">
      <c r="A84" s="559" t="s">
        <v>5344</v>
      </c>
      <c r="B84" s="558" t="s">
        <v>4762</v>
      </c>
      <c r="C84" s="557">
        <f t="shared" si="142"/>
        <v>3.6661795711262985E-3</v>
      </c>
      <c r="D84" s="556">
        <f>Produtos!$D77</f>
        <v>94899.7</v>
      </c>
      <c r="E84" s="578" t="s">
        <v>1853</v>
      </c>
      <c r="F84" s="577" t="s">
        <v>5295</v>
      </c>
      <c r="G84" s="577" t="s">
        <v>5295</v>
      </c>
      <c r="H84" s="577" t="s">
        <v>5295</v>
      </c>
      <c r="I84" s="577">
        <v>1</v>
      </c>
      <c r="J84" s="577"/>
      <c r="K84" s="577"/>
      <c r="L84" s="577"/>
      <c r="M84" s="577"/>
      <c r="N84" s="577"/>
      <c r="O84" s="577"/>
      <c r="P84" s="577"/>
      <c r="Q84" s="577"/>
      <c r="R84" s="658">
        <f t="shared" si="144"/>
        <v>0</v>
      </c>
      <c r="S84" s="646">
        <f t="shared" si="145"/>
        <v>0</v>
      </c>
      <c r="T84" s="646">
        <f t="shared" si="146"/>
        <v>0</v>
      </c>
      <c r="U84" s="646">
        <f t="shared" si="147"/>
        <v>56939.82</v>
      </c>
      <c r="V84" s="646">
        <f t="shared" si="148"/>
        <v>0</v>
      </c>
      <c r="W84" s="646">
        <f t="shared" si="149"/>
        <v>0</v>
      </c>
      <c r="X84" s="646">
        <f t="shared" si="150"/>
        <v>0</v>
      </c>
      <c r="Y84" s="646">
        <f t="shared" si="151"/>
        <v>0</v>
      </c>
      <c r="Z84" s="646">
        <f t="shared" si="152"/>
        <v>0</v>
      </c>
      <c r="AA84" s="646">
        <f t="shared" si="153"/>
        <v>0</v>
      </c>
      <c r="AB84" s="646">
        <f t="shared" si="154"/>
        <v>0</v>
      </c>
      <c r="AC84" s="646">
        <f t="shared" si="155"/>
        <v>0</v>
      </c>
      <c r="AD84" s="645">
        <f>IF(OR(AND($E84=$A$6,$D$9=AD$15),AND($E84=$A$10,$D$11=AD$15),AND($E84=$A$3,$D$5=AD$15)),$D84-SUM($R84:AC84),IF($E84=$A$10,ROUND(_xlfn.XLOOKUP(AD$15,$D$10:$D$11,$C$10:$C$11,0,0)*$D84,2),IF($E84=$A$3,ROUND(_xlfn.XLOOKUP(AD$15,$D$3:$D$5,$C$3:$C$5,0,0)*$D84,2),IF($E84=$A$6,ROUND(_xlfn.XLOOKUP(AD$15,$D$6:$D$9,$C$6:$C$9,0,0)*$D84,2),""))))</f>
        <v>0</v>
      </c>
      <c r="AE84" s="646">
        <f>IF(OR(AND($E84=$A$6,$D$9=AE$15),AND($E84=$A$10,$D$11=AE$15),AND($E84=$A$3,$D$5=AE$15)),$D84-SUM($R84:AD84),IF($E84=$A$10,ROUND(_xlfn.XLOOKUP(AE$15,$D$10:$D$11,$C$10:$C$11,0,0)*$D84,2),IF($E84=$A$3,ROUND(_xlfn.XLOOKUP(AE$15,$D$3:$D$5,$C$3:$C$5,0,0)*$D84,2),IF($E84=$A$6,ROUND(_xlfn.XLOOKUP(AE$15,$D$6:$D$9,$C$6:$C$9,0,0)*$D84,2),""))))</f>
        <v>0</v>
      </c>
      <c r="AF84" s="647">
        <f>IF(OR(AND($E84=$A$6,$D$9=AF$15),AND($E84=$A$10,$D$11=AF$15),AND($E84=$A$3,$D$5=AF$15)),$D84-SUM($R84:AE84),IF($E84=$A$10,ROUND(_xlfn.XLOOKUP(AF$15,$D$10:$D$11,$C$10:$C$11,0,0)*$D84,2),IF($E84=$A$3,ROUND(_xlfn.XLOOKUP(AF$15,$D$3:$D$5,$C$3:$C$5,0,0)*$D84,2),IF($E84=$A$6,ROUND(_xlfn.XLOOKUP(AF$15,$D$6:$D$9,$C$6:$C$9,0,0)*$D84,2),""))))</f>
        <v>18979.939999999999</v>
      </c>
      <c r="AG84" s="645"/>
      <c r="AH84" s="646"/>
      <c r="AI84" s="646"/>
      <c r="AJ84" s="646"/>
      <c r="AK84" s="647"/>
      <c r="AL84" s="645">
        <f>IF(OR(AND($E84=$A$6,$D$9=AL$15),AND($E84=$A$10,$D$11=AL$15),AND($E84=$A$3,$D$5=AL$15)),$D84-SUM($R84:AK84),IF($E84=$A$10,ROUND(_xlfn.XLOOKUP(AL$15,$D$10:$D$11,$C$10:$C$11,0,0)*$D84,2),IF($E84=$A$3,ROUND(_xlfn.XLOOKUP(AL$15,$D$3:$D$5,$C$3:$C$5,0,0)*$D84,2),IF($E84=$A$6,ROUND(_xlfn.XLOOKUP(AL$15,$D$6:$D$9,$C$6:$C$9,0,0)*$D84,2),""))))</f>
        <v>0</v>
      </c>
      <c r="AM84" s="646">
        <f>IF(OR(AND($E84=$A$6,$D$9=AM$15),AND($E84=$A$10,$D$11=AM$15),AND($E84=$A$3,$D$5=AM$15)),$D84-SUM($R84:AL84),IF($E84=$A$10,ROUND(_xlfn.XLOOKUP(AM$15,$D$10:$D$11,$C$10:$C$11,0,0)*$D84,2),IF($E84=$A$3,ROUND(_xlfn.XLOOKUP(AM$15,$D$3:$D$5,$C$3:$C$5,0,0)*$D84,2),IF($E84=$A$6,ROUND(_xlfn.XLOOKUP(AM$15,$D$6:$D$9,$C$6:$C$9,0,0)*$D84,2),""))))</f>
        <v>0</v>
      </c>
      <c r="AN84" s="647">
        <f>IF(OR(AND($E84=$A$6,$D$9=AN$15),AND($E84=$A$10,$D$11=AN$15),AND($E84=$A$3,$D$5=AN$15)),$D84-SUM($R84:AM84),IF($E84=$A$10,ROUND(_xlfn.XLOOKUP(AN$15,$D$10:$D$11,$C$10:$C$11,0,0)*$D84,2),IF($E84=$A$3,ROUND(_xlfn.XLOOKUP(AN$15,$D$3:$D$5,$C$3:$C$5,0,0)*$D84,2),IF($E84=$A$6,ROUND(_xlfn.XLOOKUP(AN$15,$D$6:$D$9,$C$6:$C$9,0,0)*$D84,2),""))))</f>
        <v>18979.940000000002</v>
      </c>
      <c r="AO84" s="645"/>
      <c r="AP84" s="646"/>
      <c r="AQ84" s="647"/>
      <c r="AR84" s="646"/>
      <c r="AS84" s="645"/>
      <c r="AT84" s="647"/>
      <c r="AU84" s="648">
        <f>IF(OR(AND($E84=$A$6,$D$9=AU$15),AND($E84=$A$10,$D$11=AU$15),AND($E84=$A$3,$D$5=AU$15)),$D84-SUM($R84:AT84),IF($E84=$A$10,ROUND(_xlfn.XLOOKUP(AU$15,$D$10:$D$11,$C$10:$C$11,0,0)*$D84,2),IF($E84=$A$3,ROUND(_xlfn.XLOOKUP(AU$15,$D$3:$D$5,$C$3:$C$5,0,0)*$D84,2),IF($E84=$A$6,ROUND(_xlfn.XLOOKUP(AU$15,$D$6:$D$9,$C$6:$C$9,0,0)*$D84,2),""))))</f>
        <v>0</v>
      </c>
      <c r="AV84" s="673" t="str">
        <f>IF(SUM(R84:AU84)=D84,"","CORRIGIR")</f>
        <v/>
      </c>
    </row>
    <row r="85" spans="1:48" ht="15" x14ac:dyDescent="0.2">
      <c r="A85" s="567" t="s">
        <v>4763</v>
      </c>
      <c r="B85" s="566" t="s">
        <v>4764</v>
      </c>
      <c r="C85" s="565">
        <f t="shared" si="142"/>
        <v>1.6865827601631057E-2</v>
      </c>
      <c r="D85" s="564">
        <f>SUBTOTAL(9,D86)</f>
        <v>436574.9</v>
      </c>
      <c r="E85" s="563"/>
      <c r="F85" s="561"/>
      <c r="G85" s="562"/>
      <c r="H85" s="561"/>
      <c r="I85" s="562"/>
      <c r="J85" s="561"/>
      <c r="K85" s="562"/>
      <c r="L85" s="561"/>
      <c r="M85" s="562"/>
      <c r="N85" s="561"/>
      <c r="O85" s="562"/>
      <c r="P85" s="561"/>
      <c r="Q85" s="560"/>
      <c r="R85" s="640"/>
      <c r="S85" s="641"/>
      <c r="T85" s="640"/>
      <c r="U85" s="641"/>
      <c r="V85" s="640"/>
      <c r="W85" s="641"/>
      <c r="X85" s="640"/>
      <c r="Y85" s="641"/>
      <c r="Z85" s="640"/>
      <c r="AA85" s="641"/>
      <c r="AB85" s="640"/>
      <c r="AC85" s="641"/>
      <c r="AD85" s="640"/>
      <c r="AE85" s="641"/>
      <c r="AF85" s="640"/>
      <c r="AG85" s="641"/>
      <c r="AH85" s="640"/>
      <c r="AI85" s="641"/>
      <c r="AJ85" s="640"/>
      <c r="AK85" s="641"/>
      <c r="AL85" s="640"/>
      <c r="AM85" s="641"/>
      <c r="AN85" s="640"/>
      <c r="AO85" s="641"/>
      <c r="AP85" s="640"/>
      <c r="AQ85" s="641"/>
      <c r="AR85" s="640"/>
      <c r="AS85" s="641"/>
      <c r="AT85" s="640"/>
      <c r="AU85" s="642"/>
      <c r="AV85" s="673"/>
    </row>
    <row r="86" spans="1:48" ht="14.25" outlineLevel="1" x14ac:dyDescent="0.2">
      <c r="A86" s="559" t="s">
        <v>5343</v>
      </c>
      <c r="B86" s="558" t="s">
        <v>4765</v>
      </c>
      <c r="C86" s="557">
        <f t="shared" si="142"/>
        <v>1.6865827601631057E-2</v>
      </c>
      <c r="D86" s="556">
        <f>Produtos!$D79</f>
        <v>436574.9</v>
      </c>
      <c r="E86" s="578" t="s">
        <v>5296</v>
      </c>
      <c r="F86" s="577"/>
      <c r="G86" s="577"/>
      <c r="H86" s="577"/>
      <c r="I86" s="577"/>
      <c r="J86" s="577" t="s">
        <v>5295</v>
      </c>
      <c r="K86" s="577" t="s">
        <v>5295</v>
      </c>
      <c r="L86" s="577">
        <v>1</v>
      </c>
      <c r="M86" s="577"/>
      <c r="N86" s="577"/>
      <c r="O86" s="577"/>
      <c r="P86" s="577"/>
      <c r="Q86" s="577"/>
      <c r="R86" s="658">
        <f t="shared" ref="R86:AC86" si="156">IF(F86=1,ROUND(_xlfn.XLOOKUP($E86,$A$2:$A$11,$C$2:$C$11,0,0)*F86*$D86,2),0)</f>
        <v>0</v>
      </c>
      <c r="S86" s="646">
        <f t="shared" si="156"/>
        <v>0</v>
      </c>
      <c r="T86" s="646">
        <f t="shared" si="156"/>
        <v>0</v>
      </c>
      <c r="U86" s="646">
        <f t="shared" si="156"/>
        <v>0</v>
      </c>
      <c r="V86" s="646">
        <f t="shared" si="156"/>
        <v>0</v>
      </c>
      <c r="W86" s="646">
        <f t="shared" si="156"/>
        <v>0</v>
      </c>
      <c r="X86" s="646">
        <f t="shared" si="156"/>
        <v>109143.73</v>
      </c>
      <c r="Y86" s="646">
        <f t="shared" si="156"/>
        <v>0</v>
      </c>
      <c r="Z86" s="646">
        <f t="shared" si="156"/>
        <v>0</v>
      </c>
      <c r="AA86" s="646">
        <f t="shared" si="156"/>
        <v>0</v>
      </c>
      <c r="AB86" s="646">
        <f t="shared" si="156"/>
        <v>0</v>
      </c>
      <c r="AC86" s="646">
        <f t="shared" si="156"/>
        <v>0</v>
      </c>
      <c r="AD86" s="645">
        <f>IF(OR(AND($E86=$A$6,$D$9=AD$15),AND($E86=$A$10,$D$11=AD$15),AND($E86=$A$3,$D$5=AD$15)),$D86-SUM($R86:AC86),IF($E86=$A$10,ROUND(_xlfn.XLOOKUP(AD$15,$D$10:$D$11,$C$10:$C$11,0,0)*$D86,2),IF($E86=$A$3,ROUND(_xlfn.XLOOKUP(AD$15,$D$3:$D$5,$C$3:$C$5,0,0)*$D86,2),IF($E86=$A$6,ROUND(_xlfn.XLOOKUP(AD$15,$D$6:$D$9,$C$6:$C$9,0,0)*$D86,2),""))))</f>
        <v>0</v>
      </c>
      <c r="AE86" s="646">
        <f>IF(OR(AND($E86=$A$6,$D$9=AE$15),AND($E86=$A$10,$D$11=AE$15),AND($E86=$A$3,$D$5=AE$15)),$D86-SUM($R86:AD86),IF($E86=$A$10,ROUND(_xlfn.XLOOKUP(AE$15,$D$10:$D$11,$C$10:$C$11,0,0)*$D86,2),IF($E86=$A$3,ROUND(_xlfn.XLOOKUP(AE$15,$D$3:$D$5,$C$3:$C$5,0,0)*$D86,2),IF($E86=$A$6,ROUND(_xlfn.XLOOKUP(AE$15,$D$6:$D$9,$C$6:$C$9,0,0)*$D86,2),""))))</f>
        <v>0</v>
      </c>
      <c r="AF86" s="647">
        <f>IF(OR(AND($E86=$A$6,$D$9=AF$15),AND($E86=$A$10,$D$11=AF$15),AND($E86=$A$3,$D$5=AF$15)),$D86-SUM($R86:AE86),IF($E86=$A$10,ROUND(_xlfn.XLOOKUP(AF$15,$D$10:$D$11,$C$10:$C$11,0,0)*$D86,2),IF($E86=$A$3,ROUND(_xlfn.XLOOKUP(AF$15,$D$3:$D$5,$C$3:$C$5,0,0)*$D86,2),IF($E86=$A$6,ROUND(_xlfn.XLOOKUP(AF$15,$D$6:$D$9,$C$6:$C$9,0,0)*$D86,2),""))))</f>
        <v>109143.73</v>
      </c>
      <c r="AG86" s="645"/>
      <c r="AH86" s="646"/>
      <c r="AI86" s="646"/>
      <c r="AJ86" s="646"/>
      <c r="AK86" s="647"/>
      <c r="AL86" s="645">
        <f>IF(OR(AND($E86=$A$6,$D$9=AL$15),AND($E86=$A$10,$D$11=AL$15),AND($E86=$A$3,$D$5=AL$15)),$D86-SUM($R86:AK86),IF($E86=$A$10,ROUND(_xlfn.XLOOKUP(AL$15,$D$10:$D$11,$C$10:$C$11,0,0)*$D86,2),IF($E86=$A$3,ROUND(_xlfn.XLOOKUP(AL$15,$D$3:$D$5,$C$3:$C$5,0,0)*$D86,2),IF($E86=$A$6,ROUND(_xlfn.XLOOKUP(AL$15,$D$6:$D$9,$C$6:$C$9,0,0)*$D86,2),""))))</f>
        <v>0</v>
      </c>
      <c r="AM86" s="646">
        <f>IF(OR(AND($E86=$A$6,$D$9=AM$15),AND($E86=$A$10,$D$11=AM$15),AND($E86=$A$3,$D$5=AM$15)),$D86-SUM($R86:AL86),IF($E86=$A$10,ROUND(_xlfn.XLOOKUP(AM$15,$D$10:$D$11,$C$10:$C$11,0,0)*$D86,2),IF($E86=$A$3,ROUND(_xlfn.XLOOKUP(AM$15,$D$3:$D$5,$C$3:$C$5,0,0)*$D86,2),IF($E86=$A$6,ROUND(_xlfn.XLOOKUP(AM$15,$D$6:$D$9,$C$6:$C$9,0,0)*$D86,2),""))))</f>
        <v>0</v>
      </c>
      <c r="AN86" s="647">
        <f>IF(OR(AND($E86=$A$6,$D$9=AN$15),AND($E86=$A$10,$D$11=AN$15),AND($E86=$A$3,$D$5=AN$15)),$D86-SUM($R86:AM86),IF($E86=$A$10,ROUND(_xlfn.XLOOKUP(AN$15,$D$10:$D$11,$C$10:$C$11,0,0)*$D86,2),IF($E86=$A$3,ROUND(_xlfn.XLOOKUP(AN$15,$D$3:$D$5,$C$3:$C$5,0,0)*$D86,2),IF($E86=$A$6,ROUND(_xlfn.XLOOKUP(AN$15,$D$6:$D$9,$C$6:$C$9,0,0)*$D86,2),""))))</f>
        <v>109143.73</v>
      </c>
      <c r="AO86" s="645"/>
      <c r="AP86" s="646"/>
      <c r="AQ86" s="647"/>
      <c r="AR86" s="646"/>
      <c r="AS86" s="645"/>
      <c r="AT86" s="647"/>
      <c r="AU86" s="648">
        <f>IF(OR(AND($E86=$A$6,$D$9=AU$15),AND($E86=$A$10,$D$11=AU$15),AND($E86=$A$3,$D$5=AU$15)),$D86-SUM($R86:AT86),IF($E86=$A$10,ROUND(_xlfn.XLOOKUP(AU$15,$D$10:$D$11,$C$10:$C$11,0,0)*$D86,2),IF($E86=$A$3,ROUND(_xlfn.XLOOKUP(AU$15,$D$3:$D$5,$C$3:$C$5,0,0)*$D86,2),IF($E86=$A$6,ROUND(_xlfn.XLOOKUP(AU$15,$D$6:$D$9,$C$6:$C$9,0,0)*$D86,2),""))))</f>
        <v>109143.71000000002</v>
      </c>
      <c r="AV86" s="673" t="str">
        <f>IF(SUM(R86:AU86)=D86,"","CORRIGIR")</f>
        <v/>
      </c>
    </row>
    <row r="87" spans="1:48" ht="15" x14ac:dyDescent="0.2">
      <c r="A87" s="567" t="s">
        <v>4766</v>
      </c>
      <c r="B87" s="566" t="s">
        <v>4755</v>
      </c>
      <c r="C87" s="565">
        <f t="shared" si="142"/>
        <v>1.4956488380032608E-2</v>
      </c>
      <c r="D87" s="564">
        <f>SUBTOTAL(9,D88)</f>
        <v>387151.32</v>
      </c>
      <c r="E87" s="563"/>
      <c r="F87" s="561"/>
      <c r="G87" s="562"/>
      <c r="H87" s="561"/>
      <c r="I87" s="562"/>
      <c r="J87" s="561"/>
      <c r="K87" s="562"/>
      <c r="L87" s="561"/>
      <c r="M87" s="562"/>
      <c r="N87" s="561"/>
      <c r="O87" s="562"/>
      <c r="P87" s="561"/>
      <c r="Q87" s="560"/>
      <c r="R87" s="640"/>
      <c r="S87" s="641"/>
      <c r="T87" s="640"/>
      <c r="U87" s="641"/>
      <c r="V87" s="640"/>
      <c r="W87" s="641"/>
      <c r="X87" s="640"/>
      <c r="Y87" s="641"/>
      <c r="Z87" s="640"/>
      <c r="AA87" s="641"/>
      <c r="AB87" s="640"/>
      <c r="AC87" s="641"/>
      <c r="AD87" s="640"/>
      <c r="AE87" s="641"/>
      <c r="AF87" s="640"/>
      <c r="AG87" s="641"/>
      <c r="AH87" s="640"/>
      <c r="AI87" s="641"/>
      <c r="AJ87" s="640"/>
      <c r="AK87" s="641"/>
      <c r="AL87" s="640"/>
      <c r="AM87" s="641"/>
      <c r="AN87" s="640"/>
      <c r="AO87" s="641"/>
      <c r="AP87" s="640"/>
      <c r="AQ87" s="641"/>
      <c r="AR87" s="640"/>
      <c r="AS87" s="641"/>
      <c r="AT87" s="640"/>
      <c r="AU87" s="642"/>
      <c r="AV87" s="673"/>
    </row>
    <row r="88" spans="1:48" ht="14.25" outlineLevel="1" x14ac:dyDescent="0.2">
      <c r="A88" s="559" t="s">
        <v>5342</v>
      </c>
      <c r="B88" s="558" t="s">
        <v>4755</v>
      </c>
      <c r="C88" s="557">
        <f t="shared" si="142"/>
        <v>1.4956488380032608E-2</v>
      </c>
      <c r="D88" s="556">
        <f>Produtos!$D81</f>
        <v>387151.32</v>
      </c>
      <c r="E88" s="578" t="s">
        <v>5296</v>
      </c>
      <c r="F88" s="577"/>
      <c r="G88" s="577"/>
      <c r="H88" s="577"/>
      <c r="I88" s="577"/>
      <c r="J88" s="577" t="s">
        <v>5295</v>
      </c>
      <c r="K88" s="577" t="s">
        <v>5295</v>
      </c>
      <c r="L88" s="577">
        <v>1</v>
      </c>
      <c r="M88" s="577"/>
      <c r="N88" s="577"/>
      <c r="O88" s="577"/>
      <c r="P88" s="577"/>
      <c r="Q88" s="577"/>
      <c r="R88" s="658">
        <f t="shared" ref="R88:AC88" si="157">IF(F88=1,ROUND(_xlfn.XLOOKUP($E88,$A$2:$A$11,$C$2:$C$11,0,0)*F88*$D88,2),0)</f>
        <v>0</v>
      </c>
      <c r="S88" s="646">
        <f t="shared" si="157"/>
        <v>0</v>
      </c>
      <c r="T88" s="646">
        <f t="shared" si="157"/>
        <v>0</v>
      </c>
      <c r="U88" s="646">
        <f t="shared" si="157"/>
        <v>0</v>
      </c>
      <c r="V88" s="646">
        <f t="shared" si="157"/>
        <v>0</v>
      </c>
      <c r="W88" s="646">
        <f t="shared" si="157"/>
        <v>0</v>
      </c>
      <c r="X88" s="646">
        <f t="shared" si="157"/>
        <v>96787.83</v>
      </c>
      <c r="Y88" s="646">
        <f t="shared" si="157"/>
        <v>0</v>
      </c>
      <c r="Z88" s="646">
        <f t="shared" si="157"/>
        <v>0</v>
      </c>
      <c r="AA88" s="646">
        <f t="shared" si="157"/>
        <v>0</v>
      </c>
      <c r="AB88" s="646">
        <f t="shared" si="157"/>
        <v>0</v>
      </c>
      <c r="AC88" s="646">
        <f t="shared" si="157"/>
        <v>0</v>
      </c>
      <c r="AD88" s="645">
        <f>IF(OR(AND($E88=$A$6,$D$9=AD$15),AND($E88=$A$10,$D$11=AD$15),AND($E88=$A$3,$D$5=AD$15)),$D88-SUM($R88:AC88),IF($E88=$A$10,ROUND(_xlfn.XLOOKUP(AD$15,$D$10:$D$11,$C$10:$C$11,0,0)*$D88,2),IF($E88=$A$3,ROUND(_xlfn.XLOOKUP(AD$15,$D$3:$D$5,$C$3:$C$5,0,0)*$D88,2),IF($E88=$A$6,ROUND(_xlfn.XLOOKUP(AD$15,$D$6:$D$9,$C$6:$C$9,0,0)*$D88,2),""))))</f>
        <v>0</v>
      </c>
      <c r="AE88" s="646">
        <f>IF(OR(AND($E88=$A$6,$D$9=AE$15),AND($E88=$A$10,$D$11=AE$15),AND($E88=$A$3,$D$5=AE$15)),$D88-SUM($R88:AD88),IF($E88=$A$10,ROUND(_xlfn.XLOOKUP(AE$15,$D$10:$D$11,$C$10:$C$11,0,0)*$D88,2),IF($E88=$A$3,ROUND(_xlfn.XLOOKUP(AE$15,$D$3:$D$5,$C$3:$C$5,0,0)*$D88,2),IF($E88=$A$6,ROUND(_xlfn.XLOOKUP(AE$15,$D$6:$D$9,$C$6:$C$9,0,0)*$D88,2),""))))</f>
        <v>0</v>
      </c>
      <c r="AF88" s="647">
        <f>IF(OR(AND($E88=$A$6,$D$9=AF$15),AND($E88=$A$10,$D$11=AF$15),AND($E88=$A$3,$D$5=AF$15)),$D88-SUM($R88:AE88),IF($E88=$A$10,ROUND(_xlfn.XLOOKUP(AF$15,$D$10:$D$11,$C$10:$C$11,0,0)*$D88,2),IF($E88=$A$3,ROUND(_xlfn.XLOOKUP(AF$15,$D$3:$D$5,$C$3:$C$5,0,0)*$D88,2),IF($E88=$A$6,ROUND(_xlfn.XLOOKUP(AF$15,$D$6:$D$9,$C$6:$C$9,0,0)*$D88,2),""))))</f>
        <v>96787.83</v>
      </c>
      <c r="AG88" s="645"/>
      <c r="AH88" s="646"/>
      <c r="AI88" s="646"/>
      <c r="AJ88" s="646"/>
      <c r="AK88" s="647"/>
      <c r="AL88" s="645">
        <f>IF(OR(AND($E88=$A$6,$D$9=AL$15),AND($E88=$A$10,$D$11=AL$15),AND($E88=$A$3,$D$5=AL$15)),$D88-SUM($R88:AK88),IF($E88=$A$10,ROUND(_xlfn.XLOOKUP(AL$15,$D$10:$D$11,$C$10:$C$11,0,0)*$D88,2),IF($E88=$A$3,ROUND(_xlfn.XLOOKUP(AL$15,$D$3:$D$5,$C$3:$C$5,0,0)*$D88,2),IF($E88=$A$6,ROUND(_xlfn.XLOOKUP(AL$15,$D$6:$D$9,$C$6:$C$9,0,0)*$D88,2),""))))</f>
        <v>0</v>
      </c>
      <c r="AM88" s="646">
        <f>IF(OR(AND($E88=$A$6,$D$9=AM$15),AND($E88=$A$10,$D$11=AM$15),AND($E88=$A$3,$D$5=AM$15)),$D88-SUM($R88:AL88),IF($E88=$A$10,ROUND(_xlfn.XLOOKUP(AM$15,$D$10:$D$11,$C$10:$C$11,0,0)*$D88,2),IF($E88=$A$3,ROUND(_xlfn.XLOOKUP(AM$15,$D$3:$D$5,$C$3:$C$5,0,0)*$D88,2),IF($E88=$A$6,ROUND(_xlfn.XLOOKUP(AM$15,$D$6:$D$9,$C$6:$C$9,0,0)*$D88,2),""))))</f>
        <v>0</v>
      </c>
      <c r="AN88" s="647">
        <f>IF(OR(AND($E88=$A$6,$D$9=AN$15),AND($E88=$A$10,$D$11=AN$15),AND($E88=$A$3,$D$5=AN$15)),$D88-SUM($R88:AM88),IF($E88=$A$10,ROUND(_xlfn.XLOOKUP(AN$15,$D$10:$D$11,$C$10:$C$11,0,0)*$D88,2),IF($E88=$A$3,ROUND(_xlfn.XLOOKUP(AN$15,$D$3:$D$5,$C$3:$C$5,0,0)*$D88,2),IF($E88=$A$6,ROUND(_xlfn.XLOOKUP(AN$15,$D$6:$D$9,$C$6:$C$9,0,0)*$D88,2),""))))</f>
        <v>96787.83</v>
      </c>
      <c r="AO88" s="645"/>
      <c r="AP88" s="646"/>
      <c r="AQ88" s="647"/>
      <c r="AR88" s="646"/>
      <c r="AS88" s="645"/>
      <c r="AT88" s="647"/>
      <c r="AU88" s="648">
        <f>IF(OR(AND($E88=$A$6,$D$9=AU$15),AND($E88=$A$10,$D$11=AU$15),AND($E88=$A$3,$D$5=AU$15)),$D88-SUM($R88:AT88),IF($E88=$A$10,ROUND(_xlfn.XLOOKUP(AU$15,$D$10:$D$11,$C$10:$C$11,0,0)*$D88,2),IF($E88=$A$3,ROUND(_xlfn.XLOOKUP(AU$15,$D$3:$D$5,$C$3:$C$5,0,0)*$D88,2),IF($E88=$A$6,ROUND(_xlfn.XLOOKUP(AU$15,$D$6:$D$9,$C$6:$C$9,0,0)*$D88,2),""))))</f>
        <v>96787.830000000016</v>
      </c>
      <c r="AV88" s="673" t="str">
        <f>IF(SUM(R88:AU88)=D88,"","CORRIGIR")</f>
        <v/>
      </c>
    </row>
    <row r="89" spans="1:48" s="568" customFormat="1" ht="15" x14ac:dyDescent="0.2">
      <c r="A89" s="576">
        <v>4</v>
      </c>
      <c r="B89" s="575" t="s">
        <v>4767</v>
      </c>
      <c r="C89" s="574">
        <f t="shared" si="142"/>
        <v>2.6796586014666876E-2</v>
      </c>
      <c r="D89" s="573">
        <f>SUBTOTAL(9,D90:D97)</f>
        <v>693634.32000000007</v>
      </c>
      <c r="E89" s="569"/>
      <c r="F89" s="572"/>
      <c r="G89" s="571"/>
      <c r="H89" s="570"/>
      <c r="I89" s="571"/>
      <c r="J89" s="570"/>
      <c r="K89" s="571"/>
      <c r="L89" s="570"/>
      <c r="M89" s="571"/>
      <c r="N89" s="570"/>
      <c r="O89" s="571"/>
      <c r="P89" s="570"/>
      <c r="Q89" s="569"/>
      <c r="R89" s="659"/>
      <c r="S89" s="660"/>
      <c r="T89" s="659"/>
      <c r="U89" s="660"/>
      <c r="V89" s="659"/>
      <c r="W89" s="660"/>
      <c r="X89" s="659"/>
      <c r="Y89" s="660"/>
      <c r="Z89" s="659"/>
      <c r="AA89" s="660"/>
      <c r="AB89" s="659"/>
      <c r="AC89" s="660"/>
      <c r="AD89" s="659"/>
      <c r="AE89" s="660"/>
      <c r="AF89" s="659"/>
      <c r="AG89" s="660"/>
      <c r="AH89" s="659"/>
      <c r="AI89" s="660"/>
      <c r="AJ89" s="659"/>
      <c r="AK89" s="660"/>
      <c r="AL89" s="659"/>
      <c r="AM89" s="660"/>
      <c r="AN89" s="659"/>
      <c r="AO89" s="660"/>
      <c r="AP89" s="659"/>
      <c r="AQ89" s="660"/>
      <c r="AR89" s="659"/>
      <c r="AS89" s="660"/>
      <c r="AT89" s="659"/>
      <c r="AU89" s="661"/>
      <c r="AV89" s="673"/>
    </row>
    <row r="90" spans="1:48" ht="15" x14ac:dyDescent="0.2">
      <c r="A90" s="567" t="s">
        <v>4768</v>
      </c>
      <c r="B90" s="566" t="s">
        <v>4694</v>
      </c>
      <c r="C90" s="582">
        <f t="shared" si="142"/>
        <v>4.7652372338253739E-5</v>
      </c>
      <c r="D90" s="564">
        <f>SUBTOTAL(9,D91:D91)</f>
        <v>1233.49</v>
      </c>
      <c r="E90" s="563"/>
      <c r="F90" s="561"/>
      <c r="G90" s="562"/>
      <c r="H90" s="561"/>
      <c r="I90" s="562"/>
      <c r="J90" s="561"/>
      <c r="K90" s="562"/>
      <c r="L90" s="561"/>
      <c r="M90" s="562"/>
      <c r="N90" s="561"/>
      <c r="O90" s="562"/>
      <c r="P90" s="561"/>
      <c r="Q90" s="560"/>
      <c r="R90" s="640"/>
      <c r="S90" s="641"/>
      <c r="T90" s="640"/>
      <c r="U90" s="641"/>
      <c r="V90" s="640"/>
      <c r="W90" s="641"/>
      <c r="X90" s="640"/>
      <c r="Y90" s="641"/>
      <c r="Z90" s="640"/>
      <c r="AA90" s="641"/>
      <c r="AB90" s="640"/>
      <c r="AC90" s="641"/>
      <c r="AD90" s="640"/>
      <c r="AE90" s="641"/>
      <c r="AF90" s="640"/>
      <c r="AG90" s="641"/>
      <c r="AH90" s="640"/>
      <c r="AI90" s="641"/>
      <c r="AJ90" s="640"/>
      <c r="AK90" s="641"/>
      <c r="AL90" s="640"/>
      <c r="AM90" s="641"/>
      <c r="AN90" s="640"/>
      <c r="AO90" s="641"/>
      <c r="AP90" s="640"/>
      <c r="AQ90" s="641"/>
      <c r="AR90" s="640"/>
      <c r="AS90" s="641"/>
      <c r="AT90" s="640"/>
      <c r="AU90" s="642"/>
      <c r="AV90" s="673"/>
    </row>
    <row r="91" spans="1:48" ht="14.25" outlineLevel="1" x14ac:dyDescent="0.2">
      <c r="A91" s="559" t="s">
        <v>5341</v>
      </c>
      <c r="B91" s="558" t="s">
        <v>4758</v>
      </c>
      <c r="C91" s="581">
        <f t="shared" si="142"/>
        <v>4.7652372338253739E-5</v>
      </c>
      <c r="D91" s="556">
        <f>Produtos!$D84</f>
        <v>1233.49</v>
      </c>
      <c r="E91" s="580" t="s">
        <v>5286</v>
      </c>
      <c r="F91" s="577"/>
      <c r="G91" s="577"/>
      <c r="H91" s="577" t="s">
        <v>5295</v>
      </c>
      <c r="I91" s="577">
        <v>1</v>
      </c>
      <c r="J91" s="577"/>
      <c r="K91" s="577"/>
      <c r="L91" s="577"/>
      <c r="M91" s="577"/>
      <c r="N91" s="577"/>
      <c r="O91" s="577"/>
      <c r="P91" s="577"/>
      <c r="Q91" s="577"/>
      <c r="R91" s="658">
        <f t="shared" ref="R91:AC91" si="158">IF(F91=1,ROUND(_xlfn.XLOOKUP($E91,$A$2:$A$11,$C$2:$C$11,0,0)*F91*$D91,2),0)</f>
        <v>0</v>
      </c>
      <c r="S91" s="646">
        <f t="shared" si="158"/>
        <v>0</v>
      </c>
      <c r="T91" s="646">
        <f t="shared" si="158"/>
        <v>0</v>
      </c>
      <c r="U91" s="646">
        <f t="shared" si="158"/>
        <v>1233.49</v>
      </c>
      <c r="V91" s="646">
        <f t="shared" si="158"/>
        <v>0</v>
      </c>
      <c r="W91" s="646">
        <f t="shared" si="158"/>
        <v>0</v>
      </c>
      <c r="X91" s="646">
        <f t="shared" si="158"/>
        <v>0</v>
      </c>
      <c r="Y91" s="646">
        <f t="shared" si="158"/>
        <v>0</v>
      </c>
      <c r="Z91" s="646">
        <f t="shared" si="158"/>
        <v>0</v>
      </c>
      <c r="AA91" s="646">
        <f t="shared" si="158"/>
        <v>0</v>
      </c>
      <c r="AB91" s="646">
        <f t="shared" si="158"/>
        <v>0</v>
      </c>
      <c r="AC91" s="646">
        <f t="shared" si="158"/>
        <v>0</v>
      </c>
      <c r="AD91" s="645" t="str">
        <f>IF(OR(AND($E91=$A$6,$D$9=AD$15),AND($E91=$A$10,$D$11=AD$15),AND($E91=$A$3,$D$5=AD$15)),$D91-SUM($R91:AC91),IF($E91=$A$10,ROUND(_xlfn.XLOOKUP(AD$15,$D$10:$D$11,$C$10:$C$11,0,0)*$D91,2),IF($E91=$A$3,ROUND(_xlfn.XLOOKUP(AD$15,$D$3:$D$5,$C$3:$C$5,0,0)*$D91,2),IF($E91=$A$6,ROUND(_xlfn.XLOOKUP(AD$15,$D$6:$D$9,$C$6:$C$9,0,0)*$D91,2),""))))</f>
        <v/>
      </c>
      <c r="AE91" s="646" t="str">
        <f>IF(OR(AND($E91=$A$6,$D$9=AE$15),AND($E91=$A$10,$D$11=AE$15),AND($E91=$A$3,$D$5=AE$15)),$D91-SUM($R91:AD91),IF($E91=$A$10,ROUND(_xlfn.XLOOKUP(AE$15,$D$10:$D$11,$C$10:$C$11,0,0)*$D91,2),IF($E91=$A$3,ROUND(_xlfn.XLOOKUP(AE$15,$D$3:$D$5,$C$3:$C$5,0,0)*$D91,2),IF($E91=$A$6,ROUND(_xlfn.XLOOKUP(AE$15,$D$6:$D$9,$C$6:$C$9,0,0)*$D91,2),""))))</f>
        <v/>
      </c>
      <c r="AF91" s="647" t="str">
        <f>IF(OR(AND($E91=$A$6,$D$9=AF$15),AND($E91=$A$10,$D$11=AF$15),AND($E91=$A$3,$D$5=AF$15)),$D91-SUM($R91:AE91),IF($E91=$A$10,ROUND(_xlfn.XLOOKUP(AF$15,$D$10:$D$11,$C$10:$C$11,0,0)*$D91,2),IF($E91=$A$3,ROUND(_xlfn.XLOOKUP(AF$15,$D$3:$D$5,$C$3:$C$5,0,0)*$D91,2),IF($E91=$A$6,ROUND(_xlfn.XLOOKUP(AF$15,$D$6:$D$9,$C$6:$C$9,0,0)*$D91,2),""))))</f>
        <v/>
      </c>
      <c r="AG91" s="645"/>
      <c r="AH91" s="646"/>
      <c r="AI91" s="646"/>
      <c r="AJ91" s="646"/>
      <c r="AK91" s="647"/>
      <c r="AL91" s="645" t="str">
        <f>IF(OR(AND($E91=$A$6,$D$9=AL$15),AND($E91=$A$10,$D$11=AL$15),AND($E91=$A$3,$D$5=AL$15)),$D91-SUM($R91:AK91),IF($E91=$A$10,ROUND(_xlfn.XLOOKUP(AL$15,$D$10:$D$11,$C$10:$C$11,0,0)*$D91,2),IF($E91=$A$3,ROUND(_xlfn.XLOOKUP(AL$15,$D$3:$D$5,$C$3:$C$5,0,0)*$D91,2),IF($E91=$A$6,ROUND(_xlfn.XLOOKUP(AL$15,$D$6:$D$9,$C$6:$C$9,0,0)*$D91,2),""))))</f>
        <v/>
      </c>
      <c r="AM91" s="646" t="str">
        <f>IF(OR(AND($E91=$A$6,$D$9=AM$15),AND($E91=$A$10,$D$11=AM$15),AND($E91=$A$3,$D$5=AM$15)),$D91-SUM($R91:AL91),IF($E91=$A$10,ROUND(_xlfn.XLOOKUP(AM$15,$D$10:$D$11,$C$10:$C$11,0,0)*$D91,2),IF($E91=$A$3,ROUND(_xlfn.XLOOKUP(AM$15,$D$3:$D$5,$C$3:$C$5,0,0)*$D91,2),IF($E91=$A$6,ROUND(_xlfn.XLOOKUP(AM$15,$D$6:$D$9,$C$6:$C$9,0,0)*$D91,2),""))))</f>
        <v/>
      </c>
      <c r="AN91" s="647" t="str">
        <f>IF(OR(AND($E91=$A$6,$D$9=AN$15),AND($E91=$A$10,$D$11=AN$15),AND($E91=$A$3,$D$5=AN$15)),$D91-SUM($R91:AM91),IF($E91=$A$10,ROUND(_xlfn.XLOOKUP(AN$15,$D$10:$D$11,$C$10:$C$11,0,0)*$D91,2),IF($E91=$A$3,ROUND(_xlfn.XLOOKUP(AN$15,$D$3:$D$5,$C$3:$C$5,0,0)*$D91,2),IF($E91=$A$6,ROUND(_xlfn.XLOOKUP(AN$15,$D$6:$D$9,$C$6:$C$9,0,0)*$D91,2),""))))</f>
        <v/>
      </c>
      <c r="AO91" s="645"/>
      <c r="AP91" s="646"/>
      <c r="AQ91" s="647"/>
      <c r="AR91" s="646"/>
      <c r="AS91" s="645"/>
      <c r="AT91" s="647"/>
      <c r="AU91" s="648" t="str">
        <f>IF(OR(AND($E91=$A$6,$D$9=AU$15),AND($E91=$A$10,$D$11=AU$15),AND($E91=$A$3,$D$5=AU$15)),$D91-SUM($R91:AT91),IF($E91=$A$10,ROUND(_xlfn.XLOOKUP(AU$15,$D$10:$D$11,$C$10:$C$11,0,0)*$D91,2),IF($E91=$A$3,ROUND(_xlfn.XLOOKUP(AU$15,$D$3:$D$5,$C$3:$C$5,0,0)*$D91,2),IF($E91=$A$6,ROUND(_xlfn.XLOOKUP(AU$15,$D$6:$D$9,$C$6:$C$9,0,0)*$D91,2),""))))</f>
        <v/>
      </c>
      <c r="AV91" s="673" t="str">
        <f>IF(SUM(R91:AU91)=D91,"","CORRIGIR")</f>
        <v/>
      </c>
    </row>
    <row r="92" spans="1:48" ht="15" x14ac:dyDescent="0.2">
      <c r="A92" s="567" t="s">
        <v>4771</v>
      </c>
      <c r="B92" s="566" t="s">
        <v>4772</v>
      </c>
      <c r="C92" s="583">
        <f t="shared" si="142"/>
        <v>1.6584338680535847E-2</v>
      </c>
      <c r="D92" s="564">
        <f>SUBTOTAL(9,D93)</f>
        <v>429288.51</v>
      </c>
      <c r="E92" s="563"/>
      <c r="F92" s="561"/>
      <c r="G92" s="562"/>
      <c r="H92" s="561"/>
      <c r="I92" s="562"/>
      <c r="J92" s="561"/>
      <c r="K92" s="562"/>
      <c r="L92" s="561"/>
      <c r="M92" s="562"/>
      <c r="N92" s="561"/>
      <c r="O92" s="562"/>
      <c r="P92" s="561"/>
      <c r="Q92" s="560"/>
      <c r="R92" s="640"/>
      <c r="S92" s="641"/>
      <c r="T92" s="640"/>
      <c r="U92" s="641"/>
      <c r="V92" s="640"/>
      <c r="W92" s="641"/>
      <c r="X92" s="640"/>
      <c r="Y92" s="641"/>
      <c r="Z92" s="640"/>
      <c r="AA92" s="641"/>
      <c r="AB92" s="640"/>
      <c r="AC92" s="641"/>
      <c r="AD92" s="640"/>
      <c r="AE92" s="641"/>
      <c r="AF92" s="640"/>
      <c r="AG92" s="641"/>
      <c r="AH92" s="640"/>
      <c r="AI92" s="641"/>
      <c r="AJ92" s="640"/>
      <c r="AK92" s="641"/>
      <c r="AL92" s="640"/>
      <c r="AM92" s="641"/>
      <c r="AN92" s="640"/>
      <c r="AO92" s="641"/>
      <c r="AP92" s="640"/>
      <c r="AQ92" s="641"/>
      <c r="AR92" s="640"/>
      <c r="AS92" s="641"/>
      <c r="AT92" s="640"/>
      <c r="AU92" s="642"/>
      <c r="AV92" s="673"/>
    </row>
    <row r="93" spans="1:48" ht="28.5" outlineLevel="1" x14ac:dyDescent="0.2">
      <c r="A93" s="559" t="s">
        <v>5340</v>
      </c>
      <c r="B93" s="558" t="s">
        <v>4773</v>
      </c>
      <c r="C93" s="557">
        <f t="shared" si="142"/>
        <v>1.6584338680535847E-2</v>
      </c>
      <c r="D93" s="556">
        <f>Produtos!$D86</f>
        <v>429288.51</v>
      </c>
      <c r="E93" s="578" t="s">
        <v>5296</v>
      </c>
      <c r="F93" s="577"/>
      <c r="G93" s="577"/>
      <c r="H93" s="577"/>
      <c r="I93" s="577"/>
      <c r="J93" s="577" t="s">
        <v>5295</v>
      </c>
      <c r="K93" s="577" t="s">
        <v>5295</v>
      </c>
      <c r="L93" s="577">
        <v>1</v>
      </c>
      <c r="M93" s="577"/>
      <c r="N93" s="577"/>
      <c r="O93" s="577"/>
      <c r="P93" s="577"/>
      <c r="Q93" s="577"/>
      <c r="R93" s="658">
        <f t="shared" ref="R93:AC93" si="159">IF(F93=1,ROUND(_xlfn.XLOOKUP($E93,$A$2:$A$11,$C$2:$C$11,0,0)*F93*$D93,2),0)</f>
        <v>0</v>
      </c>
      <c r="S93" s="646">
        <f t="shared" si="159"/>
        <v>0</v>
      </c>
      <c r="T93" s="646">
        <f t="shared" si="159"/>
        <v>0</v>
      </c>
      <c r="U93" s="646">
        <f t="shared" si="159"/>
        <v>0</v>
      </c>
      <c r="V93" s="646">
        <f t="shared" si="159"/>
        <v>0</v>
      </c>
      <c r="W93" s="646">
        <f t="shared" si="159"/>
        <v>0</v>
      </c>
      <c r="X93" s="646">
        <f t="shared" si="159"/>
        <v>107322.13</v>
      </c>
      <c r="Y93" s="646">
        <f t="shared" si="159"/>
        <v>0</v>
      </c>
      <c r="Z93" s="646">
        <f t="shared" si="159"/>
        <v>0</v>
      </c>
      <c r="AA93" s="646">
        <f t="shared" si="159"/>
        <v>0</v>
      </c>
      <c r="AB93" s="646">
        <f t="shared" si="159"/>
        <v>0</v>
      </c>
      <c r="AC93" s="646">
        <f t="shared" si="159"/>
        <v>0</v>
      </c>
      <c r="AD93" s="645">
        <f>IF(OR(AND($E93=$A$6,$D$9=AD$15),AND($E93=$A$10,$D$11=AD$15),AND($E93=$A$3,$D$5=AD$15)),$D93-SUM($R93:AC93),IF($E93=$A$10,ROUND(_xlfn.XLOOKUP(AD$15,$D$10:$D$11,$C$10:$C$11,0,0)*$D93,2),IF($E93=$A$3,ROUND(_xlfn.XLOOKUP(AD$15,$D$3:$D$5,$C$3:$C$5,0,0)*$D93,2),IF($E93=$A$6,ROUND(_xlfn.XLOOKUP(AD$15,$D$6:$D$9,$C$6:$C$9,0,0)*$D93,2),""))))</f>
        <v>0</v>
      </c>
      <c r="AE93" s="646">
        <f>IF(OR(AND($E93=$A$6,$D$9=AE$15),AND($E93=$A$10,$D$11=AE$15),AND($E93=$A$3,$D$5=AE$15)),$D93-SUM($R93:AD93),IF($E93=$A$10,ROUND(_xlfn.XLOOKUP(AE$15,$D$10:$D$11,$C$10:$C$11,0,0)*$D93,2),IF($E93=$A$3,ROUND(_xlfn.XLOOKUP(AE$15,$D$3:$D$5,$C$3:$C$5,0,0)*$D93,2),IF($E93=$A$6,ROUND(_xlfn.XLOOKUP(AE$15,$D$6:$D$9,$C$6:$C$9,0,0)*$D93,2),""))))</f>
        <v>0</v>
      </c>
      <c r="AF93" s="647">
        <f>IF(OR(AND($E93=$A$6,$D$9=AF$15),AND($E93=$A$10,$D$11=AF$15),AND($E93=$A$3,$D$5=AF$15)),$D93-SUM($R93:AE93),IF($E93=$A$10,ROUND(_xlfn.XLOOKUP(AF$15,$D$10:$D$11,$C$10:$C$11,0,0)*$D93,2),IF($E93=$A$3,ROUND(_xlfn.XLOOKUP(AF$15,$D$3:$D$5,$C$3:$C$5,0,0)*$D93,2),IF($E93=$A$6,ROUND(_xlfn.XLOOKUP(AF$15,$D$6:$D$9,$C$6:$C$9,0,0)*$D93,2),""))))</f>
        <v>107322.13</v>
      </c>
      <c r="AG93" s="645"/>
      <c r="AH93" s="646"/>
      <c r="AI93" s="646"/>
      <c r="AJ93" s="646"/>
      <c r="AK93" s="647"/>
      <c r="AL93" s="645">
        <f>IF(OR(AND($E93=$A$6,$D$9=AL$15),AND($E93=$A$10,$D$11=AL$15),AND($E93=$A$3,$D$5=AL$15)),$D93-SUM($R93:AK93),IF($E93=$A$10,ROUND(_xlfn.XLOOKUP(AL$15,$D$10:$D$11,$C$10:$C$11,0,0)*$D93,2),IF($E93=$A$3,ROUND(_xlfn.XLOOKUP(AL$15,$D$3:$D$5,$C$3:$C$5,0,0)*$D93,2),IF($E93=$A$6,ROUND(_xlfn.XLOOKUP(AL$15,$D$6:$D$9,$C$6:$C$9,0,0)*$D93,2),""))))</f>
        <v>0</v>
      </c>
      <c r="AM93" s="646">
        <f>IF(OR(AND($E93=$A$6,$D$9=AM$15),AND($E93=$A$10,$D$11=AM$15),AND($E93=$A$3,$D$5=AM$15)),$D93-SUM($R93:AL93),IF($E93=$A$10,ROUND(_xlfn.XLOOKUP(AM$15,$D$10:$D$11,$C$10:$C$11,0,0)*$D93,2),IF($E93=$A$3,ROUND(_xlfn.XLOOKUP(AM$15,$D$3:$D$5,$C$3:$C$5,0,0)*$D93,2),IF($E93=$A$6,ROUND(_xlfn.XLOOKUP(AM$15,$D$6:$D$9,$C$6:$C$9,0,0)*$D93,2),""))))</f>
        <v>0</v>
      </c>
      <c r="AN93" s="647">
        <f>IF(OR(AND($E93=$A$6,$D$9=AN$15),AND($E93=$A$10,$D$11=AN$15),AND($E93=$A$3,$D$5=AN$15)),$D93-SUM($R93:AM93),IF($E93=$A$10,ROUND(_xlfn.XLOOKUP(AN$15,$D$10:$D$11,$C$10:$C$11,0,0)*$D93,2),IF($E93=$A$3,ROUND(_xlfn.XLOOKUP(AN$15,$D$3:$D$5,$C$3:$C$5,0,0)*$D93,2),IF($E93=$A$6,ROUND(_xlfn.XLOOKUP(AN$15,$D$6:$D$9,$C$6:$C$9,0,0)*$D93,2),""))))</f>
        <v>107322.13</v>
      </c>
      <c r="AO93" s="645"/>
      <c r="AP93" s="646"/>
      <c r="AQ93" s="647"/>
      <c r="AR93" s="646"/>
      <c r="AS93" s="645"/>
      <c r="AT93" s="647"/>
      <c r="AU93" s="648">
        <f>IF(OR(AND($E93=$A$6,$D$9=AU$15),AND($E93=$A$10,$D$11=AU$15),AND($E93=$A$3,$D$5=AU$15)),$D93-SUM($R93:AT93),IF($E93=$A$10,ROUND(_xlfn.XLOOKUP(AU$15,$D$10:$D$11,$C$10:$C$11,0,0)*$D93,2),IF($E93=$A$3,ROUND(_xlfn.XLOOKUP(AU$15,$D$3:$D$5,$C$3:$C$5,0,0)*$D93,2),IF($E93=$A$6,ROUND(_xlfn.XLOOKUP(AU$15,$D$6:$D$9,$C$6:$C$9,0,0)*$D93,2),""))))</f>
        <v>107322.12</v>
      </c>
      <c r="AV93" s="673" t="str">
        <f>IF(SUM(R93:AU93)=D93,"","CORRIGIR")</f>
        <v/>
      </c>
    </row>
    <row r="94" spans="1:48" ht="15" x14ac:dyDescent="0.2">
      <c r="A94" s="567" t="s">
        <v>4774</v>
      </c>
      <c r="B94" s="566" t="s">
        <v>4775</v>
      </c>
      <c r="C94" s="583">
        <f t="shared" si="142"/>
        <v>8.2921695334286817E-3</v>
      </c>
      <c r="D94" s="564">
        <f>SUBTOTAL(9,D95)</f>
        <v>214644.26</v>
      </c>
      <c r="E94" s="563"/>
      <c r="F94" s="561"/>
      <c r="G94" s="562"/>
      <c r="H94" s="561"/>
      <c r="I94" s="562"/>
      <c r="J94" s="561"/>
      <c r="K94" s="562"/>
      <c r="L94" s="561"/>
      <c r="M94" s="562"/>
      <c r="N94" s="561"/>
      <c r="O94" s="562"/>
      <c r="P94" s="561"/>
      <c r="Q94" s="560"/>
      <c r="R94" s="640"/>
      <c r="S94" s="641"/>
      <c r="T94" s="640"/>
      <c r="U94" s="641"/>
      <c r="V94" s="640"/>
      <c r="W94" s="641"/>
      <c r="X94" s="640"/>
      <c r="Y94" s="641"/>
      <c r="Z94" s="640"/>
      <c r="AA94" s="641"/>
      <c r="AB94" s="640"/>
      <c r="AC94" s="641"/>
      <c r="AD94" s="640"/>
      <c r="AE94" s="641"/>
      <c r="AF94" s="640"/>
      <c r="AG94" s="641"/>
      <c r="AH94" s="640"/>
      <c r="AI94" s="641"/>
      <c r="AJ94" s="640"/>
      <c r="AK94" s="641"/>
      <c r="AL94" s="640"/>
      <c r="AM94" s="641"/>
      <c r="AN94" s="640"/>
      <c r="AO94" s="641"/>
      <c r="AP94" s="640"/>
      <c r="AQ94" s="641"/>
      <c r="AR94" s="640"/>
      <c r="AS94" s="641"/>
      <c r="AT94" s="640"/>
      <c r="AU94" s="642"/>
      <c r="AV94" s="673"/>
    </row>
    <row r="95" spans="1:48" ht="14.25" outlineLevel="1" x14ac:dyDescent="0.2">
      <c r="A95" s="559" t="s">
        <v>5339</v>
      </c>
      <c r="B95" s="558" t="s">
        <v>4775</v>
      </c>
      <c r="C95" s="557">
        <f t="shared" si="142"/>
        <v>8.2921695334286817E-3</v>
      </c>
      <c r="D95" s="556">
        <f>Produtos!$D88</f>
        <v>214644.26</v>
      </c>
      <c r="E95" s="578" t="s">
        <v>5296</v>
      </c>
      <c r="F95" s="577"/>
      <c r="G95" s="577"/>
      <c r="H95" s="577"/>
      <c r="I95" s="577"/>
      <c r="J95" s="577" t="s">
        <v>5295</v>
      </c>
      <c r="K95" s="577" t="s">
        <v>5295</v>
      </c>
      <c r="L95" s="577">
        <v>1</v>
      </c>
      <c r="M95" s="577"/>
      <c r="N95" s="577"/>
      <c r="O95" s="577"/>
      <c r="P95" s="577"/>
      <c r="Q95" s="577"/>
      <c r="R95" s="658">
        <f t="shared" ref="R95:AC95" si="160">IF(F95=1,ROUND(_xlfn.XLOOKUP($E95,$A$2:$A$11,$C$2:$C$11,0,0)*F95*$D95,2),0)</f>
        <v>0</v>
      </c>
      <c r="S95" s="646">
        <f t="shared" si="160"/>
        <v>0</v>
      </c>
      <c r="T95" s="646">
        <f t="shared" si="160"/>
        <v>0</v>
      </c>
      <c r="U95" s="646">
        <f t="shared" si="160"/>
        <v>0</v>
      </c>
      <c r="V95" s="646">
        <f t="shared" si="160"/>
        <v>0</v>
      </c>
      <c r="W95" s="646">
        <f t="shared" si="160"/>
        <v>0</v>
      </c>
      <c r="X95" s="646">
        <f t="shared" si="160"/>
        <v>53661.07</v>
      </c>
      <c r="Y95" s="646">
        <f t="shared" si="160"/>
        <v>0</v>
      </c>
      <c r="Z95" s="646">
        <f t="shared" si="160"/>
        <v>0</v>
      </c>
      <c r="AA95" s="646">
        <f t="shared" si="160"/>
        <v>0</v>
      </c>
      <c r="AB95" s="646">
        <f t="shared" si="160"/>
        <v>0</v>
      </c>
      <c r="AC95" s="646">
        <f t="shared" si="160"/>
        <v>0</v>
      </c>
      <c r="AD95" s="645">
        <f>IF(OR(AND($E95=$A$6,$D$9=AD$15),AND($E95=$A$10,$D$11=AD$15),AND($E95=$A$3,$D$5=AD$15)),$D95-SUM($R95:AC95),IF($E95=$A$10,ROUND(_xlfn.XLOOKUP(AD$15,$D$10:$D$11,$C$10:$C$11,0,0)*$D95,2),IF($E95=$A$3,ROUND(_xlfn.XLOOKUP(AD$15,$D$3:$D$5,$C$3:$C$5,0,0)*$D95,2),IF($E95=$A$6,ROUND(_xlfn.XLOOKUP(AD$15,$D$6:$D$9,$C$6:$C$9,0,0)*$D95,2),""))))</f>
        <v>0</v>
      </c>
      <c r="AE95" s="646">
        <f>IF(OR(AND($E95=$A$6,$D$9=AE$15),AND($E95=$A$10,$D$11=AE$15),AND($E95=$A$3,$D$5=AE$15)),$D95-SUM($R95:AD95),IF($E95=$A$10,ROUND(_xlfn.XLOOKUP(AE$15,$D$10:$D$11,$C$10:$C$11,0,0)*$D95,2),IF($E95=$A$3,ROUND(_xlfn.XLOOKUP(AE$15,$D$3:$D$5,$C$3:$C$5,0,0)*$D95,2),IF($E95=$A$6,ROUND(_xlfn.XLOOKUP(AE$15,$D$6:$D$9,$C$6:$C$9,0,0)*$D95,2),""))))</f>
        <v>0</v>
      </c>
      <c r="AF95" s="647">
        <f>IF(OR(AND($E95=$A$6,$D$9=AF$15),AND($E95=$A$10,$D$11=AF$15),AND($E95=$A$3,$D$5=AF$15)),$D95-SUM($R95:AE95),IF($E95=$A$10,ROUND(_xlfn.XLOOKUP(AF$15,$D$10:$D$11,$C$10:$C$11,0,0)*$D95,2),IF($E95=$A$3,ROUND(_xlfn.XLOOKUP(AF$15,$D$3:$D$5,$C$3:$C$5,0,0)*$D95,2),IF($E95=$A$6,ROUND(_xlfn.XLOOKUP(AF$15,$D$6:$D$9,$C$6:$C$9,0,0)*$D95,2),""))))</f>
        <v>53661.07</v>
      </c>
      <c r="AG95" s="645"/>
      <c r="AH95" s="646"/>
      <c r="AI95" s="646"/>
      <c r="AJ95" s="646"/>
      <c r="AK95" s="647"/>
      <c r="AL95" s="645">
        <f>IF(OR(AND($E95=$A$6,$D$9=AL$15),AND($E95=$A$10,$D$11=AL$15),AND($E95=$A$3,$D$5=AL$15)),$D95-SUM($R95:AK95),IF($E95=$A$10,ROUND(_xlfn.XLOOKUP(AL$15,$D$10:$D$11,$C$10:$C$11,0,0)*$D95,2),IF($E95=$A$3,ROUND(_xlfn.XLOOKUP(AL$15,$D$3:$D$5,$C$3:$C$5,0,0)*$D95,2),IF($E95=$A$6,ROUND(_xlfn.XLOOKUP(AL$15,$D$6:$D$9,$C$6:$C$9,0,0)*$D95,2),""))))</f>
        <v>0</v>
      </c>
      <c r="AM95" s="646">
        <f>IF(OR(AND($E95=$A$6,$D$9=AM$15),AND($E95=$A$10,$D$11=AM$15),AND($E95=$A$3,$D$5=AM$15)),$D95-SUM($R95:AL95),IF($E95=$A$10,ROUND(_xlfn.XLOOKUP(AM$15,$D$10:$D$11,$C$10:$C$11,0,0)*$D95,2),IF($E95=$A$3,ROUND(_xlfn.XLOOKUP(AM$15,$D$3:$D$5,$C$3:$C$5,0,0)*$D95,2),IF($E95=$A$6,ROUND(_xlfn.XLOOKUP(AM$15,$D$6:$D$9,$C$6:$C$9,0,0)*$D95,2),""))))</f>
        <v>0</v>
      </c>
      <c r="AN95" s="647">
        <f>IF(OR(AND($E95=$A$6,$D$9=AN$15),AND($E95=$A$10,$D$11=AN$15),AND($E95=$A$3,$D$5=AN$15)),$D95-SUM($R95:AM95),IF($E95=$A$10,ROUND(_xlfn.XLOOKUP(AN$15,$D$10:$D$11,$C$10:$C$11,0,0)*$D95,2),IF($E95=$A$3,ROUND(_xlfn.XLOOKUP(AN$15,$D$3:$D$5,$C$3:$C$5,0,0)*$D95,2),IF($E95=$A$6,ROUND(_xlfn.XLOOKUP(AN$15,$D$6:$D$9,$C$6:$C$9,0,0)*$D95,2),""))))</f>
        <v>53661.07</v>
      </c>
      <c r="AO95" s="645"/>
      <c r="AP95" s="646"/>
      <c r="AQ95" s="647"/>
      <c r="AR95" s="646"/>
      <c r="AS95" s="645"/>
      <c r="AT95" s="647"/>
      <c r="AU95" s="648">
        <f>IF(OR(AND($E95=$A$6,$D$9=AU$15),AND($E95=$A$10,$D$11=AU$15),AND($E95=$A$3,$D$5=AU$15)),$D95-SUM($R95:AT95),IF($E95=$A$10,ROUND(_xlfn.XLOOKUP(AU$15,$D$10:$D$11,$C$10:$C$11,0,0)*$D95,2),IF($E95=$A$3,ROUND(_xlfn.XLOOKUP(AU$15,$D$3:$D$5,$C$3:$C$5,0,0)*$D95,2),IF($E95=$A$6,ROUND(_xlfn.XLOOKUP(AU$15,$D$6:$D$9,$C$6:$C$9,0,0)*$D95,2),""))))</f>
        <v>53661.050000000017</v>
      </c>
      <c r="AV95" s="673" t="str">
        <f>IF(SUM(R95:AU95)=D95,"","CORRIGIR")</f>
        <v/>
      </c>
    </row>
    <row r="96" spans="1:48" ht="15" x14ac:dyDescent="0.2">
      <c r="A96" s="567" t="s">
        <v>4776</v>
      </c>
      <c r="B96" s="566" t="s">
        <v>4755</v>
      </c>
      <c r="C96" s="583">
        <f t="shared" si="142"/>
        <v>1.8724254283640908E-3</v>
      </c>
      <c r="D96" s="564">
        <f>SUBTOTAL(9,D97)</f>
        <v>48468.06</v>
      </c>
      <c r="E96" s="563"/>
      <c r="F96" s="561"/>
      <c r="G96" s="562"/>
      <c r="H96" s="561"/>
      <c r="I96" s="562"/>
      <c r="J96" s="561"/>
      <c r="K96" s="562"/>
      <c r="L96" s="561"/>
      <c r="M96" s="562"/>
      <c r="N96" s="561"/>
      <c r="O96" s="562"/>
      <c r="P96" s="561"/>
      <c r="Q96" s="560"/>
      <c r="R96" s="640"/>
      <c r="S96" s="641"/>
      <c r="T96" s="640"/>
      <c r="U96" s="641"/>
      <c r="V96" s="640"/>
      <c r="W96" s="641"/>
      <c r="X96" s="640"/>
      <c r="Y96" s="641"/>
      <c r="Z96" s="640"/>
      <c r="AA96" s="641"/>
      <c r="AB96" s="640"/>
      <c r="AC96" s="641"/>
      <c r="AD96" s="640"/>
      <c r="AE96" s="641"/>
      <c r="AF96" s="640"/>
      <c r="AG96" s="641"/>
      <c r="AH96" s="640"/>
      <c r="AI96" s="641"/>
      <c r="AJ96" s="640"/>
      <c r="AK96" s="641"/>
      <c r="AL96" s="640"/>
      <c r="AM96" s="641"/>
      <c r="AN96" s="640"/>
      <c r="AO96" s="641"/>
      <c r="AP96" s="640"/>
      <c r="AQ96" s="641"/>
      <c r="AR96" s="640"/>
      <c r="AS96" s="641"/>
      <c r="AT96" s="640"/>
      <c r="AU96" s="642"/>
      <c r="AV96" s="673"/>
    </row>
    <row r="97" spans="1:48" ht="14.25" outlineLevel="1" x14ac:dyDescent="0.2">
      <c r="A97" s="559" t="s">
        <v>5338</v>
      </c>
      <c r="B97" s="558" t="s">
        <v>4755</v>
      </c>
      <c r="C97" s="557">
        <f t="shared" si="142"/>
        <v>1.8724254283640908E-3</v>
      </c>
      <c r="D97" s="556">
        <f>Produtos!$D90</f>
        <v>48468.06</v>
      </c>
      <c r="E97" s="578" t="s">
        <v>5296</v>
      </c>
      <c r="F97" s="577"/>
      <c r="G97" s="577"/>
      <c r="H97" s="577"/>
      <c r="I97" s="577"/>
      <c r="J97" s="577" t="s">
        <v>5295</v>
      </c>
      <c r="K97" s="577" t="s">
        <v>5295</v>
      </c>
      <c r="L97" s="577">
        <v>1</v>
      </c>
      <c r="M97" s="577"/>
      <c r="N97" s="577"/>
      <c r="O97" s="577"/>
      <c r="P97" s="577"/>
      <c r="Q97" s="577"/>
      <c r="R97" s="658">
        <f t="shared" ref="R97:AC97" si="161">IF(F97=1,ROUND(_xlfn.XLOOKUP($E97,$A$2:$A$11,$C$2:$C$11,0,0)*F97*$D97,2),0)</f>
        <v>0</v>
      </c>
      <c r="S97" s="646">
        <f t="shared" si="161"/>
        <v>0</v>
      </c>
      <c r="T97" s="646">
        <f t="shared" si="161"/>
        <v>0</v>
      </c>
      <c r="U97" s="646">
        <f t="shared" si="161"/>
        <v>0</v>
      </c>
      <c r="V97" s="646">
        <f t="shared" si="161"/>
        <v>0</v>
      </c>
      <c r="W97" s="646">
        <f t="shared" si="161"/>
        <v>0</v>
      </c>
      <c r="X97" s="646">
        <f t="shared" si="161"/>
        <v>12117.02</v>
      </c>
      <c r="Y97" s="646">
        <f t="shared" si="161"/>
        <v>0</v>
      </c>
      <c r="Z97" s="646">
        <f t="shared" si="161"/>
        <v>0</v>
      </c>
      <c r="AA97" s="646">
        <f t="shared" si="161"/>
        <v>0</v>
      </c>
      <c r="AB97" s="646">
        <f t="shared" si="161"/>
        <v>0</v>
      </c>
      <c r="AC97" s="646">
        <f t="shared" si="161"/>
        <v>0</v>
      </c>
      <c r="AD97" s="645">
        <f>IF(OR(AND($E97=$A$6,$D$9=AD$15),AND($E97=$A$10,$D$11=AD$15),AND($E97=$A$3,$D$5=AD$15)),$D97-SUM($R97:AC97),IF($E97=$A$10,ROUND(_xlfn.XLOOKUP(AD$15,$D$10:$D$11,$C$10:$C$11,0,0)*$D97,2),IF($E97=$A$3,ROUND(_xlfn.XLOOKUP(AD$15,$D$3:$D$5,$C$3:$C$5,0,0)*$D97,2),IF($E97=$A$6,ROUND(_xlfn.XLOOKUP(AD$15,$D$6:$D$9,$C$6:$C$9,0,0)*$D97,2),""))))</f>
        <v>0</v>
      </c>
      <c r="AE97" s="646">
        <f>IF(OR(AND($E97=$A$6,$D$9=AE$15),AND($E97=$A$10,$D$11=AE$15),AND($E97=$A$3,$D$5=AE$15)),$D97-SUM($R97:AD97),IF($E97=$A$10,ROUND(_xlfn.XLOOKUP(AE$15,$D$10:$D$11,$C$10:$C$11,0,0)*$D97,2),IF($E97=$A$3,ROUND(_xlfn.XLOOKUP(AE$15,$D$3:$D$5,$C$3:$C$5,0,0)*$D97,2),IF($E97=$A$6,ROUND(_xlfn.XLOOKUP(AE$15,$D$6:$D$9,$C$6:$C$9,0,0)*$D97,2),""))))</f>
        <v>0</v>
      </c>
      <c r="AF97" s="647">
        <f>IF(OR(AND($E97=$A$6,$D$9=AF$15),AND($E97=$A$10,$D$11=AF$15),AND($E97=$A$3,$D$5=AF$15)),$D97-SUM($R97:AE97),IF($E97=$A$10,ROUND(_xlfn.XLOOKUP(AF$15,$D$10:$D$11,$C$10:$C$11,0,0)*$D97,2),IF($E97=$A$3,ROUND(_xlfn.XLOOKUP(AF$15,$D$3:$D$5,$C$3:$C$5,0,0)*$D97,2),IF($E97=$A$6,ROUND(_xlfn.XLOOKUP(AF$15,$D$6:$D$9,$C$6:$C$9,0,0)*$D97,2),""))))</f>
        <v>12117.02</v>
      </c>
      <c r="AG97" s="645"/>
      <c r="AH97" s="646"/>
      <c r="AI97" s="646"/>
      <c r="AJ97" s="646"/>
      <c r="AK97" s="647"/>
      <c r="AL97" s="645">
        <f>IF(OR(AND($E97=$A$6,$D$9=AL$15),AND($E97=$A$10,$D$11=AL$15),AND($E97=$A$3,$D$5=AL$15)),$D97-SUM($R97:AK97),IF($E97=$A$10,ROUND(_xlfn.XLOOKUP(AL$15,$D$10:$D$11,$C$10:$C$11,0,0)*$D97,2),IF($E97=$A$3,ROUND(_xlfn.XLOOKUP(AL$15,$D$3:$D$5,$C$3:$C$5,0,0)*$D97,2),IF($E97=$A$6,ROUND(_xlfn.XLOOKUP(AL$15,$D$6:$D$9,$C$6:$C$9,0,0)*$D97,2),""))))</f>
        <v>0</v>
      </c>
      <c r="AM97" s="646">
        <f>IF(OR(AND($E97=$A$6,$D$9=AM$15),AND($E97=$A$10,$D$11=AM$15),AND($E97=$A$3,$D$5=AM$15)),$D97-SUM($R97:AL97),IF($E97=$A$10,ROUND(_xlfn.XLOOKUP(AM$15,$D$10:$D$11,$C$10:$C$11,0,0)*$D97,2),IF($E97=$A$3,ROUND(_xlfn.XLOOKUP(AM$15,$D$3:$D$5,$C$3:$C$5,0,0)*$D97,2),IF($E97=$A$6,ROUND(_xlfn.XLOOKUP(AM$15,$D$6:$D$9,$C$6:$C$9,0,0)*$D97,2),""))))</f>
        <v>0</v>
      </c>
      <c r="AN97" s="647">
        <f>IF(OR(AND($E97=$A$6,$D$9=AN$15),AND($E97=$A$10,$D$11=AN$15),AND($E97=$A$3,$D$5=AN$15)),$D97-SUM($R97:AM97),IF($E97=$A$10,ROUND(_xlfn.XLOOKUP(AN$15,$D$10:$D$11,$C$10:$C$11,0,0)*$D97,2),IF($E97=$A$3,ROUND(_xlfn.XLOOKUP(AN$15,$D$3:$D$5,$C$3:$C$5,0,0)*$D97,2),IF($E97=$A$6,ROUND(_xlfn.XLOOKUP(AN$15,$D$6:$D$9,$C$6:$C$9,0,0)*$D97,2),""))))</f>
        <v>12117.02</v>
      </c>
      <c r="AO97" s="645"/>
      <c r="AP97" s="646"/>
      <c r="AQ97" s="647"/>
      <c r="AR97" s="646"/>
      <c r="AS97" s="645"/>
      <c r="AT97" s="647"/>
      <c r="AU97" s="648">
        <f>IF(OR(AND($E97=$A$6,$D$9=AU$15),AND($E97=$A$10,$D$11=AU$15),AND($E97=$A$3,$D$5=AU$15)),$D97-SUM($R97:AT97),IF($E97=$A$10,ROUND(_xlfn.XLOOKUP(AU$15,$D$10:$D$11,$C$10:$C$11,0,0)*$D97,2),IF($E97=$A$3,ROUND(_xlfn.XLOOKUP(AU$15,$D$3:$D$5,$C$3:$C$5,0,0)*$D97,2),IF($E97=$A$6,ROUND(_xlfn.XLOOKUP(AU$15,$D$6:$D$9,$C$6:$C$9,0,0)*$D97,2),""))))</f>
        <v>12117</v>
      </c>
      <c r="AV97" s="673" t="str">
        <f>IF(SUM(R97:AU97)=D97,"","CORRIGIR")</f>
        <v/>
      </c>
    </row>
    <row r="98" spans="1:48" s="568" customFormat="1" ht="15" x14ac:dyDescent="0.2">
      <c r="A98" s="576">
        <v>5</v>
      </c>
      <c r="B98" s="575" t="s">
        <v>4777</v>
      </c>
      <c r="C98" s="574">
        <f t="shared" si="142"/>
        <v>2.0098713985672374E-2</v>
      </c>
      <c r="D98" s="573">
        <f>SUBTOTAL(9,D99:D104)</f>
        <v>520258.73</v>
      </c>
      <c r="E98" s="569"/>
      <c r="F98" s="572"/>
      <c r="G98" s="571"/>
      <c r="H98" s="570"/>
      <c r="I98" s="571"/>
      <c r="J98" s="570"/>
      <c r="K98" s="571"/>
      <c r="L98" s="570"/>
      <c r="M98" s="571"/>
      <c r="N98" s="570"/>
      <c r="O98" s="571"/>
      <c r="P98" s="570"/>
      <c r="Q98" s="569"/>
      <c r="R98" s="659"/>
      <c r="S98" s="660"/>
      <c r="T98" s="659"/>
      <c r="U98" s="660"/>
      <c r="V98" s="659"/>
      <c r="W98" s="660"/>
      <c r="X98" s="659"/>
      <c r="Y98" s="660"/>
      <c r="Z98" s="659"/>
      <c r="AA98" s="660"/>
      <c r="AB98" s="659"/>
      <c r="AC98" s="660"/>
      <c r="AD98" s="659"/>
      <c r="AE98" s="660"/>
      <c r="AF98" s="659"/>
      <c r="AG98" s="660"/>
      <c r="AH98" s="659"/>
      <c r="AI98" s="660"/>
      <c r="AJ98" s="659"/>
      <c r="AK98" s="660"/>
      <c r="AL98" s="659"/>
      <c r="AM98" s="660"/>
      <c r="AN98" s="659"/>
      <c r="AO98" s="660"/>
      <c r="AP98" s="659"/>
      <c r="AQ98" s="660"/>
      <c r="AR98" s="659"/>
      <c r="AS98" s="660"/>
      <c r="AT98" s="659"/>
      <c r="AU98" s="661"/>
      <c r="AV98" s="673"/>
    </row>
    <row r="99" spans="1:48" ht="15" x14ac:dyDescent="0.2">
      <c r="A99" s="567" t="s">
        <v>4778</v>
      </c>
      <c r="B99" s="566" t="s">
        <v>4694</v>
      </c>
      <c r="C99" s="582">
        <f t="shared" si="142"/>
        <v>3.7013850506290517E-5</v>
      </c>
      <c r="D99" s="564">
        <f>SUBTOTAL(9,D100:D100)</f>
        <v>958.11</v>
      </c>
      <c r="E99" s="563"/>
      <c r="F99" s="561"/>
      <c r="G99" s="562"/>
      <c r="H99" s="561"/>
      <c r="I99" s="562"/>
      <c r="J99" s="561"/>
      <c r="K99" s="562"/>
      <c r="L99" s="561"/>
      <c r="M99" s="562"/>
      <c r="N99" s="561"/>
      <c r="O99" s="562"/>
      <c r="P99" s="561"/>
      <c r="Q99" s="560"/>
      <c r="R99" s="640"/>
      <c r="S99" s="641"/>
      <c r="T99" s="640"/>
      <c r="U99" s="641"/>
      <c r="V99" s="640"/>
      <c r="W99" s="641"/>
      <c r="X99" s="640"/>
      <c r="Y99" s="641"/>
      <c r="Z99" s="640"/>
      <c r="AA99" s="641"/>
      <c r="AB99" s="640"/>
      <c r="AC99" s="641"/>
      <c r="AD99" s="640"/>
      <c r="AE99" s="641"/>
      <c r="AF99" s="640"/>
      <c r="AG99" s="641"/>
      <c r="AH99" s="640"/>
      <c r="AI99" s="641"/>
      <c r="AJ99" s="640"/>
      <c r="AK99" s="641"/>
      <c r="AL99" s="640"/>
      <c r="AM99" s="641"/>
      <c r="AN99" s="640"/>
      <c r="AO99" s="641"/>
      <c r="AP99" s="640"/>
      <c r="AQ99" s="641"/>
      <c r="AR99" s="640"/>
      <c r="AS99" s="641"/>
      <c r="AT99" s="640"/>
      <c r="AU99" s="642"/>
      <c r="AV99" s="673"/>
    </row>
    <row r="100" spans="1:48" ht="14.25" outlineLevel="1" x14ac:dyDescent="0.2">
      <c r="A100" s="559" t="s">
        <v>5337</v>
      </c>
      <c r="B100" s="558" t="s">
        <v>4758</v>
      </c>
      <c r="C100" s="581">
        <f t="shared" si="142"/>
        <v>3.7013850506290517E-5</v>
      </c>
      <c r="D100" s="556">
        <f>Produtos!$D93</f>
        <v>958.11</v>
      </c>
      <c r="E100" s="580" t="s">
        <v>5286</v>
      </c>
      <c r="F100" s="577"/>
      <c r="G100" s="577"/>
      <c r="H100" s="577" t="s">
        <v>5295</v>
      </c>
      <c r="I100" s="577">
        <v>1</v>
      </c>
      <c r="J100" s="577"/>
      <c r="K100" s="577"/>
      <c r="L100" s="577"/>
      <c r="M100" s="577"/>
      <c r="N100" s="577"/>
      <c r="O100" s="577"/>
      <c r="P100" s="577"/>
      <c r="Q100" s="577"/>
      <c r="R100" s="658">
        <f t="shared" ref="R100:AC100" si="162">IF(F100=1,ROUND(_xlfn.XLOOKUP($E100,$A$2:$A$11,$C$2:$C$11,0,0)*F100*$D100,2),0)</f>
        <v>0</v>
      </c>
      <c r="S100" s="646">
        <f t="shared" si="162"/>
        <v>0</v>
      </c>
      <c r="T100" s="646">
        <f t="shared" si="162"/>
        <v>0</v>
      </c>
      <c r="U100" s="646">
        <f t="shared" si="162"/>
        <v>958.11</v>
      </c>
      <c r="V100" s="646">
        <f t="shared" si="162"/>
        <v>0</v>
      </c>
      <c r="W100" s="646">
        <f t="shared" si="162"/>
        <v>0</v>
      </c>
      <c r="X100" s="646">
        <f t="shared" si="162"/>
        <v>0</v>
      </c>
      <c r="Y100" s="646">
        <f t="shared" si="162"/>
        <v>0</v>
      </c>
      <c r="Z100" s="646">
        <f t="shared" si="162"/>
        <v>0</v>
      </c>
      <c r="AA100" s="646">
        <f t="shared" si="162"/>
        <v>0</v>
      </c>
      <c r="AB100" s="646">
        <f t="shared" si="162"/>
        <v>0</v>
      </c>
      <c r="AC100" s="646">
        <f t="shared" si="162"/>
        <v>0</v>
      </c>
      <c r="AD100" s="645" t="str">
        <f>IF(OR(AND($E100=$A$6,$D$9=AD$15),AND($E100=$A$10,$D$11=AD$15),AND($E100=$A$3,$D$5=AD$15)),$D100-SUM($R100:AC100),IF($E100=$A$10,ROUND(_xlfn.XLOOKUP(AD$15,$D$10:$D$11,$C$10:$C$11,0,0)*$D100,2),IF($E100=$A$3,ROUND(_xlfn.XLOOKUP(AD$15,$D$3:$D$5,$C$3:$C$5,0,0)*$D100,2),IF($E100=$A$6,ROUND(_xlfn.XLOOKUP(AD$15,$D$6:$D$9,$C$6:$C$9,0,0)*$D100,2),""))))</f>
        <v/>
      </c>
      <c r="AE100" s="646" t="str">
        <f>IF(OR(AND($E100=$A$6,$D$9=AE$15),AND($E100=$A$10,$D$11=AE$15),AND($E100=$A$3,$D$5=AE$15)),$D100-SUM($R100:AD100),IF($E100=$A$10,ROUND(_xlfn.XLOOKUP(AE$15,$D$10:$D$11,$C$10:$C$11,0,0)*$D100,2),IF($E100=$A$3,ROUND(_xlfn.XLOOKUP(AE$15,$D$3:$D$5,$C$3:$C$5,0,0)*$D100,2),IF($E100=$A$6,ROUND(_xlfn.XLOOKUP(AE$15,$D$6:$D$9,$C$6:$C$9,0,0)*$D100,2),""))))</f>
        <v/>
      </c>
      <c r="AF100" s="647" t="str">
        <f>IF(OR(AND($E100=$A$6,$D$9=AF$15),AND($E100=$A$10,$D$11=AF$15),AND($E100=$A$3,$D$5=AF$15)),$D100-SUM($R100:AE100),IF($E100=$A$10,ROUND(_xlfn.XLOOKUP(AF$15,$D$10:$D$11,$C$10:$C$11,0,0)*$D100,2),IF($E100=$A$3,ROUND(_xlfn.XLOOKUP(AF$15,$D$3:$D$5,$C$3:$C$5,0,0)*$D100,2),IF($E100=$A$6,ROUND(_xlfn.XLOOKUP(AF$15,$D$6:$D$9,$C$6:$C$9,0,0)*$D100,2),""))))</f>
        <v/>
      </c>
      <c r="AG100" s="645"/>
      <c r="AH100" s="646"/>
      <c r="AI100" s="646"/>
      <c r="AJ100" s="646"/>
      <c r="AK100" s="647"/>
      <c r="AL100" s="645" t="str">
        <f>IF(OR(AND($E100=$A$6,$D$9=AL$15),AND($E100=$A$10,$D$11=AL$15),AND($E100=$A$3,$D$5=AL$15)),$D100-SUM($R100:AK100),IF($E100=$A$10,ROUND(_xlfn.XLOOKUP(AL$15,$D$10:$D$11,$C$10:$C$11,0,0)*$D100,2),IF($E100=$A$3,ROUND(_xlfn.XLOOKUP(AL$15,$D$3:$D$5,$C$3:$C$5,0,0)*$D100,2),IF($E100=$A$6,ROUND(_xlfn.XLOOKUP(AL$15,$D$6:$D$9,$C$6:$C$9,0,0)*$D100,2),""))))</f>
        <v/>
      </c>
      <c r="AM100" s="646" t="str">
        <f>IF(OR(AND($E100=$A$6,$D$9=AM$15),AND($E100=$A$10,$D$11=AM$15),AND($E100=$A$3,$D$5=AM$15)),$D100-SUM($R100:AL100),IF($E100=$A$10,ROUND(_xlfn.XLOOKUP(AM$15,$D$10:$D$11,$C$10:$C$11,0,0)*$D100,2),IF($E100=$A$3,ROUND(_xlfn.XLOOKUP(AM$15,$D$3:$D$5,$C$3:$C$5,0,0)*$D100,2),IF($E100=$A$6,ROUND(_xlfn.XLOOKUP(AM$15,$D$6:$D$9,$C$6:$C$9,0,0)*$D100,2),""))))</f>
        <v/>
      </c>
      <c r="AN100" s="647" t="str">
        <f>IF(OR(AND($E100=$A$6,$D$9=AN$15),AND($E100=$A$10,$D$11=AN$15),AND($E100=$A$3,$D$5=AN$15)),$D100-SUM($R100:AM100),IF($E100=$A$10,ROUND(_xlfn.XLOOKUP(AN$15,$D$10:$D$11,$C$10:$C$11,0,0)*$D100,2),IF($E100=$A$3,ROUND(_xlfn.XLOOKUP(AN$15,$D$3:$D$5,$C$3:$C$5,0,0)*$D100,2),IF($E100=$A$6,ROUND(_xlfn.XLOOKUP(AN$15,$D$6:$D$9,$C$6:$C$9,0,0)*$D100,2),""))))</f>
        <v/>
      </c>
      <c r="AO100" s="645"/>
      <c r="AP100" s="646"/>
      <c r="AQ100" s="647"/>
      <c r="AR100" s="646"/>
      <c r="AS100" s="645"/>
      <c r="AT100" s="647"/>
      <c r="AU100" s="648" t="str">
        <f>IF(OR(AND($E100=$A$6,$D$9=AU$15),AND($E100=$A$10,$D$11=AU$15),AND($E100=$A$3,$D$5=AU$15)),$D100-SUM($R100:AT100),IF($E100=$A$10,ROUND(_xlfn.XLOOKUP(AU$15,$D$10:$D$11,$C$10:$C$11,0,0)*$D100,2),IF($E100=$A$3,ROUND(_xlfn.XLOOKUP(AU$15,$D$3:$D$5,$C$3:$C$5,0,0)*$D100,2),IF($E100=$A$6,ROUND(_xlfn.XLOOKUP(AU$15,$D$6:$D$9,$C$6:$C$9,0,0)*$D100,2),""))))</f>
        <v/>
      </c>
      <c r="AV100" s="673" t="str">
        <f>IF(SUM(R100:AU100)=D100,"","CORRIGIR")</f>
        <v/>
      </c>
    </row>
    <row r="101" spans="1:48" ht="15" x14ac:dyDescent="0.2">
      <c r="A101" s="567" t="s">
        <v>4779</v>
      </c>
      <c r="B101" s="566" t="s">
        <v>4775</v>
      </c>
      <c r="C101" s="583">
        <f t="shared" si="142"/>
        <v>1.5648125966353801E-2</v>
      </c>
      <c r="D101" s="564">
        <f>SUBTOTAL(9,D102)</f>
        <v>405054.48</v>
      </c>
      <c r="E101" s="563"/>
      <c r="F101" s="561"/>
      <c r="G101" s="562"/>
      <c r="H101" s="561"/>
      <c r="I101" s="562"/>
      <c r="J101" s="561"/>
      <c r="K101" s="562"/>
      <c r="L101" s="561"/>
      <c r="M101" s="562"/>
      <c r="N101" s="561"/>
      <c r="O101" s="562"/>
      <c r="P101" s="561"/>
      <c r="Q101" s="560"/>
      <c r="R101" s="640"/>
      <c r="S101" s="641"/>
      <c r="T101" s="640"/>
      <c r="U101" s="641"/>
      <c r="V101" s="640"/>
      <c r="W101" s="641"/>
      <c r="X101" s="640"/>
      <c r="Y101" s="641"/>
      <c r="Z101" s="640"/>
      <c r="AA101" s="641"/>
      <c r="AB101" s="640"/>
      <c r="AC101" s="641"/>
      <c r="AD101" s="640"/>
      <c r="AE101" s="641"/>
      <c r="AF101" s="640"/>
      <c r="AG101" s="641"/>
      <c r="AH101" s="640"/>
      <c r="AI101" s="641"/>
      <c r="AJ101" s="640"/>
      <c r="AK101" s="641"/>
      <c r="AL101" s="640"/>
      <c r="AM101" s="641"/>
      <c r="AN101" s="640"/>
      <c r="AO101" s="641"/>
      <c r="AP101" s="640"/>
      <c r="AQ101" s="641"/>
      <c r="AR101" s="640"/>
      <c r="AS101" s="641"/>
      <c r="AT101" s="640"/>
      <c r="AU101" s="642"/>
      <c r="AV101" s="673"/>
    </row>
    <row r="102" spans="1:48" ht="14.25" outlineLevel="1" x14ac:dyDescent="0.2">
      <c r="A102" s="559" t="s">
        <v>5336</v>
      </c>
      <c r="B102" s="558" t="s">
        <v>4775</v>
      </c>
      <c r="C102" s="557">
        <f t="shared" si="142"/>
        <v>1.5648125966353801E-2</v>
      </c>
      <c r="D102" s="556">
        <f>Produtos!$D95</f>
        <v>405054.48</v>
      </c>
      <c r="E102" s="578" t="s">
        <v>5296</v>
      </c>
      <c r="F102" s="577"/>
      <c r="G102" s="577"/>
      <c r="H102" s="577"/>
      <c r="I102" s="577"/>
      <c r="J102" s="577" t="s">
        <v>5295</v>
      </c>
      <c r="K102" s="577" t="s">
        <v>5295</v>
      </c>
      <c r="L102" s="577">
        <v>1</v>
      </c>
      <c r="M102" s="577"/>
      <c r="N102" s="577"/>
      <c r="O102" s="577"/>
      <c r="P102" s="577"/>
      <c r="Q102" s="577"/>
      <c r="R102" s="658">
        <f t="shared" ref="R102:AC102" si="163">IF(F102=1,ROUND(_xlfn.XLOOKUP($E102,$A$2:$A$11,$C$2:$C$11,0,0)*F102*$D102,2),0)</f>
        <v>0</v>
      </c>
      <c r="S102" s="646">
        <f t="shared" si="163"/>
        <v>0</v>
      </c>
      <c r="T102" s="646">
        <f t="shared" si="163"/>
        <v>0</v>
      </c>
      <c r="U102" s="646">
        <f t="shared" si="163"/>
        <v>0</v>
      </c>
      <c r="V102" s="646">
        <f t="shared" si="163"/>
        <v>0</v>
      </c>
      <c r="W102" s="646">
        <f t="shared" si="163"/>
        <v>0</v>
      </c>
      <c r="X102" s="646">
        <f t="shared" si="163"/>
        <v>101263.62</v>
      </c>
      <c r="Y102" s="646">
        <f t="shared" si="163"/>
        <v>0</v>
      </c>
      <c r="Z102" s="646">
        <f t="shared" si="163"/>
        <v>0</v>
      </c>
      <c r="AA102" s="646">
        <f t="shared" si="163"/>
        <v>0</v>
      </c>
      <c r="AB102" s="646">
        <f t="shared" si="163"/>
        <v>0</v>
      </c>
      <c r="AC102" s="646">
        <f t="shared" si="163"/>
        <v>0</v>
      </c>
      <c r="AD102" s="645">
        <f>IF(OR(AND($E102=$A$6,$D$9=AD$15),AND($E102=$A$10,$D$11=AD$15),AND($E102=$A$3,$D$5=AD$15)),$D102-SUM($R102:AC102),IF($E102=$A$10,ROUND(_xlfn.XLOOKUP(AD$15,$D$10:$D$11,$C$10:$C$11,0,0)*$D102,2),IF($E102=$A$3,ROUND(_xlfn.XLOOKUP(AD$15,$D$3:$D$5,$C$3:$C$5,0,0)*$D102,2),IF($E102=$A$6,ROUND(_xlfn.XLOOKUP(AD$15,$D$6:$D$9,$C$6:$C$9,0,0)*$D102,2),""))))</f>
        <v>0</v>
      </c>
      <c r="AE102" s="646">
        <f>IF(OR(AND($E102=$A$6,$D$9=AE$15),AND($E102=$A$10,$D$11=AE$15),AND($E102=$A$3,$D$5=AE$15)),$D102-SUM($R102:AD102),IF($E102=$A$10,ROUND(_xlfn.XLOOKUP(AE$15,$D$10:$D$11,$C$10:$C$11,0,0)*$D102,2),IF($E102=$A$3,ROUND(_xlfn.XLOOKUP(AE$15,$D$3:$D$5,$C$3:$C$5,0,0)*$D102,2),IF($E102=$A$6,ROUND(_xlfn.XLOOKUP(AE$15,$D$6:$D$9,$C$6:$C$9,0,0)*$D102,2),""))))</f>
        <v>0</v>
      </c>
      <c r="AF102" s="647">
        <f>IF(OR(AND($E102=$A$6,$D$9=AF$15),AND($E102=$A$10,$D$11=AF$15),AND($E102=$A$3,$D$5=AF$15)),$D102-SUM($R102:AE102),IF($E102=$A$10,ROUND(_xlfn.XLOOKUP(AF$15,$D$10:$D$11,$C$10:$C$11,0,0)*$D102,2),IF($E102=$A$3,ROUND(_xlfn.XLOOKUP(AF$15,$D$3:$D$5,$C$3:$C$5,0,0)*$D102,2),IF($E102=$A$6,ROUND(_xlfn.XLOOKUP(AF$15,$D$6:$D$9,$C$6:$C$9,0,0)*$D102,2),""))))</f>
        <v>101263.62</v>
      </c>
      <c r="AG102" s="645"/>
      <c r="AH102" s="646"/>
      <c r="AI102" s="646"/>
      <c r="AJ102" s="646"/>
      <c r="AK102" s="647"/>
      <c r="AL102" s="645">
        <f>IF(OR(AND($E102=$A$6,$D$9=AL$15),AND($E102=$A$10,$D$11=AL$15),AND($E102=$A$3,$D$5=AL$15)),$D102-SUM($R102:AK102),IF($E102=$A$10,ROUND(_xlfn.XLOOKUP(AL$15,$D$10:$D$11,$C$10:$C$11,0,0)*$D102,2),IF($E102=$A$3,ROUND(_xlfn.XLOOKUP(AL$15,$D$3:$D$5,$C$3:$C$5,0,0)*$D102,2),IF($E102=$A$6,ROUND(_xlfn.XLOOKUP(AL$15,$D$6:$D$9,$C$6:$C$9,0,0)*$D102,2),""))))</f>
        <v>0</v>
      </c>
      <c r="AM102" s="646">
        <f>IF(OR(AND($E102=$A$6,$D$9=AM$15),AND($E102=$A$10,$D$11=AM$15),AND($E102=$A$3,$D$5=AM$15)),$D102-SUM($R102:AL102),IF($E102=$A$10,ROUND(_xlfn.XLOOKUP(AM$15,$D$10:$D$11,$C$10:$C$11,0,0)*$D102,2),IF($E102=$A$3,ROUND(_xlfn.XLOOKUP(AM$15,$D$3:$D$5,$C$3:$C$5,0,0)*$D102,2),IF($E102=$A$6,ROUND(_xlfn.XLOOKUP(AM$15,$D$6:$D$9,$C$6:$C$9,0,0)*$D102,2),""))))</f>
        <v>0</v>
      </c>
      <c r="AN102" s="647">
        <f>IF(OR(AND($E102=$A$6,$D$9=AN$15),AND($E102=$A$10,$D$11=AN$15),AND($E102=$A$3,$D$5=AN$15)),$D102-SUM($R102:AM102),IF($E102=$A$10,ROUND(_xlfn.XLOOKUP(AN$15,$D$10:$D$11,$C$10:$C$11,0,0)*$D102,2),IF($E102=$A$3,ROUND(_xlfn.XLOOKUP(AN$15,$D$3:$D$5,$C$3:$C$5,0,0)*$D102,2),IF($E102=$A$6,ROUND(_xlfn.XLOOKUP(AN$15,$D$6:$D$9,$C$6:$C$9,0,0)*$D102,2),""))))</f>
        <v>101263.62</v>
      </c>
      <c r="AO102" s="645"/>
      <c r="AP102" s="646"/>
      <c r="AQ102" s="647"/>
      <c r="AR102" s="646"/>
      <c r="AS102" s="645"/>
      <c r="AT102" s="647"/>
      <c r="AU102" s="648">
        <f>IF(OR(AND($E102=$A$6,$D$9=AU$15),AND($E102=$A$10,$D$11=AU$15),AND($E102=$A$3,$D$5=AU$15)),$D102-SUM($R102:AT102),IF($E102=$A$10,ROUND(_xlfn.XLOOKUP(AU$15,$D$10:$D$11,$C$10:$C$11,0,0)*$D102,2),IF($E102=$A$3,ROUND(_xlfn.XLOOKUP(AU$15,$D$3:$D$5,$C$3:$C$5,0,0)*$D102,2),IF($E102=$A$6,ROUND(_xlfn.XLOOKUP(AU$15,$D$6:$D$9,$C$6:$C$9,0,0)*$D102,2),""))))</f>
        <v>101263.62</v>
      </c>
      <c r="AV102" s="673" t="str">
        <f>IF(SUM(R102:AU102)=D102,"","CORRIGIR")</f>
        <v/>
      </c>
    </row>
    <row r="103" spans="1:48" ht="15" x14ac:dyDescent="0.2">
      <c r="A103" s="567" t="s">
        <v>4780</v>
      </c>
      <c r="B103" s="566" t="s">
        <v>4755</v>
      </c>
      <c r="C103" s="583">
        <f t="shared" si="142"/>
        <v>4.4135741688122836E-3</v>
      </c>
      <c r="D103" s="564">
        <f>SUBTOTAL(9,D104)</f>
        <v>114246.14</v>
      </c>
      <c r="E103" s="563"/>
      <c r="F103" s="561"/>
      <c r="G103" s="562"/>
      <c r="H103" s="561"/>
      <c r="I103" s="562"/>
      <c r="J103" s="561"/>
      <c r="K103" s="562"/>
      <c r="L103" s="561"/>
      <c r="M103" s="562"/>
      <c r="N103" s="561"/>
      <c r="O103" s="562"/>
      <c r="P103" s="561"/>
      <c r="Q103" s="560"/>
      <c r="R103" s="640"/>
      <c r="S103" s="641"/>
      <c r="T103" s="640"/>
      <c r="U103" s="641"/>
      <c r="V103" s="640"/>
      <c r="W103" s="641"/>
      <c r="X103" s="640"/>
      <c r="Y103" s="641"/>
      <c r="Z103" s="640"/>
      <c r="AA103" s="641"/>
      <c r="AB103" s="640"/>
      <c r="AC103" s="641"/>
      <c r="AD103" s="640"/>
      <c r="AE103" s="641"/>
      <c r="AF103" s="640"/>
      <c r="AG103" s="641"/>
      <c r="AH103" s="640"/>
      <c r="AI103" s="641"/>
      <c r="AJ103" s="640"/>
      <c r="AK103" s="641"/>
      <c r="AL103" s="640"/>
      <c r="AM103" s="641"/>
      <c r="AN103" s="640"/>
      <c r="AO103" s="641"/>
      <c r="AP103" s="640"/>
      <c r="AQ103" s="641"/>
      <c r="AR103" s="640"/>
      <c r="AS103" s="641"/>
      <c r="AT103" s="640"/>
      <c r="AU103" s="642"/>
      <c r="AV103" s="673"/>
    </row>
    <row r="104" spans="1:48" ht="14.25" outlineLevel="1" x14ac:dyDescent="0.2">
      <c r="A104" s="559" t="s">
        <v>5335</v>
      </c>
      <c r="B104" s="558" t="s">
        <v>4755</v>
      </c>
      <c r="C104" s="557">
        <f t="shared" si="142"/>
        <v>4.4135741688122836E-3</v>
      </c>
      <c r="D104" s="556">
        <f>Produtos!$D97</f>
        <v>114246.14</v>
      </c>
      <c r="E104" s="578" t="s">
        <v>5296</v>
      </c>
      <c r="F104" s="577"/>
      <c r="G104" s="577"/>
      <c r="H104" s="577"/>
      <c r="I104" s="577"/>
      <c r="J104" s="577" t="s">
        <v>5295</v>
      </c>
      <c r="K104" s="577" t="s">
        <v>5295</v>
      </c>
      <c r="L104" s="577">
        <v>1</v>
      </c>
      <c r="M104" s="577"/>
      <c r="N104" s="577"/>
      <c r="O104" s="577"/>
      <c r="P104" s="577"/>
      <c r="Q104" s="577"/>
      <c r="R104" s="658">
        <f t="shared" ref="R104:AC104" si="164">IF(F104=1,ROUND(_xlfn.XLOOKUP($E104,$A$2:$A$11,$C$2:$C$11,0,0)*F104*$D104,2),0)</f>
        <v>0</v>
      </c>
      <c r="S104" s="646">
        <f t="shared" si="164"/>
        <v>0</v>
      </c>
      <c r="T104" s="646">
        <f t="shared" si="164"/>
        <v>0</v>
      </c>
      <c r="U104" s="646">
        <f t="shared" si="164"/>
        <v>0</v>
      </c>
      <c r="V104" s="646">
        <f t="shared" si="164"/>
        <v>0</v>
      </c>
      <c r="W104" s="646">
        <f t="shared" si="164"/>
        <v>0</v>
      </c>
      <c r="X104" s="646">
        <f t="shared" si="164"/>
        <v>28561.54</v>
      </c>
      <c r="Y104" s="646">
        <f t="shared" si="164"/>
        <v>0</v>
      </c>
      <c r="Z104" s="646">
        <f t="shared" si="164"/>
        <v>0</v>
      </c>
      <c r="AA104" s="646">
        <f t="shared" si="164"/>
        <v>0</v>
      </c>
      <c r="AB104" s="646">
        <f t="shared" si="164"/>
        <v>0</v>
      </c>
      <c r="AC104" s="646">
        <f t="shared" si="164"/>
        <v>0</v>
      </c>
      <c r="AD104" s="645">
        <f>IF(OR(AND($E104=$A$6,$D$9=AD$15),AND($E104=$A$10,$D$11=AD$15),AND($E104=$A$3,$D$5=AD$15)),$D104-SUM($R104:AC104),IF($E104=$A$10,ROUND(_xlfn.XLOOKUP(AD$15,$D$10:$D$11,$C$10:$C$11,0,0)*$D104,2),IF($E104=$A$3,ROUND(_xlfn.XLOOKUP(AD$15,$D$3:$D$5,$C$3:$C$5,0,0)*$D104,2),IF($E104=$A$6,ROUND(_xlfn.XLOOKUP(AD$15,$D$6:$D$9,$C$6:$C$9,0,0)*$D104,2),""))))</f>
        <v>0</v>
      </c>
      <c r="AE104" s="646">
        <f>IF(OR(AND($E104=$A$6,$D$9=AE$15),AND($E104=$A$10,$D$11=AE$15),AND($E104=$A$3,$D$5=AE$15)),$D104-SUM($R104:AD104),IF($E104=$A$10,ROUND(_xlfn.XLOOKUP(AE$15,$D$10:$D$11,$C$10:$C$11,0,0)*$D104,2),IF($E104=$A$3,ROUND(_xlfn.XLOOKUP(AE$15,$D$3:$D$5,$C$3:$C$5,0,0)*$D104,2),IF($E104=$A$6,ROUND(_xlfn.XLOOKUP(AE$15,$D$6:$D$9,$C$6:$C$9,0,0)*$D104,2),""))))</f>
        <v>0</v>
      </c>
      <c r="AF104" s="647">
        <f>IF(OR(AND($E104=$A$6,$D$9=AF$15),AND($E104=$A$10,$D$11=AF$15),AND($E104=$A$3,$D$5=AF$15)),$D104-SUM($R104:AE104),IF($E104=$A$10,ROUND(_xlfn.XLOOKUP(AF$15,$D$10:$D$11,$C$10:$C$11,0,0)*$D104,2),IF($E104=$A$3,ROUND(_xlfn.XLOOKUP(AF$15,$D$3:$D$5,$C$3:$C$5,0,0)*$D104,2),IF($E104=$A$6,ROUND(_xlfn.XLOOKUP(AF$15,$D$6:$D$9,$C$6:$C$9,0,0)*$D104,2),""))))</f>
        <v>28561.54</v>
      </c>
      <c r="AG104" s="645"/>
      <c r="AH104" s="646"/>
      <c r="AI104" s="646"/>
      <c r="AJ104" s="646"/>
      <c r="AK104" s="647"/>
      <c r="AL104" s="645">
        <f>IF(OR(AND($E104=$A$6,$D$9=AL$15),AND($E104=$A$10,$D$11=AL$15),AND($E104=$A$3,$D$5=AL$15)),$D104-SUM($R104:AK104),IF($E104=$A$10,ROUND(_xlfn.XLOOKUP(AL$15,$D$10:$D$11,$C$10:$C$11,0,0)*$D104,2),IF($E104=$A$3,ROUND(_xlfn.XLOOKUP(AL$15,$D$3:$D$5,$C$3:$C$5,0,0)*$D104,2),IF($E104=$A$6,ROUND(_xlfn.XLOOKUP(AL$15,$D$6:$D$9,$C$6:$C$9,0,0)*$D104,2),""))))</f>
        <v>0</v>
      </c>
      <c r="AM104" s="646">
        <f>IF(OR(AND($E104=$A$6,$D$9=AM$15),AND($E104=$A$10,$D$11=AM$15),AND($E104=$A$3,$D$5=AM$15)),$D104-SUM($R104:AL104),IF($E104=$A$10,ROUND(_xlfn.XLOOKUP(AM$15,$D$10:$D$11,$C$10:$C$11,0,0)*$D104,2),IF($E104=$A$3,ROUND(_xlfn.XLOOKUP(AM$15,$D$3:$D$5,$C$3:$C$5,0,0)*$D104,2),IF($E104=$A$6,ROUND(_xlfn.XLOOKUP(AM$15,$D$6:$D$9,$C$6:$C$9,0,0)*$D104,2),""))))</f>
        <v>0</v>
      </c>
      <c r="AN104" s="647">
        <f>IF(OR(AND($E104=$A$6,$D$9=AN$15),AND($E104=$A$10,$D$11=AN$15),AND($E104=$A$3,$D$5=AN$15)),$D104-SUM($R104:AM104),IF($E104=$A$10,ROUND(_xlfn.XLOOKUP(AN$15,$D$10:$D$11,$C$10:$C$11,0,0)*$D104,2),IF($E104=$A$3,ROUND(_xlfn.XLOOKUP(AN$15,$D$3:$D$5,$C$3:$C$5,0,0)*$D104,2),IF($E104=$A$6,ROUND(_xlfn.XLOOKUP(AN$15,$D$6:$D$9,$C$6:$C$9,0,0)*$D104,2),""))))</f>
        <v>28561.54</v>
      </c>
      <c r="AO104" s="645"/>
      <c r="AP104" s="646"/>
      <c r="AQ104" s="647"/>
      <c r="AR104" s="646"/>
      <c r="AS104" s="645"/>
      <c r="AT104" s="647"/>
      <c r="AU104" s="648">
        <f>IF(OR(AND($E104=$A$6,$D$9=AU$15),AND($E104=$A$10,$D$11=AU$15),AND($E104=$A$3,$D$5=AU$15)),$D104-SUM($R104:AT104),IF($E104=$A$10,ROUND(_xlfn.XLOOKUP(AU$15,$D$10:$D$11,$C$10:$C$11,0,0)*$D104,2),IF($E104=$A$3,ROUND(_xlfn.XLOOKUP(AU$15,$D$3:$D$5,$C$3:$C$5,0,0)*$D104,2),IF($E104=$A$6,ROUND(_xlfn.XLOOKUP(AU$15,$D$6:$D$9,$C$6:$C$9,0,0)*$D104,2),""))))</f>
        <v>28561.520000000004</v>
      </c>
      <c r="AV104" s="673" t="str">
        <f>IF(SUM(R104:AU104)=D104,"","CORRIGIR")</f>
        <v/>
      </c>
    </row>
    <row r="105" spans="1:48" s="568" customFormat="1" ht="15" x14ac:dyDescent="0.2">
      <c r="A105" s="576">
        <v>6</v>
      </c>
      <c r="B105" s="575" t="s">
        <v>4781</v>
      </c>
      <c r="C105" s="574">
        <f t="shared" si="142"/>
        <v>1.3400841956677881E-2</v>
      </c>
      <c r="D105" s="573">
        <f>SUBTOTAL(9,D106:D111)</f>
        <v>346883.14</v>
      </c>
      <c r="E105" s="569"/>
      <c r="F105" s="572"/>
      <c r="G105" s="571"/>
      <c r="H105" s="570"/>
      <c r="I105" s="571"/>
      <c r="J105" s="570"/>
      <c r="K105" s="571"/>
      <c r="L105" s="570"/>
      <c r="M105" s="571"/>
      <c r="N105" s="570"/>
      <c r="O105" s="571"/>
      <c r="P105" s="570"/>
      <c r="Q105" s="569"/>
      <c r="R105" s="659"/>
      <c r="S105" s="660"/>
      <c r="T105" s="659"/>
      <c r="U105" s="660"/>
      <c r="V105" s="659"/>
      <c r="W105" s="660"/>
      <c r="X105" s="659"/>
      <c r="Y105" s="660"/>
      <c r="Z105" s="659"/>
      <c r="AA105" s="660"/>
      <c r="AB105" s="659"/>
      <c r="AC105" s="660"/>
      <c r="AD105" s="659"/>
      <c r="AE105" s="660"/>
      <c r="AF105" s="659"/>
      <c r="AG105" s="660"/>
      <c r="AH105" s="659"/>
      <c r="AI105" s="660"/>
      <c r="AJ105" s="659"/>
      <c r="AK105" s="660"/>
      <c r="AL105" s="659"/>
      <c r="AM105" s="660"/>
      <c r="AN105" s="659"/>
      <c r="AO105" s="660"/>
      <c r="AP105" s="659"/>
      <c r="AQ105" s="660"/>
      <c r="AR105" s="659"/>
      <c r="AS105" s="660"/>
      <c r="AT105" s="659"/>
      <c r="AU105" s="661"/>
      <c r="AV105" s="673"/>
    </row>
    <row r="106" spans="1:48" ht="15" x14ac:dyDescent="0.2">
      <c r="A106" s="567" t="s">
        <v>4782</v>
      </c>
      <c r="B106" s="566" t="s">
        <v>4694</v>
      </c>
      <c r="C106" s="582">
        <f t="shared" si="142"/>
        <v>2.6375328674327295E-5</v>
      </c>
      <c r="D106" s="564">
        <f>SUBTOTAL(9,D107:D107)</f>
        <v>682.73</v>
      </c>
      <c r="E106" s="563"/>
      <c r="F106" s="561"/>
      <c r="G106" s="562"/>
      <c r="H106" s="561"/>
      <c r="I106" s="562"/>
      <c r="J106" s="561"/>
      <c r="K106" s="562"/>
      <c r="L106" s="561"/>
      <c r="M106" s="562"/>
      <c r="N106" s="561"/>
      <c r="O106" s="562"/>
      <c r="P106" s="561"/>
      <c r="Q106" s="560"/>
      <c r="R106" s="640"/>
      <c r="S106" s="641"/>
      <c r="T106" s="640"/>
      <c r="U106" s="641"/>
      <c r="V106" s="640"/>
      <c r="W106" s="641"/>
      <c r="X106" s="640"/>
      <c r="Y106" s="641"/>
      <c r="Z106" s="640"/>
      <c r="AA106" s="641"/>
      <c r="AB106" s="640"/>
      <c r="AC106" s="641"/>
      <c r="AD106" s="640"/>
      <c r="AE106" s="641"/>
      <c r="AF106" s="640"/>
      <c r="AG106" s="641"/>
      <c r="AH106" s="640"/>
      <c r="AI106" s="641"/>
      <c r="AJ106" s="640"/>
      <c r="AK106" s="641"/>
      <c r="AL106" s="640"/>
      <c r="AM106" s="641"/>
      <c r="AN106" s="640"/>
      <c r="AO106" s="641"/>
      <c r="AP106" s="640"/>
      <c r="AQ106" s="641"/>
      <c r="AR106" s="640"/>
      <c r="AS106" s="641"/>
      <c r="AT106" s="640"/>
      <c r="AU106" s="642"/>
      <c r="AV106" s="673"/>
    </row>
    <row r="107" spans="1:48" ht="14.25" outlineLevel="1" x14ac:dyDescent="0.2">
      <c r="A107" s="559" t="s">
        <v>5334</v>
      </c>
      <c r="B107" s="558" t="s">
        <v>4758</v>
      </c>
      <c r="C107" s="581">
        <f t="shared" si="142"/>
        <v>2.6375328674327295E-5</v>
      </c>
      <c r="D107" s="556">
        <f>Produtos!$D100</f>
        <v>682.73</v>
      </c>
      <c r="E107" s="580" t="s">
        <v>5286</v>
      </c>
      <c r="F107" s="577"/>
      <c r="G107" s="577"/>
      <c r="H107" s="577" t="s">
        <v>5295</v>
      </c>
      <c r="I107" s="577">
        <v>1</v>
      </c>
      <c r="J107" s="577"/>
      <c r="K107" s="577"/>
      <c r="L107" s="577"/>
      <c r="M107" s="577"/>
      <c r="N107" s="577"/>
      <c r="O107" s="577"/>
      <c r="P107" s="577"/>
      <c r="Q107" s="577"/>
      <c r="R107" s="658">
        <f t="shared" ref="R107:AC107" si="165">IF(F107=1,ROUND(_xlfn.XLOOKUP($E107,$A$2:$A$11,$C$2:$C$11,0,0)*F107*$D107,2),0)</f>
        <v>0</v>
      </c>
      <c r="S107" s="646">
        <f t="shared" si="165"/>
        <v>0</v>
      </c>
      <c r="T107" s="646">
        <f t="shared" si="165"/>
        <v>0</v>
      </c>
      <c r="U107" s="646">
        <f t="shared" si="165"/>
        <v>682.73</v>
      </c>
      <c r="V107" s="646">
        <f t="shared" si="165"/>
        <v>0</v>
      </c>
      <c r="W107" s="646">
        <f t="shared" si="165"/>
        <v>0</v>
      </c>
      <c r="X107" s="646">
        <f t="shared" si="165"/>
        <v>0</v>
      </c>
      <c r="Y107" s="646">
        <f t="shared" si="165"/>
        <v>0</v>
      </c>
      <c r="Z107" s="646">
        <f t="shared" si="165"/>
        <v>0</v>
      </c>
      <c r="AA107" s="646">
        <f t="shared" si="165"/>
        <v>0</v>
      </c>
      <c r="AB107" s="646">
        <f t="shared" si="165"/>
        <v>0</v>
      </c>
      <c r="AC107" s="646">
        <f t="shared" si="165"/>
        <v>0</v>
      </c>
      <c r="AD107" s="645" t="str">
        <f>IF(OR(AND($E107=$A$6,$D$9=AD$15),AND($E107=$A$10,$D$11=AD$15),AND($E107=$A$3,$D$5=AD$15)),$D107-SUM($R107:AC107),IF($E107=$A$10,ROUND(_xlfn.XLOOKUP(AD$15,$D$10:$D$11,$C$10:$C$11,0,0)*$D107,2),IF($E107=$A$3,ROUND(_xlfn.XLOOKUP(AD$15,$D$3:$D$5,$C$3:$C$5,0,0)*$D107,2),IF($E107=$A$6,ROUND(_xlfn.XLOOKUP(AD$15,$D$6:$D$9,$C$6:$C$9,0,0)*$D107,2),""))))</f>
        <v/>
      </c>
      <c r="AE107" s="646" t="str">
        <f>IF(OR(AND($E107=$A$6,$D$9=AE$15),AND($E107=$A$10,$D$11=AE$15),AND($E107=$A$3,$D$5=AE$15)),$D107-SUM($R107:AD107),IF($E107=$A$10,ROUND(_xlfn.XLOOKUP(AE$15,$D$10:$D$11,$C$10:$C$11,0,0)*$D107,2),IF($E107=$A$3,ROUND(_xlfn.XLOOKUP(AE$15,$D$3:$D$5,$C$3:$C$5,0,0)*$D107,2),IF($E107=$A$6,ROUND(_xlfn.XLOOKUP(AE$15,$D$6:$D$9,$C$6:$C$9,0,0)*$D107,2),""))))</f>
        <v/>
      </c>
      <c r="AF107" s="647" t="str">
        <f>IF(OR(AND($E107=$A$6,$D$9=AF$15),AND($E107=$A$10,$D$11=AF$15),AND($E107=$A$3,$D$5=AF$15)),$D107-SUM($R107:AE107),IF($E107=$A$10,ROUND(_xlfn.XLOOKUP(AF$15,$D$10:$D$11,$C$10:$C$11,0,0)*$D107,2),IF($E107=$A$3,ROUND(_xlfn.XLOOKUP(AF$15,$D$3:$D$5,$C$3:$C$5,0,0)*$D107,2),IF($E107=$A$6,ROUND(_xlfn.XLOOKUP(AF$15,$D$6:$D$9,$C$6:$C$9,0,0)*$D107,2),""))))</f>
        <v/>
      </c>
      <c r="AG107" s="645"/>
      <c r="AH107" s="646"/>
      <c r="AI107" s="646"/>
      <c r="AJ107" s="646"/>
      <c r="AK107" s="647"/>
      <c r="AL107" s="645" t="str">
        <f>IF(OR(AND($E107=$A$6,$D$9=AL$15),AND($E107=$A$10,$D$11=AL$15),AND($E107=$A$3,$D$5=AL$15)),$D107-SUM($R107:AK107),IF($E107=$A$10,ROUND(_xlfn.XLOOKUP(AL$15,$D$10:$D$11,$C$10:$C$11,0,0)*$D107,2),IF($E107=$A$3,ROUND(_xlfn.XLOOKUP(AL$15,$D$3:$D$5,$C$3:$C$5,0,0)*$D107,2),IF($E107=$A$6,ROUND(_xlfn.XLOOKUP(AL$15,$D$6:$D$9,$C$6:$C$9,0,0)*$D107,2),""))))</f>
        <v/>
      </c>
      <c r="AM107" s="646" t="str">
        <f>IF(OR(AND($E107=$A$6,$D$9=AM$15),AND($E107=$A$10,$D$11=AM$15),AND($E107=$A$3,$D$5=AM$15)),$D107-SUM($R107:AL107),IF($E107=$A$10,ROUND(_xlfn.XLOOKUP(AM$15,$D$10:$D$11,$C$10:$C$11,0,0)*$D107,2),IF($E107=$A$3,ROUND(_xlfn.XLOOKUP(AM$15,$D$3:$D$5,$C$3:$C$5,0,0)*$D107,2),IF($E107=$A$6,ROUND(_xlfn.XLOOKUP(AM$15,$D$6:$D$9,$C$6:$C$9,0,0)*$D107,2),""))))</f>
        <v/>
      </c>
      <c r="AN107" s="647" t="str">
        <f>IF(OR(AND($E107=$A$6,$D$9=AN$15),AND($E107=$A$10,$D$11=AN$15),AND($E107=$A$3,$D$5=AN$15)),$D107-SUM($R107:AM107),IF($E107=$A$10,ROUND(_xlfn.XLOOKUP(AN$15,$D$10:$D$11,$C$10:$C$11,0,0)*$D107,2),IF($E107=$A$3,ROUND(_xlfn.XLOOKUP(AN$15,$D$3:$D$5,$C$3:$C$5,0,0)*$D107,2),IF($E107=$A$6,ROUND(_xlfn.XLOOKUP(AN$15,$D$6:$D$9,$C$6:$C$9,0,0)*$D107,2),""))))</f>
        <v/>
      </c>
      <c r="AO107" s="645"/>
      <c r="AP107" s="646"/>
      <c r="AQ107" s="647"/>
      <c r="AR107" s="646"/>
      <c r="AS107" s="645"/>
      <c r="AT107" s="647"/>
      <c r="AU107" s="648" t="str">
        <f>IF(OR(AND($E107=$A$6,$D$9=AU$15),AND($E107=$A$10,$D$11=AU$15),AND($E107=$A$3,$D$5=AU$15)),$D107-SUM($R107:AT107),IF($E107=$A$10,ROUND(_xlfn.XLOOKUP(AU$15,$D$10:$D$11,$C$10:$C$11,0,0)*$D107,2),IF($E107=$A$3,ROUND(_xlfn.XLOOKUP(AU$15,$D$3:$D$5,$C$3:$C$5,0,0)*$D107,2),IF($E107=$A$6,ROUND(_xlfn.XLOOKUP(AU$15,$D$6:$D$9,$C$6:$C$9,0,0)*$D107,2),""))))</f>
        <v/>
      </c>
      <c r="AV107" s="673" t="str">
        <f>IF(SUM(R107:AU107)=D107,"","CORRIGIR")</f>
        <v/>
      </c>
    </row>
    <row r="108" spans="1:48" ht="15" x14ac:dyDescent="0.2">
      <c r="A108" s="567" t="s">
        <v>4783</v>
      </c>
      <c r="B108" s="566" t="s">
        <v>4775</v>
      </c>
      <c r="C108" s="583">
        <f t="shared" si="142"/>
        <v>1.0432083977569203E-2</v>
      </c>
      <c r="D108" s="564">
        <f>SUBTOTAL(9,D109)</f>
        <v>270036.32</v>
      </c>
      <c r="E108" s="563"/>
      <c r="F108" s="561"/>
      <c r="G108" s="562"/>
      <c r="H108" s="561"/>
      <c r="I108" s="562"/>
      <c r="J108" s="561"/>
      <c r="K108" s="562"/>
      <c r="L108" s="561"/>
      <c r="M108" s="562"/>
      <c r="N108" s="561"/>
      <c r="O108" s="562"/>
      <c r="P108" s="561"/>
      <c r="Q108" s="560"/>
      <c r="R108" s="640"/>
      <c r="S108" s="641"/>
      <c r="T108" s="640"/>
      <c r="U108" s="641"/>
      <c r="V108" s="640"/>
      <c r="W108" s="641"/>
      <c r="X108" s="640"/>
      <c r="Y108" s="641"/>
      <c r="Z108" s="640"/>
      <c r="AA108" s="641"/>
      <c r="AB108" s="640"/>
      <c r="AC108" s="641"/>
      <c r="AD108" s="640"/>
      <c r="AE108" s="641"/>
      <c r="AF108" s="640"/>
      <c r="AG108" s="641"/>
      <c r="AH108" s="640"/>
      <c r="AI108" s="641"/>
      <c r="AJ108" s="640"/>
      <c r="AK108" s="641"/>
      <c r="AL108" s="640"/>
      <c r="AM108" s="641"/>
      <c r="AN108" s="640"/>
      <c r="AO108" s="641"/>
      <c r="AP108" s="640"/>
      <c r="AQ108" s="641"/>
      <c r="AR108" s="640"/>
      <c r="AS108" s="641"/>
      <c r="AT108" s="640"/>
      <c r="AU108" s="642"/>
      <c r="AV108" s="673"/>
    </row>
    <row r="109" spans="1:48" ht="14.25" outlineLevel="1" x14ac:dyDescent="0.2">
      <c r="A109" s="559" t="s">
        <v>5333</v>
      </c>
      <c r="B109" s="558" t="s">
        <v>4775</v>
      </c>
      <c r="C109" s="557">
        <f t="shared" si="142"/>
        <v>1.0432083977569203E-2</v>
      </c>
      <c r="D109" s="556">
        <f>Produtos!$D102</f>
        <v>270036.32</v>
      </c>
      <c r="E109" s="578" t="s">
        <v>5296</v>
      </c>
      <c r="F109" s="577"/>
      <c r="G109" s="577"/>
      <c r="H109" s="577"/>
      <c r="I109" s="577"/>
      <c r="J109" s="577" t="s">
        <v>5295</v>
      </c>
      <c r="K109" s="577" t="s">
        <v>5295</v>
      </c>
      <c r="L109" s="577">
        <v>1</v>
      </c>
      <c r="M109" s="577"/>
      <c r="N109" s="577"/>
      <c r="O109" s="577"/>
      <c r="P109" s="577"/>
      <c r="Q109" s="577"/>
      <c r="R109" s="658">
        <f t="shared" ref="R109:AC109" si="166">IF(F109=1,ROUND(_xlfn.XLOOKUP($E109,$A$2:$A$11,$C$2:$C$11,0,0)*F109*$D109,2),0)</f>
        <v>0</v>
      </c>
      <c r="S109" s="646">
        <f t="shared" si="166"/>
        <v>0</v>
      </c>
      <c r="T109" s="646">
        <f t="shared" si="166"/>
        <v>0</v>
      </c>
      <c r="U109" s="646">
        <f t="shared" si="166"/>
        <v>0</v>
      </c>
      <c r="V109" s="646">
        <f t="shared" si="166"/>
        <v>0</v>
      </c>
      <c r="W109" s="646">
        <f t="shared" si="166"/>
        <v>0</v>
      </c>
      <c r="X109" s="646">
        <f t="shared" si="166"/>
        <v>67509.08</v>
      </c>
      <c r="Y109" s="646">
        <f t="shared" si="166"/>
        <v>0</v>
      </c>
      <c r="Z109" s="646">
        <f t="shared" si="166"/>
        <v>0</v>
      </c>
      <c r="AA109" s="646">
        <f t="shared" si="166"/>
        <v>0</v>
      </c>
      <c r="AB109" s="646">
        <f t="shared" si="166"/>
        <v>0</v>
      </c>
      <c r="AC109" s="646">
        <f t="shared" si="166"/>
        <v>0</v>
      </c>
      <c r="AD109" s="645">
        <f>IF(OR(AND($E109=$A$6,$D$9=AD$15),AND($E109=$A$10,$D$11=AD$15),AND($E109=$A$3,$D$5=AD$15)),$D109-SUM($R109:AC109),IF($E109=$A$10,ROUND(_xlfn.XLOOKUP(AD$15,$D$10:$D$11,$C$10:$C$11,0,0)*$D109,2),IF($E109=$A$3,ROUND(_xlfn.XLOOKUP(AD$15,$D$3:$D$5,$C$3:$C$5,0,0)*$D109,2),IF($E109=$A$6,ROUND(_xlfn.XLOOKUP(AD$15,$D$6:$D$9,$C$6:$C$9,0,0)*$D109,2),""))))</f>
        <v>0</v>
      </c>
      <c r="AE109" s="646">
        <f>IF(OR(AND($E109=$A$6,$D$9=AE$15),AND($E109=$A$10,$D$11=AE$15),AND($E109=$A$3,$D$5=AE$15)),$D109-SUM($R109:AD109),IF($E109=$A$10,ROUND(_xlfn.XLOOKUP(AE$15,$D$10:$D$11,$C$10:$C$11,0,0)*$D109,2),IF($E109=$A$3,ROUND(_xlfn.XLOOKUP(AE$15,$D$3:$D$5,$C$3:$C$5,0,0)*$D109,2),IF($E109=$A$6,ROUND(_xlfn.XLOOKUP(AE$15,$D$6:$D$9,$C$6:$C$9,0,0)*$D109,2),""))))</f>
        <v>0</v>
      </c>
      <c r="AF109" s="647">
        <f>IF(OR(AND($E109=$A$6,$D$9=AF$15),AND($E109=$A$10,$D$11=AF$15),AND($E109=$A$3,$D$5=AF$15)),$D109-SUM($R109:AE109),IF($E109=$A$10,ROUND(_xlfn.XLOOKUP(AF$15,$D$10:$D$11,$C$10:$C$11,0,0)*$D109,2),IF($E109=$A$3,ROUND(_xlfn.XLOOKUP(AF$15,$D$3:$D$5,$C$3:$C$5,0,0)*$D109,2),IF($E109=$A$6,ROUND(_xlfn.XLOOKUP(AF$15,$D$6:$D$9,$C$6:$C$9,0,0)*$D109,2),""))))</f>
        <v>67509.08</v>
      </c>
      <c r="AG109" s="645"/>
      <c r="AH109" s="646"/>
      <c r="AI109" s="646"/>
      <c r="AJ109" s="646"/>
      <c r="AK109" s="647"/>
      <c r="AL109" s="645">
        <f>IF(OR(AND($E109=$A$6,$D$9=AL$15),AND($E109=$A$10,$D$11=AL$15),AND($E109=$A$3,$D$5=AL$15)),$D109-SUM($R109:AK109),IF($E109=$A$10,ROUND(_xlfn.XLOOKUP(AL$15,$D$10:$D$11,$C$10:$C$11,0,0)*$D109,2),IF($E109=$A$3,ROUND(_xlfn.XLOOKUP(AL$15,$D$3:$D$5,$C$3:$C$5,0,0)*$D109,2),IF($E109=$A$6,ROUND(_xlfn.XLOOKUP(AL$15,$D$6:$D$9,$C$6:$C$9,0,0)*$D109,2),""))))</f>
        <v>0</v>
      </c>
      <c r="AM109" s="646">
        <f>IF(OR(AND($E109=$A$6,$D$9=AM$15),AND($E109=$A$10,$D$11=AM$15),AND($E109=$A$3,$D$5=AM$15)),$D109-SUM($R109:AL109),IF($E109=$A$10,ROUND(_xlfn.XLOOKUP(AM$15,$D$10:$D$11,$C$10:$C$11,0,0)*$D109,2),IF($E109=$A$3,ROUND(_xlfn.XLOOKUP(AM$15,$D$3:$D$5,$C$3:$C$5,0,0)*$D109,2),IF($E109=$A$6,ROUND(_xlfn.XLOOKUP(AM$15,$D$6:$D$9,$C$6:$C$9,0,0)*$D109,2),""))))</f>
        <v>0</v>
      </c>
      <c r="AN109" s="647">
        <f>IF(OR(AND($E109=$A$6,$D$9=AN$15),AND($E109=$A$10,$D$11=AN$15),AND($E109=$A$3,$D$5=AN$15)),$D109-SUM($R109:AM109),IF($E109=$A$10,ROUND(_xlfn.XLOOKUP(AN$15,$D$10:$D$11,$C$10:$C$11,0,0)*$D109,2),IF($E109=$A$3,ROUND(_xlfn.XLOOKUP(AN$15,$D$3:$D$5,$C$3:$C$5,0,0)*$D109,2),IF($E109=$A$6,ROUND(_xlfn.XLOOKUP(AN$15,$D$6:$D$9,$C$6:$C$9,0,0)*$D109,2),""))))</f>
        <v>67509.08</v>
      </c>
      <c r="AO109" s="645"/>
      <c r="AP109" s="646"/>
      <c r="AQ109" s="647"/>
      <c r="AR109" s="646"/>
      <c r="AS109" s="645"/>
      <c r="AT109" s="647"/>
      <c r="AU109" s="648">
        <f>IF(OR(AND($E109=$A$6,$D$9=AU$15),AND($E109=$A$10,$D$11=AU$15),AND($E109=$A$3,$D$5=AU$15)),$D109-SUM($R109:AT109),IF($E109=$A$10,ROUND(_xlfn.XLOOKUP(AU$15,$D$10:$D$11,$C$10:$C$11,0,0)*$D109,2),IF($E109=$A$3,ROUND(_xlfn.XLOOKUP(AU$15,$D$3:$D$5,$C$3:$C$5,0,0)*$D109,2),IF($E109=$A$6,ROUND(_xlfn.XLOOKUP(AU$15,$D$6:$D$9,$C$6:$C$9,0,0)*$D109,2),""))))</f>
        <v>67509.080000000016</v>
      </c>
      <c r="AV109" s="673" t="str">
        <f>IF(SUM(R109:AU109)=D109,"","CORRIGIR")</f>
        <v/>
      </c>
    </row>
    <row r="110" spans="1:48" ht="15" x14ac:dyDescent="0.2">
      <c r="A110" s="567" t="s">
        <v>4784</v>
      </c>
      <c r="B110" s="566" t="s">
        <v>4755</v>
      </c>
      <c r="C110" s="583">
        <f t="shared" si="142"/>
        <v>2.9423826504343512E-3</v>
      </c>
      <c r="D110" s="564">
        <f>SUBTOTAL(9,D111)</f>
        <v>76164.09</v>
      </c>
      <c r="E110" s="563"/>
      <c r="F110" s="561"/>
      <c r="G110" s="562"/>
      <c r="H110" s="561"/>
      <c r="I110" s="562"/>
      <c r="J110" s="561"/>
      <c r="K110" s="562"/>
      <c r="L110" s="561"/>
      <c r="M110" s="562"/>
      <c r="N110" s="561"/>
      <c r="O110" s="562"/>
      <c r="P110" s="561"/>
      <c r="Q110" s="560"/>
      <c r="R110" s="640"/>
      <c r="S110" s="641"/>
      <c r="T110" s="640"/>
      <c r="U110" s="641"/>
      <c r="V110" s="640"/>
      <c r="W110" s="641"/>
      <c r="X110" s="640"/>
      <c r="Y110" s="641"/>
      <c r="Z110" s="640"/>
      <c r="AA110" s="641"/>
      <c r="AB110" s="640"/>
      <c r="AC110" s="641"/>
      <c r="AD110" s="640"/>
      <c r="AE110" s="641"/>
      <c r="AF110" s="640"/>
      <c r="AG110" s="641"/>
      <c r="AH110" s="640"/>
      <c r="AI110" s="641"/>
      <c r="AJ110" s="640"/>
      <c r="AK110" s="641"/>
      <c r="AL110" s="640"/>
      <c r="AM110" s="641"/>
      <c r="AN110" s="640"/>
      <c r="AO110" s="641"/>
      <c r="AP110" s="640"/>
      <c r="AQ110" s="641"/>
      <c r="AR110" s="640"/>
      <c r="AS110" s="641"/>
      <c r="AT110" s="640"/>
      <c r="AU110" s="642"/>
      <c r="AV110" s="673"/>
    </row>
    <row r="111" spans="1:48" ht="14.25" outlineLevel="1" x14ac:dyDescent="0.2">
      <c r="A111" s="559" t="s">
        <v>5332</v>
      </c>
      <c r="B111" s="558" t="s">
        <v>4755</v>
      </c>
      <c r="C111" s="557">
        <f t="shared" si="142"/>
        <v>2.9423826504343512E-3</v>
      </c>
      <c r="D111" s="556">
        <f>Produtos!$D104</f>
        <v>76164.09</v>
      </c>
      <c r="E111" s="578" t="s">
        <v>5296</v>
      </c>
      <c r="F111" s="577"/>
      <c r="G111" s="577"/>
      <c r="H111" s="577"/>
      <c r="I111" s="577"/>
      <c r="J111" s="577" t="s">
        <v>5295</v>
      </c>
      <c r="K111" s="577" t="s">
        <v>5295</v>
      </c>
      <c r="L111" s="577">
        <v>1</v>
      </c>
      <c r="M111" s="577"/>
      <c r="N111" s="577"/>
      <c r="O111" s="577"/>
      <c r="P111" s="577"/>
      <c r="Q111" s="577"/>
      <c r="R111" s="658">
        <f t="shared" ref="R111:AC111" si="167">IF(F111=1,ROUND(_xlfn.XLOOKUP($E111,$A$2:$A$11,$C$2:$C$11,0,0)*F111*$D111,2),0)</f>
        <v>0</v>
      </c>
      <c r="S111" s="646">
        <f t="shared" si="167"/>
        <v>0</v>
      </c>
      <c r="T111" s="646">
        <f t="shared" si="167"/>
        <v>0</v>
      </c>
      <c r="U111" s="646">
        <f t="shared" si="167"/>
        <v>0</v>
      </c>
      <c r="V111" s="646">
        <f t="shared" si="167"/>
        <v>0</v>
      </c>
      <c r="W111" s="646">
        <f t="shared" si="167"/>
        <v>0</v>
      </c>
      <c r="X111" s="646">
        <f t="shared" si="167"/>
        <v>19041.02</v>
      </c>
      <c r="Y111" s="646">
        <f t="shared" si="167"/>
        <v>0</v>
      </c>
      <c r="Z111" s="646">
        <f t="shared" si="167"/>
        <v>0</v>
      </c>
      <c r="AA111" s="646">
        <f t="shared" si="167"/>
        <v>0</v>
      </c>
      <c r="AB111" s="646">
        <f t="shared" si="167"/>
        <v>0</v>
      </c>
      <c r="AC111" s="646">
        <f t="shared" si="167"/>
        <v>0</v>
      </c>
      <c r="AD111" s="645">
        <f>IF(OR(AND($E111=$A$6,$D$9=AD$15),AND($E111=$A$10,$D$11=AD$15),AND($E111=$A$3,$D$5=AD$15)),$D111-SUM($R111:AC111),IF($E111=$A$10,ROUND(_xlfn.XLOOKUP(AD$15,$D$10:$D$11,$C$10:$C$11,0,0)*$D111,2),IF($E111=$A$3,ROUND(_xlfn.XLOOKUP(AD$15,$D$3:$D$5,$C$3:$C$5,0,0)*$D111,2),IF($E111=$A$6,ROUND(_xlfn.XLOOKUP(AD$15,$D$6:$D$9,$C$6:$C$9,0,0)*$D111,2),""))))</f>
        <v>0</v>
      </c>
      <c r="AE111" s="646">
        <f>IF(OR(AND($E111=$A$6,$D$9=AE$15),AND($E111=$A$10,$D$11=AE$15),AND($E111=$A$3,$D$5=AE$15)),$D111-SUM($R111:AD111),IF($E111=$A$10,ROUND(_xlfn.XLOOKUP(AE$15,$D$10:$D$11,$C$10:$C$11,0,0)*$D111,2),IF($E111=$A$3,ROUND(_xlfn.XLOOKUP(AE$15,$D$3:$D$5,$C$3:$C$5,0,0)*$D111,2),IF($E111=$A$6,ROUND(_xlfn.XLOOKUP(AE$15,$D$6:$D$9,$C$6:$C$9,0,0)*$D111,2),""))))</f>
        <v>0</v>
      </c>
      <c r="AF111" s="647">
        <f>IF(OR(AND($E111=$A$6,$D$9=AF$15),AND($E111=$A$10,$D$11=AF$15),AND($E111=$A$3,$D$5=AF$15)),$D111-SUM($R111:AE111),IF($E111=$A$10,ROUND(_xlfn.XLOOKUP(AF$15,$D$10:$D$11,$C$10:$C$11,0,0)*$D111,2),IF($E111=$A$3,ROUND(_xlfn.XLOOKUP(AF$15,$D$3:$D$5,$C$3:$C$5,0,0)*$D111,2),IF($E111=$A$6,ROUND(_xlfn.XLOOKUP(AF$15,$D$6:$D$9,$C$6:$C$9,0,0)*$D111,2),""))))</f>
        <v>19041.02</v>
      </c>
      <c r="AG111" s="645"/>
      <c r="AH111" s="646"/>
      <c r="AI111" s="646"/>
      <c r="AJ111" s="646"/>
      <c r="AK111" s="647"/>
      <c r="AL111" s="645">
        <f>IF(OR(AND($E111=$A$6,$D$9=AL$15),AND($E111=$A$10,$D$11=AL$15),AND($E111=$A$3,$D$5=AL$15)),$D111-SUM($R111:AK111),IF($E111=$A$10,ROUND(_xlfn.XLOOKUP(AL$15,$D$10:$D$11,$C$10:$C$11,0,0)*$D111,2),IF($E111=$A$3,ROUND(_xlfn.XLOOKUP(AL$15,$D$3:$D$5,$C$3:$C$5,0,0)*$D111,2),IF($E111=$A$6,ROUND(_xlfn.XLOOKUP(AL$15,$D$6:$D$9,$C$6:$C$9,0,0)*$D111,2),""))))</f>
        <v>0</v>
      </c>
      <c r="AM111" s="646">
        <f>IF(OR(AND($E111=$A$6,$D$9=AM$15),AND($E111=$A$10,$D$11=AM$15),AND($E111=$A$3,$D$5=AM$15)),$D111-SUM($R111:AL111),IF($E111=$A$10,ROUND(_xlfn.XLOOKUP(AM$15,$D$10:$D$11,$C$10:$C$11,0,0)*$D111,2),IF($E111=$A$3,ROUND(_xlfn.XLOOKUP(AM$15,$D$3:$D$5,$C$3:$C$5,0,0)*$D111,2),IF($E111=$A$6,ROUND(_xlfn.XLOOKUP(AM$15,$D$6:$D$9,$C$6:$C$9,0,0)*$D111,2),""))))</f>
        <v>0</v>
      </c>
      <c r="AN111" s="647">
        <f>IF(OR(AND($E111=$A$6,$D$9=AN$15),AND($E111=$A$10,$D$11=AN$15),AND($E111=$A$3,$D$5=AN$15)),$D111-SUM($R111:AM111),IF($E111=$A$10,ROUND(_xlfn.XLOOKUP(AN$15,$D$10:$D$11,$C$10:$C$11,0,0)*$D111,2),IF($E111=$A$3,ROUND(_xlfn.XLOOKUP(AN$15,$D$3:$D$5,$C$3:$C$5,0,0)*$D111,2),IF($E111=$A$6,ROUND(_xlfn.XLOOKUP(AN$15,$D$6:$D$9,$C$6:$C$9,0,0)*$D111,2),""))))</f>
        <v>19041.02</v>
      </c>
      <c r="AO111" s="645"/>
      <c r="AP111" s="646"/>
      <c r="AQ111" s="647"/>
      <c r="AR111" s="646"/>
      <c r="AS111" s="645"/>
      <c r="AT111" s="647"/>
      <c r="AU111" s="648">
        <f>IF(OR(AND($E111=$A$6,$D$9=AU$15),AND($E111=$A$10,$D$11=AU$15),AND($E111=$A$3,$D$5=AU$15)),$D111-SUM($R111:AT111),IF($E111=$A$10,ROUND(_xlfn.XLOOKUP(AU$15,$D$10:$D$11,$C$10:$C$11,0,0)*$D111,2),IF($E111=$A$3,ROUND(_xlfn.XLOOKUP(AU$15,$D$3:$D$5,$C$3:$C$5,0,0)*$D111,2),IF($E111=$A$6,ROUND(_xlfn.XLOOKUP(AU$15,$D$6:$D$9,$C$6:$C$9,0,0)*$D111,2),""))))</f>
        <v>19041.03</v>
      </c>
      <c r="AV111" s="673" t="str">
        <f>IF(SUM(R111:AU111)=D111,"","CORRIGIR")</f>
        <v/>
      </c>
    </row>
    <row r="112" spans="1:48" s="568" customFormat="1" ht="15" x14ac:dyDescent="0.2">
      <c r="A112" s="576">
        <v>7</v>
      </c>
      <c r="B112" s="575" t="s">
        <v>4785</v>
      </c>
      <c r="C112" s="574">
        <f t="shared" si="142"/>
        <v>7.3681687899699269E-2</v>
      </c>
      <c r="D112" s="573">
        <f>SUBTOTAL(9,D113:D136)</f>
        <v>1907263.3900000001</v>
      </c>
      <c r="E112" s="569"/>
      <c r="F112" s="572"/>
      <c r="G112" s="571"/>
      <c r="H112" s="570"/>
      <c r="I112" s="571"/>
      <c r="J112" s="570"/>
      <c r="K112" s="571"/>
      <c r="L112" s="570"/>
      <c r="M112" s="571"/>
      <c r="N112" s="570"/>
      <c r="O112" s="571"/>
      <c r="P112" s="570"/>
      <c r="Q112" s="569"/>
      <c r="R112" s="659"/>
      <c r="S112" s="660"/>
      <c r="T112" s="659"/>
      <c r="U112" s="660"/>
      <c r="V112" s="659"/>
      <c r="W112" s="660"/>
      <c r="X112" s="659"/>
      <c r="Y112" s="660"/>
      <c r="Z112" s="659"/>
      <c r="AA112" s="660"/>
      <c r="AB112" s="659"/>
      <c r="AC112" s="660"/>
      <c r="AD112" s="659"/>
      <c r="AE112" s="660"/>
      <c r="AF112" s="659"/>
      <c r="AG112" s="660"/>
      <c r="AH112" s="659"/>
      <c r="AI112" s="660"/>
      <c r="AJ112" s="659"/>
      <c r="AK112" s="660"/>
      <c r="AL112" s="659"/>
      <c r="AM112" s="660"/>
      <c r="AN112" s="659"/>
      <c r="AO112" s="660"/>
      <c r="AP112" s="659"/>
      <c r="AQ112" s="660"/>
      <c r="AR112" s="659"/>
      <c r="AS112" s="660"/>
      <c r="AT112" s="659"/>
      <c r="AU112" s="661"/>
      <c r="AV112" s="673"/>
    </row>
    <row r="113" spans="1:48" ht="15" x14ac:dyDescent="0.2">
      <c r="A113" s="567" t="s">
        <v>4786</v>
      </c>
      <c r="B113" s="566" t="s">
        <v>4694</v>
      </c>
      <c r="C113" s="565">
        <f t="shared" si="142"/>
        <v>1.2212086619745651E-4</v>
      </c>
      <c r="D113" s="564">
        <f>SUBTOTAL(9,D114:D121)</f>
        <v>3161.1199999999994</v>
      </c>
      <c r="E113" s="563"/>
      <c r="F113" s="561"/>
      <c r="G113" s="562"/>
      <c r="H113" s="561"/>
      <c r="I113" s="562"/>
      <c r="J113" s="561"/>
      <c r="K113" s="562"/>
      <c r="L113" s="561"/>
      <c r="M113" s="562"/>
      <c r="N113" s="561"/>
      <c r="O113" s="562"/>
      <c r="P113" s="561"/>
      <c r="Q113" s="560"/>
      <c r="R113" s="640"/>
      <c r="S113" s="641"/>
      <c r="T113" s="640"/>
      <c r="U113" s="641"/>
      <c r="V113" s="640"/>
      <c r="W113" s="641"/>
      <c r="X113" s="640"/>
      <c r="Y113" s="641"/>
      <c r="Z113" s="640"/>
      <c r="AA113" s="641"/>
      <c r="AB113" s="640"/>
      <c r="AC113" s="641"/>
      <c r="AD113" s="640"/>
      <c r="AE113" s="641"/>
      <c r="AF113" s="640"/>
      <c r="AG113" s="641"/>
      <c r="AH113" s="640"/>
      <c r="AI113" s="641"/>
      <c r="AJ113" s="640"/>
      <c r="AK113" s="641"/>
      <c r="AL113" s="640"/>
      <c r="AM113" s="641"/>
      <c r="AN113" s="640"/>
      <c r="AO113" s="641"/>
      <c r="AP113" s="640"/>
      <c r="AQ113" s="641"/>
      <c r="AR113" s="640"/>
      <c r="AS113" s="641"/>
      <c r="AT113" s="640"/>
      <c r="AU113" s="642"/>
      <c r="AV113" s="673"/>
    </row>
    <row r="114" spans="1:48" ht="14.25" outlineLevel="1" x14ac:dyDescent="0.2">
      <c r="A114" s="559" t="s">
        <v>5331</v>
      </c>
      <c r="B114" s="558" t="s">
        <v>4787</v>
      </c>
      <c r="C114" s="581">
        <f t="shared" si="142"/>
        <v>1.5265108274682067E-5</v>
      </c>
      <c r="D114" s="556">
        <f>Produtos!$D107</f>
        <v>395.14</v>
      </c>
      <c r="E114" s="580" t="s">
        <v>5286</v>
      </c>
      <c r="F114" s="577"/>
      <c r="G114" s="577"/>
      <c r="H114" s="577"/>
      <c r="I114" s="577" t="s">
        <v>5295</v>
      </c>
      <c r="J114" s="577">
        <v>1</v>
      </c>
      <c r="K114" s="577"/>
      <c r="L114" s="577"/>
      <c r="M114" s="577"/>
      <c r="N114" s="577"/>
      <c r="O114" s="577"/>
      <c r="P114" s="577"/>
      <c r="Q114" s="577"/>
      <c r="R114" s="658">
        <f t="shared" ref="R114:R121" si="168">IF(F114=1,ROUND(_xlfn.XLOOKUP($E114,$A$2:$A$11,$C$2:$C$11,0,0)*F114*$D114,2),0)</f>
        <v>0</v>
      </c>
      <c r="S114" s="646">
        <f t="shared" ref="S114:S121" si="169">IF(G114=1,ROUND(_xlfn.XLOOKUP($E114,$A$2:$A$11,$C$2:$C$11,0,0)*G114*$D114,2),0)</f>
        <v>0</v>
      </c>
      <c r="T114" s="646">
        <f t="shared" ref="T114:T121" si="170">IF(H114=1,ROUND(_xlfn.XLOOKUP($E114,$A$2:$A$11,$C$2:$C$11,0,0)*H114*$D114,2),0)</f>
        <v>0</v>
      </c>
      <c r="U114" s="646">
        <f t="shared" ref="U114:U121" si="171">IF(I114=1,ROUND(_xlfn.XLOOKUP($E114,$A$2:$A$11,$C$2:$C$11,0,0)*I114*$D114,2),0)</f>
        <v>0</v>
      </c>
      <c r="V114" s="646">
        <f t="shared" ref="V114:V121" si="172">IF(J114=1,ROUND(_xlfn.XLOOKUP($E114,$A$2:$A$11,$C$2:$C$11,0,0)*J114*$D114,2),0)</f>
        <v>395.14</v>
      </c>
      <c r="W114" s="646">
        <f t="shared" ref="W114:W121" si="173">IF(K114=1,ROUND(_xlfn.XLOOKUP($E114,$A$2:$A$11,$C$2:$C$11,0,0)*K114*$D114,2),0)</f>
        <v>0</v>
      </c>
      <c r="X114" s="646">
        <f t="shared" ref="X114:X121" si="174">IF(L114=1,ROUND(_xlfn.XLOOKUP($E114,$A$2:$A$11,$C$2:$C$11,0,0)*L114*$D114,2),0)</f>
        <v>0</v>
      </c>
      <c r="Y114" s="646">
        <f t="shared" ref="Y114:Y121" si="175">IF(M114=1,ROUND(_xlfn.XLOOKUP($E114,$A$2:$A$11,$C$2:$C$11,0,0)*M114*$D114,2),0)</f>
        <v>0</v>
      </c>
      <c r="Z114" s="646">
        <f t="shared" ref="Z114:Z121" si="176">IF(N114=1,ROUND(_xlfn.XLOOKUP($E114,$A$2:$A$11,$C$2:$C$11,0,0)*N114*$D114,2),0)</f>
        <v>0</v>
      </c>
      <c r="AA114" s="646">
        <f t="shared" ref="AA114:AA121" si="177">IF(O114=1,ROUND(_xlfn.XLOOKUP($E114,$A$2:$A$11,$C$2:$C$11,0,0)*O114*$D114,2),0)</f>
        <v>0</v>
      </c>
      <c r="AB114" s="646">
        <f t="shared" ref="AB114:AB121" si="178">IF(P114=1,ROUND(_xlfn.XLOOKUP($E114,$A$2:$A$11,$C$2:$C$11,0,0)*P114*$D114,2),0)</f>
        <v>0</v>
      </c>
      <c r="AC114" s="646">
        <f t="shared" ref="AC114:AC121" si="179">IF(Q114=1,ROUND(_xlfn.XLOOKUP($E114,$A$2:$A$11,$C$2:$C$11,0,0)*Q114*$D114,2),0)</f>
        <v>0</v>
      </c>
      <c r="AD114" s="645" t="str">
        <f>IF(OR(AND($E114=$A$6,$D$9=AD$15),AND($E114=$A$10,$D$11=AD$15),AND($E114=$A$3,$D$5=AD$15)),$D114-SUM($R114:AC114),IF($E114=$A$10,ROUND(_xlfn.XLOOKUP(AD$15,$D$10:$D$11,$C$10:$C$11,0,0)*$D114,2),IF($E114=$A$3,ROUND(_xlfn.XLOOKUP(AD$15,$D$3:$D$5,$C$3:$C$5,0,0)*$D114,2),IF($E114=$A$6,ROUND(_xlfn.XLOOKUP(AD$15,$D$6:$D$9,$C$6:$C$9,0,0)*$D114,2),""))))</f>
        <v/>
      </c>
      <c r="AE114" s="646" t="str">
        <f>IF(OR(AND($E114=$A$6,$D$9=AE$15),AND($E114=$A$10,$D$11=AE$15),AND($E114=$A$3,$D$5=AE$15)),$D114-SUM($R114:AD114),IF($E114=$A$10,ROUND(_xlfn.XLOOKUP(AE$15,$D$10:$D$11,$C$10:$C$11,0,0)*$D114,2),IF($E114=$A$3,ROUND(_xlfn.XLOOKUP(AE$15,$D$3:$D$5,$C$3:$C$5,0,0)*$D114,2),IF($E114=$A$6,ROUND(_xlfn.XLOOKUP(AE$15,$D$6:$D$9,$C$6:$C$9,0,0)*$D114,2),""))))</f>
        <v/>
      </c>
      <c r="AF114" s="647" t="str">
        <f>IF(OR(AND($E114=$A$6,$D$9=AF$15),AND($E114=$A$10,$D$11=AF$15),AND($E114=$A$3,$D$5=AF$15)),$D114-SUM($R114:AE114),IF($E114=$A$10,ROUND(_xlfn.XLOOKUP(AF$15,$D$10:$D$11,$C$10:$C$11,0,0)*$D114,2),IF($E114=$A$3,ROUND(_xlfn.XLOOKUP(AF$15,$D$3:$D$5,$C$3:$C$5,0,0)*$D114,2),IF($E114=$A$6,ROUND(_xlfn.XLOOKUP(AF$15,$D$6:$D$9,$C$6:$C$9,0,0)*$D114,2),""))))</f>
        <v/>
      </c>
      <c r="AG114" s="645"/>
      <c r="AH114" s="646"/>
      <c r="AI114" s="646"/>
      <c r="AJ114" s="646"/>
      <c r="AK114" s="647"/>
      <c r="AL114" s="645" t="str">
        <f>IF(OR(AND($E114=$A$6,$D$9=AL$15),AND($E114=$A$10,$D$11=AL$15),AND($E114=$A$3,$D$5=AL$15)),$D114-SUM($R114:AK114),IF($E114=$A$10,ROUND(_xlfn.XLOOKUP(AL$15,$D$10:$D$11,$C$10:$C$11,0,0)*$D114,2),IF($E114=$A$3,ROUND(_xlfn.XLOOKUP(AL$15,$D$3:$D$5,$C$3:$C$5,0,0)*$D114,2),IF($E114=$A$6,ROUND(_xlfn.XLOOKUP(AL$15,$D$6:$D$9,$C$6:$C$9,0,0)*$D114,2),""))))</f>
        <v/>
      </c>
      <c r="AM114" s="646" t="str">
        <f>IF(OR(AND($E114=$A$6,$D$9=AM$15),AND($E114=$A$10,$D$11=AM$15),AND($E114=$A$3,$D$5=AM$15)),$D114-SUM($R114:AL114),IF($E114=$A$10,ROUND(_xlfn.XLOOKUP(AM$15,$D$10:$D$11,$C$10:$C$11,0,0)*$D114,2),IF($E114=$A$3,ROUND(_xlfn.XLOOKUP(AM$15,$D$3:$D$5,$C$3:$C$5,0,0)*$D114,2),IF($E114=$A$6,ROUND(_xlfn.XLOOKUP(AM$15,$D$6:$D$9,$C$6:$C$9,0,0)*$D114,2),""))))</f>
        <v/>
      </c>
      <c r="AN114" s="647" t="str">
        <f>IF(OR(AND($E114=$A$6,$D$9=AN$15),AND($E114=$A$10,$D$11=AN$15),AND($E114=$A$3,$D$5=AN$15)),$D114-SUM($R114:AM114),IF($E114=$A$10,ROUND(_xlfn.XLOOKUP(AN$15,$D$10:$D$11,$C$10:$C$11,0,0)*$D114,2),IF($E114=$A$3,ROUND(_xlfn.XLOOKUP(AN$15,$D$3:$D$5,$C$3:$C$5,0,0)*$D114,2),IF($E114=$A$6,ROUND(_xlfn.XLOOKUP(AN$15,$D$6:$D$9,$C$6:$C$9,0,0)*$D114,2),""))))</f>
        <v/>
      </c>
      <c r="AO114" s="645"/>
      <c r="AP114" s="646"/>
      <c r="AQ114" s="647"/>
      <c r="AR114" s="646"/>
      <c r="AS114" s="645"/>
      <c r="AT114" s="647"/>
      <c r="AU114" s="648" t="str">
        <f>IF(OR(AND($E114=$A$6,$D$9=AU$15),AND($E114=$A$10,$D$11=AU$15),AND($E114=$A$3,$D$5=AU$15)),$D114-SUM($R114:AT114),IF($E114=$A$10,ROUND(_xlfn.XLOOKUP(AU$15,$D$10:$D$11,$C$10:$C$11,0,0)*$D114,2),IF($E114=$A$3,ROUND(_xlfn.XLOOKUP(AU$15,$D$3:$D$5,$C$3:$C$5,0,0)*$D114,2),IF($E114=$A$6,ROUND(_xlfn.XLOOKUP(AU$15,$D$6:$D$9,$C$6:$C$9,0,0)*$D114,2),""))))</f>
        <v/>
      </c>
      <c r="AV114" s="673" t="str">
        <f t="shared" ref="AV114:AV121" si="180">IF(SUM(R114:AU114)=D114,"","CORRIGIR")</f>
        <v/>
      </c>
    </row>
    <row r="115" spans="1:48" ht="14.25" outlineLevel="1" x14ac:dyDescent="0.2">
      <c r="A115" s="559" t="s">
        <v>5330</v>
      </c>
      <c r="B115" s="558" t="s">
        <v>4769</v>
      </c>
      <c r="C115" s="581">
        <f t="shared" si="142"/>
        <v>1.5265108274682067E-5</v>
      </c>
      <c r="D115" s="556">
        <f>Produtos!$D108</f>
        <v>395.14</v>
      </c>
      <c r="E115" s="580" t="s">
        <v>5286</v>
      </c>
      <c r="F115" s="577"/>
      <c r="G115" s="577"/>
      <c r="H115" s="577"/>
      <c r="I115" s="577" t="s">
        <v>5295</v>
      </c>
      <c r="J115" s="577">
        <v>1</v>
      </c>
      <c r="K115" s="577"/>
      <c r="L115" s="577"/>
      <c r="M115" s="577"/>
      <c r="N115" s="577"/>
      <c r="O115" s="577"/>
      <c r="P115" s="577"/>
      <c r="Q115" s="577"/>
      <c r="R115" s="658">
        <f t="shared" si="168"/>
        <v>0</v>
      </c>
      <c r="S115" s="646">
        <f t="shared" si="169"/>
        <v>0</v>
      </c>
      <c r="T115" s="646">
        <f t="shared" si="170"/>
        <v>0</v>
      </c>
      <c r="U115" s="646">
        <f t="shared" si="171"/>
        <v>0</v>
      </c>
      <c r="V115" s="646">
        <f t="shared" si="172"/>
        <v>395.14</v>
      </c>
      <c r="W115" s="646">
        <f t="shared" si="173"/>
        <v>0</v>
      </c>
      <c r="X115" s="646">
        <f t="shared" si="174"/>
        <v>0</v>
      </c>
      <c r="Y115" s="646">
        <f t="shared" si="175"/>
        <v>0</v>
      </c>
      <c r="Z115" s="646">
        <f t="shared" si="176"/>
        <v>0</v>
      </c>
      <c r="AA115" s="646">
        <f t="shared" si="177"/>
        <v>0</v>
      </c>
      <c r="AB115" s="646">
        <f t="shared" si="178"/>
        <v>0</v>
      </c>
      <c r="AC115" s="646">
        <f t="shared" si="179"/>
        <v>0</v>
      </c>
      <c r="AD115" s="645" t="str">
        <f>IF(OR(AND($E115=$A$6,$D$9=AD$15),AND($E115=$A$10,$D$11=AD$15),AND($E115=$A$3,$D$5=AD$15)),$D115-SUM($R115:AC115),IF($E115=$A$10,ROUND(_xlfn.XLOOKUP(AD$15,$D$10:$D$11,$C$10:$C$11,0,0)*$D115,2),IF($E115=$A$3,ROUND(_xlfn.XLOOKUP(AD$15,$D$3:$D$5,$C$3:$C$5,0,0)*$D115,2),IF($E115=$A$6,ROUND(_xlfn.XLOOKUP(AD$15,$D$6:$D$9,$C$6:$C$9,0,0)*$D115,2),""))))</f>
        <v/>
      </c>
      <c r="AE115" s="646" t="str">
        <f>IF(OR(AND($E115=$A$6,$D$9=AE$15),AND($E115=$A$10,$D$11=AE$15),AND($E115=$A$3,$D$5=AE$15)),$D115-SUM($R115:AD115),IF($E115=$A$10,ROUND(_xlfn.XLOOKUP(AE$15,$D$10:$D$11,$C$10:$C$11,0,0)*$D115,2),IF($E115=$A$3,ROUND(_xlfn.XLOOKUP(AE$15,$D$3:$D$5,$C$3:$C$5,0,0)*$D115,2),IF($E115=$A$6,ROUND(_xlfn.XLOOKUP(AE$15,$D$6:$D$9,$C$6:$C$9,0,0)*$D115,2),""))))</f>
        <v/>
      </c>
      <c r="AF115" s="647" t="str">
        <f>IF(OR(AND($E115=$A$6,$D$9=AF$15),AND($E115=$A$10,$D$11=AF$15),AND($E115=$A$3,$D$5=AF$15)),$D115-SUM($R115:AE115),IF($E115=$A$10,ROUND(_xlfn.XLOOKUP(AF$15,$D$10:$D$11,$C$10:$C$11,0,0)*$D115,2),IF($E115=$A$3,ROUND(_xlfn.XLOOKUP(AF$15,$D$3:$D$5,$C$3:$C$5,0,0)*$D115,2),IF($E115=$A$6,ROUND(_xlfn.XLOOKUP(AF$15,$D$6:$D$9,$C$6:$C$9,0,0)*$D115,2),""))))</f>
        <v/>
      </c>
      <c r="AG115" s="645"/>
      <c r="AH115" s="646"/>
      <c r="AI115" s="646"/>
      <c r="AJ115" s="646"/>
      <c r="AK115" s="647"/>
      <c r="AL115" s="645" t="str">
        <f>IF(OR(AND($E115=$A$6,$D$9=AL$15),AND($E115=$A$10,$D$11=AL$15),AND($E115=$A$3,$D$5=AL$15)),$D115-SUM($R115:AK115),IF($E115=$A$10,ROUND(_xlfn.XLOOKUP(AL$15,$D$10:$D$11,$C$10:$C$11,0,0)*$D115,2),IF($E115=$A$3,ROUND(_xlfn.XLOOKUP(AL$15,$D$3:$D$5,$C$3:$C$5,0,0)*$D115,2),IF($E115=$A$6,ROUND(_xlfn.XLOOKUP(AL$15,$D$6:$D$9,$C$6:$C$9,0,0)*$D115,2),""))))</f>
        <v/>
      </c>
      <c r="AM115" s="646" t="str">
        <f>IF(OR(AND($E115=$A$6,$D$9=AM$15),AND($E115=$A$10,$D$11=AM$15),AND($E115=$A$3,$D$5=AM$15)),$D115-SUM($R115:AL115),IF($E115=$A$10,ROUND(_xlfn.XLOOKUP(AM$15,$D$10:$D$11,$C$10:$C$11,0,0)*$D115,2),IF($E115=$A$3,ROUND(_xlfn.XLOOKUP(AM$15,$D$3:$D$5,$C$3:$C$5,0,0)*$D115,2),IF($E115=$A$6,ROUND(_xlfn.XLOOKUP(AM$15,$D$6:$D$9,$C$6:$C$9,0,0)*$D115,2),""))))</f>
        <v/>
      </c>
      <c r="AN115" s="647" t="str">
        <f>IF(OR(AND($E115=$A$6,$D$9=AN$15),AND($E115=$A$10,$D$11=AN$15),AND($E115=$A$3,$D$5=AN$15)),$D115-SUM($R115:AM115),IF($E115=$A$10,ROUND(_xlfn.XLOOKUP(AN$15,$D$10:$D$11,$C$10:$C$11,0,0)*$D115,2),IF($E115=$A$3,ROUND(_xlfn.XLOOKUP(AN$15,$D$3:$D$5,$C$3:$C$5,0,0)*$D115,2),IF($E115=$A$6,ROUND(_xlfn.XLOOKUP(AN$15,$D$6:$D$9,$C$6:$C$9,0,0)*$D115,2),""))))</f>
        <v/>
      </c>
      <c r="AO115" s="645"/>
      <c r="AP115" s="646"/>
      <c r="AQ115" s="647"/>
      <c r="AR115" s="646"/>
      <c r="AS115" s="645"/>
      <c r="AT115" s="647"/>
      <c r="AU115" s="648" t="str">
        <f>IF(OR(AND($E115=$A$6,$D$9=AU$15),AND($E115=$A$10,$D$11=AU$15),AND($E115=$A$3,$D$5=AU$15)),$D115-SUM($R115:AT115),IF($E115=$A$10,ROUND(_xlfn.XLOOKUP(AU$15,$D$10:$D$11,$C$10:$C$11,0,0)*$D115,2),IF($E115=$A$3,ROUND(_xlfn.XLOOKUP(AU$15,$D$3:$D$5,$C$3:$C$5,0,0)*$D115,2),IF($E115=$A$6,ROUND(_xlfn.XLOOKUP(AU$15,$D$6:$D$9,$C$6:$C$9,0,0)*$D115,2),""))))</f>
        <v/>
      </c>
      <c r="AV115" s="673" t="str">
        <f t="shared" si="180"/>
        <v/>
      </c>
    </row>
    <row r="116" spans="1:48" ht="14.25" outlineLevel="1" x14ac:dyDescent="0.2">
      <c r="A116" s="559" t="s">
        <v>5329</v>
      </c>
      <c r="B116" s="558" t="s">
        <v>4788</v>
      </c>
      <c r="C116" s="581">
        <f t="shared" si="142"/>
        <v>1.5265108274682067E-5</v>
      </c>
      <c r="D116" s="556">
        <f>Produtos!$D109</f>
        <v>395.14</v>
      </c>
      <c r="E116" s="580" t="s">
        <v>5286</v>
      </c>
      <c r="F116" s="577"/>
      <c r="G116" s="577"/>
      <c r="H116" s="577"/>
      <c r="I116" s="577" t="s">
        <v>5295</v>
      </c>
      <c r="J116" s="577">
        <v>1</v>
      </c>
      <c r="K116" s="577"/>
      <c r="L116" s="577"/>
      <c r="M116" s="577"/>
      <c r="N116" s="577"/>
      <c r="O116" s="577"/>
      <c r="P116" s="577"/>
      <c r="Q116" s="577"/>
      <c r="R116" s="658">
        <f t="shared" si="168"/>
        <v>0</v>
      </c>
      <c r="S116" s="646">
        <f t="shared" si="169"/>
        <v>0</v>
      </c>
      <c r="T116" s="646">
        <f t="shared" si="170"/>
        <v>0</v>
      </c>
      <c r="U116" s="646">
        <f t="shared" si="171"/>
        <v>0</v>
      </c>
      <c r="V116" s="646">
        <f t="shared" si="172"/>
        <v>395.14</v>
      </c>
      <c r="W116" s="646">
        <f t="shared" si="173"/>
        <v>0</v>
      </c>
      <c r="X116" s="646">
        <f t="shared" si="174"/>
        <v>0</v>
      </c>
      <c r="Y116" s="646">
        <f t="shared" si="175"/>
        <v>0</v>
      </c>
      <c r="Z116" s="646">
        <f t="shared" si="176"/>
        <v>0</v>
      </c>
      <c r="AA116" s="646">
        <f t="shared" si="177"/>
        <v>0</v>
      </c>
      <c r="AB116" s="646">
        <f t="shared" si="178"/>
        <v>0</v>
      </c>
      <c r="AC116" s="646">
        <f t="shared" si="179"/>
        <v>0</v>
      </c>
      <c r="AD116" s="645" t="str">
        <f>IF(OR(AND($E116=$A$6,$D$9=AD$15),AND($E116=$A$10,$D$11=AD$15),AND($E116=$A$3,$D$5=AD$15)),$D116-SUM($R116:AC116),IF($E116=$A$10,ROUND(_xlfn.XLOOKUP(AD$15,$D$10:$D$11,$C$10:$C$11,0,0)*$D116,2),IF($E116=$A$3,ROUND(_xlfn.XLOOKUP(AD$15,$D$3:$D$5,$C$3:$C$5,0,0)*$D116,2),IF($E116=$A$6,ROUND(_xlfn.XLOOKUP(AD$15,$D$6:$D$9,$C$6:$C$9,0,0)*$D116,2),""))))</f>
        <v/>
      </c>
      <c r="AE116" s="646" t="str">
        <f>IF(OR(AND($E116=$A$6,$D$9=AE$15),AND($E116=$A$10,$D$11=AE$15),AND($E116=$A$3,$D$5=AE$15)),$D116-SUM($R116:AD116),IF($E116=$A$10,ROUND(_xlfn.XLOOKUP(AE$15,$D$10:$D$11,$C$10:$C$11,0,0)*$D116,2),IF($E116=$A$3,ROUND(_xlfn.XLOOKUP(AE$15,$D$3:$D$5,$C$3:$C$5,0,0)*$D116,2),IF($E116=$A$6,ROUND(_xlfn.XLOOKUP(AE$15,$D$6:$D$9,$C$6:$C$9,0,0)*$D116,2),""))))</f>
        <v/>
      </c>
      <c r="AF116" s="647" t="str">
        <f>IF(OR(AND($E116=$A$6,$D$9=AF$15),AND($E116=$A$10,$D$11=AF$15),AND($E116=$A$3,$D$5=AF$15)),$D116-SUM($R116:AE116),IF($E116=$A$10,ROUND(_xlfn.XLOOKUP(AF$15,$D$10:$D$11,$C$10:$C$11,0,0)*$D116,2),IF($E116=$A$3,ROUND(_xlfn.XLOOKUP(AF$15,$D$3:$D$5,$C$3:$C$5,0,0)*$D116,2),IF($E116=$A$6,ROUND(_xlfn.XLOOKUP(AF$15,$D$6:$D$9,$C$6:$C$9,0,0)*$D116,2),""))))</f>
        <v/>
      </c>
      <c r="AG116" s="645"/>
      <c r="AH116" s="646"/>
      <c r="AI116" s="646"/>
      <c r="AJ116" s="646"/>
      <c r="AK116" s="647"/>
      <c r="AL116" s="645" t="str">
        <f>IF(OR(AND($E116=$A$6,$D$9=AL$15),AND($E116=$A$10,$D$11=AL$15),AND($E116=$A$3,$D$5=AL$15)),$D116-SUM($R116:AK116),IF($E116=$A$10,ROUND(_xlfn.XLOOKUP(AL$15,$D$10:$D$11,$C$10:$C$11,0,0)*$D116,2),IF($E116=$A$3,ROUND(_xlfn.XLOOKUP(AL$15,$D$3:$D$5,$C$3:$C$5,0,0)*$D116,2),IF($E116=$A$6,ROUND(_xlfn.XLOOKUP(AL$15,$D$6:$D$9,$C$6:$C$9,0,0)*$D116,2),""))))</f>
        <v/>
      </c>
      <c r="AM116" s="646" t="str">
        <f>IF(OR(AND($E116=$A$6,$D$9=AM$15),AND($E116=$A$10,$D$11=AM$15),AND($E116=$A$3,$D$5=AM$15)),$D116-SUM($R116:AL116),IF($E116=$A$10,ROUND(_xlfn.XLOOKUP(AM$15,$D$10:$D$11,$C$10:$C$11,0,0)*$D116,2),IF($E116=$A$3,ROUND(_xlfn.XLOOKUP(AM$15,$D$3:$D$5,$C$3:$C$5,0,0)*$D116,2),IF($E116=$A$6,ROUND(_xlfn.XLOOKUP(AM$15,$D$6:$D$9,$C$6:$C$9,0,0)*$D116,2),""))))</f>
        <v/>
      </c>
      <c r="AN116" s="647" t="str">
        <f>IF(OR(AND($E116=$A$6,$D$9=AN$15),AND($E116=$A$10,$D$11=AN$15),AND($E116=$A$3,$D$5=AN$15)),$D116-SUM($R116:AM116),IF($E116=$A$10,ROUND(_xlfn.XLOOKUP(AN$15,$D$10:$D$11,$C$10:$C$11,0,0)*$D116,2),IF($E116=$A$3,ROUND(_xlfn.XLOOKUP(AN$15,$D$3:$D$5,$C$3:$C$5,0,0)*$D116,2),IF($E116=$A$6,ROUND(_xlfn.XLOOKUP(AN$15,$D$6:$D$9,$C$6:$C$9,0,0)*$D116,2),""))))</f>
        <v/>
      </c>
      <c r="AO116" s="645"/>
      <c r="AP116" s="646"/>
      <c r="AQ116" s="647"/>
      <c r="AR116" s="646"/>
      <c r="AS116" s="645"/>
      <c r="AT116" s="647"/>
      <c r="AU116" s="648" t="str">
        <f>IF(OR(AND($E116=$A$6,$D$9=AU$15),AND($E116=$A$10,$D$11=AU$15),AND($E116=$A$3,$D$5=AU$15)),$D116-SUM($R116:AT116),IF($E116=$A$10,ROUND(_xlfn.XLOOKUP(AU$15,$D$10:$D$11,$C$10:$C$11,0,0)*$D116,2),IF($E116=$A$3,ROUND(_xlfn.XLOOKUP(AU$15,$D$3:$D$5,$C$3:$C$5,0,0)*$D116,2),IF($E116=$A$6,ROUND(_xlfn.XLOOKUP(AU$15,$D$6:$D$9,$C$6:$C$9,0,0)*$D116,2),""))))</f>
        <v/>
      </c>
      <c r="AV116" s="673" t="str">
        <f t="shared" si="180"/>
        <v/>
      </c>
    </row>
    <row r="117" spans="1:48" ht="14.25" outlineLevel="1" x14ac:dyDescent="0.2">
      <c r="A117" s="559" t="s">
        <v>5328</v>
      </c>
      <c r="B117" s="558" t="s">
        <v>4789</v>
      </c>
      <c r="C117" s="581">
        <f t="shared" si="142"/>
        <v>1.5265108274682067E-5</v>
      </c>
      <c r="D117" s="556">
        <f>Produtos!$D110</f>
        <v>395.14</v>
      </c>
      <c r="E117" s="580" t="s">
        <v>5286</v>
      </c>
      <c r="F117" s="577"/>
      <c r="G117" s="577"/>
      <c r="H117" s="577"/>
      <c r="I117" s="577" t="s">
        <v>5295</v>
      </c>
      <c r="J117" s="577">
        <v>1</v>
      </c>
      <c r="K117" s="577"/>
      <c r="L117" s="577"/>
      <c r="M117" s="577"/>
      <c r="N117" s="577"/>
      <c r="O117" s="577"/>
      <c r="P117" s="577"/>
      <c r="Q117" s="577"/>
      <c r="R117" s="658">
        <f t="shared" si="168"/>
        <v>0</v>
      </c>
      <c r="S117" s="646">
        <f t="shared" si="169"/>
        <v>0</v>
      </c>
      <c r="T117" s="646">
        <f t="shared" si="170"/>
        <v>0</v>
      </c>
      <c r="U117" s="646">
        <f t="shared" si="171"/>
        <v>0</v>
      </c>
      <c r="V117" s="646">
        <f t="shared" si="172"/>
        <v>395.14</v>
      </c>
      <c r="W117" s="646">
        <f t="shared" si="173"/>
        <v>0</v>
      </c>
      <c r="X117" s="646">
        <f t="shared" si="174"/>
        <v>0</v>
      </c>
      <c r="Y117" s="646">
        <f t="shared" si="175"/>
        <v>0</v>
      </c>
      <c r="Z117" s="646">
        <f t="shared" si="176"/>
        <v>0</v>
      </c>
      <c r="AA117" s="646">
        <f t="shared" si="177"/>
        <v>0</v>
      </c>
      <c r="AB117" s="646">
        <f t="shared" si="178"/>
        <v>0</v>
      </c>
      <c r="AC117" s="646">
        <f t="shared" si="179"/>
        <v>0</v>
      </c>
      <c r="AD117" s="645" t="str">
        <f>IF(OR(AND($E117=$A$6,$D$9=AD$15),AND($E117=$A$10,$D$11=AD$15),AND($E117=$A$3,$D$5=AD$15)),$D117-SUM($R117:AC117),IF($E117=$A$10,ROUND(_xlfn.XLOOKUP(AD$15,$D$10:$D$11,$C$10:$C$11,0,0)*$D117,2),IF($E117=$A$3,ROUND(_xlfn.XLOOKUP(AD$15,$D$3:$D$5,$C$3:$C$5,0,0)*$D117,2),IF($E117=$A$6,ROUND(_xlfn.XLOOKUP(AD$15,$D$6:$D$9,$C$6:$C$9,0,0)*$D117,2),""))))</f>
        <v/>
      </c>
      <c r="AE117" s="646" t="str">
        <f>IF(OR(AND($E117=$A$6,$D$9=AE$15),AND($E117=$A$10,$D$11=AE$15),AND($E117=$A$3,$D$5=AE$15)),$D117-SUM($R117:AD117),IF($E117=$A$10,ROUND(_xlfn.XLOOKUP(AE$15,$D$10:$D$11,$C$10:$C$11,0,0)*$D117,2),IF($E117=$A$3,ROUND(_xlfn.XLOOKUP(AE$15,$D$3:$D$5,$C$3:$C$5,0,0)*$D117,2),IF($E117=$A$6,ROUND(_xlfn.XLOOKUP(AE$15,$D$6:$D$9,$C$6:$C$9,0,0)*$D117,2),""))))</f>
        <v/>
      </c>
      <c r="AF117" s="647" t="str">
        <f>IF(OR(AND($E117=$A$6,$D$9=AF$15),AND($E117=$A$10,$D$11=AF$15),AND($E117=$A$3,$D$5=AF$15)),$D117-SUM($R117:AE117),IF($E117=$A$10,ROUND(_xlfn.XLOOKUP(AF$15,$D$10:$D$11,$C$10:$C$11,0,0)*$D117,2),IF($E117=$A$3,ROUND(_xlfn.XLOOKUP(AF$15,$D$3:$D$5,$C$3:$C$5,0,0)*$D117,2),IF($E117=$A$6,ROUND(_xlfn.XLOOKUP(AF$15,$D$6:$D$9,$C$6:$C$9,0,0)*$D117,2),""))))</f>
        <v/>
      </c>
      <c r="AG117" s="645"/>
      <c r="AH117" s="646"/>
      <c r="AI117" s="646"/>
      <c r="AJ117" s="646"/>
      <c r="AK117" s="647"/>
      <c r="AL117" s="645" t="str">
        <f>IF(OR(AND($E117=$A$6,$D$9=AL$15),AND($E117=$A$10,$D$11=AL$15),AND($E117=$A$3,$D$5=AL$15)),$D117-SUM($R117:AK117),IF($E117=$A$10,ROUND(_xlfn.XLOOKUP(AL$15,$D$10:$D$11,$C$10:$C$11,0,0)*$D117,2),IF($E117=$A$3,ROUND(_xlfn.XLOOKUP(AL$15,$D$3:$D$5,$C$3:$C$5,0,0)*$D117,2),IF($E117=$A$6,ROUND(_xlfn.XLOOKUP(AL$15,$D$6:$D$9,$C$6:$C$9,0,0)*$D117,2),""))))</f>
        <v/>
      </c>
      <c r="AM117" s="646" t="str">
        <f>IF(OR(AND($E117=$A$6,$D$9=AM$15),AND($E117=$A$10,$D$11=AM$15),AND($E117=$A$3,$D$5=AM$15)),$D117-SUM($R117:AL117),IF($E117=$A$10,ROUND(_xlfn.XLOOKUP(AM$15,$D$10:$D$11,$C$10:$C$11,0,0)*$D117,2),IF($E117=$A$3,ROUND(_xlfn.XLOOKUP(AM$15,$D$3:$D$5,$C$3:$C$5,0,0)*$D117,2),IF($E117=$A$6,ROUND(_xlfn.XLOOKUP(AM$15,$D$6:$D$9,$C$6:$C$9,0,0)*$D117,2),""))))</f>
        <v/>
      </c>
      <c r="AN117" s="647" t="str">
        <f>IF(OR(AND($E117=$A$6,$D$9=AN$15),AND($E117=$A$10,$D$11=AN$15),AND($E117=$A$3,$D$5=AN$15)),$D117-SUM($R117:AM117),IF($E117=$A$10,ROUND(_xlfn.XLOOKUP(AN$15,$D$10:$D$11,$C$10:$C$11,0,0)*$D117,2),IF($E117=$A$3,ROUND(_xlfn.XLOOKUP(AN$15,$D$3:$D$5,$C$3:$C$5,0,0)*$D117,2),IF($E117=$A$6,ROUND(_xlfn.XLOOKUP(AN$15,$D$6:$D$9,$C$6:$C$9,0,0)*$D117,2),""))))</f>
        <v/>
      </c>
      <c r="AO117" s="645"/>
      <c r="AP117" s="646"/>
      <c r="AQ117" s="647"/>
      <c r="AR117" s="646"/>
      <c r="AS117" s="645"/>
      <c r="AT117" s="647"/>
      <c r="AU117" s="648" t="str">
        <f>IF(OR(AND($E117=$A$6,$D$9=AU$15),AND($E117=$A$10,$D$11=AU$15),AND($E117=$A$3,$D$5=AU$15)),$D117-SUM($R117:AT117),IF($E117=$A$10,ROUND(_xlfn.XLOOKUP(AU$15,$D$10:$D$11,$C$10:$C$11,0,0)*$D117,2),IF($E117=$A$3,ROUND(_xlfn.XLOOKUP(AU$15,$D$3:$D$5,$C$3:$C$5,0,0)*$D117,2),IF($E117=$A$6,ROUND(_xlfn.XLOOKUP(AU$15,$D$6:$D$9,$C$6:$C$9,0,0)*$D117,2),""))))</f>
        <v/>
      </c>
      <c r="AV117" s="673" t="str">
        <f t="shared" si="180"/>
        <v/>
      </c>
    </row>
    <row r="118" spans="1:48" ht="14.25" outlineLevel="1" x14ac:dyDescent="0.2">
      <c r="A118" s="559" t="s">
        <v>5327</v>
      </c>
      <c r="B118" s="558" t="s">
        <v>4790</v>
      </c>
      <c r="C118" s="581">
        <f t="shared" si="142"/>
        <v>1.5265108274682067E-5</v>
      </c>
      <c r="D118" s="556">
        <f>Produtos!$D111</f>
        <v>395.14</v>
      </c>
      <c r="E118" s="580" t="s">
        <v>5286</v>
      </c>
      <c r="F118" s="577"/>
      <c r="G118" s="577"/>
      <c r="H118" s="577"/>
      <c r="I118" s="577" t="s">
        <v>5295</v>
      </c>
      <c r="J118" s="577">
        <v>1</v>
      </c>
      <c r="K118" s="577"/>
      <c r="L118" s="577"/>
      <c r="M118" s="577"/>
      <c r="N118" s="577"/>
      <c r="O118" s="577"/>
      <c r="P118" s="577"/>
      <c r="Q118" s="577"/>
      <c r="R118" s="658">
        <f t="shared" si="168"/>
        <v>0</v>
      </c>
      <c r="S118" s="646">
        <f t="shared" si="169"/>
        <v>0</v>
      </c>
      <c r="T118" s="646">
        <f t="shared" si="170"/>
        <v>0</v>
      </c>
      <c r="U118" s="646">
        <f t="shared" si="171"/>
        <v>0</v>
      </c>
      <c r="V118" s="646">
        <f t="shared" si="172"/>
        <v>395.14</v>
      </c>
      <c r="W118" s="646">
        <f t="shared" si="173"/>
        <v>0</v>
      </c>
      <c r="X118" s="646">
        <f t="shared" si="174"/>
        <v>0</v>
      </c>
      <c r="Y118" s="646">
        <f t="shared" si="175"/>
        <v>0</v>
      </c>
      <c r="Z118" s="646">
        <f t="shared" si="176"/>
        <v>0</v>
      </c>
      <c r="AA118" s="646">
        <f t="shared" si="177"/>
        <v>0</v>
      </c>
      <c r="AB118" s="646">
        <f t="shared" si="178"/>
        <v>0</v>
      </c>
      <c r="AC118" s="646">
        <f t="shared" si="179"/>
        <v>0</v>
      </c>
      <c r="AD118" s="645" t="str">
        <f>IF(OR(AND($E118=$A$6,$D$9=AD$15),AND($E118=$A$10,$D$11=AD$15),AND($E118=$A$3,$D$5=AD$15)),$D118-SUM($R118:AC118),IF($E118=$A$10,ROUND(_xlfn.XLOOKUP(AD$15,$D$10:$D$11,$C$10:$C$11,0,0)*$D118,2),IF($E118=$A$3,ROUND(_xlfn.XLOOKUP(AD$15,$D$3:$D$5,$C$3:$C$5,0,0)*$D118,2),IF($E118=$A$6,ROUND(_xlfn.XLOOKUP(AD$15,$D$6:$D$9,$C$6:$C$9,0,0)*$D118,2),""))))</f>
        <v/>
      </c>
      <c r="AE118" s="646" t="str">
        <f>IF(OR(AND($E118=$A$6,$D$9=AE$15),AND($E118=$A$10,$D$11=AE$15),AND($E118=$A$3,$D$5=AE$15)),$D118-SUM($R118:AD118),IF($E118=$A$10,ROUND(_xlfn.XLOOKUP(AE$15,$D$10:$D$11,$C$10:$C$11,0,0)*$D118,2),IF($E118=$A$3,ROUND(_xlfn.XLOOKUP(AE$15,$D$3:$D$5,$C$3:$C$5,0,0)*$D118,2),IF($E118=$A$6,ROUND(_xlfn.XLOOKUP(AE$15,$D$6:$D$9,$C$6:$C$9,0,0)*$D118,2),""))))</f>
        <v/>
      </c>
      <c r="AF118" s="647" t="str">
        <f>IF(OR(AND($E118=$A$6,$D$9=AF$15),AND($E118=$A$10,$D$11=AF$15),AND($E118=$A$3,$D$5=AF$15)),$D118-SUM($R118:AE118),IF($E118=$A$10,ROUND(_xlfn.XLOOKUP(AF$15,$D$10:$D$11,$C$10:$C$11,0,0)*$D118,2),IF($E118=$A$3,ROUND(_xlfn.XLOOKUP(AF$15,$D$3:$D$5,$C$3:$C$5,0,0)*$D118,2),IF($E118=$A$6,ROUND(_xlfn.XLOOKUP(AF$15,$D$6:$D$9,$C$6:$C$9,0,0)*$D118,2),""))))</f>
        <v/>
      </c>
      <c r="AG118" s="645"/>
      <c r="AH118" s="646"/>
      <c r="AI118" s="646"/>
      <c r="AJ118" s="646"/>
      <c r="AK118" s="647"/>
      <c r="AL118" s="645" t="str">
        <f>IF(OR(AND($E118=$A$6,$D$9=AL$15),AND($E118=$A$10,$D$11=AL$15),AND($E118=$A$3,$D$5=AL$15)),$D118-SUM($R118:AK118),IF($E118=$A$10,ROUND(_xlfn.XLOOKUP(AL$15,$D$10:$D$11,$C$10:$C$11,0,0)*$D118,2),IF($E118=$A$3,ROUND(_xlfn.XLOOKUP(AL$15,$D$3:$D$5,$C$3:$C$5,0,0)*$D118,2),IF($E118=$A$6,ROUND(_xlfn.XLOOKUP(AL$15,$D$6:$D$9,$C$6:$C$9,0,0)*$D118,2),""))))</f>
        <v/>
      </c>
      <c r="AM118" s="646" t="str">
        <f>IF(OR(AND($E118=$A$6,$D$9=AM$15),AND($E118=$A$10,$D$11=AM$15),AND($E118=$A$3,$D$5=AM$15)),$D118-SUM($R118:AL118),IF($E118=$A$10,ROUND(_xlfn.XLOOKUP(AM$15,$D$10:$D$11,$C$10:$C$11,0,0)*$D118,2),IF($E118=$A$3,ROUND(_xlfn.XLOOKUP(AM$15,$D$3:$D$5,$C$3:$C$5,0,0)*$D118,2),IF($E118=$A$6,ROUND(_xlfn.XLOOKUP(AM$15,$D$6:$D$9,$C$6:$C$9,0,0)*$D118,2),""))))</f>
        <v/>
      </c>
      <c r="AN118" s="647" t="str">
        <f>IF(OR(AND($E118=$A$6,$D$9=AN$15),AND($E118=$A$10,$D$11=AN$15),AND($E118=$A$3,$D$5=AN$15)),$D118-SUM($R118:AM118),IF($E118=$A$10,ROUND(_xlfn.XLOOKUP(AN$15,$D$10:$D$11,$C$10:$C$11,0,0)*$D118,2),IF($E118=$A$3,ROUND(_xlfn.XLOOKUP(AN$15,$D$3:$D$5,$C$3:$C$5,0,0)*$D118,2),IF($E118=$A$6,ROUND(_xlfn.XLOOKUP(AN$15,$D$6:$D$9,$C$6:$C$9,0,0)*$D118,2),""))))</f>
        <v/>
      </c>
      <c r="AO118" s="645"/>
      <c r="AP118" s="646"/>
      <c r="AQ118" s="647"/>
      <c r="AR118" s="646"/>
      <c r="AS118" s="645"/>
      <c r="AT118" s="647"/>
      <c r="AU118" s="648" t="str">
        <f>IF(OR(AND($E118=$A$6,$D$9=AU$15),AND($E118=$A$10,$D$11=AU$15),AND($E118=$A$3,$D$5=AU$15)),$D118-SUM($R118:AT118),IF($E118=$A$10,ROUND(_xlfn.XLOOKUP(AU$15,$D$10:$D$11,$C$10:$C$11,0,0)*$D118,2),IF($E118=$A$3,ROUND(_xlfn.XLOOKUP(AU$15,$D$3:$D$5,$C$3:$C$5,0,0)*$D118,2),IF($E118=$A$6,ROUND(_xlfn.XLOOKUP(AU$15,$D$6:$D$9,$C$6:$C$9,0,0)*$D118,2),""))))</f>
        <v/>
      </c>
      <c r="AV118" s="673" t="str">
        <f t="shared" si="180"/>
        <v/>
      </c>
    </row>
    <row r="119" spans="1:48" ht="14.25" outlineLevel="1" x14ac:dyDescent="0.2">
      <c r="A119" s="559" t="s">
        <v>5326</v>
      </c>
      <c r="B119" s="558" t="s">
        <v>4770</v>
      </c>
      <c r="C119" s="581">
        <f t="shared" si="142"/>
        <v>1.5265108274682067E-5</v>
      </c>
      <c r="D119" s="556">
        <f>Produtos!$D112</f>
        <v>395.14</v>
      </c>
      <c r="E119" s="580" t="s">
        <v>5286</v>
      </c>
      <c r="F119" s="577"/>
      <c r="G119" s="577"/>
      <c r="H119" s="577"/>
      <c r="I119" s="577" t="s">
        <v>5295</v>
      </c>
      <c r="J119" s="577">
        <v>1</v>
      </c>
      <c r="K119" s="577"/>
      <c r="L119" s="577"/>
      <c r="M119" s="577"/>
      <c r="N119" s="577"/>
      <c r="O119" s="577"/>
      <c r="P119" s="577"/>
      <c r="Q119" s="577"/>
      <c r="R119" s="658">
        <f t="shared" si="168"/>
        <v>0</v>
      </c>
      <c r="S119" s="646">
        <f t="shared" si="169"/>
        <v>0</v>
      </c>
      <c r="T119" s="646">
        <f t="shared" si="170"/>
        <v>0</v>
      </c>
      <c r="U119" s="646">
        <f t="shared" si="171"/>
        <v>0</v>
      </c>
      <c r="V119" s="646">
        <f t="shared" si="172"/>
        <v>395.14</v>
      </c>
      <c r="W119" s="646">
        <f t="shared" si="173"/>
        <v>0</v>
      </c>
      <c r="X119" s="646">
        <f t="shared" si="174"/>
        <v>0</v>
      </c>
      <c r="Y119" s="646">
        <f t="shared" si="175"/>
        <v>0</v>
      </c>
      <c r="Z119" s="646">
        <f t="shared" si="176"/>
        <v>0</v>
      </c>
      <c r="AA119" s="646">
        <f t="shared" si="177"/>
        <v>0</v>
      </c>
      <c r="AB119" s="646">
        <f t="shared" si="178"/>
        <v>0</v>
      </c>
      <c r="AC119" s="646">
        <f t="shared" si="179"/>
        <v>0</v>
      </c>
      <c r="AD119" s="645" t="str">
        <f>IF(OR(AND($E119=$A$6,$D$9=AD$15),AND($E119=$A$10,$D$11=AD$15),AND($E119=$A$3,$D$5=AD$15)),$D119-SUM($R119:AC119),IF($E119=$A$10,ROUND(_xlfn.XLOOKUP(AD$15,$D$10:$D$11,$C$10:$C$11,0,0)*$D119,2),IF($E119=$A$3,ROUND(_xlfn.XLOOKUP(AD$15,$D$3:$D$5,$C$3:$C$5,0,0)*$D119,2),IF($E119=$A$6,ROUND(_xlfn.XLOOKUP(AD$15,$D$6:$D$9,$C$6:$C$9,0,0)*$D119,2),""))))</f>
        <v/>
      </c>
      <c r="AE119" s="646" t="str">
        <f>IF(OR(AND($E119=$A$6,$D$9=AE$15),AND($E119=$A$10,$D$11=AE$15),AND($E119=$A$3,$D$5=AE$15)),$D119-SUM($R119:AD119),IF($E119=$A$10,ROUND(_xlfn.XLOOKUP(AE$15,$D$10:$D$11,$C$10:$C$11,0,0)*$D119,2),IF($E119=$A$3,ROUND(_xlfn.XLOOKUP(AE$15,$D$3:$D$5,$C$3:$C$5,0,0)*$D119,2),IF($E119=$A$6,ROUND(_xlfn.XLOOKUP(AE$15,$D$6:$D$9,$C$6:$C$9,0,0)*$D119,2),""))))</f>
        <v/>
      </c>
      <c r="AF119" s="647" t="str">
        <f>IF(OR(AND($E119=$A$6,$D$9=AF$15),AND($E119=$A$10,$D$11=AF$15),AND($E119=$A$3,$D$5=AF$15)),$D119-SUM($R119:AE119),IF($E119=$A$10,ROUND(_xlfn.XLOOKUP(AF$15,$D$10:$D$11,$C$10:$C$11,0,0)*$D119,2),IF($E119=$A$3,ROUND(_xlfn.XLOOKUP(AF$15,$D$3:$D$5,$C$3:$C$5,0,0)*$D119,2),IF($E119=$A$6,ROUND(_xlfn.XLOOKUP(AF$15,$D$6:$D$9,$C$6:$C$9,0,0)*$D119,2),""))))</f>
        <v/>
      </c>
      <c r="AG119" s="645"/>
      <c r="AH119" s="646"/>
      <c r="AI119" s="646"/>
      <c r="AJ119" s="646"/>
      <c r="AK119" s="647"/>
      <c r="AL119" s="645" t="str">
        <f>IF(OR(AND($E119=$A$6,$D$9=AL$15),AND($E119=$A$10,$D$11=AL$15),AND($E119=$A$3,$D$5=AL$15)),$D119-SUM($R119:AK119),IF($E119=$A$10,ROUND(_xlfn.XLOOKUP(AL$15,$D$10:$D$11,$C$10:$C$11,0,0)*$D119,2),IF($E119=$A$3,ROUND(_xlfn.XLOOKUP(AL$15,$D$3:$D$5,$C$3:$C$5,0,0)*$D119,2),IF($E119=$A$6,ROUND(_xlfn.XLOOKUP(AL$15,$D$6:$D$9,$C$6:$C$9,0,0)*$D119,2),""))))</f>
        <v/>
      </c>
      <c r="AM119" s="646" t="str">
        <f>IF(OR(AND($E119=$A$6,$D$9=AM$15),AND($E119=$A$10,$D$11=AM$15),AND($E119=$A$3,$D$5=AM$15)),$D119-SUM($R119:AL119),IF($E119=$A$10,ROUND(_xlfn.XLOOKUP(AM$15,$D$10:$D$11,$C$10:$C$11,0,0)*$D119,2),IF($E119=$A$3,ROUND(_xlfn.XLOOKUP(AM$15,$D$3:$D$5,$C$3:$C$5,0,0)*$D119,2),IF($E119=$A$6,ROUND(_xlfn.XLOOKUP(AM$15,$D$6:$D$9,$C$6:$C$9,0,0)*$D119,2),""))))</f>
        <v/>
      </c>
      <c r="AN119" s="647" t="str">
        <f>IF(OR(AND($E119=$A$6,$D$9=AN$15),AND($E119=$A$10,$D$11=AN$15),AND($E119=$A$3,$D$5=AN$15)),$D119-SUM($R119:AM119),IF($E119=$A$10,ROUND(_xlfn.XLOOKUP(AN$15,$D$10:$D$11,$C$10:$C$11,0,0)*$D119,2),IF($E119=$A$3,ROUND(_xlfn.XLOOKUP(AN$15,$D$3:$D$5,$C$3:$C$5,0,0)*$D119,2),IF($E119=$A$6,ROUND(_xlfn.XLOOKUP(AN$15,$D$6:$D$9,$C$6:$C$9,0,0)*$D119,2),""))))</f>
        <v/>
      </c>
      <c r="AO119" s="645"/>
      <c r="AP119" s="646"/>
      <c r="AQ119" s="647"/>
      <c r="AR119" s="646"/>
      <c r="AS119" s="645"/>
      <c r="AT119" s="647"/>
      <c r="AU119" s="648" t="str">
        <f>IF(OR(AND($E119=$A$6,$D$9=AU$15),AND($E119=$A$10,$D$11=AU$15),AND($E119=$A$3,$D$5=AU$15)),$D119-SUM($R119:AT119),IF($E119=$A$10,ROUND(_xlfn.XLOOKUP(AU$15,$D$10:$D$11,$C$10:$C$11,0,0)*$D119,2),IF($E119=$A$3,ROUND(_xlfn.XLOOKUP(AU$15,$D$3:$D$5,$C$3:$C$5,0,0)*$D119,2),IF($E119=$A$6,ROUND(_xlfn.XLOOKUP(AU$15,$D$6:$D$9,$C$6:$C$9,0,0)*$D119,2),""))))</f>
        <v/>
      </c>
      <c r="AV119" s="673" t="str">
        <f t="shared" si="180"/>
        <v/>
      </c>
    </row>
    <row r="120" spans="1:48" ht="14.25" outlineLevel="1" x14ac:dyDescent="0.2">
      <c r="A120" s="559" t="s">
        <v>5325</v>
      </c>
      <c r="B120" s="558" t="s">
        <v>4791</v>
      </c>
      <c r="C120" s="581">
        <f t="shared" si="142"/>
        <v>1.5265108274682067E-5</v>
      </c>
      <c r="D120" s="556">
        <f>Produtos!$D113</f>
        <v>395.14</v>
      </c>
      <c r="E120" s="580" t="s">
        <v>5286</v>
      </c>
      <c r="F120" s="577"/>
      <c r="G120" s="577"/>
      <c r="H120" s="577"/>
      <c r="I120" s="577" t="s">
        <v>5295</v>
      </c>
      <c r="J120" s="577">
        <v>1</v>
      </c>
      <c r="K120" s="577"/>
      <c r="L120" s="577"/>
      <c r="M120" s="577"/>
      <c r="N120" s="577"/>
      <c r="O120" s="577"/>
      <c r="P120" s="577"/>
      <c r="Q120" s="577"/>
      <c r="R120" s="658">
        <f t="shared" si="168"/>
        <v>0</v>
      </c>
      <c r="S120" s="646">
        <f t="shared" si="169"/>
        <v>0</v>
      </c>
      <c r="T120" s="646">
        <f t="shared" si="170"/>
        <v>0</v>
      </c>
      <c r="U120" s="646">
        <f t="shared" si="171"/>
        <v>0</v>
      </c>
      <c r="V120" s="646">
        <f t="shared" si="172"/>
        <v>395.14</v>
      </c>
      <c r="W120" s="646">
        <f t="shared" si="173"/>
        <v>0</v>
      </c>
      <c r="X120" s="646">
        <f t="shared" si="174"/>
        <v>0</v>
      </c>
      <c r="Y120" s="646">
        <f t="shared" si="175"/>
        <v>0</v>
      </c>
      <c r="Z120" s="646">
        <f t="shared" si="176"/>
        <v>0</v>
      </c>
      <c r="AA120" s="646">
        <f t="shared" si="177"/>
        <v>0</v>
      </c>
      <c r="AB120" s="646">
        <f t="shared" si="178"/>
        <v>0</v>
      </c>
      <c r="AC120" s="646">
        <f t="shared" si="179"/>
        <v>0</v>
      </c>
      <c r="AD120" s="645" t="str">
        <f>IF(OR(AND($E120=$A$6,$D$9=AD$15),AND($E120=$A$10,$D$11=AD$15),AND($E120=$A$3,$D$5=AD$15)),$D120-SUM($R120:AC120),IF($E120=$A$10,ROUND(_xlfn.XLOOKUP(AD$15,$D$10:$D$11,$C$10:$C$11,0,0)*$D120,2),IF($E120=$A$3,ROUND(_xlfn.XLOOKUP(AD$15,$D$3:$D$5,$C$3:$C$5,0,0)*$D120,2),IF($E120=$A$6,ROUND(_xlfn.XLOOKUP(AD$15,$D$6:$D$9,$C$6:$C$9,0,0)*$D120,2),""))))</f>
        <v/>
      </c>
      <c r="AE120" s="646" t="str">
        <f>IF(OR(AND($E120=$A$6,$D$9=AE$15),AND($E120=$A$10,$D$11=AE$15),AND($E120=$A$3,$D$5=AE$15)),$D120-SUM($R120:AD120),IF($E120=$A$10,ROUND(_xlfn.XLOOKUP(AE$15,$D$10:$D$11,$C$10:$C$11,0,0)*$D120,2),IF($E120=$A$3,ROUND(_xlfn.XLOOKUP(AE$15,$D$3:$D$5,$C$3:$C$5,0,0)*$D120,2),IF($E120=$A$6,ROUND(_xlfn.XLOOKUP(AE$15,$D$6:$D$9,$C$6:$C$9,0,0)*$D120,2),""))))</f>
        <v/>
      </c>
      <c r="AF120" s="647" t="str">
        <f>IF(OR(AND($E120=$A$6,$D$9=AF$15),AND($E120=$A$10,$D$11=AF$15),AND($E120=$A$3,$D$5=AF$15)),$D120-SUM($R120:AE120),IF($E120=$A$10,ROUND(_xlfn.XLOOKUP(AF$15,$D$10:$D$11,$C$10:$C$11,0,0)*$D120,2),IF($E120=$A$3,ROUND(_xlfn.XLOOKUP(AF$15,$D$3:$D$5,$C$3:$C$5,0,0)*$D120,2),IF($E120=$A$6,ROUND(_xlfn.XLOOKUP(AF$15,$D$6:$D$9,$C$6:$C$9,0,0)*$D120,2),""))))</f>
        <v/>
      </c>
      <c r="AG120" s="645"/>
      <c r="AH120" s="646"/>
      <c r="AI120" s="646"/>
      <c r="AJ120" s="646"/>
      <c r="AK120" s="647"/>
      <c r="AL120" s="645" t="str">
        <f>IF(OR(AND($E120=$A$6,$D$9=AL$15),AND($E120=$A$10,$D$11=AL$15),AND($E120=$A$3,$D$5=AL$15)),$D120-SUM($R120:AK120),IF($E120=$A$10,ROUND(_xlfn.XLOOKUP(AL$15,$D$10:$D$11,$C$10:$C$11,0,0)*$D120,2),IF($E120=$A$3,ROUND(_xlfn.XLOOKUP(AL$15,$D$3:$D$5,$C$3:$C$5,0,0)*$D120,2),IF($E120=$A$6,ROUND(_xlfn.XLOOKUP(AL$15,$D$6:$D$9,$C$6:$C$9,0,0)*$D120,2),""))))</f>
        <v/>
      </c>
      <c r="AM120" s="646" t="str">
        <f>IF(OR(AND($E120=$A$6,$D$9=AM$15),AND($E120=$A$10,$D$11=AM$15),AND($E120=$A$3,$D$5=AM$15)),$D120-SUM($R120:AL120),IF($E120=$A$10,ROUND(_xlfn.XLOOKUP(AM$15,$D$10:$D$11,$C$10:$C$11,0,0)*$D120,2),IF($E120=$A$3,ROUND(_xlfn.XLOOKUP(AM$15,$D$3:$D$5,$C$3:$C$5,0,0)*$D120,2),IF($E120=$A$6,ROUND(_xlfn.XLOOKUP(AM$15,$D$6:$D$9,$C$6:$C$9,0,0)*$D120,2),""))))</f>
        <v/>
      </c>
      <c r="AN120" s="647" t="str">
        <f>IF(OR(AND($E120=$A$6,$D$9=AN$15),AND($E120=$A$10,$D$11=AN$15),AND($E120=$A$3,$D$5=AN$15)),$D120-SUM($R120:AM120),IF($E120=$A$10,ROUND(_xlfn.XLOOKUP(AN$15,$D$10:$D$11,$C$10:$C$11,0,0)*$D120,2),IF($E120=$A$3,ROUND(_xlfn.XLOOKUP(AN$15,$D$3:$D$5,$C$3:$C$5,0,0)*$D120,2),IF($E120=$A$6,ROUND(_xlfn.XLOOKUP(AN$15,$D$6:$D$9,$C$6:$C$9,0,0)*$D120,2),""))))</f>
        <v/>
      </c>
      <c r="AO120" s="645"/>
      <c r="AP120" s="646"/>
      <c r="AQ120" s="647"/>
      <c r="AR120" s="646"/>
      <c r="AS120" s="645"/>
      <c r="AT120" s="647"/>
      <c r="AU120" s="648" t="str">
        <f>IF(OR(AND($E120=$A$6,$D$9=AU$15),AND($E120=$A$10,$D$11=AU$15),AND($E120=$A$3,$D$5=AU$15)),$D120-SUM($R120:AT120),IF($E120=$A$10,ROUND(_xlfn.XLOOKUP(AU$15,$D$10:$D$11,$C$10:$C$11,0,0)*$D120,2),IF($E120=$A$3,ROUND(_xlfn.XLOOKUP(AU$15,$D$3:$D$5,$C$3:$C$5,0,0)*$D120,2),IF($E120=$A$6,ROUND(_xlfn.XLOOKUP(AU$15,$D$6:$D$9,$C$6:$C$9,0,0)*$D120,2),""))))</f>
        <v/>
      </c>
      <c r="AV120" s="673" t="str">
        <f t="shared" si="180"/>
        <v/>
      </c>
    </row>
    <row r="121" spans="1:48" ht="14.25" outlineLevel="1" x14ac:dyDescent="0.2">
      <c r="A121" s="559" t="s">
        <v>5324</v>
      </c>
      <c r="B121" s="558" t="s">
        <v>4792</v>
      </c>
      <c r="C121" s="581">
        <f t="shared" si="142"/>
        <v>1.5265108274682067E-5</v>
      </c>
      <c r="D121" s="556">
        <f>Produtos!$D114</f>
        <v>395.14</v>
      </c>
      <c r="E121" s="580" t="s">
        <v>5286</v>
      </c>
      <c r="F121" s="577"/>
      <c r="G121" s="577"/>
      <c r="H121" s="577"/>
      <c r="I121" s="577" t="s">
        <v>5295</v>
      </c>
      <c r="J121" s="577">
        <v>1</v>
      </c>
      <c r="K121" s="577"/>
      <c r="L121" s="577"/>
      <c r="M121" s="577"/>
      <c r="N121" s="577"/>
      <c r="O121" s="577"/>
      <c r="P121" s="577"/>
      <c r="Q121" s="577"/>
      <c r="R121" s="658">
        <f t="shared" si="168"/>
        <v>0</v>
      </c>
      <c r="S121" s="646">
        <f t="shared" si="169"/>
        <v>0</v>
      </c>
      <c r="T121" s="646">
        <f t="shared" si="170"/>
        <v>0</v>
      </c>
      <c r="U121" s="646">
        <f t="shared" si="171"/>
        <v>0</v>
      </c>
      <c r="V121" s="646">
        <f t="shared" si="172"/>
        <v>395.14</v>
      </c>
      <c r="W121" s="646">
        <f t="shared" si="173"/>
        <v>0</v>
      </c>
      <c r="X121" s="646">
        <f t="shared" si="174"/>
        <v>0</v>
      </c>
      <c r="Y121" s="646">
        <f t="shared" si="175"/>
        <v>0</v>
      </c>
      <c r="Z121" s="646">
        <f t="shared" si="176"/>
        <v>0</v>
      </c>
      <c r="AA121" s="646">
        <f t="shared" si="177"/>
        <v>0</v>
      </c>
      <c r="AB121" s="646">
        <f t="shared" si="178"/>
        <v>0</v>
      </c>
      <c r="AC121" s="646">
        <f t="shared" si="179"/>
        <v>0</v>
      </c>
      <c r="AD121" s="645" t="str">
        <f>IF(OR(AND($E121=$A$6,$D$9=AD$15),AND($E121=$A$10,$D$11=AD$15),AND($E121=$A$3,$D$5=AD$15)),$D121-SUM($R121:AC121),IF($E121=$A$10,ROUND(_xlfn.XLOOKUP(AD$15,$D$10:$D$11,$C$10:$C$11,0,0)*$D121,2),IF($E121=$A$3,ROUND(_xlfn.XLOOKUP(AD$15,$D$3:$D$5,$C$3:$C$5,0,0)*$D121,2),IF($E121=$A$6,ROUND(_xlfn.XLOOKUP(AD$15,$D$6:$D$9,$C$6:$C$9,0,0)*$D121,2),""))))</f>
        <v/>
      </c>
      <c r="AE121" s="646" t="str">
        <f>IF(OR(AND($E121=$A$6,$D$9=AE$15),AND($E121=$A$10,$D$11=AE$15),AND($E121=$A$3,$D$5=AE$15)),$D121-SUM($R121:AD121),IF($E121=$A$10,ROUND(_xlfn.XLOOKUP(AE$15,$D$10:$D$11,$C$10:$C$11,0,0)*$D121,2),IF($E121=$A$3,ROUND(_xlfn.XLOOKUP(AE$15,$D$3:$D$5,$C$3:$C$5,0,0)*$D121,2),IF($E121=$A$6,ROUND(_xlfn.XLOOKUP(AE$15,$D$6:$D$9,$C$6:$C$9,0,0)*$D121,2),""))))</f>
        <v/>
      </c>
      <c r="AF121" s="647" t="str">
        <f>IF(OR(AND($E121=$A$6,$D$9=AF$15),AND($E121=$A$10,$D$11=AF$15),AND($E121=$A$3,$D$5=AF$15)),$D121-SUM($R121:AE121),IF($E121=$A$10,ROUND(_xlfn.XLOOKUP(AF$15,$D$10:$D$11,$C$10:$C$11,0,0)*$D121,2),IF($E121=$A$3,ROUND(_xlfn.XLOOKUP(AF$15,$D$3:$D$5,$C$3:$C$5,0,0)*$D121,2),IF($E121=$A$6,ROUND(_xlfn.XLOOKUP(AF$15,$D$6:$D$9,$C$6:$C$9,0,0)*$D121,2),""))))</f>
        <v/>
      </c>
      <c r="AG121" s="645"/>
      <c r="AH121" s="646"/>
      <c r="AI121" s="646"/>
      <c r="AJ121" s="646"/>
      <c r="AK121" s="647"/>
      <c r="AL121" s="645" t="str">
        <f>IF(OR(AND($E121=$A$6,$D$9=AL$15),AND($E121=$A$10,$D$11=AL$15),AND($E121=$A$3,$D$5=AL$15)),$D121-SUM($R121:AK121),IF($E121=$A$10,ROUND(_xlfn.XLOOKUP(AL$15,$D$10:$D$11,$C$10:$C$11,0,0)*$D121,2),IF($E121=$A$3,ROUND(_xlfn.XLOOKUP(AL$15,$D$3:$D$5,$C$3:$C$5,0,0)*$D121,2),IF($E121=$A$6,ROUND(_xlfn.XLOOKUP(AL$15,$D$6:$D$9,$C$6:$C$9,0,0)*$D121,2),""))))</f>
        <v/>
      </c>
      <c r="AM121" s="646" t="str">
        <f>IF(OR(AND($E121=$A$6,$D$9=AM$15),AND($E121=$A$10,$D$11=AM$15),AND($E121=$A$3,$D$5=AM$15)),$D121-SUM($R121:AL121),IF($E121=$A$10,ROUND(_xlfn.XLOOKUP(AM$15,$D$10:$D$11,$C$10:$C$11,0,0)*$D121,2),IF($E121=$A$3,ROUND(_xlfn.XLOOKUP(AM$15,$D$3:$D$5,$C$3:$C$5,0,0)*$D121,2),IF($E121=$A$6,ROUND(_xlfn.XLOOKUP(AM$15,$D$6:$D$9,$C$6:$C$9,0,0)*$D121,2),""))))</f>
        <v/>
      </c>
      <c r="AN121" s="647" t="str">
        <f>IF(OR(AND($E121=$A$6,$D$9=AN$15),AND($E121=$A$10,$D$11=AN$15),AND($E121=$A$3,$D$5=AN$15)),$D121-SUM($R121:AM121),IF($E121=$A$10,ROUND(_xlfn.XLOOKUP(AN$15,$D$10:$D$11,$C$10:$C$11,0,0)*$D121,2),IF($E121=$A$3,ROUND(_xlfn.XLOOKUP(AN$15,$D$3:$D$5,$C$3:$C$5,0,0)*$D121,2),IF($E121=$A$6,ROUND(_xlfn.XLOOKUP(AN$15,$D$6:$D$9,$C$6:$C$9,0,0)*$D121,2),""))))</f>
        <v/>
      </c>
      <c r="AO121" s="645"/>
      <c r="AP121" s="646"/>
      <c r="AQ121" s="647"/>
      <c r="AR121" s="646"/>
      <c r="AS121" s="645"/>
      <c r="AT121" s="647"/>
      <c r="AU121" s="648" t="str">
        <f>IF(OR(AND($E121=$A$6,$D$9=AU$15),AND($E121=$A$10,$D$11=AU$15),AND($E121=$A$3,$D$5=AU$15)),$D121-SUM($R121:AT121),IF($E121=$A$10,ROUND(_xlfn.XLOOKUP(AU$15,$D$10:$D$11,$C$10:$C$11,0,0)*$D121,2),IF($E121=$A$3,ROUND(_xlfn.XLOOKUP(AU$15,$D$3:$D$5,$C$3:$C$5,0,0)*$D121,2),IF($E121=$A$6,ROUND(_xlfn.XLOOKUP(AU$15,$D$6:$D$9,$C$6:$C$9,0,0)*$D121,2),""))))</f>
        <v/>
      </c>
      <c r="AV121" s="673" t="str">
        <f t="shared" si="180"/>
        <v/>
      </c>
    </row>
    <row r="122" spans="1:48" ht="15" x14ac:dyDescent="0.2">
      <c r="A122" s="567" t="s">
        <v>4793</v>
      </c>
      <c r="B122" s="566" t="s">
        <v>4794</v>
      </c>
      <c r="C122" s="583">
        <f t="shared" si="142"/>
        <v>1.6918700336577899E-2</v>
      </c>
      <c r="D122" s="564">
        <f>SUBTOTAL(9,D123:D124)</f>
        <v>437943.52</v>
      </c>
      <c r="E122" s="563"/>
      <c r="F122" s="561"/>
      <c r="G122" s="562"/>
      <c r="H122" s="561"/>
      <c r="I122" s="562"/>
      <c r="J122" s="561"/>
      <c r="K122" s="562"/>
      <c r="L122" s="561"/>
      <c r="M122" s="562"/>
      <c r="N122" s="561"/>
      <c r="O122" s="562"/>
      <c r="P122" s="561"/>
      <c r="Q122" s="560"/>
      <c r="R122" s="640"/>
      <c r="S122" s="641"/>
      <c r="T122" s="640"/>
      <c r="U122" s="641"/>
      <c r="V122" s="640"/>
      <c r="W122" s="641"/>
      <c r="X122" s="640"/>
      <c r="Y122" s="641"/>
      <c r="Z122" s="640"/>
      <c r="AA122" s="641"/>
      <c r="AB122" s="640"/>
      <c r="AC122" s="641"/>
      <c r="AD122" s="640"/>
      <c r="AE122" s="641"/>
      <c r="AF122" s="640"/>
      <c r="AG122" s="641"/>
      <c r="AH122" s="640"/>
      <c r="AI122" s="641"/>
      <c r="AJ122" s="640"/>
      <c r="AK122" s="641"/>
      <c r="AL122" s="640"/>
      <c r="AM122" s="641"/>
      <c r="AN122" s="640"/>
      <c r="AO122" s="641"/>
      <c r="AP122" s="640"/>
      <c r="AQ122" s="641"/>
      <c r="AR122" s="640"/>
      <c r="AS122" s="641"/>
      <c r="AT122" s="640"/>
      <c r="AU122" s="642"/>
      <c r="AV122" s="673"/>
    </row>
    <row r="123" spans="1:48" ht="28.5" outlineLevel="1" x14ac:dyDescent="0.2">
      <c r="A123" s="559" t="s">
        <v>5323</v>
      </c>
      <c r="B123" s="558" t="s">
        <v>4795</v>
      </c>
      <c r="C123" s="557">
        <f t="shared" si="142"/>
        <v>1.3534960423790925E-2</v>
      </c>
      <c r="D123" s="556">
        <f>Produtos!$D116</f>
        <v>350354.82</v>
      </c>
      <c r="E123" s="578" t="s">
        <v>5296</v>
      </c>
      <c r="F123" s="577"/>
      <c r="G123" s="577"/>
      <c r="H123" s="577"/>
      <c r="I123" s="577"/>
      <c r="J123" s="577"/>
      <c r="K123" s="577" t="s">
        <v>5295</v>
      </c>
      <c r="L123" s="577" t="s">
        <v>5295</v>
      </c>
      <c r="M123" s="577" t="s">
        <v>5295</v>
      </c>
      <c r="N123" s="577" t="s">
        <v>5295</v>
      </c>
      <c r="O123" s="577">
        <v>1</v>
      </c>
      <c r="P123" s="577"/>
      <c r="Q123" s="577"/>
      <c r="R123" s="658">
        <f t="shared" ref="R123:R124" si="181">IF(F123=1,ROUND(_xlfn.XLOOKUP($E123,$A$2:$A$11,$C$2:$C$11,0,0)*F123*$D123,2),0)</f>
        <v>0</v>
      </c>
      <c r="S123" s="646">
        <f t="shared" ref="S123:S124" si="182">IF(G123=1,ROUND(_xlfn.XLOOKUP($E123,$A$2:$A$11,$C$2:$C$11,0,0)*G123*$D123,2),0)</f>
        <v>0</v>
      </c>
      <c r="T123" s="646">
        <f t="shared" ref="T123:T124" si="183">IF(H123=1,ROUND(_xlfn.XLOOKUP($E123,$A$2:$A$11,$C$2:$C$11,0,0)*H123*$D123,2),0)</f>
        <v>0</v>
      </c>
      <c r="U123" s="646">
        <f t="shared" ref="U123:U124" si="184">IF(I123=1,ROUND(_xlfn.XLOOKUP($E123,$A$2:$A$11,$C$2:$C$11,0,0)*I123*$D123,2),0)</f>
        <v>0</v>
      </c>
      <c r="V123" s="646">
        <f t="shared" ref="V123:V124" si="185">IF(J123=1,ROUND(_xlfn.XLOOKUP($E123,$A$2:$A$11,$C$2:$C$11,0,0)*J123*$D123,2),0)</f>
        <v>0</v>
      </c>
      <c r="W123" s="646">
        <f t="shared" ref="W123:W124" si="186">IF(K123=1,ROUND(_xlfn.XLOOKUP($E123,$A$2:$A$11,$C$2:$C$11,0,0)*K123*$D123,2),0)</f>
        <v>0</v>
      </c>
      <c r="X123" s="646">
        <f t="shared" ref="X123:X124" si="187">IF(L123=1,ROUND(_xlfn.XLOOKUP($E123,$A$2:$A$11,$C$2:$C$11,0,0)*L123*$D123,2),0)</f>
        <v>0</v>
      </c>
      <c r="Y123" s="646">
        <f t="shared" ref="Y123:Y124" si="188">IF(M123=1,ROUND(_xlfn.XLOOKUP($E123,$A$2:$A$11,$C$2:$C$11,0,0)*M123*$D123,2),0)</f>
        <v>0</v>
      </c>
      <c r="Z123" s="646">
        <f t="shared" ref="Z123:Z124" si="189">IF(N123=1,ROUND(_xlfn.XLOOKUP($E123,$A$2:$A$11,$C$2:$C$11,0,0)*N123*$D123,2),0)</f>
        <v>0</v>
      </c>
      <c r="AA123" s="646">
        <f t="shared" ref="AA123:AA124" si="190">IF(O123=1,ROUND(_xlfn.XLOOKUP($E123,$A$2:$A$11,$C$2:$C$11,0,0)*O123*$D123,2),0)</f>
        <v>87588.71</v>
      </c>
      <c r="AB123" s="646">
        <f t="shared" ref="AB123:AB124" si="191">IF(P123=1,ROUND(_xlfn.XLOOKUP($E123,$A$2:$A$11,$C$2:$C$11,0,0)*P123*$D123,2),0)</f>
        <v>0</v>
      </c>
      <c r="AC123" s="646">
        <f t="shared" ref="AC123:AC124" si="192">IF(Q123=1,ROUND(_xlfn.XLOOKUP($E123,$A$2:$A$11,$C$2:$C$11,0,0)*Q123*$D123,2),0)</f>
        <v>0</v>
      </c>
      <c r="AD123" s="645">
        <f>IF(OR(AND($E123=$A$6,$D$9=AD$15),AND($E123=$A$10,$D$11=AD$15),AND($E123=$A$3,$D$5=AD$15)),$D123-SUM($R123:AC123),IF($E123=$A$10,ROUND(_xlfn.XLOOKUP(AD$15,$D$10:$D$11,$C$10:$C$11,0,0)*$D123,2),IF($E123=$A$3,ROUND(_xlfn.XLOOKUP(AD$15,$D$3:$D$5,$C$3:$C$5,0,0)*$D123,2),IF($E123=$A$6,ROUND(_xlfn.XLOOKUP(AD$15,$D$6:$D$9,$C$6:$C$9,0,0)*$D123,2),""))))</f>
        <v>0</v>
      </c>
      <c r="AE123" s="646">
        <f>IF(OR(AND($E123=$A$6,$D$9=AE$15),AND($E123=$A$10,$D$11=AE$15),AND($E123=$A$3,$D$5=AE$15)),$D123-SUM($R123:AD123),IF($E123=$A$10,ROUND(_xlfn.XLOOKUP(AE$15,$D$10:$D$11,$C$10:$C$11,0,0)*$D123,2),IF($E123=$A$3,ROUND(_xlfn.XLOOKUP(AE$15,$D$3:$D$5,$C$3:$C$5,0,0)*$D123,2),IF($E123=$A$6,ROUND(_xlfn.XLOOKUP(AE$15,$D$6:$D$9,$C$6:$C$9,0,0)*$D123,2),""))))</f>
        <v>0</v>
      </c>
      <c r="AF123" s="647">
        <f>IF(OR(AND($E123=$A$6,$D$9=AF$15),AND($E123=$A$10,$D$11=AF$15),AND($E123=$A$3,$D$5=AF$15)),$D123-SUM($R123:AE123),IF($E123=$A$10,ROUND(_xlfn.XLOOKUP(AF$15,$D$10:$D$11,$C$10:$C$11,0,0)*$D123,2),IF($E123=$A$3,ROUND(_xlfn.XLOOKUP(AF$15,$D$3:$D$5,$C$3:$C$5,0,0)*$D123,2),IF($E123=$A$6,ROUND(_xlfn.XLOOKUP(AF$15,$D$6:$D$9,$C$6:$C$9,0,0)*$D123,2),""))))</f>
        <v>87588.71</v>
      </c>
      <c r="AG123" s="645"/>
      <c r="AH123" s="646"/>
      <c r="AI123" s="646"/>
      <c r="AJ123" s="646"/>
      <c r="AK123" s="647"/>
      <c r="AL123" s="645">
        <f>IF(OR(AND($E123=$A$6,$D$9=AL$15),AND($E123=$A$10,$D$11=AL$15),AND($E123=$A$3,$D$5=AL$15)),$D123-SUM($R123:AK123),IF($E123=$A$10,ROUND(_xlfn.XLOOKUP(AL$15,$D$10:$D$11,$C$10:$C$11,0,0)*$D123,2),IF($E123=$A$3,ROUND(_xlfn.XLOOKUP(AL$15,$D$3:$D$5,$C$3:$C$5,0,0)*$D123,2),IF($E123=$A$6,ROUND(_xlfn.XLOOKUP(AL$15,$D$6:$D$9,$C$6:$C$9,0,0)*$D123,2),""))))</f>
        <v>0</v>
      </c>
      <c r="AM123" s="646">
        <f>IF(OR(AND($E123=$A$6,$D$9=AM$15),AND($E123=$A$10,$D$11=AM$15),AND($E123=$A$3,$D$5=AM$15)),$D123-SUM($R123:AL123),IF($E123=$A$10,ROUND(_xlfn.XLOOKUP(AM$15,$D$10:$D$11,$C$10:$C$11,0,0)*$D123,2),IF($E123=$A$3,ROUND(_xlfn.XLOOKUP(AM$15,$D$3:$D$5,$C$3:$C$5,0,0)*$D123,2),IF($E123=$A$6,ROUND(_xlfn.XLOOKUP(AM$15,$D$6:$D$9,$C$6:$C$9,0,0)*$D123,2),""))))</f>
        <v>0</v>
      </c>
      <c r="AN123" s="647">
        <f>IF(OR(AND($E123=$A$6,$D$9=AN$15),AND($E123=$A$10,$D$11=AN$15),AND($E123=$A$3,$D$5=AN$15)),$D123-SUM($R123:AM123),IF($E123=$A$10,ROUND(_xlfn.XLOOKUP(AN$15,$D$10:$D$11,$C$10:$C$11,0,0)*$D123,2),IF($E123=$A$3,ROUND(_xlfn.XLOOKUP(AN$15,$D$3:$D$5,$C$3:$C$5,0,0)*$D123,2),IF($E123=$A$6,ROUND(_xlfn.XLOOKUP(AN$15,$D$6:$D$9,$C$6:$C$9,0,0)*$D123,2),""))))</f>
        <v>87588.71</v>
      </c>
      <c r="AO123" s="645"/>
      <c r="AP123" s="646"/>
      <c r="AQ123" s="647"/>
      <c r="AR123" s="646"/>
      <c r="AS123" s="645"/>
      <c r="AT123" s="647"/>
      <c r="AU123" s="648">
        <f>IF(OR(AND($E123=$A$6,$D$9=AU$15),AND($E123=$A$10,$D$11=AU$15),AND($E123=$A$3,$D$5=AU$15)),$D123-SUM($R123:AT123),IF($E123=$A$10,ROUND(_xlfn.XLOOKUP(AU$15,$D$10:$D$11,$C$10:$C$11,0,0)*$D123,2),IF($E123=$A$3,ROUND(_xlfn.XLOOKUP(AU$15,$D$3:$D$5,$C$3:$C$5,0,0)*$D123,2),IF($E123=$A$6,ROUND(_xlfn.XLOOKUP(AU$15,$D$6:$D$9,$C$6:$C$9,0,0)*$D123,2),""))))</f>
        <v>87588.69</v>
      </c>
      <c r="AV123" s="673" t="str">
        <f>IF(SUM(R123:AU123)=D123,"","CORRIGIR")</f>
        <v/>
      </c>
    </row>
    <row r="124" spans="1:48" ht="14.25" outlineLevel="1" x14ac:dyDescent="0.2">
      <c r="A124" s="559" t="s">
        <v>5322</v>
      </c>
      <c r="B124" s="558" t="s">
        <v>4796</v>
      </c>
      <c r="C124" s="557">
        <f t="shared" si="142"/>
        <v>3.3837399127869742E-3</v>
      </c>
      <c r="D124" s="556">
        <f>Produtos!$D117</f>
        <v>87588.7</v>
      </c>
      <c r="E124" s="578" t="s">
        <v>5296</v>
      </c>
      <c r="F124" s="577"/>
      <c r="G124" s="577"/>
      <c r="H124" s="577"/>
      <c r="I124" s="577"/>
      <c r="J124" s="577"/>
      <c r="K124" s="577" t="s">
        <v>5295</v>
      </c>
      <c r="L124" s="577" t="s">
        <v>5295</v>
      </c>
      <c r="M124" s="577" t="s">
        <v>5295</v>
      </c>
      <c r="N124" s="577" t="s">
        <v>5295</v>
      </c>
      <c r="O124" s="577">
        <v>1</v>
      </c>
      <c r="P124" s="577"/>
      <c r="Q124" s="577"/>
      <c r="R124" s="658">
        <f t="shared" si="181"/>
        <v>0</v>
      </c>
      <c r="S124" s="646">
        <f t="shared" si="182"/>
        <v>0</v>
      </c>
      <c r="T124" s="646">
        <f t="shared" si="183"/>
        <v>0</v>
      </c>
      <c r="U124" s="646">
        <f t="shared" si="184"/>
        <v>0</v>
      </c>
      <c r="V124" s="646">
        <f t="shared" si="185"/>
        <v>0</v>
      </c>
      <c r="W124" s="646">
        <f t="shared" si="186"/>
        <v>0</v>
      </c>
      <c r="X124" s="646">
        <f t="shared" si="187"/>
        <v>0</v>
      </c>
      <c r="Y124" s="646">
        <f t="shared" si="188"/>
        <v>0</v>
      </c>
      <c r="Z124" s="646">
        <f t="shared" si="189"/>
        <v>0</v>
      </c>
      <c r="AA124" s="646">
        <f t="shared" si="190"/>
        <v>21897.18</v>
      </c>
      <c r="AB124" s="646">
        <f t="shared" si="191"/>
        <v>0</v>
      </c>
      <c r="AC124" s="646">
        <f t="shared" si="192"/>
        <v>0</v>
      </c>
      <c r="AD124" s="645">
        <f>IF(OR(AND($E124=$A$6,$D$9=AD$15),AND($E124=$A$10,$D$11=AD$15),AND($E124=$A$3,$D$5=AD$15)),$D124-SUM($R124:AC124),IF($E124=$A$10,ROUND(_xlfn.XLOOKUP(AD$15,$D$10:$D$11,$C$10:$C$11,0,0)*$D124,2),IF($E124=$A$3,ROUND(_xlfn.XLOOKUP(AD$15,$D$3:$D$5,$C$3:$C$5,0,0)*$D124,2),IF($E124=$A$6,ROUND(_xlfn.XLOOKUP(AD$15,$D$6:$D$9,$C$6:$C$9,0,0)*$D124,2),""))))</f>
        <v>0</v>
      </c>
      <c r="AE124" s="646">
        <f>IF(OR(AND($E124=$A$6,$D$9=AE$15),AND($E124=$A$10,$D$11=AE$15),AND($E124=$A$3,$D$5=AE$15)),$D124-SUM($R124:AD124),IF($E124=$A$10,ROUND(_xlfn.XLOOKUP(AE$15,$D$10:$D$11,$C$10:$C$11,0,0)*$D124,2),IF($E124=$A$3,ROUND(_xlfn.XLOOKUP(AE$15,$D$3:$D$5,$C$3:$C$5,0,0)*$D124,2),IF($E124=$A$6,ROUND(_xlfn.XLOOKUP(AE$15,$D$6:$D$9,$C$6:$C$9,0,0)*$D124,2),""))))</f>
        <v>0</v>
      </c>
      <c r="AF124" s="647">
        <f>IF(OR(AND($E124=$A$6,$D$9=AF$15),AND($E124=$A$10,$D$11=AF$15),AND($E124=$A$3,$D$5=AF$15)),$D124-SUM($R124:AE124),IF($E124=$A$10,ROUND(_xlfn.XLOOKUP(AF$15,$D$10:$D$11,$C$10:$C$11,0,0)*$D124,2),IF($E124=$A$3,ROUND(_xlfn.XLOOKUP(AF$15,$D$3:$D$5,$C$3:$C$5,0,0)*$D124,2),IF($E124=$A$6,ROUND(_xlfn.XLOOKUP(AF$15,$D$6:$D$9,$C$6:$C$9,0,0)*$D124,2),""))))</f>
        <v>21897.18</v>
      </c>
      <c r="AG124" s="645"/>
      <c r="AH124" s="646"/>
      <c r="AI124" s="646"/>
      <c r="AJ124" s="646"/>
      <c r="AK124" s="647"/>
      <c r="AL124" s="645">
        <f>IF(OR(AND($E124=$A$6,$D$9=AL$15),AND($E124=$A$10,$D$11=AL$15),AND($E124=$A$3,$D$5=AL$15)),$D124-SUM($R124:AK124),IF($E124=$A$10,ROUND(_xlfn.XLOOKUP(AL$15,$D$10:$D$11,$C$10:$C$11,0,0)*$D124,2),IF($E124=$A$3,ROUND(_xlfn.XLOOKUP(AL$15,$D$3:$D$5,$C$3:$C$5,0,0)*$D124,2),IF($E124=$A$6,ROUND(_xlfn.XLOOKUP(AL$15,$D$6:$D$9,$C$6:$C$9,0,0)*$D124,2),""))))</f>
        <v>0</v>
      </c>
      <c r="AM124" s="646">
        <f>IF(OR(AND($E124=$A$6,$D$9=AM$15),AND($E124=$A$10,$D$11=AM$15),AND($E124=$A$3,$D$5=AM$15)),$D124-SUM($R124:AL124),IF($E124=$A$10,ROUND(_xlfn.XLOOKUP(AM$15,$D$10:$D$11,$C$10:$C$11,0,0)*$D124,2),IF($E124=$A$3,ROUND(_xlfn.XLOOKUP(AM$15,$D$3:$D$5,$C$3:$C$5,0,0)*$D124,2),IF($E124=$A$6,ROUND(_xlfn.XLOOKUP(AM$15,$D$6:$D$9,$C$6:$C$9,0,0)*$D124,2),""))))</f>
        <v>0</v>
      </c>
      <c r="AN124" s="647">
        <f>IF(OR(AND($E124=$A$6,$D$9=AN$15),AND($E124=$A$10,$D$11=AN$15),AND($E124=$A$3,$D$5=AN$15)),$D124-SUM($R124:AM124),IF($E124=$A$10,ROUND(_xlfn.XLOOKUP(AN$15,$D$10:$D$11,$C$10:$C$11,0,0)*$D124,2),IF($E124=$A$3,ROUND(_xlfn.XLOOKUP(AN$15,$D$3:$D$5,$C$3:$C$5,0,0)*$D124,2),IF($E124=$A$6,ROUND(_xlfn.XLOOKUP(AN$15,$D$6:$D$9,$C$6:$C$9,0,0)*$D124,2),""))))</f>
        <v>21897.18</v>
      </c>
      <c r="AO124" s="645"/>
      <c r="AP124" s="646"/>
      <c r="AQ124" s="647"/>
      <c r="AR124" s="646"/>
      <c r="AS124" s="645"/>
      <c r="AT124" s="647"/>
      <c r="AU124" s="648">
        <f>IF(OR(AND($E124=$A$6,$D$9=AU$15),AND($E124=$A$10,$D$11=AU$15),AND($E124=$A$3,$D$5=AU$15)),$D124-SUM($R124:AT124),IF($E124=$A$10,ROUND(_xlfn.XLOOKUP(AU$15,$D$10:$D$11,$C$10:$C$11,0,0)*$D124,2),IF($E124=$A$3,ROUND(_xlfn.XLOOKUP(AU$15,$D$3:$D$5,$C$3:$C$5,0,0)*$D124,2),IF($E124=$A$6,ROUND(_xlfn.XLOOKUP(AU$15,$D$6:$D$9,$C$6:$C$9,0,0)*$D124,2),""))))</f>
        <v>21897.159999999989</v>
      </c>
      <c r="AV124" s="673" t="str">
        <f>IF(SUM(R124:AU124)=D124,"","CORRIGIR")</f>
        <v/>
      </c>
    </row>
    <row r="125" spans="1:48" ht="30" x14ac:dyDescent="0.2">
      <c r="A125" s="567" t="s">
        <v>4797</v>
      </c>
      <c r="B125" s="566" t="s">
        <v>4798</v>
      </c>
      <c r="C125" s="583">
        <f t="shared" si="142"/>
        <v>3.0159422843014747E-2</v>
      </c>
      <c r="D125" s="564">
        <f>SUBTOTAL(9,D126:D128)</f>
        <v>780681.94</v>
      </c>
      <c r="E125" s="563"/>
      <c r="F125" s="561"/>
      <c r="G125" s="562"/>
      <c r="H125" s="561"/>
      <c r="I125" s="562"/>
      <c r="J125" s="561"/>
      <c r="K125" s="562"/>
      <c r="L125" s="561"/>
      <c r="M125" s="562"/>
      <c r="N125" s="561"/>
      <c r="O125" s="562"/>
      <c r="P125" s="561"/>
      <c r="Q125" s="560"/>
      <c r="R125" s="640"/>
      <c r="S125" s="641"/>
      <c r="T125" s="640"/>
      <c r="U125" s="641"/>
      <c r="V125" s="640"/>
      <c r="W125" s="641"/>
      <c r="X125" s="640"/>
      <c r="Y125" s="641"/>
      <c r="Z125" s="640"/>
      <c r="AA125" s="641"/>
      <c r="AB125" s="640"/>
      <c r="AC125" s="641"/>
      <c r="AD125" s="640"/>
      <c r="AE125" s="641"/>
      <c r="AF125" s="640"/>
      <c r="AG125" s="641"/>
      <c r="AH125" s="640"/>
      <c r="AI125" s="641"/>
      <c r="AJ125" s="640"/>
      <c r="AK125" s="641"/>
      <c r="AL125" s="640"/>
      <c r="AM125" s="641"/>
      <c r="AN125" s="640"/>
      <c r="AO125" s="641"/>
      <c r="AP125" s="640"/>
      <c r="AQ125" s="641"/>
      <c r="AR125" s="640"/>
      <c r="AS125" s="641"/>
      <c r="AT125" s="640"/>
      <c r="AU125" s="642"/>
      <c r="AV125" s="673"/>
    </row>
    <row r="126" spans="1:48" ht="14.25" outlineLevel="1" x14ac:dyDescent="0.2">
      <c r="A126" s="559" t="s">
        <v>5321</v>
      </c>
      <c r="B126" s="558" t="s">
        <v>4799</v>
      </c>
      <c r="C126" s="557">
        <f t="shared" si="142"/>
        <v>1.0555798033687313E-2</v>
      </c>
      <c r="D126" s="556">
        <f>Produtos!$D119</f>
        <v>273238.68</v>
      </c>
      <c r="E126" s="578" t="s">
        <v>5296</v>
      </c>
      <c r="F126" s="577"/>
      <c r="G126" s="577"/>
      <c r="H126" s="577"/>
      <c r="I126" s="577"/>
      <c r="J126" s="577"/>
      <c r="K126" s="577" t="s">
        <v>5295</v>
      </c>
      <c r="L126" s="577" t="s">
        <v>5295</v>
      </c>
      <c r="M126" s="577" t="s">
        <v>5295</v>
      </c>
      <c r="N126" s="577" t="s">
        <v>5295</v>
      </c>
      <c r="O126" s="577">
        <v>1</v>
      </c>
      <c r="P126" s="577"/>
      <c r="Q126" s="577"/>
      <c r="R126" s="658">
        <f t="shared" ref="R126:R128" si="193">IF(F126=1,ROUND(_xlfn.XLOOKUP($E126,$A$2:$A$11,$C$2:$C$11,0,0)*F126*$D126,2),0)</f>
        <v>0</v>
      </c>
      <c r="S126" s="646">
        <f t="shared" ref="S126:S128" si="194">IF(G126=1,ROUND(_xlfn.XLOOKUP($E126,$A$2:$A$11,$C$2:$C$11,0,0)*G126*$D126,2),0)</f>
        <v>0</v>
      </c>
      <c r="T126" s="646">
        <f t="shared" ref="T126:T128" si="195">IF(H126=1,ROUND(_xlfn.XLOOKUP($E126,$A$2:$A$11,$C$2:$C$11,0,0)*H126*$D126,2),0)</f>
        <v>0</v>
      </c>
      <c r="U126" s="646">
        <f t="shared" ref="U126:U128" si="196">IF(I126=1,ROUND(_xlfn.XLOOKUP($E126,$A$2:$A$11,$C$2:$C$11,0,0)*I126*$D126,2),0)</f>
        <v>0</v>
      </c>
      <c r="V126" s="646">
        <f t="shared" ref="V126:V128" si="197">IF(J126=1,ROUND(_xlfn.XLOOKUP($E126,$A$2:$A$11,$C$2:$C$11,0,0)*J126*$D126,2),0)</f>
        <v>0</v>
      </c>
      <c r="W126" s="646">
        <f t="shared" ref="W126:W128" si="198">IF(K126=1,ROUND(_xlfn.XLOOKUP($E126,$A$2:$A$11,$C$2:$C$11,0,0)*K126*$D126,2),0)</f>
        <v>0</v>
      </c>
      <c r="X126" s="646">
        <f t="shared" ref="X126:X128" si="199">IF(L126=1,ROUND(_xlfn.XLOOKUP($E126,$A$2:$A$11,$C$2:$C$11,0,0)*L126*$D126,2),0)</f>
        <v>0</v>
      </c>
      <c r="Y126" s="646">
        <f t="shared" ref="Y126:Y128" si="200">IF(M126=1,ROUND(_xlfn.XLOOKUP($E126,$A$2:$A$11,$C$2:$C$11,0,0)*M126*$D126,2),0)</f>
        <v>0</v>
      </c>
      <c r="Z126" s="646">
        <f t="shared" ref="Z126:Z128" si="201">IF(N126=1,ROUND(_xlfn.XLOOKUP($E126,$A$2:$A$11,$C$2:$C$11,0,0)*N126*$D126,2),0)</f>
        <v>0</v>
      </c>
      <c r="AA126" s="646">
        <f t="shared" ref="AA126:AA128" si="202">IF(O126=1,ROUND(_xlfn.XLOOKUP($E126,$A$2:$A$11,$C$2:$C$11,0,0)*O126*$D126,2),0)</f>
        <v>68309.67</v>
      </c>
      <c r="AB126" s="646">
        <f t="shared" ref="AB126:AB128" si="203">IF(P126=1,ROUND(_xlfn.XLOOKUP($E126,$A$2:$A$11,$C$2:$C$11,0,0)*P126*$D126,2),0)</f>
        <v>0</v>
      </c>
      <c r="AC126" s="646">
        <f t="shared" ref="AC126:AC128" si="204">IF(Q126=1,ROUND(_xlfn.XLOOKUP($E126,$A$2:$A$11,$C$2:$C$11,0,0)*Q126*$D126,2),0)</f>
        <v>0</v>
      </c>
      <c r="AD126" s="645">
        <f>IF(OR(AND($E126=$A$6,$D$9=AD$15),AND($E126=$A$10,$D$11=AD$15),AND($E126=$A$3,$D$5=AD$15)),$D126-SUM($R126:AC126),IF($E126=$A$10,ROUND(_xlfn.XLOOKUP(AD$15,$D$10:$D$11,$C$10:$C$11,0,0)*$D126,2),IF($E126=$A$3,ROUND(_xlfn.XLOOKUP(AD$15,$D$3:$D$5,$C$3:$C$5,0,0)*$D126,2),IF($E126=$A$6,ROUND(_xlfn.XLOOKUP(AD$15,$D$6:$D$9,$C$6:$C$9,0,0)*$D126,2),""))))</f>
        <v>0</v>
      </c>
      <c r="AE126" s="646">
        <f>IF(OR(AND($E126=$A$6,$D$9=AE$15),AND($E126=$A$10,$D$11=AE$15),AND($E126=$A$3,$D$5=AE$15)),$D126-SUM($R126:AD126),IF($E126=$A$10,ROUND(_xlfn.XLOOKUP(AE$15,$D$10:$D$11,$C$10:$C$11,0,0)*$D126,2),IF($E126=$A$3,ROUND(_xlfn.XLOOKUP(AE$15,$D$3:$D$5,$C$3:$C$5,0,0)*$D126,2),IF($E126=$A$6,ROUND(_xlfn.XLOOKUP(AE$15,$D$6:$D$9,$C$6:$C$9,0,0)*$D126,2),""))))</f>
        <v>0</v>
      </c>
      <c r="AF126" s="647">
        <f>IF(OR(AND($E126=$A$6,$D$9=AF$15),AND($E126=$A$10,$D$11=AF$15),AND($E126=$A$3,$D$5=AF$15)),$D126-SUM($R126:AE126),IF($E126=$A$10,ROUND(_xlfn.XLOOKUP(AF$15,$D$10:$D$11,$C$10:$C$11,0,0)*$D126,2),IF($E126=$A$3,ROUND(_xlfn.XLOOKUP(AF$15,$D$3:$D$5,$C$3:$C$5,0,0)*$D126,2),IF($E126=$A$6,ROUND(_xlfn.XLOOKUP(AF$15,$D$6:$D$9,$C$6:$C$9,0,0)*$D126,2),""))))</f>
        <v>68309.67</v>
      </c>
      <c r="AG126" s="645"/>
      <c r="AH126" s="646"/>
      <c r="AI126" s="646"/>
      <c r="AJ126" s="646"/>
      <c r="AK126" s="647"/>
      <c r="AL126" s="645">
        <f>IF(OR(AND($E126=$A$6,$D$9=AL$15),AND($E126=$A$10,$D$11=AL$15),AND($E126=$A$3,$D$5=AL$15)),$D126-SUM($R126:AK126),IF($E126=$A$10,ROUND(_xlfn.XLOOKUP(AL$15,$D$10:$D$11,$C$10:$C$11,0,0)*$D126,2),IF($E126=$A$3,ROUND(_xlfn.XLOOKUP(AL$15,$D$3:$D$5,$C$3:$C$5,0,0)*$D126,2),IF($E126=$A$6,ROUND(_xlfn.XLOOKUP(AL$15,$D$6:$D$9,$C$6:$C$9,0,0)*$D126,2),""))))</f>
        <v>0</v>
      </c>
      <c r="AM126" s="646">
        <f>IF(OR(AND($E126=$A$6,$D$9=AM$15),AND($E126=$A$10,$D$11=AM$15),AND($E126=$A$3,$D$5=AM$15)),$D126-SUM($R126:AL126),IF($E126=$A$10,ROUND(_xlfn.XLOOKUP(AM$15,$D$10:$D$11,$C$10:$C$11,0,0)*$D126,2),IF($E126=$A$3,ROUND(_xlfn.XLOOKUP(AM$15,$D$3:$D$5,$C$3:$C$5,0,0)*$D126,2),IF($E126=$A$6,ROUND(_xlfn.XLOOKUP(AM$15,$D$6:$D$9,$C$6:$C$9,0,0)*$D126,2),""))))</f>
        <v>0</v>
      </c>
      <c r="AN126" s="647">
        <f>IF(OR(AND($E126=$A$6,$D$9=AN$15),AND($E126=$A$10,$D$11=AN$15),AND($E126=$A$3,$D$5=AN$15)),$D126-SUM($R126:AM126),IF($E126=$A$10,ROUND(_xlfn.XLOOKUP(AN$15,$D$10:$D$11,$C$10:$C$11,0,0)*$D126,2),IF($E126=$A$3,ROUND(_xlfn.XLOOKUP(AN$15,$D$3:$D$5,$C$3:$C$5,0,0)*$D126,2),IF($E126=$A$6,ROUND(_xlfn.XLOOKUP(AN$15,$D$6:$D$9,$C$6:$C$9,0,0)*$D126,2),""))))</f>
        <v>68309.67</v>
      </c>
      <c r="AO126" s="645"/>
      <c r="AP126" s="646"/>
      <c r="AQ126" s="647"/>
      <c r="AR126" s="646"/>
      <c r="AS126" s="645"/>
      <c r="AT126" s="647"/>
      <c r="AU126" s="648">
        <f>IF(OR(AND($E126=$A$6,$D$9=AU$15),AND($E126=$A$10,$D$11=AU$15),AND($E126=$A$3,$D$5=AU$15)),$D126-SUM($R126:AT126),IF($E126=$A$10,ROUND(_xlfn.XLOOKUP(AU$15,$D$10:$D$11,$C$10:$C$11,0,0)*$D126,2),IF($E126=$A$3,ROUND(_xlfn.XLOOKUP(AU$15,$D$3:$D$5,$C$3:$C$5,0,0)*$D126,2),IF($E126=$A$6,ROUND(_xlfn.XLOOKUP(AU$15,$D$6:$D$9,$C$6:$C$9,0,0)*$D126,2),""))))</f>
        <v>68309.669999999984</v>
      </c>
      <c r="AV126" s="673" t="str">
        <f>IF(SUM(R126:AU126)=D126,"","CORRIGIR")</f>
        <v/>
      </c>
    </row>
    <row r="127" spans="1:48" ht="14.25" outlineLevel="1" x14ac:dyDescent="0.2">
      <c r="A127" s="559" t="s">
        <v>5320</v>
      </c>
      <c r="B127" s="558" t="s">
        <v>4800</v>
      </c>
      <c r="C127" s="557">
        <f t="shared" si="142"/>
        <v>1.0555798033687313E-2</v>
      </c>
      <c r="D127" s="556">
        <f>Produtos!$D120</f>
        <v>273238.68</v>
      </c>
      <c r="E127" s="578" t="s">
        <v>5296</v>
      </c>
      <c r="F127" s="577"/>
      <c r="G127" s="577"/>
      <c r="H127" s="577"/>
      <c r="I127" s="577"/>
      <c r="J127" s="577"/>
      <c r="K127" s="577" t="s">
        <v>5295</v>
      </c>
      <c r="L127" s="577" t="s">
        <v>5295</v>
      </c>
      <c r="M127" s="577" t="s">
        <v>5295</v>
      </c>
      <c r="N127" s="577" t="s">
        <v>5295</v>
      </c>
      <c r="O127" s="577">
        <v>1</v>
      </c>
      <c r="P127" s="577"/>
      <c r="Q127" s="577"/>
      <c r="R127" s="658">
        <f t="shared" si="193"/>
        <v>0</v>
      </c>
      <c r="S127" s="646">
        <f t="shared" si="194"/>
        <v>0</v>
      </c>
      <c r="T127" s="646">
        <f t="shared" si="195"/>
        <v>0</v>
      </c>
      <c r="U127" s="646">
        <f t="shared" si="196"/>
        <v>0</v>
      </c>
      <c r="V127" s="646">
        <f t="shared" si="197"/>
        <v>0</v>
      </c>
      <c r="W127" s="646">
        <f t="shared" si="198"/>
        <v>0</v>
      </c>
      <c r="X127" s="646">
        <f t="shared" si="199"/>
        <v>0</v>
      </c>
      <c r="Y127" s="646">
        <f t="shared" si="200"/>
        <v>0</v>
      </c>
      <c r="Z127" s="646">
        <f t="shared" si="201"/>
        <v>0</v>
      </c>
      <c r="AA127" s="646">
        <f t="shared" si="202"/>
        <v>68309.67</v>
      </c>
      <c r="AB127" s="646">
        <f t="shared" si="203"/>
        <v>0</v>
      </c>
      <c r="AC127" s="646">
        <f t="shared" si="204"/>
        <v>0</v>
      </c>
      <c r="AD127" s="645">
        <f>IF(OR(AND($E127=$A$6,$D$9=AD$15),AND($E127=$A$10,$D$11=AD$15),AND($E127=$A$3,$D$5=AD$15)),$D127-SUM($R127:AC127),IF($E127=$A$10,ROUND(_xlfn.XLOOKUP(AD$15,$D$10:$D$11,$C$10:$C$11,0,0)*$D127,2),IF($E127=$A$3,ROUND(_xlfn.XLOOKUP(AD$15,$D$3:$D$5,$C$3:$C$5,0,0)*$D127,2),IF($E127=$A$6,ROUND(_xlfn.XLOOKUP(AD$15,$D$6:$D$9,$C$6:$C$9,0,0)*$D127,2),""))))</f>
        <v>0</v>
      </c>
      <c r="AE127" s="646">
        <f>IF(OR(AND($E127=$A$6,$D$9=AE$15),AND($E127=$A$10,$D$11=AE$15),AND($E127=$A$3,$D$5=AE$15)),$D127-SUM($R127:AD127),IF($E127=$A$10,ROUND(_xlfn.XLOOKUP(AE$15,$D$10:$D$11,$C$10:$C$11,0,0)*$D127,2),IF($E127=$A$3,ROUND(_xlfn.XLOOKUP(AE$15,$D$3:$D$5,$C$3:$C$5,0,0)*$D127,2),IF($E127=$A$6,ROUND(_xlfn.XLOOKUP(AE$15,$D$6:$D$9,$C$6:$C$9,0,0)*$D127,2),""))))</f>
        <v>0</v>
      </c>
      <c r="AF127" s="647">
        <f>IF(OR(AND($E127=$A$6,$D$9=AF$15),AND($E127=$A$10,$D$11=AF$15),AND($E127=$A$3,$D$5=AF$15)),$D127-SUM($R127:AE127),IF($E127=$A$10,ROUND(_xlfn.XLOOKUP(AF$15,$D$10:$D$11,$C$10:$C$11,0,0)*$D127,2),IF($E127=$A$3,ROUND(_xlfn.XLOOKUP(AF$15,$D$3:$D$5,$C$3:$C$5,0,0)*$D127,2),IF($E127=$A$6,ROUND(_xlfn.XLOOKUP(AF$15,$D$6:$D$9,$C$6:$C$9,0,0)*$D127,2),""))))</f>
        <v>68309.67</v>
      </c>
      <c r="AG127" s="645"/>
      <c r="AH127" s="646"/>
      <c r="AI127" s="646"/>
      <c r="AJ127" s="646"/>
      <c r="AK127" s="647"/>
      <c r="AL127" s="645">
        <f>IF(OR(AND($E127=$A$6,$D$9=AL$15),AND($E127=$A$10,$D$11=AL$15),AND($E127=$A$3,$D$5=AL$15)),$D127-SUM($R127:AK127),IF($E127=$A$10,ROUND(_xlfn.XLOOKUP(AL$15,$D$10:$D$11,$C$10:$C$11,0,0)*$D127,2),IF($E127=$A$3,ROUND(_xlfn.XLOOKUP(AL$15,$D$3:$D$5,$C$3:$C$5,0,0)*$D127,2),IF($E127=$A$6,ROUND(_xlfn.XLOOKUP(AL$15,$D$6:$D$9,$C$6:$C$9,0,0)*$D127,2),""))))</f>
        <v>0</v>
      </c>
      <c r="AM127" s="646">
        <f>IF(OR(AND($E127=$A$6,$D$9=AM$15),AND($E127=$A$10,$D$11=AM$15),AND($E127=$A$3,$D$5=AM$15)),$D127-SUM($R127:AL127),IF($E127=$A$10,ROUND(_xlfn.XLOOKUP(AM$15,$D$10:$D$11,$C$10:$C$11,0,0)*$D127,2),IF($E127=$A$3,ROUND(_xlfn.XLOOKUP(AM$15,$D$3:$D$5,$C$3:$C$5,0,0)*$D127,2),IF($E127=$A$6,ROUND(_xlfn.XLOOKUP(AM$15,$D$6:$D$9,$C$6:$C$9,0,0)*$D127,2),""))))</f>
        <v>0</v>
      </c>
      <c r="AN127" s="647">
        <f>IF(OR(AND($E127=$A$6,$D$9=AN$15),AND($E127=$A$10,$D$11=AN$15),AND($E127=$A$3,$D$5=AN$15)),$D127-SUM($R127:AM127),IF($E127=$A$10,ROUND(_xlfn.XLOOKUP(AN$15,$D$10:$D$11,$C$10:$C$11,0,0)*$D127,2),IF($E127=$A$3,ROUND(_xlfn.XLOOKUP(AN$15,$D$3:$D$5,$C$3:$C$5,0,0)*$D127,2),IF($E127=$A$6,ROUND(_xlfn.XLOOKUP(AN$15,$D$6:$D$9,$C$6:$C$9,0,0)*$D127,2),""))))</f>
        <v>68309.67</v>
      </c>
      <c r="AO127" s="645"/>
      <c r="AP127" s="646"/>
      <c r="AQ127" s="647"/>
      <c r="AR127" s="646"/>
      <c r="AS127" s="645"/>
      <c r="AT127" s="647"/>
      <c r="AU127" s="648">
        <f>IF(OR(AND($E127=$A$6,$D$9=AU$15),AND($E127=$A$10,$D$11=AU$15),AND($E127=$A$3,$D$5=AU$15)),$D127-SUM($R127:AT127),IF($E127=$A$10,ROUND(_xlfn.XLOOKUP(AU$15,$D$10:$D$11,$C$10:$C$11,0,0)*$D127,2),IF($E127=$A$3,ROUND(_xlfn.XLOOKUP(AU$15,$D$3:$D$5,$C$3:$C$5,0,0)*$D127,2),IF($E127=$A$6,ROUND(_xlfn.XLOOKUP(AU$15,$D$6:$D$9,$C$6:$C$9,0,0)*$D127,2),""))))</f>
        <v>68309.669999999984</v>
      </c>
      <c r="AV127" s="673" t="str">
        <f>IF(SUM(R127:AU127)=D127,"","CORRIGIR")</f>
        <v/>
      </c>
    </row>
    <row r="128" spans="1:48" ht="14.25" outlineLevel="1" x14ac:dyDescent="0.2">
      <c r="A128" s="559" t="s">
        <v>5319</v>
      </c>
      <c r="B128" s="558" t="s">
        <v>4801</v>
      </c>
      <c r="C128" s="557">
        <f t="shared" si="142"/>
        <v>9.0478267756401217E-3</v>
      </c>
      <c r="D128" s="556">
        <f>Produtos!$D121</f>
        <v>234204.58</v>
      </c>
      <c r="E128" s="578" t="s">
        <v>5296</v>
      </c>
      <c r="F128" s="577"/>
      <c r="G128" s="577"/>
      <c r="H128" s="577"/>
      <c r="I128" s="577"/>
      <c r="J128" s="577"/>
      <c r="K128" s="577" t="s">
        <v>5295</v>
      </c>
      <c r="L128" s="577" t="s">
        <v>5295</v>
      </c>
      <c r="M128" s="577" t="s">
        <v>5295</v>
      </c>
      <c r="N128" s="577" t="s">
        <v>5295</v>
      </c>
      <c r="O128" s="577">
        <v>1</v>
      </c>
      <c r="P128" s="577"/>
      <c r="Q128" s="577"/>
      <c r="R128" s="658">
        <f t="shared" si="193"/>
        <v>0</v>
      </c>
      <c r="S128" s="646">
        <f t="shared" si="194"/>
        <v>0</v>
      </c>
      <c r="T128" s="646">
        <f t="shared" si="195"/>
        <v>0</v>
      </c>
      <c r="U128" s="646">
        <f t="shared" si="196"/>
        <v>0</v>
      </c>
      <c r="V128" s="646">
        <f t="shared" si="197"/>
        <v>0</v>
      </c>
      <c r="W128" s="646">
        <f t="shared" si="198"/>
        <v>0</v>
      </c>
      <c r="X128" s="646">
        <f t="shared" si="199"/>
        <v>0</v>
      </c>
      <c r="Y128" s="646">
        <f t="shared" si="200"/>
        <v>0</v>
      </c>
      <c r="Z128" s="646">
        <f t="shared" si="201"/>
        <v>0</v>
      </c>
      <c r="AA128" s="646">
        <f t="shared" si="202"/>
        <v>58551.15</v>
      </c>
      <c r="AB128" s="646">
        <f t="shared" si="203"/>
        <v>0</v>
      </c>
      <c r="AC128" s="646">
        <f t="shared" si="204"/>
        <v>0</v>
      </c>
      <c r="AD128" s="645">
        <f>IF(OR(AND($E128=$A$6,$D$9=AD$15),AND($E128=$A$10,$D$11=AD$15),AND($E128=$A$3,$D$5=AD$15)),$D128-SUM($R128:AC128),IF($E128=$A$10,ROUND(_xlfn.XLOOKUP(AD$15,$D$10:$D$11,$C$10:$C$11,0,0)*$D128,2),IF($E128=$A$3,ROUND(_xlfn.XLOOKUP(AD$15,$D$3:$D$5,$C$3:$C$5,0,0)*$D128,2),IF($E128=$A$6,ROUND(_xlfn.XLOOKUP(AD$15,$D$6:$D$9,$C$6:$C$9,0,0)*$D128,2),""))))</f>
        <v>0</v>
      </c>
      <c r="AE128" s="646">
        <f>IF(OR(AND($E128=$A$6,$D$9=AE$15),AND($E128=$A$10,$D$11=AE$15),AND($E128=$A$3,$D$5=AE$15)),$D128-SUM($R128:AD128),IF($E128=$A$10,ROUND(_xlfn.XLOOKUP(AE$15,$D$10:$D$11,$C$10:$C$11,0,0)*$D128,2),IF($E128=$A$3,ROUND(_xlfn.XLOOKUP(AE$15,$D$3:$D$5,$C$3:$C$5,0,0)*$D128,2),IF($E128=$A$6,ROUND(_xlfn.XLOOKUP(AE$15,$D$6:$D$9,$C$6:$C$9,0,0)*$D128,2),""))))</f>
        <v>0</v>
      </c>
      <c r="AF128" s="647">
        <f>IF(OR(AND($E128=$A$6,$D$9=AF$15),AND($E128=$A$10,$D$11=AF$15),AND($E128=$A$3,$D$5=AF$15)),$D128-SUM($R128:AE128),IF($E128=$A$10,ROUND(_xlfn.XLOOKUP(AF$15,$D$10:$D$11,$C$10:$C$11,0,0)*$D128,2),IF($E128=$A$3,ROUND(_xlfn.XLOOKUP(AF$15,$D$3:$D$5,$C$3:$C$5,0,0)*$D128,2),IF($E128=$A$6,ROUND(_xlfn.XLOOKUP(AF$15,$D$6:$D$9,$C$6:$C$9,0,0)*$D128,2),""))))</f>
        <v>58551.15</v>
      </c>
      <c r="AG128" s="645"/>
      <c r="AH128" s="646"/>
      <c r="AI128" s="646"/>
      <c r="AJ128" s="646"/>
      <c r="AK128" s="647"/>
      <c r="AL128" s="645">
        <f>IF(OR(AND($E128=$A$6,$D$9=AL$15),AND($E128=$A$10,$D$11=AL$15),AND($E128=$A$3,$D$5=AL$15)),$D128-SUM($R128:AK128),IF($E128=$A$10,ROUND(_xlfn.XLOOKUP(AL$15,$D$10:$D$11,$C$10:$C$11,0,0)*$D128,2),IF($E128=$A$3,ROUND(_xlfn.XLOOKUP(AL$15,$D$3:$D$5,$C$3:$C$5,0,0)*$D128,2),IF($E128=$A$6,ROUND(_xlfn.XLOOKUP(AL$15,$D$6:$D$9,$C$6:$C$9,0,0)*$D128,2),""))))</f>
        <v>0</v>
      </c>
      <c r="AM128" s="646">
        <f>IF(OR(AND($E128=$A$6,$D$9=AM$15),AND($E128=$A$10,$D$11=AM$15),AND($E128=$A$3,$D$5=AM$15)),$D128-SUM($R128:AL128),IF($E128=$A$10,ROUND(_xlfn.XLOOKUP(AM$15,$D$10:$D$11,$C$10:$C$11,0,0)*$D128,2),IF($E128=$A$3,ROUND(_xlfn.XLOOKUP(AM$15,$D$3:$D$5,$C$3:$C$5,0,0)*$D128,2),IF($E128=$A$6,ROUND(_xlfn.XLOOKUP(AM$15,$D$6:$D$9,$C$6:$C$9,0,0)*$D128,2),""))))</f>
        <v>0</v>
      </c>
      <c r="AN128" s="647">
        <f>IF(OR(AND($E128=$A$6,$D$9=AN$15),AND($E128=$A$10,$D$11=AN$15),AND($E128=$A$3,$D$5=AN$15)),$D128-SUM($R128:AM128),IF($E128=$A$10,ROUND(_xlfn.XLOOKUP(AN$15,$D$10:$D$11,$C$10:$C$11,0,0)*$D128,2),IF($E128=$A$3,ROUND(_xlfn.XLOOKUP(AN$15,$D$3:$D$5,$C$3:$C$5,0,0)*$D128,2),IF($E128=$A$6,ROUND(_xlfn.XLOOKUP(AN$15,$D$6:$D$9,$C$6:$C$9,0,0)*$D128,2),""))))</f>
        <v>58551.15</v>
      </c>
      <c r="AO128" s="645"/>
      <c r="AP128" s="646"/>
      <c r="AQ128" s="647"/>
      <c r="AR128" s="646"/>
      <c r="AS128" s="645"/>
      <c r="AT128" s="647"/>
      <c r="AU128" s="648">
        <f>IF(OR(AND($E128=$A$6,$D$9=AU$15),AND($E128=$A$10,$D$11=AU$15),AND($E128=$A$3,$D$5=AU$15)),$D128-SUM($R128:AT128),IF($E128=$A$10,ROUND(_xlfn.XLOOKUP(AU$15,$D$10:$D$11,$C$10:$C$11,0,0)*$D128,2),IF($E128=$A$3,ROUND(_xlfn.XLOOKUP(AU$15,$D$3:$D$5,$C$3:$C$5,0,0)*$D128,2),IF($E128=$A$6,ROUND(_xlfn.XLOOKUP(AU$15,$D$6:$D$9,$C$6:$C$9,0,0)*$D128,2),""))))</f>
        <v>58551.129999999976</v>
      </c>
      <c r="AV128" s="673" t="str">
        <f>IF(SUM(R128:AU128)=D128,"","CORRIGIR")</f>
        <v/>
      </c>
    </row>
    <row r="129" spans="1:48" ht="15" x14ac:dyDescent="0.2">
      <c r="A129" s="567" t="s">
        <v>4802</v>
      </c>
      <c r="B129" s="566" t="s">
        <v>4803</v>
      </c>
      <c r="C129" s="583">
        <f t="shared" si="142"/>
        <v>1.5447508818199965E-2</v>
      </c>
      <c r="D129" s="564">
        <f>SUBTOTAL(9,D130:D132)</f>
        <v>399861.47</v>
      </c>
      <c r="E129" s="563"/>
      <c r="F129" s="561"/>
      <c r="G129" s="562"/>
      <c r="H129" s="561"/>
      <c r="I129" s="562"/>
      <c r="J129" s="561"/>
      <c r="K129" s="562"/>
      <c r="L129" s="561"/>
      <c r="M129" s="562"/>
      <c r="N129" s="561"/>
      <c r="O129" s="562"/>
      <c r="P129" s="561"/>
      <c r="Q129" s="560"/>
      <c r="R129" s="640"/>
      <c r="S129" s="641"/>
      <c r="T129" s="640"/>
      <c r="U129" s="641"/>
      <c r="V129" s="640"/>
      <c r="W129" s="641"/>
      <c r="X129" s="640"/>
      <c r="Y129" s="641"/>
      <c r="Z129" s="640"/>
      <c r="AA129" s="641"/>
      <c r="AB129" s="640"/>
      <c r="AC129" s="641"/>
      <c r="AD129" s="640"/>
      <c r="AE129" s="641"/>
      <c r="AF129" s="640"/>
      <c r="AG129" s="641"/>
      <c r="AH129" s="640"/>
      <c r="AI129" s="641"/>
      <c r="AJ129" s="640"/>
      <c r="AK129" s="641"/>
      <c r="AL129" s="640"/>
      <c r="AM129" s="641"/>
      <c r="AN129" s="640"/>
      <c r="AO129" s="641"/>
      <c r="AP129" s="640"/>
      <c r="AQ129" s="641"/>
      <c r="AR129" s="640"/>
      <c r="AS129" s="641"/>
      <c r="AT129" s="640"/>
      <c r="AU129" s="642"/>
      <c r="AV129" s="673"/>
    </row>
    <row r="130" spans="1:48" ht="14.25" outlineLevel="1" x14ac:dyDescent="0.2">
      <c r="A130" s="559" t="s">
        <v>5318</v>
      </c>
      <c r="B130" s="558" t="s">
        <v>4804</v>
      </c>
      <c r="C130" s="557">
        <f t="shared" si="142"/>
        <v>4.634252606827839E-3</v>
      </c>
      <c r="D130" s="556">
        <f>Produtos!$D123</f>
        <v>119958.44</v>
      </c>
      <c r="E130" s="578" t="s">
        <v>5296</v>
      </c>
      <c r="F130" s="577"/>
      <c r="G130" s="577"/>
      <c r="H130" s="577"/>
      <c r="I130" s="577"/>
      <c r="J130" s="577"/>
      <c r="K130" s="577" t="s">
        <v>5295</v>
      </c>
      <c r="L130" s="577" t="s">
        <v>5295</v>
      </c>
      <c r="M130" s="577" t="s">
        <v>5295</v>
      </c>
      <c r="N130" s="577" t="s">
        <v>5295</v>
      </c>
      <c r="O130" s="577">
        <v>1</v>
      </c>
      <c r="P130" s="577"/>
      <c r="Q130" s="577"/>
      <c r="R130" s="658">
        <f t="shared" ref="R130:R132" si="205">IF(F130=1,ROUND(_xlfn.XLOOKUP($E130,$A$2:$A$11,$C$2:$C$11,0,0)*F130*$D130,2),0)</f>
        <v>0</v>
      </c>
      <c r="S130" s="646">
        <f t="shared" ref="S130:S132" si="206">IF(G130=1,ROUND(_xlfn.XLOOKUP($E130,$A$2:$A$11,$C$2:$C$11,0,0)*G130*$D130,2),0)</f>
        <v>0</v>
      </c>
      <c r="T130" s="646">
        <f t="shared" ref="T130:T132" si="207">IF(H130=1,ROUND(_xlfn.XLOOKUP($E130,$A$2:$A$11,$C$2:$C$11,0,0)*H130*$D130,2),0)</f>
        <v>0</v>
      </c>
      <c r="U130" s="646">
        <f t="shared" ref="U130:U132" si="208">IF(I130=1,ROUND(_xlfn.XLOOKUP($E130,$A$2:$A$11,$C$2:$C$11,0,0)*I130*$D130,2),0)</f>
        <v>0</v>
      </c>
      <c r="V130" s="646">
        <f t="shared" ref="V130:V132" si="209">IF(J130=1,ROUND(_xlfn.XLOOKUP($E130,$A$2:$A$11,$C$2:$C$11,0,0)*J130*$D130,2),0)</f>
        <v>0</v>
      </c>
      <c r="W130" s="646">
        <f t="shared" ref="W130:W132" si="210">IF(K130=1,ROUND(_xlfn.XLOOKUP($E130,$A$2:$A$11,$C$2:$C$11,0,0)*K130*$D130,2),0)</f>
        <v>0</v>
      </c>
      <c r="X130" s="646">
        <f t="shared" ref="X130:X132" si="211">IF(L130=1,ROUND(_xlfn.XLOOKUP($E130,$A$2:$A$11,$C$2:$C$11,0,0)*L130*$D130,2),0)</f>
        <v>0</v>
      </c>
      <c r="Y130" s="646">
        <f t="shared" ref="Y130:Y132" si="212">IF(M130=1,ROUND(_xlfn.XLOOKUP($E130,$A$2:$A$11,$C$2:$C$11,0,0)*M130*$D130,2),0)</f>
        <v>0</v>
      </c>
      <c r="Z130" s="646">
        <f t="shared" ref="Z130:Z132" si="213">IF(N130=1,ROUND(_xlfn.XLOOKUP($E130,$A$2:$A$11,$C$2:$C$11,0,0)*N130*$D130,2),0)</f>
        <v>0</v>
      </c>
      <c r="AA130" s="646">
        <f t="shared" ref="AA130:AA132" si="214">IF(O130=1,ROUND(_xlfn.XLOOKUP($E130,$A$2:$A$11,$C$2:$C$11,0,0)*O130*$D130,2),0)</f>
        <v>29989.61</v>
      </c>
      <c r="AB130" s="646">
        <f t="shared" ref="AB130:AB132" si="215">IF(P130=1,ROUND(_xlfn.XLOOKUP($E130,$A$2:$A$11,$C$2:$C$11,0,0)*P130*$D130,2),0)</f>
        <v>0</v>
      </c>
      <c r="AC130" s="646">
        <f t="shared" ref="AC130:AC132" si="216">IF(Q130=1,ROUND(_xlfn.XLOOKUP($E130,$A$2:$A$11,$C$2:$C$11,0,0)*Q130*$D130,2),0)</f>
        <v>0</v>
      </c>
      <c r="AD130" s="645">
        <f>IF(OR(AND($E130=$A$6,$D$9=AD$15),AND($E130=$A$10,$D$11=AD$15),AND($E130=$A$3,$D$5=AD$15)),$D130-SUM($R130:AC130),IF($E130=$A$10,ROUND(_xlfn.XLOOKUP(AD$15,$D$10:$D$11,$C$10:$C$11,0,0)*$D130,2),IF($E130=$A$3,ROUND(_xlfn.XLOOKUP(AD$15,$D$3:$D$5,$C$3:$C$5,0,0)*$D130,2),IF($E130=$A$6,ROUND(_xlfn.XLOOKUP(AD$15,$D$6:$D$9,$C$6:$C$9,0,0)*$D130,2),""))))</f>
        <v>0</v>
      </c>
      <c r="AE130" s="646">
        <f>IF(OR(AND($E130=$A$6,$D$9=AE$15),AND($E130=$A$10,$D$11=AE$15),AND($E130=$A$3,$D$5=AE$15)),$D130-SUM($R130:AD130),IF($E130=$A$10,ROUND(_xlfn.XLOOKUP(AE$15,$D$10:$D$11,$C$10:$C$11,0,0)*$D130,2),IF($E130=$A$3,ROUND(_xlfn.XLOOKUP(AE$15,$D$3:$D$5,$C$3:$C$5,0,0)*$D130,2),IF($E130=$A$6,ROUND(_xlfn.XLOOKUP(AE$15,$D$6:$D$9,$C$6:$C$9,0,0)*$D130,2),""))))</f>
        <v>0</v>
      </c>
      <c r="AF130" s="647">
        <f>IF(OR(AND($E130=$A$6,$D$9=AF$15),AND($E130=$A$10,$D$11=AF$15),AND($E130=$A$3,$D$5=AF$15)),$D130-SUM($R130:AE130),IF($E130=$A$10,ROUND(_xlfn.XLOOKUP(AF$15,$D$10:$D$11,$C$10:$C$11,0,0)*$D130,2),IF($E130=$A$3,ROUND(_xlfn.XLOOKUP(AF$15,$D$3:$D$5,$C$3:$C$5,0,0)*$D130,2),IF($E130=$A$6,ROUND(_xlfn.XLOOKUP(AF$15,$D$6:$D$9,$C$6:$C$9,0,0)*$D130,2),""))))</f>
        <v>29989.61</v>
      </c>
      <c r="AG130" s="645"/>
      <c r="AH130" s="646"/>
      <c r="AI130" s="646"/>
      <c r="AJ130" s="646"/>
      <c r="AK130" s="647"/>
      <c r="AL130" s="645">
        <f>IF(OR(AND($E130=$A$6,$D$9=AL$15),AND($E130=$A$10,$D$11=AL$15),AND($E130=$A$3,$D$5=AL$15)),$D130-SUM($R130:AK130),IF($E130=$A$10,ROUND(_xlfn.XLOOKUP(AL$15,$D$10:$D$11,$C$10:$C$11,0,0)*$D130,2),IF($E130=$A$3,ROUND(_xlfn.XLOOKUP(AL$15,$D$3:$D$5,$C$3:$C$5,0,0)*$D130,2),IF($E130=$A$6,ROUND(_xlfn.XLOOKUP(AL$15,$D$6:$D$9,$C$6:$C$9,0,0)*$D130,2),""))))</f>
        <v>0</v>
      </c>
      <c r="AM130" s="646">
        <f>IF(OR(AND($E130=$A$6,$D$9=AM$15),AND($E130=$A$10,$D$11=AM$15),AND($E130=$A$3,$D$5=AM$15)),$D130-SUM($R130:AL130),IF($E130=$A$10,ROUND(_xlfn.XLOOKUP(AM$15,$D$10:$D$11,$C$10:$C$11,0,0)*$D130,2),IF($E130=$A$3,ROUND(_xlfn.XLOOKUP(AM$15,$D$3:$D$5,$C$3:$C$5,0,0)*$D130,2),IF($E130=$A$6,ROUND(_xlfn.XLOOKUP(AM$15,$D$6:$D$9,$C$6:$C$9,0,0)*$D130,2),""))))</f>
        <v>0</v>
      </c>
      <c r="AN130" s="647">
        <f>IF(OR(AND($E130=$A$6,$D$9=AN$15),AND($E130=$A$10,$D$11=AN$15),AND($E130=$A$3,$D$5=AN$15)),$D130-SUM($R130:AM130),IF($E130=$A$10,ROUND(_xlfn.XLOOKUP(AN$15,$D$10:$D$11,$C$10:$C$11,0,0)*$D130,2),IF($E130=$A$3,ROUND(_xlfn.XLOOKUP(AN$15,$D$3:$D$5,$C$3:$C$5,0,0)*$D130,2),IF($E130=$A$6,ROUND(_xlfn.XLOOKUP(AN$15,$D$6:$D$9,$C$6:$C$9,0,0)*$D130,2),""))))</f>
        <v>29989.61</v>
      </c>
      <c r="AO130" s="645"/>
      <c r="AP130" s="646"/>
      <c r="AQ130" s="647"/>
      <c r="AR130" s="646"/>
      <c r="AS130" s="645"/>
      <c r="AT130" s="647"/>
      <c r="AU130" s="648">
        <f>IF(OR(AND($E130=$A$6,$D$9=AU$15),AND($E130=$A$10,$D$11=AU$15),AND($E130=$A$3,$D$5=AU$15)),$D130-SUM($R130:AT130),IF($E130=$A$10,ROUND(_xlfn.XLOOKUP(AU$15,$D$10:$D$11,$C$10:$C$11,0,0)*$D130,2),IF($E130=$A$3,ROUND(_xlfn.XLOOKUP(AU$15,$D$3:$D$5,$C$3:$C$5,0,0)*$D130,2),IF($E130=$A$6,ROUND(_xlfn.XLOOKUP(AU$15,$D$6:$D$9,$C$6:$C$9,0,0)*$D130,2),""))))</f>
        <v>29989.61</v>
      </c>
      <c r="AV130" s="673" t="str">
        <f>IF(SUM(R130:AU130)=D130,"","CORRIGIR")</f>
        <v/>
      </c>
    </row>
    <row r="131" spans="1:48" ht="28.5" outlineLevel="1" x14ac:dyDescent="0.2">
      <c r="A131" s="559" t="s">
        <v>5317</v>
      </c>
      <c r="B131" s="558" t="s">
        <v>4805</v>
      </c>
      <c r="C131" s="557">
        <f t="shared" si="142"/>
        <v>4.634252606827839E-3</v>
      </c>
      <c r="D131" s="556">
        <f>Produtos!$D124</f>
        <v>119958.44</v>
      </c>
      <c r="E131" s="578" t="s">
        <v>5296</v>
      </c>
      <c r="F131" s="577"/>
      <c r="G131" s="577"/>
      <c r="H131" s="577"/>
      <c r="I131" s="577"/>
      <c r="J131" s="577"/>
      <c r="K131" s="577" t="s">
        <v>5295</v>
      </c>
      <c r="L131" s="577" t="s">
        <v>5295</v>
      </c>
      <c r="M131" s="577" t="s">
        <v>5295</v>
      </c>
      <c r="N131" s="577" t="s">
        <v>5295</v>
      </c>
      <c r="O131" s="577">
        <v>1</v>
      </c>
      <c r="P131" s="577"/>
      <c r="Q131" s="577"/>
      <c r="R131" s="658">
        <f t="shared" si="205"/>
        <v>0</v>
      </c>
      <c r="S131" s="646">
        <f t="shared" si="206"/>
        <v>0</v>
      </c>
      <c r="T131" s="646">
        <f t="shared" si="207"/>
        <v>0</v>
      </c>
      <c r="U131" s="646">
        <f t="shared" si="208"/>
        <v>0</v>
      </c>
      <c r="V131" s="646">
        <f t="shared" si="209"/>
        <v>0</v>
      </c>
      <c r="W131" s="646">
        <f t="shared" si="210"/>
        <v>0</v>
      </c>
      <c r="X131" s="646">
        <f t="shared" si="211"/>
        <v>0</v>
      </c>
      <c r="Y131" s="646">
        <f t="shared" si="212"/>
        <v>0</v>
      </c>
      <c r="Z131" s="646">
        <f t="shared" si="213"/>
        <v>0</v>
      </c>
      <c r="AA131" s="646">
        <f t="shared" si="214"/>
        <v>29989.61</v>
      </c>
      <c r="AB131" s="646">
        <f t="shared" si="215"/>
        <v>0</v>
      </c>
      <c r="AC131" s="646">
        <f t="shared" si="216"/>
        <v>0</v>
      </c>
      <c r="AD131" s="645">
        <f>IF(OR(AND($E131=$A$6,$D$9=AD$15),AND($E131=$A$10,$D$11=AD$15),AND($E131=$A$3,$D$5=AD$15)),$D131-SUM($R131:AC131),IF($E131=$A$10,ROUND(_xlfn.XLOOKUP(AD$15,$D$10:$D$11,$C$10:$C$11,0,0)*$D131,2),IF($E131=$A$3,ROUND(_xlfn.XLOOKUP(AD$15,$D$3:$D$5,$C$3:$C$5,0,0)*$D131,2),IF($E131=$A$6,ROUND(_xlfn.XLOOKUP(AD$15,$D$6:$D$9,$C$6:$C$9,0,0)*$D131,2),""))))</f>
        <v>0</v>
      </c>
      <c r="AE131" s="646">
        <f>IF(OR(AND($E131=$A$6,$D$9=AE$15),AND($E131=$A$10,$D$11=AE$15),AND($E131=$A$3,$D$5=AE$15)),$D131-SUM($R131:AD131),IF($E131=$A$10,ROUND(_xlfn.XLOOKUP(AE$15,$D$10:$D$11,$C$10:$C$11,0,0)*$D131,2),IF($E131=$A$3,ROUND(_xlfn.XLOOKUP(AE$15,$D$3:$D$5,$C$3:$C$5,0,0)*$D131,2),IF($E131=$A$6,ROUND(_xlfn.XLOOKUP(AE$15,$D$6:$D$9,$C$6:$C$9,0,0)*$D131,2),""))))</f>
        <v>0</v>
      </c>
      <c r="AF131" s="647">
        <f>IF(OR(AND($E131=$A$6,$D$9=AF$15),AND($E131=$A$10,$D$11=AF$15),AND($E131=$A$3,$D$5=AF$15)),$D131-SUM($R131:AE131),IF($E131=$A$10,ROUND(_xlfn.XLOOKUP(AF$15,$D$10:$D$11,$C$10:$C$11,0,0)*$D131,2),IF($E131=$A$3,ROUND(_xlfn.XLOOKUP(AF$15,$D$3:$D$5,$C$3:$C$5,0,0)*$D131,2),IF($E131=$A$6,ROUND(_xlfn.XLOOKUP(AF$15,$D$6:$D$9,$C$6:$C$9,0,0)*$D131,2),""))))</f>
        <v>29989.61</v>
      </c>
      <c r="AG131" s="645"/>
      <c r="AH131" s="646"/>
      <c r="AI131" s="646"/>
      <c r="AJ131" s="646"/>
      <c r="AK131" s="647"/>
      <c r="AL131" s="645">
        <f>IF(OR(AND($E131=$A$6,$D$9=AL$15),AND($E131=$A$10,$D$11=AL$15),AND($E131=$A$3,$D$5=AL$15)),$D131-SUM($R131:AK131),IF($E131=$A$10,ROUND(_xlfn.XLOOKUP(AL$15,$D$10:$D$11,$C$10:$C$11,0,0)*$D131,2),IF($E131=$A$3,ROUND(_xlfn.XLOOKUP(AL$15,$D$3:$D$5,$C$3:$C$5,0,0)*$D131,2),IF($E131=$A$6,ROUND(_xlfn.XLOOKUP(AL$15,$D$6:$D$9,$C$6:$C$9,0,0)*$D131,2),""))))</f>
        <v>0</v>
      </c>
      <c r="AM131" s="646">
        <f>IF(OR(AND($E131=$A$6,$D$9=AM$15),AND($E131=$A$10,$D$11=AM$15),AND($E131=$A$3,$D$5=AM$15)),$D131-SUM($R131:AL131),IF($E131=$A$10,ROUND(_xlfn.XLOOKUP(AM$15,$D$10:$D$11,$C$10:$C$11,0,0)*$D131,2),IF($E131=$A$3,ROUND(_xlfn.XLOOKUP(AM$15,$D$3:$D$5,$C$3:$C$5,0,0)*$D131,2),IF($E131=$A$6,ROUND(_xlfn.XLOOKUP(AM$15,$D$6:$D$9,$C$6:$C$9,0,0)*$D131,2),""))))</f>
        <v>0</v>
      </c>
      <c r="AN131" s="647">
        <f>IF(OR(AND($E131=$A$6,$D$9=AN$15),AND($E131=$A$10,$D$11=AN$15),AND($E131=$A$3,$D$5=AN$15)),$D131-SUM($R131:AM131),IF($E131=$A$10,ROUND(_xlfn.XLOOKUP(AN$15,$D$10:$D$11,$C$10:$C$11,0,0)*$D131,2),IF($E131=$A$3,ROUND(_xlfn.XLOOKUP(AN$15,$D$3:$D$5,$C$3:$C$5,0,0)*$D131,2),IF($E131=$A$6,ROUND(_xlfn.XLOOKUP(AN$15,$D$6:$D$9,$C$6:$C$9,0,0)*$D131,2),""))))</f>
        <v>29989.61</v>
      </c>
      <c r="AO131" s="645"/>
      <c r="AP131" s="646"/>
      <c r="AQ131" s="647"/>
      <c r="AR131" s="646"/>
      <c r="AS131" s="645"/>
      <c r="AT131" s="647"/>
      <c r="AU131" s="648">
        <f>IF(OR(AND($E131=$A$6,$D$9=AU$15),AND($E131=$A$10,$D$11=AU$15),AND($E131=$A$3,$D$5=AU$15)),$D131-SUM($R131:AT131),IF($E131=$A$10,ROUND(_xlfn.XLOOKUP(AU$15,$D$10:$D$11,$C$10:$C$11,0,0)*$D131,2),IF($E131=$A$3,ROUND(_xlfn.XLOOKUP(AU$15,$D$3:$D$5,$C$3:$C$5,0,0)*$D131,2),IF($E131=$A$6,ROUND(_xlfn.XLOOKUP(AU$15,$D$6:$D$9,$C$6:$C$9,0,0)*$D131,2),""))))</f>
        <v>29989.61</v>
      </c>
      <c r="AV131" s="673" t="str">
        <f>IF(SUM(R131:AU131)=D131,"","CORRIGIR")</f>
        <v/>
      </c>
    </row>
    <row r="132" spans="1:48" ht="28.5" outlineLevel="1" x14ac:dyDescent="0.2">
      <c r="A132" s="559" t="s">
        <v>5316</v>
      </c>
      <c r="B132" s="558" t="s">
        <v>4806</v>
      </c>
      <c r="C132" s="557">
        <f t="shared" si="142"/>
        <v>6.1790036045442894E-3</v>
      </c>
      <c r="D132" s="556">
        <f>Produtos!$D125</f>
        <v>159944.59</v>
      </c>
      <c r="E132" s="578" t="s">
        <v>5296</v>
      </c>
      <c r="F132" s="577"/>
      <c r="G132" s="577"/>
      <c r="H132" s="577"/>
      <c r="I132" s="577"/>
      <c r="J132" s="577"/>
      <c r="K132" s="577" t="s">
        <v>5295</v>
      </c>
      <c r="L132" s="577" t="s">
        <v>5295</v>
      </c>
      <c r="M132" s="577" t="s">
        <v>5295</v>
      </c>
      <c r="N132" s="577" t="s">
        <v>5295</v>
      </c>
      <c r="O132" s="577">
        <v>1</v>
      </c>
      <c r="P132" s="577"/>
      <c r="Q132" s="577"/>
      <c r="R132" s="658">
        <f t="shared" si="205"/>
        <v>0</v>
      </c>
      <c r="S132" s="646">
        <f t="shared" si="206"/>
        <v>0</v>
      </c>
      <c r="T132" s="646">
        <f t="shared" si="207"/>
        <v>0</v>
      </c>
      <c r="U132" s="646">
        <f t="shared" si="208"/>
        <v>0</v>
      </c>
      <c r="V132" s="646">
        <f t="shared" si="209"/>
        <v>0</v>
      </c>
      <c r="W132" s="646">
        <f t="shared" si="210"/>
        <v>0</v>
      </c>
      <c r="X132" s="646">
        <f t="shared" si="211"/>
        <v>0</v>
      </c>
      <c r="Y132" s="646">
        <f t="shared" si="212"/>
        <v>0</v>
      </c>
      <c r="Z132" s="646">
        <f t="shared" si="213"/>
        <v>0</v>
      </c>
      <c r="AA132" s="646">
        <f t="shared" si="214"/>
        <v>39986.15</v>
      </c>
      <c r="AB132" s="646">
        <f t="shared" si="215"/>
        <v>0</v>
      </c>
      <c r="AC132" s="646">
        <f t="shared" si="216"/>
        <v>0</v>
      </c>
      <c r="AD132" s="645">
        <f>IF(OR(AND($E132=$A$6,$D$9=AD$15),AND($E132=$A$10,$D$11=AD$15),AND($E132=$A$3,$D$5=AD$15)),$D132-SUM($R132:AC132),IF($E132=$A$10,ROUND(_xlfn.XLOOKUP(AD$15,$D$10:$D$11,$C$10:$C$11,0,0)*$D132,2),IF($E132=$A$3,ROUND(_xlfn.XLOOKUP(AD$15,$D$3:$D$5,$C$3:$C$5,0,0)*$D132,2),IF($E132=$A$6,ROUND(_xlfn.XLOOKUP(AD$15,$D$6:$D$9,$C$6:$C$9,0,0)*$D132,2),""))))</f>
        <v>0</v>
      </c>
      <c r="AE132" s="646">
        <f>IF(OR(AND($E132=$A$6,$D$9=AE$15),AND($E132=$A$10,$D$11=AE$15),AND($E132=$A$3,$D$5=AE$15)),$D132-SUM($R132:AD132),IF($E132=$A$10,ROUND(_xlfn.XLOOKUP(AE$15,$D$10:$D$11,$C$10:$C$11,0,0)*$D132,2),IF($E132=$A$3,ROUND(_xlfn.XLOOKUP(AE$15,$D$3:$D$5,$C$3:$C$5,0,0)*$D132,2),IF($E132=$A$6,ROUND(_xlfn.XLOOKUP(AE$15,$D$6:$D$9,$C$6:$C$9,0,0)*$D132,2),""))))</f>
        <v>0</v>
      </c>
      <c r="AF132" s="647">
        <f>IF(OR(AND($E132=$A$6,$D$9=AF$15),AND($E132=$A$10,$D$11=AF$15),AND($E132=$A$3,$D$5=AF$15)),$D132-SUM($R132:AE132),IF($E132=$A$10,ROUND(_xlfn.XLOOKUP(AF$15,$D$10:$D$11,$C$10:$C$11,0,0)*$D132,2),IF($E132=$A$3,ROUND(_xlfn.XLOOKUP(AF$15,$D$3:$D$5,$C$3:$C$5,0,0)*$D132,2),IF($E132=$A$6,ROUND(_xlfn.XLOOKUP(AF$15,$D$6:$D$9,$C$6:$C$9,0,0)*$D132,2),""))))</f>
        <v>39986.15</v>
      </c>
      <c r="AG132" s="645"/>
      <c r="AH132" s="646"/>
      <c r="AI132" s="646"/>
      <c r="AJ132" s="646"/>
      <c r="AK132" s="647"/>
      <c r="AL132" s="645">
        <f>IF(OR(AND($E132=$A$6,$D$9=AL$15),AND($E132=$A$10,$D$11=AL$15),AND($E132=$A$3,$D$5=AL$15)),$D132-SUM($R132:AK132),IF($E132=$A$10,ROUND(_xlfn.XLOOKUP(AL$15,$D$10:$D$11,$C$10:$C$11,0,0)*$D132,2),IF($E132=$A$3,ROUND(_xlfn.XLOOKUP(AL$15,$D$3:$D$5,$C$3:$C$5,0,0)*$D132,2),IF($E132=$A$6,ROUND(_xlfn.XLOOKUP(AL$15,$D$6:$D$9,$C$6:$C$9,0,0)*$D132,2),""))))</f>
        <v>0</v>
      </c>
      <c r="AM132" s="646">
        <f>IF(OR(AND($E132=$A$6,$D$9=AM$15),AND($E132=$A$10,$D$11=AM$15),AND($E132=$A$3,$D$5=AM$15)),$D132-SUM($R132:AL132),IF($E132=$A$10,ROUND(_xlfn.XLOOKUP(AM$15,$D$10:$D$11,$C$10:$C$11,0,0)*$D132,2),IF($E132=$A$3,ROUND(_xlfn.XLOOKUP(AM$15,$D$3:$D$5,$C$3:$C$5,0,0)*$D132,2),IF($E132=$A$6,ROUND(_xlfn.XLOOKUP(AM$15,$D$6:$D$9,$C$6:$C$9,0,0)*$D132,2),""))))</f>
        <v>0</v>
      </c>
      <c r="AN132" s="647">
        <f>IF(OR(AND($E132=$A$6,$D$9=AN$15),AND($E132=$A$10,$D$11=AN$15),AND($E132=$A$3,$D$5=AN$15)),$D132-SUM($R132:AM132),IF($E132=$A$10,ROUND(_xlfn.XLOOKUP(AN$15,$D$10:$D$11,$C$10:$C$11,0,0)*$D132,2),IF($E132=$A$3,ROUND(_xlfn.XLOOKUP(AN$15,$D$3:$D$5,$C$3:$C$5,0,0)*$D132,2),IF($E132=$A$6,ROUND(_xlfn.XLOOKUP(AN$15,$D$6:$D$9,$C$6:$C$9,0,0)*$D132,2),""))))</f>
        <v>39986.15</v>
      </c>
      <c r="AO132" s="645"/>
      <c r="AP132" s="646"/>
      <c r="AQ132" s="647"/>
      <c r="AR132" s="646"/>
      <c r="AS132" s="645"/>
      <c r="AT132" s="647"/>
      <c r="AU132" s="648">
        <f>IF(OR(AND($E132=$A$6,$D$9=AU$15),AND($E132=$A$10,$D$11=AU$15),AND($E132=$A$3,$D$5=AU$15)),$D132-SUM($R132:AT132),IF($E132=$A$10,ROUND(_xlfn.XLOOKUP(AU$15,$D$10:$D$11,$C$10:$C$11,0,0)*$D132,2),IF($E132=$A$3,ROUND(_xlfn.XLOOKUP(AU$15,$D$3:$D$5,$C$3:$C$5,0,0)*$D132,2),IF($E132=$A$6,ROUND(_xlfn.XLOOKUP(AU$15,$D$6:$D$9,$C$6:$C$9,0,0)*$D132,2),""))))</f>
        <v>39986.139999999985</v>
      </c>
      <c r="AV132" s="673" t="str">
        <f>IF(SUM(R132:AU132)=D132,"","CORRIGIR")</f>
        <v/>
      </c>
    </row>
    <row r="133" spans="1:48" ht="15" x14ac:dyDescent="0.2">
      <c r="A133" s="567" t="s">
        <v>4807</v>
      </c>
      <c r="B133" s="566" t="s">
        <v>4775</v>
      </c>
      <c r="C133" s="583">
        <f t="shared" si="142"/>
        <v>7.3559568192466352E-3</v>
      </c>
      <c r="D133" s="564">
        <f>SUBTOTAL(9,D134)</f>
        <v>190410.23</v>
      </c>
      <c r="E133" s="563"/>
      <c r="F133" s="561"/>
      <c r="G133" s="562"/>
      <c r="H133" s="561"/>
      <c r="I133" s="562"/>
      <c r="J133" s="561"/>
      <c r="K133" s="562"/>
      <c r="L133" s="561"/>
      <c r="M133" s="562"/>
      <c r="N133" s="561"/>
      <c r="O133" s="562"/>
      <c r="P133" s="561"/>
      <c r="Q133" s="560"/>
      <c r="R133" s="640"/>
      <c r="S133" s="641"/>
      <c r="T133" s="640"/>
      <c r="U133" s="641"/>
      <c r="V133" s="640"/>
      <c r="W133" s="641"/>
      <c r="X133" s="640"/>
      <c r="Y133" s="641"/>
      <c r="Z133" s="640"/>
      <c r="AA133" s="641"/>
      <c r="AB133" s="640"/>
      <c r="AC133" s="641"/>
      <c r="AD133" s="640"/>
      <c r="AE133" s="641"/>
      <c r="AF133" s="640"/>
      <c r="AG133" s="641"/>
      <c r="AH133" s="640"/>
      <c r="AI133" s="641"/>
      <c r="AJ133" s="640"/>
      <c r="AK133" s="641"/>
      <c r="AL133" s="640"/>
      <c r="AM133" s="641"/>
      <c r="AN133" s="640"/>
      <c r="AO133" s="641"/>
      <c r="AP133" s="640"/>
      <c r="AQ133" s="641"/>
      <c r="AR133" s="640"/>
      <c r="AS133" s="641"/>
      <c r="AT133" s="640"/>
      <c r="AU133" s="642"/>
      <c r="AV133" s="673"/>
    </row>
    <row r="134" spans="1:48" ht="14.25" outlineLevel="1" x14ac:dyDescent="0.2">
      <c r="A134" s="559" t="s">
        <v>5315</v>
      </c>
      <c r="B134" s="558" t="s">
        <v>4775</v>
      </c>
      <c r="C134" s="557">
        <f t="shared" si="142"/>
        <v>7.3559568192466352E-3</v>
      </c>
      <c r="D134" s="556">
        <f>Produtos!$D127</f>
        <v>190410.23</v>
      </c>
      <c r="E134" s="578" t="s">
        <v>5296</v>
      </c>
      <c r="F134" s="577"/>
      <c r="G134" s="577"/>
      <c r="H134" s="577"/>
      <c r="I134" s="577"/>
      <c r="J134" s="577"/>
      <c r="K134" s="577" t="s">
        <v>5295</v>
      </c>
      <c r="L134" s="577" t="s">
        <v>5295</v>
      </c>
      <c r="M134" s="577" t="s">
        <v>5295</v>
      </c>
      <c r="N134" s="577" t="s">
        <v>5295</v>
      </c>
      <c r="O134" s="577">
        <v>1</v>
      </c>
      <c r="P134" s="577"/>
      <c r="Q134" s="577"/>
      <c r="R134" s="658">
        <f t="shared" ref="R134:AC134" si="217">IF(F134=1,ROUND(_xlfn.XLOOKUP($E134,$A$2:$A$11,$C$2:$C$11,0,0)*F134*$D134,2),0)</f>
        <v>0</v>
      </c>
      <c r="S134" s="646">
        <f t="shared" si="217"/>
        <v>0</v>
      </c>
      <c r="T134" s="646">
        <f t="shared" si="217"/>
        <v>0</v>
      </c>
      <c r="U134" s="646">
        <f t="shared" si="217"/>
        <v>0</v>
      </c>
      <c r="V134" s="646">
        <f t="shared" si="217"/>
        <v>0</v>
      </c>
      <c r="W134" s="646">
        <f t="shared" si="217"/>
        <v>0</v>
      </c>
      <c r="X134" s="646">
        <f t="shared" si="217"/>
        <v>0</v>
      </c>
      <c r="Y134" s="646">
        <f t="shared" si="217"/>
        <v>0</v>
      </c>
      <c r="Z134" s="646">
        <f t="shared" si="217"/>
        <v>0</v>
      </c>
      <c r="AA134" s="646">
        <f t="shared" si="217"/>
        <v>47602.559999999998</v>
      </c>
      <c r="AB134" s="646">
        <f t="shared" si="217"/>
        <v>0</v>
      </c>
      <c r="AC134" s="646">
        <f t="shared" si="217"/>
        <v>0</v>
      </c>
      <c r="AD134" s="645">
        <f>IF(OR(AND($E134=$A$6,$D$9=AD$15),AND($E134=$A$10,$D$11=AD$15),AND($E134=$A$3,$D$5=AD$15)),$D134-SUM($R134:AC134),IF($E134=$A$10,ROUND(_xlfn.XLOOKUP(AD$15,$D$10:$D$11,$C$10:$C$11,0,0)*$D134,2),IF($E134=$A$3,ROUND(_xlfn.XLOOKUP(AD$15,$D$3:$D$5,$C$3:$C$5,0,0)*$D134,2),IF($E134=$A$6,ROUND(_xlfn.XLOOKUP(AD$15,$D$6:$D$9,$C$6:$C$9,0,0)*$D134,2),""))))</f>
        <v>0</v>
      </c>
      <c r="AE134" s="646">
        <f>IF(OR(AND($E134=$A$6,$D$9=AE$15),AND($E134=$A$10,$D$11=AE$15),AND($E134=$A$3,$D$5=AE$15)),$D134-SUM($R134:AD134),IF($E134=$A$10,ROUND(_xlfn.XLOOKUP(AE$15,$D$10:$D$11,$C$10:$C$11,0,0)*$D134,2),IF($E134=$A$3,ROUND(_xlfn.XLOOKUP(AE$15,$D$3:$D$5,$C$3:$C$5,0,0)*$D134,2),IF($E134=$A$6,ROUND(_xlfn.XLOOKUP(AE$15,$D$6:$D$9,$C$6:$C$9,0,0)*$D134,2),""))))</f>
        <v>0</v>
      </c>
      <c r="AF134" s="647">
        <f>IF(OR(AND($E134=$A$6,$D$9=AF$15),AND($E134=$A$10,$D$11=AF$15),AND($E134=$A$3,$D$5=AF$15)),$D134-SUM($R134:AE134),IF($E134=$A$10,ROUND(_xlfn.XLOOKUP(AF$15,$D$10:$D$11,$C$10:$C$11,0,0)*$D134,2),IF($E134=$A$3,ROUND(_xlfn.XLOOKUP(AF$15,$D$3:$D$5,$C$3:$C$5,0,0)*$D134,2),IF($E134=$A$6,ROUND(_xlfn.XLOOKUP(AF$15,$D$6:$D$9,$C$6:$C$9,0,0)*$D134,2),""))))</f>
        <v>47602.559999999998</v>
      </c>
      <c r="AG134" s="645"/>
      <c r="AH134" s="646"/>
      <c r="AI134" s="646"/>
      <c r="AJ134" s="646"/>
      <c r="AK134" s="647"/>
      <c r="AL134" s="645">
        <f>IF(OR(AND($E134=$A$6,$D$9=AL$15),AND($E134=$A$10,$D$11=AL$15),AND($E134=$A$3,$D$5=AL$15)),$D134-SUM($R134:AK134),IF($E134=$A$10,ROUND(_xlfn.XLOOKUP(AL$15,$D$10:$D$11,$C$10:$C$11,0,0)*$D134,2),IF($E134=$A$3,ROUND(_xlfn.XLOOKUP(AL$15,$D$3:$D$5,$C$3:$C$5,0,0)*$D134,2),IF($E134=$A$6,ROUND(_xlfn.XLOOKUP(AL$15,$D$6:$D$9,$C$6:$C$9,0,0)*$D134,2),""))))</f>
        <v>0</v>
      </c>
      <c r="AM134" s="646">
        <f>IF(OR(AND($E134=$A$6,$D$9=AM$15),AND($E134=$A$10,$D$11=AM$15),AND($E134=$A$3,$D$5=AM$15)),$D134-SUM($R134:AL134),IF($E134=$A$10,ROUND(_xlfn.XLOOKUP(AM$15,$D$10:$D$11,$C$10:$C$11,0,0)*$D134,2),IF($E134=$A$3,ROUND(_xlfn.XLOOKUP(AM$15,$D$3:$D$5,$C$3:$C$5,0,0)*$D134,2),IF($E134=$A$6,ROUND(_xlfn.XLOOKUP(AM$15,$D$6:$D$9,$C$6:$C$9,0,0)*$D134,2),""))))</f>
        <v>0</v>
      </c>
      <c r="AN134" s="647">
        <f>IF(OR(AND($E134=$A$6,$D$9=AN$15),AND($E134=$A$10,$D$11=AN$15),AND($E134=$A$3,$D$5=AN$15)),$D134-SUM($R134:AM134),IF($E134=$A$10,ROUND(_xlfn.XLOOKUP(AN$15,$D$10:$D$11,$C$10:$C$11,0,0)*$D134,2),IF($E134=$A$3,ROUND(_xlfn.XLOOKUP(AN$15,$D$3:$D$5,$C$3:$C$5,0,0)*$D134,2),IF($E134=$A$6,ROUND(_xlfn.XLOOKUP(AN$15,$D$6:$D$9,$C$6:$C$9,0,0)*$D134,2),""))))</f>
        <v>47602.559999999998</v>
      </c>
      <c r="AO134" s="645"/>
      <c r="AP134" s="646"/>
      <c r="AQ134" s="647"/>
      <c r="AR134" s="646"/>
      <c r="AS134" s="645"/>
      <c r="AT134" s="647"/>
      <c r="AU134" s="648">
        <f>IF(OR(AND($E134=$A$6,$D$9=AU$15),AND($E134=$A$10,$D$11=AU$15),AND($E134=$A$3,$D$5=AU$15)),$D134-SUM($R134:AT134),IF($E134=$A$10,ROUND(_xlfn.XLOOKUP(AU$15,$D$10:$D$11,$C$10:$C$11,0,0)*$D134,2),IF($E134=$A$3,ROUND(_xlfn.XLOOKUP(AU$15,$D$3:$D$5,$C$3:$C$5,0,0)*$D134,2),IF($E134=$A$6,ROUND(_xlfn.XLOOKUP(AU$15,$D$6:$D$9,$C$6:$C$9,0,0)*$D134,2),""))))</f>
        <v>47602.550000000017</v>
      </c>
      <c r="AV134" s="673" t="str">
        <f>IF(SUM(R134:AU134)=D134,"","CORRIGIR")</f>
        <v/>
      </c>
    </row>
    <row r="135" spans="1:48" ht="15" x14ac:dyDescent="0.2">
      <c r="A135" s="567" t="s">
        <v>4808</v>
      </c>
      <c r="B135" s="566" t="s">
        <v>4755</v>
      </c>
      <c r="C135" s="583">
        <f t="shared" si="142"/>
        <v>3.6779782164625611E-3</v>
      </c>
      <c r="D135" s="564">
        <f>SUBTOTAL(9,D136)</f>
        <v>95205.11</v>
      </c>
      <c r="E135" s="563"/>
      <c r="F135" s="561"/>
      <c r="G135" s="562"/>
      <c r="H135" s="561"/>
      <c r="I135" s="562"/>
      <c r="J135" s="561"/>
      <c r="K135" s="562"/>
      <c r="L135" s="561"/>
      <c r="M135" s="562"/>
      <c r="N135" s="561"/>
      <c r="O135" s="562"/>
      <c r="P135" s="561"/>
      <c r="Q135" s="560"/>
      <c r="R135" s="640"/>
      <c r="S135" s="641"/>
      <c r="T135" s="640"/>
      <c r="U135" s="641"/>
      <c r="V135" s="640"/>
      <c r="W135" s="641"/>
      <c r="X135" s="640"/>
      <c r="Y135" s="641"/>
      <c r="Z135" s="640"/>
      <c r="AA135" s="641"/>
      <c r="AB135" s="640"/>
      <c r="AC135" s="641"/>
      <c r="AD135" s="640"/>
      <c r="AE135" s="641"/>
      <c r="AF135" s="640"/>
      <c r="AG135" s="641"/>
      <c r="AH135" s="640"/>
      <c r="AI135" s="641"/>
      <c r="AJ135" s="640"/>
      <c r="AK135" s="641"/>
      <c r="AL135" s="640"/>
      <c r="AM135" s="641"/>
      <c r="AN135" s="640"/>
      <c r="AO135" s="641"/>
      <c r="AP135" s="640"/>
      <c r="AQ135" s="641"/>
      <c r="AR135" s="640"/>
      <c r="AS135" s="641"/>
      <c r="AT135" s="640"/>
      <c r="AU135" s="642"/>
      <c r="AV135" s="673"/>
    </row>
    <row r="136" spans="1:48" ht="14.25" outlineLevel="1" x14ac:dyDescent="0.2">
      <c r="A136" s="559" t="s">
        <v>5314</v>
      </c>
      <c r="B136" s="558" t="s">
        <v>4755</v>
      </c>
      <c r="C136" s="557">
        <f t="shared" si="142"/>
        <v>3.6779782164625611E-3</v>
      </c>
      <c r="D136" s="556">
        <f>Produtos!$D129</f>
        <v>95205.11</v>
      </c>
      <c r="E136" s="578" t="s">
        <v>5296</v>
      </c>
      <c r="F136" s="577"/>
      <c r="G136" s="577"/>
      <c r="H136" s="577"/>
      <c r="I136" s="577"/>
      <c r="J136" s="577"/>
      <c r="K136" s="577" t="s">
        <v>5295</v>
      </c>
      <c r="L136" s="577" t="s">
        <v>5295</v>
      </c>
      <c r="M136" s="577" t="s">
        <v>5295</v>
      </c>
      <c r="N136" s="577" t="s">
        <v>5295</v>
      </c>
      <c r="O136" s="577">
        <v>1</v>
      </c>
      <c r="P136" s="577"/>
      <c r="Q136" s="577"/>
      <c r="R136" s="658">
        <f t="shared" ref="R136:AC136" si="218">IF(F136=1,ROUND(_xlfn.XLOOKUP($E136,$A$2:$A$11,$C$2:$C$11,0,0)*F136*$D136,2),0)</f>
        <v>0</v>
      </c>
      <c r="S136" s="646">
        <f t="shared" si="218"/>
        <v>0</v>
      </c>
      <c r="T136" s="646">
        <f t="shared" si="218"/>
        <v>0</v>
      </c>
      <c r="U136" s="646">
        <f t="shared" si="218"/>
        <v>0</v>
      </c>
      <c r="V136" s="646">
        <f t="shared" si="218"/>
        <v>0</v>
      </c>
      <c r="W136" s="646">
        <f t="shared" si="218"/>
        <v>0</v>
      </c>
      <c r="X136" s="646">
        <f t="shared" si="218"/>
        <v>0</v>
      </c>
      <c r="Y136" s="646">
        <f t="shared" si="218"/>
        <v>0</v>
      </c>
      <c r="Z136" s="646">
        <f t="shared" si="218"/>
        <v>0</v>
      </c>
      <c r="AA136" s="646">
        <f t="shared" si="218"/>
        <v>23801.279999999999</v>
      </c>
      <c r="AB136" s="646">
        <f t="shared" si="218"/>
        <v>0</v>
      </c>
      <c r="AC136" s="646">
        <f t="shared" si="218"/>
        <v>0</v>
      </c>
      <c r="AD136" s="645">
        <f>IF(OR(AND($E136=$A$6,$D$9=AD$15),AND($E136=$A$10,$D$11=AD$15),AND($E136=$A$3,$D$5=AD$15)),$D136-SUM($R136:AC136),IF($E136=$A$10,ROUND(_xlfn.XLOOKUP(AD$15,$D$10:$D$11,$C$10:$C$11,0,0)*$D136,2),IF($E136=$A$3,ROUND(_xlfn.XLOOKUP(AD$15,$D$3:$D$5,$C$3:$C$5,0,0)*$D136,2),IF($E136=$A$6,ROUND(_xlfn.XLOOKUP(AD$15,$D$6:$D$9,$C$6:$C$9,0,0)*$D136,2),""))))</f>
        <v>0</v>
      </c>
      <c r="AE136" s="646">
        <f>IF(OR(AND($E136=$A$6,$D$9=AE$15),AND($E136=$A$10,$D$11=AE$15),AND($E136=$A$3,$D$5=AE$15)),$D136-SUM($R136:AD136),IF($E136=$A$10,ROUND(_xlfn.XLOOKUP(AE$15,$D$10:$D$11,$C$10:$C$11,0,0)*$D136,2),IF($E136=$A$3,ROUND(_xlfn.XLOOKUP(AE$15,$D$3:$D$5,$C$3:$C$5,0,0)*$D136,2),IF($E136=$A$6,ROUND(_xlfn.XLOOKUP(AE$15,$D$6:$D$9,$C$6:$C$9,0,0)*$D136,2),""))))</f>
        <v>0</v>
      </c>
      <c r="AF136" s="647">
        <f>IF(OR(AND($E136=$A$6,$D$9=AF$15),AND($E136=$A$10,$D$11=AF$15),AND($E136=$A$3,$D$5=AF$15)),$D136-SUM($R136:AE136),IF($E136=$A$10,ROUND(_xlfn.XLOOKUP(AF$15,$D$10:$D$11,$C$10:$C$11,0,0)*$D136,2),IF($E136=$A$3,ROUND(_xlfn.XLOOKUP(AF$15,$D$3:$D$5,$C$3:$C$5,0,0)*$D136,2),IF($E136=$A$6,ROUND(_xlfn.XLOOKUP(AF$15,$D$6:$D$9,$C$6:$C$9,0,0)*$D136,2),""))))</f>
        <v>23801.279999999999</v>
      </c>
      <c r="AG136" s="645"/>
      <c r="AH136" s="646"/>
      <c r="AI136" s="646"/>
      <c r="AJ136" s="646"/>
      <c r="AK136" s="647"/>
      <c r="AL136" s="645">
        <f>IF(OR(AND($E136=$A$6,$D$9=AL$15),AND($E136=$A$10,$D$11=AL$15),AND($E136=$A$3,$D$5=AL$15)),$D136-SUM($R136:AK136),IF($E136=$A$10,ROUND(_xlfn.XLOOKUP(AL$15,$D$10:$D$11,$C$10:$C$11,0,0)*$D136,2),IF($E136=$A$3,ROUND(_xlfn.XLOOKUP(AL$15,$D$3:$D$5,$C$3:$C$5,0,0)*$D136,2),IF($E136=$A$6,ROUND(_xlfn.XLOOKUP(AL$15,$D$6:$D$9,$C$6:$C$9,0,0)*$D136,2),""))))</f>
        <v>0</v>
      </c>
      <c r="AM136" s="646">
        <f>IF(OR(AND($E136=$A$6,$D$9=AM$15),AND($E136=$A$10,$D$11=AM$15),AND($E136=$A$3,$D$5=AM$15)),$D136-SUM($R136:AL136),IF($E136=$A$10,ROUND(_xlfn.XLOOKUP(AM$15,$D$10:$D$11,$C$10:$C$11,0,0)*$D136,2),IF($E136=$A$3,ROUND(_xlfn.XLOOKUP(AM$15,$D$3:$D$5,$C$3:$C$5,0,0)*$D136,2),IF($E136=$A$6,ROUND(_xlfn.XLOOKUP(AM$15,$D$6:$D$9,$C$6:$C$9,0,0)*$D136,2),""))))</f>
        <v>0</v>
      </c>
      <c r="AN136" s="647">
        <f>IF(OR(AND($E136=$A$6,$D$9=AN$15),AND($E136=$A$10,$D$11=AN$15),AND($E136=$A$3,$D$5=AN$15)),$D136-SUM($R136:AM136),IF($E136=$A$10,ROUND(_xlfn.XLOOKUP(AN$15,$D$10:$D$11,$C$10:$C$11,0,0)*$D136,2),IF($E136=$A$3,ROUND(_xlfn.XLOOKUP(AN$15,$D$3:$D$5,$C$3:$C$5,0,0)*$D136,2),IF($E136=$A$6,ROUND(_xlfn.XLOOKUP(AN$15,$D$6:$D$9,$C$6:$C$9,0,0)*$D136,2),""))))</f>
        <v>23801.279999999999</v>
      </c>
      <c r="AO136" s="645"/>
      <c r="AP136" s="646"/>
      <c r="AQ136" s="647"/>
      <c r="AR136" s="646"/>
      <c r="AS136" s="645"/>
      <c r="AT136" s="647"/>
      <c r="AU136" s="648">
        <f>IF(OR(AND($E136=$A$6,$D$9=AU$15),AND($E136=$A$10,$D$11=AU$15),AND($E136=$A$3,$D$5=AU$15)),$D136-SUM($R136:AT136),IF($E136=$A$10,ROUND(_xlfn.XLOOKUP(AU$15,$D$10:$D$11,$C$10:$C$11,0,0)*$D136,2),IF($E136=$A$3,ROUND(_xlfn.XLOOKUP(AU$15,$D$3:$D$5,$C$3:$C$5,0,0)*$D136,2),IF($E136=$A$6,ROUND(_xlfn.XLOOKUP(AU$15,$D$6:$D$9,$C$6:$C$9,0,0)*$D136,2),""))))</f>
        <v>23801.270000000004</v>
      </c>
      <c r="AV136" s="673" t="str">
        <f>IF(SUM(R136:AU136)=D136,"","CORRIGIR")</f>
        <v/>
      </c>
    </row>
    <row r="137" spans="1:48" s="568" customFormat="1" ht="15" x14ac:dyDescent="0.2">
      <c r="A137" s="576">
        <v>8</v>
      </c>
      <c r="B137" s="575" t="s">
        <v>4809</v>
      </c>
      <c r="C137" s="574">
        <f t="shared" si="142"/>
        <v>3.291363755605984E-2</v>
      </c>
      <c r="D137" s="573">
        <f>SUBTOTAL(9,D138:D143)</f>
        <v>851975.2699999999</v>
      </c>
      <c r="E137" s="569"/>
      <c r="F137" s="572"/>
      <c r="G137" s="571"/>
      <c r="H137" s="570"/>
      <c r="I137" s="571"/>
      <c r="J137" s="570"/>
      <c r="K137" s="571"/>
      <c r="L137" s="570"/>
      <c r="M137" s="571"/>
      <c r="N137" s="570"/>
      <c r="O137" s="571"/>
      <c r="P137" s="570"/>
      <c r="Q137" s="569"/>
      <c r="R137" s="659"/>
      <c r="S137" s="660"/>
      <c r="T137" s="659"/>
      <c r="U137" s="660"/>
      <c r="V137" s="659"/>
      <c r="W137" s="660"/>
      <c r="X137" s="659"/>
      <c r="Y137" s="660"/>
      <c r="Z137" s="659"/>
      <c r="AA137" s="660"/>
      <c r="AB137" s="659"/>
      <c r="AC137" s="660"/>
      <c r="AD137" s="659"/>
      <c r="AE137" s="660"/>
      <c r="AF137" s="659"/>
      <c r="AG137" s="660"/>
      <c r="AH137" s="659"/>
      <c r="AI137" s="660"/>
      <c r="AJ137" s="659"/>
      <c r="AK137" s="660"/>
      <c r="AL137" s="659"/>
      <c r="AM137" s="660"/>
      <c r="AN137" s="659"/>
      <c r="AO137" s="660"/>
      <c r="AP137" s="659"/>
      <c r="AQ137" s="660"/>
      <c r="AR137" s="659"/>
      <c r="AS137" s="660"/>
      <c r="AT137" s="659"/>
      <c r="AU137" s="661"/>
      <c r="AV137" s="673"/>
    </row>
    <row r="138" spans="1:48" ht="15" x14ac:dyDescent="0.2">
      <c r="A138" s="567" t="s">
        <v>4810</v>
      </c>
      <c r="B138" s="566" t="s">
        <v>4694</v>
      </c>
      <c r="C138" s="565">
        <f t="shared" si="142"/>
        <v>5.7367972075055359E-5</v>
      </c>
      <c r="D138" s="564">
        <f>SUBTOTAL(9,D139)</f>
        <v>1484.98</v>
      </c>
      <c r="E138" s="563"/>
      <c r="F138" s="561"/>
      <c r="G138" s="562"/>
      <c r="H138" s="561"/>
      <c r="I138" s="562"/>
      <c r="J138" s="561"/>
      <c r="K138" s="562"/>
      <c r="L138" s="561"/>
      <c r="M138" s="562"/>
      <c r="N138" s="561"/>
      <c r="O138" s="562"/>
      <c r="P138" s="561"/>
      <c r="Q138" s="560"/>
      <c r="R138" s="640"/>
      <c r="S138" s="641"/>
      <c r="T138" s="640"/>
      <c r="U138" s="641"/>
      <c r="V138" s="640"/>
      <c r="W138" s="641"/>
      <c r="X138" s="640"/>
      <c r="Y138" s="641"/>
      <c r="Z138" s="640"/>
      <c r="AA138" s="641"/>
      <c r="AB138" s="640"/>
      <c r="AC138" s="641"/>
      <c r="AD138" s="640"/>
      <c r="AE138" s="641"/>
      <c r="AF138" s="640"/>
      <c r="AG138" s="641"/>
      <c r="AH138" s="640"/>
      <c r="AI138" s="641"/>
      <c r="AJ138" s="640"/>
      <c r="AK138" s="641"/>
      <c r="AL138" s="640"/>
      <c r="AM138" s="641"/>
      <c r="AN138" s="640"/>
      <c r="AO138" s="641"/>
      <c r="AP138" s="640"/>
      <c r="AQ138" s="641"/>
      <c r="AR138" s="640"/>
      <c r="AS138" s="641"/>
      <c r="AT138" s="640"/>
      <c r="AU138" s="642"/>
      <c r="AV138" s="673"/>
    </row>
    <row r="139" spans="1:48" ht="14.25" outlineLevel="1" x14ac:dyDescent="0.2">
      <c r="A139" s="559" t="s">
        <v>5313</v>
      </c>
      <c r="B139" s="558" t="s">
        <v>4758</v>
      </c>
      <c r="C139" s="557">
        <f t="shared" si="142"/>
        <v>5.7367972075055359E-5</v>
      </c>
      <c r="D139" s="556">
        <f>Produtos!$D132</f>
        <v>1484.98</v>
      </c>
      <c r="E139" s="580" t="s">
        <v>5286</v>
      </c>
      <c r="F139" s="577"/>
      <c r="G139" s="577"/>
      <c r="H139" s="577"/>
      <c r="I139" s="577" t="s">
        <v>5295</v>
      </c>
      <c r="J139" s="577">
        <v>1</v>
      </c>
      <c r="K139" s="577"/>
      <c r="L139" s="577"/>
      <c r="M139" s="577"/>
      <c r="N139" s="577"/>
      <c r="O139" s="577"/>
      <c r="P139" s="577"/>
      <c r="Q139" s="577"/>
      <c r="R139" s="658">
        <f t="shared" ref="R139:AC139" si="219">IF(F139=1,ROUND(_xlfn.XLOOKUP($E139,$A$2:$A$11,$C$2:$C$11,0,0)*F139*$D139,2),0)</f>
        <v>0</v>
      </c>
      <c r="S139" s="646">
        <f t="shared" si="219"/>
        <v>0</v>
      </c>
      <c r="T139" s="646">
        <f t="shared" si="219"/>
        <v>0</v>
      </c>
      <c r="U139" s="646">
        <f t="shared" si="219"/>
        <v>0</v>
      </c>
      <c r="V139" s="646">
        <f t="shared" si="219"/>
        <v>1484.98</v>
      </c>
      <c r="W139" s="646">
        <f t="shared" si="219"/>
        <v>0</v>
      </c>
      <c r="X139" s="646">
        <f t="shared" si="219"/>
        <v>0</v>
      </c>
      <c r="Y139" s="646">
        <f t="shared" si="219"/>
        <v>0</v>
      </c>
      <c r="Z139" s="646">
        <f t="shared" si="219"/>
        <v>0</v>
      </c>
      <c r="AA139" s="646">
        <f t="shared" si="219"/>
        <v>0</v>
      </c>
      <c r="AB139" s="646">
        <f t="shared" si="219"/>
        <v>0</v>
      </c>
      <c r="AC139" s="646">
        <f t="shared" si="219"/>
        <v>0</v>
      </c>
      <c r="AD139" s="645" t="str">
        <f>IF(OR(AND($E139=$A$6,$D$9=AD$15),AND($E139=$A$10,$D$11=AD$15),AND($E139=$A$3,$D$5=AD$15)),$D139-SUM($R139:AC139),IF($E139=$A$10,ROUND(_xlfn.XLOOKUP(AD$15,$D$10:$D$11,$C$10:$C$11,0,0)*$D139,2),IF($E139=$A$3,ROUND(_xlfn.XLOOKUP(AD$15,$D$3:$D$5,$C$3:$C$5,0,0)*$D139,2),IF($E139=$A$6,ROUND(_xlfn.XLOOKUP(AD$15,$D$6:$D$9,$C$6:$C$9,0,0)*$D139,2),""))))</f>
        <v/>
      </c>
      <c r="AE139" s="646" t="str">
        <f>IF(OR(AND($E139=$A$6,$D$9=AE$15),AND($E139=$A$10,$D$11=AE$15),AND($E139=$A$3,$D$5=AE$15)),$D139-SUM($R139:AD139),IF($E139=$A$10,ROUND(_xlfn.XLOOKUP(AE$15,$D$10:$D$11,$C$10:$C$11,0,0)*$D139,2),IF($E139=$A$3,ROUND(_xlfn.XLOOKUP(AE$15,$D$3:$D$5,$C$3:$C$5,0,0)*$D139,2),IF($E139=$A$6,ROUND(_xlfn.XLOOKUP(AE$15,$D$6:$D$9,$C$6:$C$9,0,0)*$D139,2),""))))</f>
        <v/>
      </c>
      <c r="AF139" s="647" t="str">
        <f>IF(OR(AND($E139=$A$6,$D$9=AF$15),AND($E139=$A$10,$D$11=AF$15),AND($E139=$A$3,$D$5=AF$15)),$D139-SUM($R139:AE139),IF($E139=$A$10,ROUND(_xlfn.XLOOKUP(AF$15,$D$10:$D$11,$C$10:$C$11,0,0)*$D139,2),IF($E139=$A$3,ROUND(_xlfn.XLOOKUP(AF$15,$D$3:$D$5,$C$3:$C$5,0,0)*$D139,2),IF($E139=$A$6,ROUND(_xlfn.XLOOKUP(AF$15,$D$6:$D$9,$C$6:$C$9,0,0)*$D139,2),""))))</f>
        <v/>
      </c>
      <c r="AG139" s="645"/>
      <c r="AH139" s="646"/>
      <c r="AI139" s="646"/>
      <c r="AJ139" s="646"/>
      <c r="AK139" s="647"/>
      <c r="AL139" s="645" t="str">
        <f>IF(OR(AND($E139=$A$6,$D$9=AL$15),AND($E139=$A$10,$D$11=AL$15),AND($E139=$A$3,$D$5=AL$15)),$D139-SUM($R139:AK139),IF($E139=$A$10,ROUND(_xlfn.XLOOKUP(AL$15,$D$10:$D$11,$C$10:$C$11,0,0)*$D139,2),IF($E139=$A$3,ROUND(_xlfn.XLOOKUP(AL$15,$D$3:$D$5,$C$3:$C$5,0,0)*$D139,2),IF($E139=$A$6,ROUND(_xlfn.XLOOKUP(AL$15,$D$6:$D$9,$C$6:$C$9,0,0)*$D139,2),""))))</f>
        <v/>
      </c>
      <c r="AM139" s="646" t="str">
        <f>IF(OR(AND($E139=$A$6,$D$9=AM$15),AND($E139=$A$10,$D$11=AM$15),AND($E139=$A$3,$D$5=AM$15)),$D139-SUM($R139:AL139),IF($E139=$A$10,ROUND(_xlfn.XLOOKUP(AM$15,$D$10:$D$11,$C$10:$C$11,0,0)*$D139,2),IF($E139=$A$3,ROUND(_xlfn.XLOOKUP(AM$15,$D$3:$D$5,$C$3:$C$5,0,0)*$D139,2),IF($E139=$A$6,ROUND(_xlfn.XLOOKUP(AM$15,$D$6:$D$9,$C$6:$C$9,0,0)*$D139,2),""))))</f>
        <v/>
      </c>
      <c r="AN139" s="647" t="str">
        <f>IF(OR(AND($E139=$A$6,$D$9=AN$15),AND($E139=$A$10,$D$11=AN$15),AND($E139=$A$3,$D$5=AN$15)),$D139-SUM($R139:AM139),IF($E139=$A$10,ROUND(_xlfn.XLOOKUP(AN$15,$D$10:$D$11,$C$10:$C$11,0,0)*$D139,2),IF($E139=$A$3,ROUND(_xlfn.XLOOKUP(AN$15,$D$3:$D$5,$C$3:$C$5,0,0)*$D139,2),IF($E139=$A$6,ROUND(_xlfn.XLOOKUP(AN$15,$D$6:$D$9,$C$6:$C$9,0,0)*$D139,2),""))))</f>
        <v/>
      </c>
      <c r="AO139" s="645"/>
      <c r="AP139" s="646"/>
      <c r="AQ139" s="647"/>
      <c r="AR139" s="646"/>
      <c r="AS139" s="645"/>
      <c r="AT139" s="647"/>
      <c r="AU139" s="648" t="str">
        <f>IF(OR(AND($E139=$A$6,$D$9=AU$15),AND($E139=$A$10,$D$11=AU$15),AND($E139=$A$3,$D$5=AU$15)),$D139-SUM($R139:AT139),IF($E139=$A$10,ROUND(_xlfn.XLOOKUP(AU$15,$D$10:$D$11,$C$10:$C$11,0,0)*$D139,2),IF($E139=$A$3,ROUND(_xlfn.XLOOKUP(AU$15,$D$3:$D$5,$C$3:$C$5,0,0)*$D139,2),IF($E139=$A$6,ROUND(_xlfn.XLOOKUP(AU$15,$D$6:$D$9,$C$6:$C$9,0,0)*$D139,2),""))))</f>
        <v/>
      </c>
      <c r="AV139" s="673" t="str">
        <f>IF(SUM(R139:AU139)=D139,"","CORRIGIR")</f>
        <v/>
      </c>
    </row>
    <row r="140" spans="1:48" ht="15" x14ac:dyDescent="0.2">
      <c r="A140" s="567" t="s">
        <v>4811</v>
      </c>
      <c r="B140" s="566" t="s">
        <v>4775</v>
      </c>
      <c r="C140" s="583">
        <f t="shared" si="142"/>
        <v>2.727070372766487E-2</v>
      </c>
      <c r="D140" s="564">
        <f>SUBTOTAL(9,D141)</f>
        <v>705906.94</v>
      </c>
      <c r="E140" s="563"/>
      <c r="F140" s="561"/>
      <c r="G140" s="562"/>
      <c r="H140" s="561"/>
      <c r="I140" s="562"/>
      <c r="J140" s="561"/>
      <c r="K140" s="562"/>
      <c r="L140" s="561"/>
      <c r="M140" s="562"/>
      <c r="N140" s="561"/>
      <c r="O140" s="562"/>
      <c r="P140" s="561"/>
      <c r="Q140" s="560"/>
      <c r="R140" s="640"/>
      <c r="S140" s="641"/>
      <c r="T140" s="640"/>
      <c r="U140" s="641"/>
      <c r="V140" s="640"/>
      <c r="W140" s="641"/>
      <c r="X140" s="640"/>
      <c r="Y140" s="641"/>
      <c r="Z140" s="640"/>
      <c r="AA140" s="641"/>
      <c r="AB140" s="640"/>
      <c r="AC140" s="641"/>
      <c r="AD140" s="640"/>
      <c r="AE140" s="641"/>
      <c r="AF140" s="640"/>
      <c r="AG140" s="641"/>
      <c r="AH140" s="640"/>
      <c r="AI140" s="641"/>
      <c r="AJ140" s="640"/>
      <c r="AK140" s="641"/>
      <c r="AL140" s="640"/>
      <c r="AM140" s="641"/>
      <c r="AN140" s="640"/>
      <c r="AO140" s="641"/>
      <c r="AP140" s="640"/>
      <c r="AQ140" s="641"/>
      <c r="AR140" s="640"/>
      <c r="AS140" s="641"/>
      <c r="AT140" s="640"/>
      <c r="AU140" s="642"/>
      <c r="AV140" s="673"/>
    </row>
    <row r="141" spans="1:48" ht="14.25" outlineLevel="1" x14ac:dyDescent="0.2">
      <c r="A141" s="559" t="s">
        <v>5312</v>
      </c>
      <c r="B141" s="558" t="s">
        <v>4775</v>
      </c>
      <c r="C141" s="557">
        <f t="shared" si="142"/>
        <v>2.727070372766487E-2</v>
      </c>
      <c r="D141" s="556">
        <f>Produtos!$D134</f>
        <v>705906.94</v>
      </c>
      <c r="E141" s="578" t="s">
        <v>5296</v>
      </c>
      <c r="F141" s="577"/>
      <c r="G141" s="577"/>
      <c r="H141" s="577"/>
      <c r="I141" s="577"/>
      <c r="J141" s="577"/>
      <c r="K141" s="577" t="s">
        <v>5295</v>
      </c>
      <c r="L141" s="577" t="s">
        <v>5295</v>
      </c>
      <c r="M141" s="577" t="s">
        <v>5295</v>
      </c>
      <c r="N141" s="577" t="s">
        <v>5295</v>
      </c>
      <c r="O141" s="577">
        <v>1</v>
      </c>
      <c r="P141" s="577"/>
      <c r="Q141" s="577"/>
      <c r="R141" s="658">
        <f t="shared" ref="R141:AC141" si="220">IF(F141=1,ROUND(_xlfn.XLOOKUP($E141,$A$2:$A$11,$C$2:$C$11,0,0)*F141*$D141,2),0)</f>
        <v>0</v>
      </c>
      <c r="S141" s="646">
        <f t="shared" si="220"/>
        <v>0</v>
      </c>
      <c r="T141" s="646">
        <f t="shared" si="220"/>
        <v>0</v>
      </c>
      <c r="U141" s="646">
        <f t="shared" si="220"/>
        <v>0</v>
      </c>
      <c r="V141" s="646">
        <f t="shared" si="220"/>
        <v>0</v>
      </c>
      <c r="W141" s="646">
        <f t="shared" si="220"/>
        <v>0</v>
      </c>
      <c r="X141" s="646">
        <f t="shared" si="220"/>
        <v>0</v>
      </c>
      <c r="Y141" s="646">
        <f t="shared" si="220"/>
        <v>0</v>
      </c>
      <c r="Z141" s="646">
        <f t="shared" si="220"/>
        <v>0</v>
      </c>
      <c r="AA141" s="646">
        <f t="shared" si="220"/>
        <v>176476.74</v>
      </c>
      <c r="AB141" s="646">
        <f t="shared" si="220"/>
        <v>0</v>
      </c>
      <c r="AC141" s="646">
        <f t="shared" si="220"/>
        <v>0</v>
      </c>
      <c r="AD141" s="645">
        <f>IF(OR(AND($E141=$A$6,$D$9=AD$15),AND($E141=$A$10,$D$11=AD$15),AND($E141=$A$3,$D$5=AD$15)),$D141-SUM($R141:AC141),IF($E141=$A$10,ROUND(_xlfn.XLOOKUP(AD$15,$D$10:$D$11,$C$10:$C$11,0,0)*$D141,2),IF($E141=$A$3,ROUND(_xlfn.XLOOKUP(AD$15,$D$3:$D$5,$C$3:$C$5,0,0)*$D141,2),IF($E141=$A$6,ROUND(_xlfn.XLOOKUP(AD$15,$D$6:$D$9,$C$6:$C$9,0,0)*$D141,2),""))))</f>
        <v>0</v>
      </c>
      <c r="AE141" s="646">
        <f>IF(OR(AND($E141=$A$6,$D$9=AE$15),AND($E141=$A$10,$D$11=AE$15),AND($E141=$A$3,$D$5=AE$15)),$D141-SUM($R141:AD141),IF($E141=$A$10,ROUND(_xlfn.XLOOKUP(AE$15,$D$10:$D$11,$C$10:$C$11,0,0)*$D141,2),IF($E141=$A$3,ROUND(_xlfn.XLOOKUP(AE$15,$D$3:$D$5,$C$3:$C$5,0,0)*$D141,2),IF($E141=$A$6,ROUND(_xlfn.XLOOKUP(AE$15,$D$6:$D$9,$C$6:$C$9,0,0)*$D141,2),""))))</f>
        <v>0</v>
      </c>
      <c r="AF141" s="647">
        <f>IF(OR(AND($E141=$A$6,$D$9=AF$15),AND($E141=$A$10,$D$11=AF$15),AND($E141=$A$3,$D$5=AF$15)),$D141-SUM($R141:AE141),IF($E141=$A$10,ROUND(_xlfn.XLOOKUP(AF$15,$D$10:$D$11,$C$10:$C$11,0,0)*$D141,2),IF($E141=$A$3,ROUND(_xlfn.XLOOKUP(AF$15,$D$3:$D$5,$C$3:$C$5,0,0)*$D141,2),IF($E141=$A$6,ROUND(_xlfn.XLOOKUP(AF$15,$D$6:$D$9,$C$6:$C$9,0,0)*$D141,2),""))))</f>
        <v>176476.74</v>
      </c>
      <c r="AG141" s="645"/>
      <c r="AH141" s="646"/>
      <c r="AI141" s="646"/>
      <c r="AJ141" s="646"/>
      <c r="AK141" s="647"/>
      <c r="AL141" s="645">
        <f>IF(OR(AND($E141=$A$6,$D$9=AL$15),AND($E141=$A$10,$D$11=AL$15),AND($E141=$A$3,$D$5=AL$15)),$D141-SUM($R141:AK141),IF($E141=$A$10,ROUND(_xlfn.XLOOKUP(AL$15,$D$10:$D$11,$C$10:$C$11,0,0)*$D141,2),IF($E141=$A$3,ROUND(_xlfn.XLOOKUP(AL$15,$D$3:$D$5,$C$3:$C$5,0,0)*$D141,2),IF($E141=$A$6,ROUND(_xlfn.XLOOKUP(AL$15,$D$6:$D$9,$C$6:$C$9,0,0)*$D141,2),""))))</f>
        <v>0</v>
      </c>
      <c r="AM141" s="646">
        <f>IF(OR(AND($E141=$A$6,$D$9=AM$15),AND($E141=$A$10,$D$11=AM$15),AND($E141=$A$3,$D$5=AM$15)),$D141-SUM($R141:AL141),IF($E141=$A$10,ROUND(_xlfn.XLOOKUP(AM$15,$D$10:$D$11,$C$10:$C$11,0,0)*$D141,2),IF($E141=$A$3,ROUND(_xlfn.XLOOKUP(AM$15,$D$3:$D$5,$C$3:$C$5,0,0)*$D141,2),IF($E141=$A$6,ROUND(_xlfn.XLOOKUP(AM$15,$D$6:$D$9,$C$6:$C$9,0,0)*$D141,2),""))))</f>
        <v>0</v>
      </c>
      <c r="AN141" s="647">
        <f>IF(OR(AND($E141=$A$6,$D$9=AN$15),AND($E141=$A$10,$D$11=AN$15),AND($E141=$A$3,$D$5=AN$15)),$D141-SUM($R141:AM141),IF($E141=$A$10,ROUND(_xlfn.XLOOKUP(AN$15,$D$10:$D$11,$C$10:$C$11,0,0)*$D141,2),IF($E141=$A$3,ROUND(_xlfn.XLOOKUP(AN$15,$D$3:$D$5,$C$3:$C$5,0,0)*$D141,2),IF($E141=$A$6,ROUND(_xlfn.XLOOKUP(AN$15,$D$6:$D$9,$C$6:$C$9,0,0)*$D141,2),""))))</f>
        <v>176476.74</v>
      </c>
      <c r="AO141" s="645"/>
      <c r="AP141" s="646"/>
      <c r="AQ141" s="647"/>
      <c r="AR141" s="646"/>
      <c r="AS141" s="645"/>
      <c r="AT141" s="647"/>
      <c r="AU141" s="648">
        <f>IF(OR(AND($E141=$A$6,$D$9=AU$15),AND($E141=$A$10,$D$11=AU$15),AND($E141=$A$3,$D$5=AU$15)),$D141-SUM($R141:AT141),IF($E141=$A$10,ROUND(_xlfn.XLOOKUP(AU$15,$D$10:$D$11,$C$10:$C$11,0,0)*$D141,2),IF($E141=$A$3,ROUND(_xlfn.XLOOKUP(AU$15,$D$3:$D$5,$C$3:$C$5,0,0)*$D141,2),IF($E141=$A$6,ROUND(_xlfn.XLOOKUP(AU$15,$D$6:$D$9,$C$6:$C$9,0,0)*$D141,2),""))))</f>
        <v>176476.71999999997</v>
      </c>
      <c r="AV141" s="673" t="str">
        <f>IF(SUM(R141:AU141)=D141,"","CORRIGIR")</f>
        <v/>
      </c>
    </row>
    <row r="142" spans="1:48" ht="15" x14ac:dyDescent="0.2">
      <c r="A142" s="567" t="s">
        <v>4812</v>
      </c>
      <c r="B142" s="566" t="s">
        <v>4755</v>
      </c>
      <c r="C142" s="583">
        <f t="shared" si="142"/>
        <v>5.5855658563199202E-3</v>
      </c>
      <c r="D142" s="564">
        <f>SUBTOTAL(9,D143)</f>
        <v>144583.35</v>
      </c>
      <c r="E142" s="563"/>
      <c r="F142" s="561"/>
      <c r="G142" s="562"/>
      <c r="H142" s="561"/>
      <c r="I142" s="562"/>
      <c r="J142" s="561"/>
      <c r="K142" s="562"/>
      <c r="L142" s="561"/>
      <c r="M142" s="562"/>
      <c r="N142" s="561"/>
      <c r="O142" s="562"/>
      <c r="P142" s="561"/>
      <c r="Q142" s="560"/>
      <c r="R142" s="640"/>
      <c r="S142" s="641"/>
      <c r="T142" s="640"/>
      <c r="U142" s="641"/>
      <c r="V142" s="640"/>
      <c r="W142" s="641"/>
      <c r="X142" s="640"/>
      <c r="Y142" s="641"/>
      <c r="Z142" s="640"/>
      <c r="AA142" s="641"/>
      <c r="AB142" s="640"/>
      <c r="AC142" s="641"/>
      <c r="AD142" s="640"/>
      <c r="AE142" s="641"/>
      <c r="AF142" s="640"/>
      <c r="AG142" s="641"/>
      <c r="AH142" s="640"/>
      <c r="AI142" s="641"/>
      <c r="AJ142" s="640"/>
      <c r="AK142" s="641"/>
      <c r="AL142" s="640"/>
      <c r="AM142" s="641"/>
      <c r="AN142" s="640"/>
      <c r="AO142" s="641"/>
      <c r="AP142" s="640"/>
      <c r="AQ142" s="641"/>
      <c r="AR142" s="640"/>
      <c r="AS142" s="641"/>
      <c r="AT142" s="640"/>
      <c r="AU142" s="642"/>
      <c r="AV142" s="673"/>
    </row>
    <row r="143" spans="1:48" ht="14.25" outlineLevel="1" x14ac:dyDescent="0.2">
      <c r="A143" s="559" t="s">
        <v>5311</v>
      </c>
      <c r="B143" s="558" t="s">
        <v>4755</v>
      </c>
      <c r="C143" s="557">
        <f t="shared" si="142"/>
        <v>5.5855658563199202E-3</v>
      </c>
      <c r="D143" s="556">
        <f>Produtos!$D136</f>
        <v>144583.35</v>
      </c>
      <c r="E143" s="578" t="s">
        <v>5296</v>
      </c>
      <c r="F143" s="577"/>
      <c r="G143" s="577"/>
      <c r="H143" s="577"/>
      <c r="I143" s="577"/>
      <c r="J143" s="577"/>
      <c r="K143" s="577" t="s">
        <v>5295</v>
      </c>
      <c r="L143" s="577" t="s">
        <v>5295</v>
      </c>
      <c r="M143" s="577" t="s">
        <v>5295</v>
      </c>
      <c r="N143" s="577" t="s">
        <v>5295</v>
      </c>
      <c r="O143" s="577">
        <v>1</v>
      </c>
      <c r="P143" s="577"/>
      <c r="Q143" s="577"/>
      <c r="R143" s="658">
        <f t="shared" ref="R143:AC143" si="221">IF(F143=1,ROUND(_xlfn.XLOOKUP($E143,$A$2:$A$11,$C$2:$C$11,0,0)*F143*$D143,2),0)</f>
        <v>0</v>
      </c>
      <c r="S143" s="646">
        <f t="shared" si="221"/>
        <v>0</v>
      </c>
      <c r="T143" s="646">
        <f t="shared" si="221"/>
        <v>0</v>
      </c>
      <c r="U143" s="646">
        <f t="shared" si="221"/>
        <v>0</v>
      </c>
      <c r="V143" s="646">
        <f t="shared" si="221"/>
        <v>0</v>
      </c>
      <c r="W143" s="646">
        <f t="shared" si="221"/>
        <v>0</v>
      </c>
      <c r="X143" s="646">
        <f t="shared" si="221"/>
        <v>0</v>
      </c>
      <c r="Y143" s="646">
        <f t="shared" si="221"/>
        <v>0</v>
      </c>
      <c r="Z143" s="646">
        <f t="shared" si="221"/>
        <v>0</v>
      </c>
      <c r="AA143" s="646">
        <f t="shared" si="221"/>
        <v>36145.839999999997</v>
      </c>
      <c r="AB143" s="646">
        <f t="shared" si="221"/>
        <v>0</v>
      </c>
      <c r="AC143" s="646">
        <f t="shared" si="221"/>
        <v>0</v>
      </c>
      <c r="AD143" s="645">
        <f>IF(OR(AND($E143=$A$6,$D$9=AD$15),AND($E143=$A$10,$D$11=AD$15),AND($E143=$A$3,$D$5=AD$15)),$D143-SUM($R143:AC143),IF($E143=$A$10,ROUND(_xlfn.XLOOKUP(AD$15,$D$10:$D$11,$C$10:$C$11,0,0)*$D143,2),IF($E143=$A$3,ROUND(_xlfn.XLOOKUP(AD$15,$D$3:$D$5,$C$3:$C$5,0,0)*$D143,2),IF($E143=$A$6,ROUND(_xlfn.XLOOKUP(AD$15,$D$6:$D$9,$C$6:$C$9,0,0)*$D143,2),""))))</f>
        <v>0</v>
      </c>
      <c r="AE143" s="646">
        <f>IF(OR(AND($E143=$A$6,$D$9=AE$15),AND($E143=$A$10,$D$11=AE$15),AND($E143=$A$3,$D$5=AE$15)),$D143-SUM($R143:AD143),IF($E143=$A$10,ROUND(_xlfn.XLOOKUP(AE$15,$D$10:$D$11,$C$10:$C$11,0,0)*$D143,2),IF($E143=$A$3,ROUND(_xlfn.XLOOKUP(AE$15,$D$3:$D$5,$C$3:$C$5,0,0)*$D143,2),IF($E143=$A$6,ROUND(_xlfn.XLOOKUP(AE$15,$D$6:$D$9,$C$6:$C$9,0,0)*$D143,2),""))))</f>
        <v>0</v>
      </c>
      <c r="AF143" s="647">
        <f>IF(OR(AND($E143=$A$6,$D$9=AF$15),AND($E143=$A$10,$D$11=AF$15),AND($E143=$A$3,$D$5=AF$15)),$D143-SUM($R143:AE143),IF($E143=$A$10,ROUND(_xlfn.XLOOKUP(AF$15,$D$10:$D$11,$C$10:$C$11,0,0)*$D143,2),IF($E143=$A$3,ROUND(_xlfn.XLOOKUP(AF$15,$D$3:$D$5,$C$3:$C$5,0,0)*$D143,2),IF($E143=$A$6,ROUND(_xlfn.XLOOKUP(AF$15,$D$6:$D$9,$C$6:$C$9,0,0)*$D143,2),""))))</f>
        <v>36145.839999999997</v>
      </c>
      <c r="AG143" s="645"/>
      <c r="AH143" s="646"/>
      <c r="AI143" s="646"/>
      <c r="AJ143" s="646"/>
      <c r="AK143" s="647"/>
      <c r="AL143" s="645">
        <f>IF(OR(AND($E143=$A$6,$D$9=AL$15),AND($E143=$A$10,$D$11=AL$15),AND($E143=$A$3,$D$5=AL$15)),$D143-SUM($R143:AK143),IF($E143=$A$10,ROUND(_xlfn.XLOOKUP(AL$15,$D$10:$D$11,$C$10:$C$11,0,0)*$D143,2),IF($E143=$A$3,ROUND(_xlfn.XLOOKUP(AL$15,$D$3:$D$5,$C$3:$C$5,0,0)*$D143,2),IF($E143=$A$6,ROUND(_xlfn.XLOOKUP(AL$15,$D$6:$D$9,$C$6:$C$9,0,0)*$D143,2),""))))</f>
        <v>0</v>
      </c>
      <c r="AM143" s="646">
        <f>IF(OR(AND($E143=$A$6,$D$9=AM$15),AND($E143=$A$10,$D$11=AM$15),AND($E143=$A$3,$D$5=AM$15)),$D143-SUM($R143:AL143),IF($E143=$A$10,ROUND(_xlfn.XLOOKUP(AM$15,$D$10:$D$11,$C$10:$C$11,0,0)*$D143,2),IF($E143=$A$3,ROUND(_xlfn.XLOOKUP(AM$15,$D$3:$D$5,$C$3:$C$5,0,0)*$D143,2),IF($E143=$A$6,ROUND(_xlfn.XLOOKUP(AM$15,$D$6:$D$9,$C$6:$C$9,0,0)*$D143,2),""))))</f>
        <v>0</v>
      </c>
      <c r="AN143" s="647">
        <f>IF(OR(AND($E143=$A$6,$D$9=AN$15),AND($E143=$A$10,$D$11=AN$15),AND($E143=$A$3,$D$5=AN$15)),$D143-SUM($R143:AM143),IF($E143=$A$10,ROUND(_xlfn.XLOOKUP(AN$15,$D$10:$D$11,$C$10:$C$11,0,0)*$D143,2),IF($E143=$A$3,ROUND(_xlfn.XLOOKUP(AN$15,$D$3:$D$5,$C$3:$C$5,0,0)*$D143,2),IF($E143=$A$6,ROUND(_xlfn.XLOOKUP(AN$15,$D$6:$D$9,$C$6:$C$9,0,0)*$D143,2),""))))</f>
        <v>36145.839999999997</v>
      </c>
      <c r="AO143" s="645"/>
      <c r="AP143" s="646"/>
      <c r="AQ143" s="647"/>
      <c r="AR143" s="646"/>
      <c r="AS143" s="645"/>
      <c r="AT143" s="647"/>
      <c r="AU143" s="648">
        <f>IF(OR(AND($E143=$A$6,$D$9=AU$15),AND($E143=$A$10,$D$11=AU$15),AND($E143=$A$3,$D$5=AU$15)),$D143-SUM($R143:AT143),IF($E143=$A$10,ROUND(_xlfn.XLOOKUP(AU$15,$D$10:$D$11,$C$10:$C$11,0,0)*$D143,2),IF($E143=$A$3,ROUND(_xlfn.XLOOKUP(AU$15,$D$3:$D$5,$C$3:$C$5,0,0)*$D143,2),IF($E143=$A$6,ROUND(_xlfn.XLOOKUP(AU$15,$D$6:$D$9,$C$6:$C$9,0,0)*$D143,2),""))))</f>
        <v>36145.830000000016</v>
      </c>
      <c r="AV143" s="673" t="str">
        <f>IF(SUM(R143:AU143)=D143,"","CORRIGIR")</f>
        <v/>
      </c>
    </row>
    <row r="144" spans="1:48" s="568" customFormat="1" ht="15" x14ac:dyDescent="0.2">
      <c r="A144" s="576">
        <v>9</v>
      </c>
      <c r="B144" s="575" t="s">
        <v>4813</v>
      </c>
      <c r="C144" s="574">
        <f t="shared" si="142"/>
        <v>7.8377248571715838E-2</v>
      </c>
      <c r="D144" s="573">
        <f>SUBTOTAL(9,D145:D155)</f>
        <v>2028808.8</v>
      </c>
      <c r="E144" s="569"/>
      <c r="F144" s="572"/>
      <c r="G144" s="571"/>
      <c r="H144" s="570"/>
      <c r="I144" s="571"/>
      <c r="J144" s="570"/>
      <c r="K144" s="571"/>
      <c r="L144" s="570"/>
      <c r="M144" s="571"/>
      <c r="N144" s="570"/>
      <c r="O144" s="571"/>
      <c r="P144" s="570"/>
      <c r="Q144" s="569"/>
      <c r="R144" s="659"/>
      <c r="S144" s="660"/>
      <c r="T144" s="659"/>
      <c r="U144" s="660"/>
      <c r="V144" s="659"/>
      <c r="W144" s="660"/>
      <c r="X144" s="659"/>
      <c r="Y144" s="660"/>
      <c r="Z144" s="659"/>
      <c r="AA144" s="660"/>
      <c r="AB144" s="659"/>
      <c r="AC144" s="660"/>
      <c r="AD144" s="659"/>
      <c r="AE144" s="660"/>
      <c r="AF144" s="659"/>
      <c r="AG144" s="660"/>
      <c r="AH144" s="659"/>
      <c r="AI144" s="660"/>
      <c r="AJ144" s="659"/>
      <c r="AK144" s="660"/>
      <c r="AL144" s="659"/>
      <c r="AM144" s="660"/>
      <c r="AN144" s="659"/>
      <c r="AO144" s="660"/>
      <c r="AP144" s="659"/>
      <c r="AQ144" s="660"/>
      <c r="AR144" s="659"/>
      <c r="AS144" s="660"/>
      <c r="AT144" s="659"/>
      <c r="AU144" s="661"/>
      <c r="AV144" s="673"/>
    </row>
    <row r="145" spans="1:48" ht="15" x14ac:dyDescent="0.2">
      <c r="A145" s="567" t="s">
        <v>4814</v>
      </c>
      <c r="B145" s="566" t="s">
        <v>4694</v>
      </c>
      <c r="C145" s="565">
        <f t="shared" ref="C145:C182" si="222">D145/$D$13</f>
        <v>1.2957880301080717E-4</v>
      </c>
      <c r="D145" s="564">
        <f>SUBTOTAL(9,D146:D147)</f>
        <v>3354.17</v>
      </c>
      <c r="E145" s="563"/>
      <c r="F145" s="561"/>
      <c r="G145" s="562"/>
      <c r="H145" s="561"/>
      <c r="I145" s="562"/>
      <c r="J145" s="561"/>
      <c r="K145" s="562"/>
      <c r="L145" s="561"/>
      <c r="M145" s="562"/>
      <c r="N145" s="561"/>
      <c r="O145" s="562"/>
      <c r="P145" s="561"/>
      <c r="Q145" s="560"/>
      <c r="R145" s="640"/>
      <c r="S145" s="641"/>
      <c r="T145" s="640"/>
      <c r="U145" s="641"/>
      <c r="V145" s="640"/>
      <c r="W145" s="641"/>
      <c r="X145" s="640"/>
      <c r="Y145" s="641"/>
      <c r="Z145" s="640"/>
      <c r="AA145" s="641"/>
      <c r="AB145" s="640"/>
      <c r="AC145" s="641"/>
      <c r="AD145" s="640"/>
      <c r="AE145" s="641"/>
      <c r="AF145" s="640"/>
      <c r="AG145" s="641"/>
      <c r="AH145" s="640"/>
      <c r="AI145" s="641"/>
      <c r="AJ145" s="640"/>
      <c r="AK145" s="641"/>
      <c r="AL145" s="640"/>
      <c r="AM145" s="641"/>
      <c r="AN145" s="640"/>
      <c r="AO145" s="641"/>
      <c r="AP145" s="640"/>
      <c r="AQ145" s="641"/>
      <c r="AR145" s="640"/>
      <c r="AS145" s="641"/>
      <c r="AT145" s="640"/>
      <c r="AU145" s="642"/>
      <c r="AV145" s="673"/>
    </row>
    <row r="146" spans="1:48" ht="14.25" outlineLevel="1" x14ac:dyDescent="0.2">
      <c r="A146" s="559" t="s">
        <v>5310</v>
      </c>
      <c r="B146" s="558" t="s">
        <v>4815</v>
      </c>
      <c r="C146" s="557">
        <f t="shared" si="222"/>
        <v>5.183159846862552E-5</v>
      </c>
      <c r="D146" s="556">
        <f>Produtos!$D139</f>
        <v>1341.67</v>
      </c>
      <c r="E146" s="580" t="s">
        <v>5286</v>
      </c>
      <c r="F146" s="577"/>
      <c r="G146" s="577"/>
      <c r="H146" s="577"/>
      <c r="I146" s="577" t="s">
        <v>5295</v>
      </c>
      <c r="J146" s="577">
        <v>1</v>
      </c>
      <c r="K146" s="577"/>
      <c r="L146" s="577"/>
      <c r="M146" s="577"/>
      <c r="N146" s="577"/>
      <c r="O146" s="577"/>
      <c r="P146" s="577"/>
      <c r="Q146" s="577"/>
      <c r="R146" s="658">
        <f t="shared" ref="R146:R147" si="223">IF(F146=1,ROUND(_xlfn.XLOOKUP($E146,$A$2:$A$11,$C$2:$C$11,0,0)*F146*$D146,2),0)</f>
        <v>0</v>
      </c>
      <c r="S146" s="646">
        <f t="shared" ref="S146:S147" si="224">IF(G146=1,ROUND(_xlfn.XLOOKUP($E146,$A$2:$A$11,$C$2:$C$11,0,0)*G146*$D146,2),0)</f>
        <v>0</v>
      </c>
      <c r="T146" s="646">
        <f t="shared" ref="T146:T147" si="225">IF(H146=1,ROUND(_xlfn.XLOOKUP($E146,$A$2:$A$11,$C$2:$C$11,0,0)*H146*$D146,2),0)</f>
        <v>0</v>
      </c>
      <c r="U146" s="646">
        <f t="shared" ref="U146:U147" si="226">IF(I146=1,ROUND(_xlfn.XLOOKUP($E146,$A$2:$A$11,$C$2:$C$11,0,0)*I146*$D146,2),0)</f>
        <v>0</v>
      </c>
      <c r="V146" s="646">
        <f t="shared" ref="V146:V147" si="227">IF(J146=1,ROUND(_xlfn.XLOOKUP($E146,$A$2:$A$11,$C$2:$C$11,0,0)*J146*$D146,2),0)</f>
        <v>1341.67</v>
      </c>
      <c r="W146" s="646">
        <f t="shared" ref="W146:W147" si="228">IF(K146=1,ROUND(_xlfn.XLOOKUP($E146,$A$2:$A$11,$C$2:$C$11,0,0)*K146*$D146,2),0)</f>
        <v>0</v>
      </c>
      <c r="X146" s="646">
        <f t="shared" ref="X146:X147" si="229">IF(L146=1,ROUND(_xlfn.XLOOKUP($E146,$A$2:$A$11,$C$2:$C$11,0,0)*L146*$D146,2),0)</f>
        <v>0</v>
      </c>
      <c r="Y146" s="646">
        <f t="shared" ref="Y146:Y147" si="230">IF(M146=1,ROUND(_xlfn.XLOOKUP($E146,$A$2:$A$11,$C$2:$C$11,0,0)*M146*$D146,2),0)</f>
        <v>0</v>
      </c>
      <c r="Z146" s="646">
        <f t="shared" ref="Z146:Z147" si="231">IF(N146=1,ROUND(_xlfn.XLOOKUP($E146,$A$2:$A$11,$C$2:$C$11,0,0)*N146*$D146,2),0)</f>
        <v>0</v>
      </c>
      <c r="AA146" s="646">
        <f t="shared" ref="AA146:AA147" si="232">IF(O146=1,ROUND(_xlfn.XLOOKUP($E146,$A$2:$A$11,$C$2:$C$11,0,0)*O146*$D146,2),0)</f>
        <v>0</v>
      </c>
      <c r="AB146" s="646">
        <f t="shared" ref="AB146:AB147" si="233">IF(P146=1,ROUND(_xlfn.XLOOKUP($E146,$A$2:$A$11,$C$2:$C$11,0,0)*P146*$D146,2),0)</f>
        <v>0</v>
      </c>
      <c r="AC146" s="646">
        <f t="shared" ref="AC146:AC147" si="234">IF(Q146=1,ROUND(_xlfn.XLOOKUP($E146,$A$2:$A$11,$C$2:$C$11,0,0)*Q146*$D146,2),0)</f>
        <v>0</v>
      </c>
      <c r="AD146" s="645" t="str">
        <f>IF(OR(AND($E146=$A$6,$D$9=AD$15),AND($E146=$A$10,$D$11=AD$15),AND($E146=$A$3,$D$5=AD$15)),$D146-SUM($R146:AC146),IF($E146=$A$10,ROUND(_xlfn.XLOOKUP(AD$15,$D$10:$D$11,$C$10:$C$11,0,0)*$D146,2),IF($E146=$A$3,ROUND(_xlfn.XLOOKUP(AD$15,$D$3:$D$5,$C$3:$C$5,0,0)*$D146,2),IF($E146=$A$6,ROUND(_xlfn.XLOOKUP(AD$15,$D$6:$D$9,$C$6:$C$9,0,0)*$D146,2),""))))</f>
        <v/>
      </c>
      <c r="AE146" s="646" t="str">
        <f>IF(OR(AND($E146=$A$6,$D$9=AE$15),AND($E146=$A$10,$D$11=AE$15),AND($E146=$A$3,$D$5=AE$15)),$D146-SUM($R146:AD146),IF($E146=$A$10,ROUND(_xlfn.XLOOKUP(AE$15,$D$10:$D$11,$C$10:$C$11,0,0)*$D146,2),IF($E146=$A$3,ROUND(_xlfn.XLOOKUP(AE$15,$D$3:$D$5,$C$3:$C$5,0,0)*$D146,2),IF($E146=$A$6,ROUND(_xlfn.XLOOKUP(AE$15,$D$6:$D$9,$C$6:$C$9,0,0)*$D146,2),""))))</f>
        <v/>
      </c>
      <c r="AF146" s="647" t="str">
        <f>IF(OR(AND($E146=$A$6,$D$9=AF$15),AND($E146=$A$10,$D$11=AF$15),AND($E146=$A$3,$D$5=AF$15)),$D146-SUM($R146:AE146),IF($E146=$A$10,ROUND(_xlfn.XLOOKUP(AF$15,$D$10:$D$11,$C$10:$C$11,0,0)*$D146,2),IF($E146=$A$3,ROUND(_xlfn.XLOOKUP(AF$15,$D$3:$D$5,$C$3:$C$5,0,0)*$D146,2),IF($E146=$A$6,ROUND(_xlfn.XLOOKUP(AF$15,$D$6:$D$9,$C$6:$C$9,0,0)*$D146,2),""))))</f>
        <v/>
      </c>
      <c r="AG146" s="645"/>
      <c r="AH146" s="646"/>
      <c r="AI146" s="646"/>
      <c r="AJ146" s="646"/>
      <c r="AK146" s="647"/>
      <c r="AL146" s="645" t="str">
        <f>IF(OR(AND($E146=$A$6,$D$9=AL$15),AND($E146=$A$10,$D$11=AL$15),AND($E146=$A$3,$D$5=AL$15)),$D146-SUM($R146:AK146),IF($E146=$A$10,ROUND(_xlfn.XLOOKUP(AL$15,$D$10:$D$11,$C$10:$C$11,0,0)*$D146,2),IF($E146=$A$3,ROUND(_xlfn.XLOOKUP(AL$15,$D$3:$D$5,$C$3:$C$5,0,0)*$D146,2),IF($E146=$A$6,ROUND(_xlfn.XLOOKUP(AL$15,$D$6:$D$9,$C$6:$C$9,0,0)*$D146,2),""))))</f>
        <v/>
      </c>
      <c r="AM146" s="646" t="str">
        <f>IF(OR(AND($E146=$A$6,$D$9=AM$15),AND($E146=$A$10,$D$11=AM$15),AND($E146=$A$3,$D$5=AM$15)),$D146-SUM($R146:AL146),IF($E146=$A$10,ROUND(_xlfn.XLOOKUP(AM$15,$D$10:$D$11,$C$10:$C$11,0,0)*$D146,2),IF($E146=$A$3,ROUND(_xlfn.XLOOKUP(AM$15,$D$3:$D$5,$C$3:$C$5,0,0)*$D146,2),IF($E146=$A$6,ROUND(_xlfn.XLOOKUP(AM$15,$D$6:$D$9,$C$6:$C$9,0,0)*$D146,2),""))))</f>
        <v/>
      </c>
      <c r="AN146" s="647" t="str">
        <f>IF(OR(AND($E146=$A$6,$D$9=AN$15),AND($E146=$A$10,$D$11=AN$15),AND($E146=$A$3,$D$5=AN$15)),$D146-SUM($R146:AM146),IF($E146=$A$10,ROUND(_xlfn.XLOOKUP(AN$15,$D$10:$D$11,$C$10:$C$11,0,0)*$D146,2),IF($E146=$A$3,ROUND(_xlfn.XLOOKUP(AN$15,$D$3:$D$5,$C$3:$C$5,0,0)*$D146,2),IF($E146=$A$6,ROUND(_xlfn.XLOOKUP(AN$15,$D$6:$D$9,$C$6:$C$9,0,0)*$D146,2),""))))</f>
        <v/>
      </c>
      <c r="AO146" s="645"/>
      <c r="AP146" s="646"/>
      <c r="AQ146" s="647"/>
      <c r="AR146" s="646"/>
      <c r="AS146" s="645"/>
      <c r="AT146" s="647"/>
      <c r="AU146" s="648" t="str">
        <f>IF(OR(AND($E146=$A$6,$D$9=AU$15),AND($E146=$A$10,$D$11=AU$15),AND($E146=$A$3,$D$5=AU$15)),$D146-SUM($R146:AT146),IF($E146=$A$10,ROUND(_xlfn.XLOOKUP(AU$15,$D$10:$D$11,$C$10:$C$11,0,0)*$D146,2),IF($E146=$A$3,ROUND(_xlfn.XLOOKUP(AU$15,$D$3:$D$5,$C$3:$C$5,0,0)*$D146,2),IF($E146=$A$6,ROUND(_xlfn.XLOOKUP(AU$15,$D$6:$D$9,$C$6:$C$9,0,0)*$D146,2),""))))</f>
        <v/>
      </c>
      <c r="AV146" s="673" t="str">
        <f>IF(SUM(R146:AU146)=D146,"","CORRIGIR")</f>
        <v/>
      </c>
    </row>
    <row r="147" spans="1:48" ht="14.25" outlineLevel="1" x14ac:dyDescent="0.2">
      <c r="A147" s="559" t="s">
        <v>5309</v>
      </c>
      <c r="B147" s="558" t="s">
        <v>4816</v>
      </c>
      <c r="C147" s="557">
        <f t="shared" si="222"/>
        <v>7.7747204542181654E-5</v>
      </c>
      <c r="D147" s="556">
        <f>Produtos!$D140</f>
        <v>2012.5</v>
      </c>
      <c r="E147" s="580" t="s">
        <v>5286</v>
      </c>
      <c r="F147" s="577"/>
      <c r="G147" s="577"/>
      <c r="H147" s="577"/>
      <c r="I147" s="577"/>
      <c r="J147" s="577"/>
      <c r="K147" s="577" t="s">
        <v>5295</v>
      </c>
      <c r="L147" s="577">
        <v>1</v>
      </c>
      <c r="M147" s="577"/>
      <c r="N147" s="577"/>
      <c r="O147" s="577"/>
      <c r="P147" s="577"/>
      <c r="Q147" s="577"/>
      <c r="R147" s="658">
        <f t="shared" si="223"/>
        <v>0</v>
      </c>
      <c r="S147" s="646">
        <f t="shared" si="224"/>
        <v>0</v>
      </c>
      <c r="T147" s="646">
        <f t="shared" si="225"/>
        <v>0</v>
      </c>
      <c r="U147" s="646">
        <f t="shared" si="226"/>
        <v>0</v>
      </c>
      <c r="V147" s="646">
        <f t="shared" si="227"/>
        <v>0</v>
      </c>
      <c r="W147" s="646">
        <f t="shared" si="228"/>
        <v>0</v>
      </c>
      <c r="X147" s="646">
        <f t="shared" si="229"/>
        <v>2012.5</v>
      </c>
      <c r="Y147" s="646">
        <f t="shared" si="230"/>
        <v>0</v>
      </c>
      <c r="Z147" s="646">
        <f t="shared" si="231"/>
        <v>0</v>
      </c>
      <c r="AA147" s="646">
        <f t="shared" si="232"/>
        <v>0</v>
      </c>
      <c r="AB147" s="646">
        <f t="shared" si="233"/>
        <v>0</v>
      </c>
      <c r="AC147" s="646">
        <f t="shared" si="234"/>
        <v>0</v>
      </c>
      <c r="AD147" s="645" t="str">
        <f>IF(OR(AND($E147=$A$6,$D$9=AD$15),AND($E147=$A$10,$D$11=AD$15),AND($E147=$A$3,$D$5=AD$15)),$D147-SUM($R147:AC147),IF($E147=$A$10,ROUND(_xlfn.XLOOKUP(AD$15,$D$10:$D$11,$C$10:$C$11,0,0)*$D147,2),IF($E147=$A$3,ROUND(_xlfn.XLOOKUP(AD$15,$D$3:$D$5,$C$3:$C$5,0,0)*$D147,2),IF($E147=$A$6,ROUND(_xlfn.XLOOKUP(AD$15,$D$6:$D$9,$C$6:$C$9,0,0)*$D147,2),""))))</f>
        <v/>
      </c>
      <c r="AE147" s="646" t="str">
        <f>IF(OR(AND($E147=$A$6,$D$9=AE$15),AND($E147=$A$10,$D$11=AE$15),AND($E147=$A$3,$D$5=AE$15)),$D147-SUM($R147:AD147),IF($E147=$A$10,ROUND(_xlfn.XLOOKUP(AE$15,$D$10:$D$11,$C$10:$C$11,0,0)*$D147,2),IF($E147=$A$3,ROUND(_xlfn.XLOOKUP(AE$15,$D$3:$D$5,$C$3:$C$5,0,0)*$D147,2),IF($E147=$A$6,ROUND(_xlfn.XLOOKUP(AE$15,$D$6:$D$9,$C$6:$C$9,0,0)*$D147,2),""))))</f>
        <v/>
      </c>
      <c r="AF147" s="647" t="str">
        <f>IF(OR(AND($E147=$A$6,$D$9=AF$15),AND($E147=$A$10,$D$11=AF$15),AND($E147=$A$3,$D$5=AF$15)),$D147-SUM($R147:AE147),IF($E147=$A$10,ROUND(_xlfn.XLOOKUP(AF$15,$D$10:$D$11,$C$10:$C$11,0,0)*$D147,2),IF($E147=$A$3,ROUND(_xlfn.XLOOKUP(AF$15,$D$3:$D$5,$C$3:$C$5,0,0)*$D147,2),IF($E147=$A$6,ROUND(_xlfn.XLOOKUP(AF$15,$D$6:$D$9,$C$6:$C$9,0,0)*$D147,2),""))))</f>
        <v/>
      </c>
      <c r="AG147" s="645"/>
      <c r="AH147" s="646"/>
      <c r="AI147" s="646"/>
      <c r="AJ147" s="646"/>
      <c r="AK147" s="647"/>
      <c r="AL147" s="645" t="str">
        <f>IF(OR(AND($E147=$A$6,$D$9=AL$15),AND($E147=$A$10,$D$11=AL$15),AND($E147=$A$3,$D$5=AL$15)),$D147-SUM($R147:AK147),IF($E147=$A$10,ROUND(_xlfn.XLOOKUP(AL$15,$D$10:$D$11,$C$10:$C$11,0,0)*$D147,2),IF($E147=$A$3,ROUND(_xlfn.XLOOKUP(AL$15,$D$3:$D$5,$C$3:$C$5,0,0)*$D147,2),IF($E147=$A$6,ROUND(_xlfn.XLOOKUP(AL$15,$D$6:$D$9,$C$6:$C$9,0,0)*$D147,2),""))))</f>
        <v/>
      </c>
      <c r="AM147" s="646" t="str">
        <f>IF(OR(AND($E147=$A$6,$D$9=AM$15),AND($E147=$A$10,$D$11=AM$15),AND($E147=$A$3,$D$5=AM$15)),$D147-SUM($R147:AL147),IF($E147=$A$10,ROUND(_xlfn.XLOOKUP(AM$15,$D$10:$D$11,$C$10:$C$11,0,0)*$D147,2),IF($E147=$A$3,ROUND(_xlfn.XLOOKUP(AM$15,$D$3:$D$5,$C$3:$C$5,0,0)*$D147,2),IF($E147=$A$6,ROUND(_xlfn.XLOOKUP(AM$15,$D$6:$D$9,$C$6:$C$9,0,0)*$D147,2),""))))</f>
        <v/>
      </c>
      <c r="AN147" s="647" t="str">
        <f>IF(OR(AND($E147=$A$6,$D$9=AN$15),AND($E147=$A$10,$D$11=AN$15),AND($E147=$A$3,$D$5=AN$15)),$D147-SUM($R147:AM147),IF($E147=$A$10,ROUND(_xlfn.XLOOKUP(AN$15,$D$10:$D$11,$C$10:$C$11,0,0)*$D147,2),IF($E147=$A$3,ROUND(_xlfn.XLOOKUP(AN$15,$D$3:$D$5,$C$3:$C$5,0,0)*$D147,2),IF($E147=$A$6,ROUND(_xlfn.XLOOKUP(AN$15,$D$6:$D$9,$C$6:$C$9,0,0)*$D147,2),""))))</f>
        <v/>
      </c>
      <c r="AO147" s="645"/>
      <c r="AP147" s="646"/>
      <c r="AQ147" s="647"/>
      <c r="AR147" s="646"/>
      <c r="AS147" s="645"/>
      <c r="AT147" s="647"/>
      <c r="AU147" s="648" t="str">
        <f>IF(OR(AND($E147=$A$6,$D$9=AU$15),AND($E147=$A$10,$D$11=AU$15),AND($E147=$A$3,$D$5=AU$15)),$D147-SUM($R147:AT147),IF($E147=$A$10,ROUND(_xlfn.XLOOKUP(AU$15,$D$10:$D$11,$C$10:$C$11,0,0)*$D147,2),IF($E147=$A$3,ROUND(_xlfn.XLOOKUP(AU$15,$D$3:$D$5,$C$3:$C$5,0,0)*$D147,2),IF($E147=$A$6,ROUND(_xlfn.XLOOKUP(AU$15,$D$6:$D$9,$C$6:$C$9,0,0)*$D147,2),""))))</f>
        <v/>
      </c>
      <c r="AV147" s="673" t="str">
        <f>IF(SUM(R147:AU147)=D147,"","CORRIGIR")</f>
        <v/>
      </c>
    </row>
    <row r="148" spans="1:48" ht="15" x14ac:dyDescent="0.2">
      <c r="A148" s="567" t="s">
        <v>4817</v>
      </c>
      <c r="B148" s="566" t="s">
        <v>4818</v>
      </c>
      <c r="C148" s="583">
        <f t="shared" si="222"/>
        <v>3.3185292663035194E-2</v>
      </c>
      <c r="D148" s="564">
        <f>SUBTOTAL(9,D149:D151)</f>
        <v>859007.11</v>
      </c>
      <c r="E148" s="563"/>
      <c r="F148" s="561"/>
      <c r="G148" s="562"/>
      <c r="H148" s="561"/>
      <c r="I148" s="562"/>
      <c r="J148" s="561"/>
      <c r="K148" s="562"/>
      <c r="L148" s="561"/>
      <c r="M148" s="562"/>
      <c r="N148" s="561"/>
      <c r="O148" s="562"/>
      <c r="P148" s="561"/>
      <c r="Q148" s="560"/>
      <c r="R148" s="640"/>
      <c r="S148" s="641"/>
      <c r="T148" s="640"/>
      <c r="U148" s="641"/>
      <c r="V148" s="640"/>
      <c r="W148" s="641"/>
      <c r="X148" s="640"/>
      <c r="Y148" s="641"/>
      <c r="Z148" s="640"/>
      <c r="AA148" s="641"/>
      <c r="AB148" s="640"/>
      <c r="AC148" s="641"/>
      <c r="AD148" s="640"/>
      <c r="AE148" s="641"/>
      <c r="AF148" s="640"/>
      <c r="AG148" s="641"/>
      <c r="AH148" s="640"/>
      <c r="AI148" s="641"/>
      <c r="AJ148" s="640"/>
      <c r="AK148" s="641"/>
      <c r="AL148" s="640"/>
      <c r="AM148" s="641"/>
      <c r="AN148" s="640"/>
      <c r="AO148" s="641"/>
      <c r="AP148" s="640"/>
      <c r="AQ148" s="641"/>
      <c r="AR148" s="640"/>
      <c r="AS148" s="641"/>
      <c r="AT148" s="640"/>
      <c r="AU148" s="642"/>
      <c r="AV148" s="673"/>
    </row>
    <row r="149" spans="1:48" ht="14.25" outlineLevel="1" x14ac:dyDescent="0.2">
      <c r="A149" s="559" t="s">
        <v>5308</v>
      </c>
      <c r="B149" s="558" t="s">
        <v>4819</v>
      </c>
      <c r="C149" s="557">
        <f t="shared" si="222"/>
        <v>9.9555876830141055E-3</v>
      </c>
      <c r="D149" s="556">
        <f>Produtos!$D142</f>
        <v>257702.13</v>
      </c>
      <c r="E149" s="578" t="s">
        <v>5296</v>
      </c>
      <c r="F149" s="577"/>
      <c r="G149" s="577"/>
      <c r="H149" s="577"/>
      <c r="I149" s="577"/>
      <c r="J149" s="577"/>
      <c r="K149" s="577"/>
      <c r="L149" s="577"/>
      <c r="M149" s="577" t="s">
        <v>5295</v>
      </c>
      <c r="N149" s="577" t="s">
        <v>5295</v>
      </c>
      <c r="O149" s="577" t="s">
        <v>5295</v>
      </c>
      <c r="P149" s="577" t="s">
        <v>5295</v>
      </c>
      <c r="Q149" s="577">
        <v>1</v>
      </c>
      <c r="R149" s="658">
        <f t="shared" ref="R149:R151" si="235">IF(F149=1,ROUND(_xlfn.XLOOKUP($E149,$A$2:$A$11,$C$2:$C$11,0,0)*F149*$D149,2),0)</f>
        <v>0</v>
      </c>
      <c r="S149" s="646">
        <f t="shared" ref="S149:S151" si="236">IF(G149=1,ROUND(_xlfn.XLOOKUP($E149,$A$2:$A$11,$C$2:$C$11,0,0)*G149*$D149,2),0)</f>
        <v>0</v>
      </c>
      <c r="T149" s="646">
        <f t="shared" ref="T149:T151" si="237">IF(H149=1,ROUND(_xlfn.XLOOKUP($E149,$A$2:$A$11,$C$2:$C$11,0,0)*H149*$D149,2),0)</f>
        <v>0</v>
      </c>
      <c r="U149" s="646">
        <f t="shared" ref="U149:U151" si="238">IF(I149=1,ROUND(_xlfn.XLOOKUP($E149,$A$2:$A$11,$C$2:$C$11,0,0)*I149*$D149,2),0)</f>
        <v>0</v>
      </c>
      <c r="V149" s="646">
        <f t="shared" ref="V149:V151" si="239">IF(J149=1,ROUND(_xlfn.XLOOKUP($E149,$A$2:$A$11,$C$2:$C$11,0,0)*J149*$D149,2),0)</f>
        <v>0</v>
      </c>
      <c r="W149" s="646">
        <f t="shared" ref="W149:W151" si="240">IF(K149=1,ROUND(_xlfn.XLOOKUP($E149,$A$2:$A$11,$C$2:$C$11,0,0)*K149*$D149,2),0)</f>
        <v>0</v>
      </c>
      <c r="X149" s="646">
        <f t="shared" ref="X149:X151" si="241">IF(L149=1,ROUND(_xlfn.XLOOKUP($E149,$A$2:$A$11,$C$2:$C$11,0,0)*L149*$D149,2),0)</f>
        <v>0</v>
      </c>
      <c r="Y149" s="646">
        <f t="shared" ref="Y149:Y151" si="242">IF(M149=1,ROUND(_xlfn.XLOOKUP($E149,$A$2:$A$11,$C$2:$C$11,0,0)*M149*$D149,2),0)</f>
        <v>0</v>
      </c>
      <c r="Z149" s="646">
        <f t="shared" ref="Z149:Z151" si="243">IF(N149=1,ROUND(_xlfn.XLOOKUP($E149,$A$2:$A$11,$C$2:$C$11,0,0)*N149*$D149,2),0)</f>
        <v>0</v>
      </c>
      <c r="AA149" s="646">
        <f t="shared" ref="AA149:AA151" si="244">IF(O149=1,ROUND(_xlfn.XLOOKUP($E149,$A$2:$A$11,$C$2:$C$11,0,0)*O149*$D149,2),0)</f>
        <v>0</v>
      </c>
      <c r="AB149" s="646">
        <f t="shared" ref="AB149:AB151" si="245">IF(P149=1,ROUND(_xlfn.XLOOKUP($E149,$A$2:$A$11,$C$2:$C$11,0,0)*P149*$D149,2),0)</f>
        <v>0</v>
      </c>
      <c r="AC149" s="646">
        <f t="shared" ref="AC149:AC151" si="246">IF(Q149=1,ROUND(_xlfn.XLOOKUP($E149,$A$2:$A$11,$C$2:$C$11,0,0)*Q149*$D149,2),0)</f>
        <v>64425.53</v>
      </c>
      <c r="AD149" s="645">
        <f>IF(OR(AND($E149=$A$6,$D$9=AD$15),AND($E149=$A$10,$D$11=AD$15),AND($E149=$A$3,$D$5=AD$15)),$D149-SUM($R149:AC149),IF($E149=$A$10,ROUND(_xlfn.XLOOKUP(AD$15,$D$10:$D$11,$C$10:$C$11,0,0)*$D149,2),IF($E149=$A$3,ROUND(_xlfn.XLOOKUP(AD$15,$D$3:$D$5,$C$3:$C$5,0,0)*$D149,2),IF($E149=$A$6,ROUND(_xlfn.XLOOKUP(AD$15,$D$6:$D$9,$C$6:$C$9,0,0)*$D149,2),""))))</f>
        <v>0</v>
      </c>
      <c r="AE149" s="646">
        <f>IF(OR(AND($E149=$A$6,$D$9=AE$15),AND($E149=$A$10,$D$11=AE$15),AND($E149=$A$3,$D$5=AE$15)),$D149-SUM($R149:AD149),IF($E149=$A$10,ROUND(_xlfn.XLOOKUP(AE$15,$D$10:$D$11,$C$10:$C$11,0,0)*$D149,2),IF($E149=$A$3,ROUND(_xlfn.XLOOKUP(AE$15,$D$3:$D$5,$C$3:$C$5,0,0)*$D149,2),IF($E149=$A$6,ROUND(_xlfn.XLOOKUP(AE$15,$D$6:$D$9,$C$6:$C$9,0,0)*$D149,2),""))))</f>
        <v>0</v>
      </c>
      <c r="AF149" s="647">
        <f>IF(OR(AND($E149=$A$6,$D$9=AF$15),AND($E149=$A$10,$D$11=AF$15),AND($E149=$A$3,$D$5=AF$15)),$D149-SUM($R149:AE149),IF($E149=$A$10,ROUND(_xlfn.XLOOKUP(AF$15,$D$10:$D$11,$C$10:$C$11,0,0)*$D149,2),IF($E149=$A$3,ROUND(_xlfn.XLOOKUP(AF$15,$D$3:$D$5,$C$3:$C$5,0,0)*$D149,2),IF($E149=$A$6,ROUND(_xlfn.XLOOKUP(AF$15,$D$6:$D$9,$C$6:$C$9,0,0)*$D149,2),""))))</f>
        <v>64425.53</v>
      </c>
      <c r="AG149" s="645"/>
      <c r="AH149" s="646"/>
      <c r="AI149" s="646"/>
      <c r="AJ149" s="646"/>
      <c r="AK149" s="647"/>
      <c r="AL149" s="645">
        <f>IF(OR(AND($E149=$A$6,$D$9=AL$15),AND($E149=$A$10,$D$11=AL$15),AND($E149=$A$3,$D$5=AL$15)),$D149-SUM($R149:AK149),IF($E149=$A$10,ROUND(_xlfn.XLOOKUP(AL$15,$D$10:$D$11,$C$10:$C$11,0,0)*$D149,2),IF($E149=$A$3,ROUND(_xlfn.XLOOKUP(AL$15,$D$3:$D$5,$C$3:$C$5,0,0)*$D149,2),IF($E149=$A$6,ROUND(_xlfn.XLOOKUP(AL$15,$D$6:$D$9,$C$6:$C$9,0,0)*$D149,2),""))))</f>
        <v>0</v>
      </c>
      <c r="AM149" s="646">
        <f>IF(OR(AND($E149=$A$6,$D$9=AM$15),AND($E149=$A$10,$D$11=AM$15),AND($E149=$A$3,$D$5=AM$15)),$D149-SUM($R149:AL149),IF($E149=$A$10,ROUND(_xlfn.XLOOKUP(AM$15,$D$10:$D$11,$C$10:$C$11,0,0)*$D149,2),IF($E149=$A$3,ROUND(_xlfn.XLOOKUP(AM$15,$D$3:$D$5,$C$3:$C$5,0,0)*$D149,2),IF($E149=$A$6,ROUND(_xlfn.XLOOKUP(AM$15,$D$6:$D$9,$C$6:$C$9,0,0)*$D149,2),""))))</f>
        <v>0</v>
      </c>
      <c r="AN149" s="647">
        <f>IF(OR(AND($E149=$A$6,$D$9=AN$15),AND($E149=$A$10,$D$11=AN$15),AND($E149=$A$3,$D$5=AN$15)),$D149-SUM($R149:AM149),IF($E149=$A$10,ROUND(_xlfn.XLOOKUP(AN$15,$D$10:$D$11,$C$10:$C$11,0,0)*$D149,2),IF($E149=$A$3,ROUND(_xlfn.XLOOKUP(AN$15,$D$3:$D$5,$C$3:$C$5,0,0)*$D149,2),IF($E149=$A$6,ROUND(_xlfn.XLOOKUP(AN$15,$D$6:$D$9,$C$6:$C$9,0,0)*$D149,2),""))))</f>
        <v>64425.53</v>
      </c>
      <c r="AO149" s="645"/>
      <c r="AP149" s="646"/>
      <c r="AQ149" s="647"/>
      <c r="AR149" s="646"/>
      <c r="AS149" s="645"/>
      <c r="AT149" s="647"/>
      <c r="AU149" s="648">
        <f>IF(OR(AND($E149=$A$6,$D$9=AU$15),AND($E149=$A$10,$D$11=AU$15),AND($E149=$A$3,$D$5=AU$15)),$D149-SUM($R149:AT149),IF($E149=$A$10,ROUND(_xlfn.XLOOKUP(AU$15,$D$10:$D$11,$C$10:$C$11,0,0)*$D149,2),IF($E149=$A$3,ROUND(_xlfn.XLOOKUP(AU$15,$D$3:$D$5,$C$3:$C$5,0,0)*$D149,2),IF($E149=$A$6,ROUND(_xlfn.XLOOKUP(AU$15,$D$6:$D$9,$C$6:$C$9,0,0)*$D149,2),""))))</f>
        <v>64425.540000000008</v>
      </c>
      <c r="AV149" s="673" t="str">
        <f>IF(SUM(R149:AU149)=D149,"","CORRIGIR")</f>
        <v/>
      </c>
    </row>
    <row r="150" spans="1:48" ht="14.25" outlineLevel="1" x14ac:dyDescent="0.2">
      <c r="A150" s="559" t="s">
        <v>5307</v>
      </c>
      <c r="B150" s="558" t="s">
        <v>4820</v>
      </c>
      <c r="C150" s="557">
        <f t="shared" si="222"/>
        <v>1.3274117297006985E-2</v>
      </c>
      <c r="D150" s="556">
        <f>Produtos!$D143</f>
        <v>343602.85</v>
      </c>
      <c r="E150" s="578" t="s">
        <v>5296</v>
      </c>
      <c r="F150" s="577"/>
      <c r="G150" s="577"/>
      <c r="H150" s="577"/>
      <c r="I150" s="577"/>
      <c r="J150" s="577"/>
      <c r="K150" s="577"/>
      <c r="L150" s="577"/>
      <c r="M150" s="577" t="s">
        <v>5295</v>
      </c>
      <c r="N150" s="577" t="s">
        <v>5295</v>
      </c>
      <c r="O150" s="577" t="s">
        <v>5295</v>
      </c>
      <c r="P150" s="577" t="s">
        <v>5295</v>
      </c>
      <c r="Q150" s="577">
        <v>1</v>
      </c>
      <c r="R150" s="658">
        <f t="shared" si="235"/>
        <v>0</v>
      </c>
      <c r="S150" s="646">
        <f t="shared" si="236"/>
        <v>0</v>
      </c>
      <c r="T150" s="646">
        <f t="shared" si="237"/>
        <v>0</v>
      </c>
      <c r="U150" s="646">
        <f t="shared" si="238"/>
        <v>0</v>
      </c>
      <c r="V150" s="646">
        <f t="shared" si="239"/>
        <v>0</v>
      </c>
      <c r="W150" s="646">
        <f t="shared" si="240"/>
        <v>0</v>
      </c>
      <c r="X150" s="646">
        <f t="shared" si="241"/>
        <v>0</v>
      </c>
      <c r="Y150" s="646">
        <f t="shared" si="242"/>
        <v>0</v>
      </c>
      <c r="Z150" s="646">
        <f t="shared" si="243"/>
        <v>0</v>
      </c>
      <c r="AA150" s="646">
        <f t="shared" si="244"/>
        <v>0</v>
      </c>
      <c r="AB150" s="646">
        <f t="shared" si="245"/>
        <v>0</v>
      </c>
      <c r="AC150" s="646">
        <f t="shared" si="246"/>
        <v>85900.71</v>
      </c>
      <c r="AD150" s="645">
        <f>IF(OR(AND($E150=$A$6,$D$9=AD$15),AND($E150=$A$10,$D$11=AD$15),AND($E150=$A$3,$D$5=AD$15)),$D150-SUM($R150:AC150),IF($E150=$A$10,ROUND(_xlfn.XLOOKUP(AD$15,$D$10:$D$11,$C$10:$C$11,0,0)*$D150,2),IF($E150=$A$3,ROUND(_xlfn.XLOOKUP(AD$15,$D$3:$D$5,$C$3:$C$5,0,0)*$D150,2),IF($E150=$A$6,ROUND(_xlfn.XLOOKUP(AD$15,$D$6:$D$9,$C$6:$C$9,0,0)*$D150,2),""))))</f>
        <v>0</v>
      </c>
      <c r="AE150" s="646">
        <f>IF(OR(AND($E150=$A$6,$D$9=AE$15),AND($E150=$A$10,$D$11=AE$15),AND($E150=$A$3,$D$5=AE$15)),$D150-SUM($R150:AD150),IF($E150=$A$10,ROUND(_xlfn.XLOOKUP(AE$15,$D$10:$D$11,$C$10:$C$11,0,0)*$D150,2),IF($E150=$A$3,ROUND(_xlfn.XLOOKUP(AE$15,$D$3:$D$5,$C$3:$C$5,0,0)*$D150,2),IF($E150=$A$6,ROUND(_xlfn.XLOOKUP(AE$15,$D$6:$D$9,$C$6:$C$9,0,0)*$D150,2),""))))</f>
        <v>0</v>
      </c>
      <c r="AF150" s="647">
        <f>IF(OR(AND($E150=$A$6,$D$9=AF$15),AND($E150=$A$10,$D$11=AF$15),AND($E150=$A$3,$D$5=AF$15)),$D150-SUM($R150:AE150),IF($E150=$A$10,ROUND(_xlfn.XLOOKUP(AF$15,$D$10:$D$11,$C$10:$C$11,0,0)*$D150,2),IF($E150=$A$3,ROUND(_xlfn.XLOOKUP(AF$15,$D$3:$D$5,$C$3:$C$5,0,0)*$D150,2),IF($E150=$A$6,ROUND(_xlfn.XLOOKUP(AF$15,$D$6:$D$9,$C$6:$C$9,0,0)*$D150,2),""))))</f>
        <v>85900.71</v>
      </c>
      <c r="AG150" s="645"/>
      <c r="AH150" s="646"/>
      <c r="AI150" s="646"/>
      <c r="AJ150" s="646"/>
      <c r="AK150" s="647"/>
      <c r="AL150" s="645">
        <f>IF(OR(AND($E150=$A$6,$D$9=AL$15),AND($E150=$A$10,$D$11=AL$15),AND($E150=$A$3,$D$5=AL$15)),$D150-SUM($R150:AK150),IF($E150=$A$10,ROUND(_xlfn.XLOOKUP(AL$15,$D$10:$D$11,$C$10:$C$11,0,0)*$D150,2),IF($E150=$A$3,ROUND(_xlfn.XLOOKUP(AL$15,$D$3:$D$5,$C$3:$C$5,0,0)*$D150,2),IF($E150=$A$6,ROUND(_xlfn.XLOOKUP(AL$15,$D$6:$D$9,$C$6:$C$9,0,0)*$D150,2),""))))</f>
        <v>0</v>
      </c>
      <c r="AM150" s="646">
        <f>IF(OR(AND($E150=$A$6,$D$9=AM$15),AND($E150=$A$10,$D$11=AM$15),AND($E150=$A$3,$D$5=AM$15)),$D150-SUM($R150:AL150),IF($E150=$A$10,ROUND(_xlfn.XLOOKUP(AM$15,$D$10:$D$11,$C$10:$C$11,0,0)*$D150,2),IF($E150=$A$3,ROUND(_xlfn.XLOOKUP(AM$15,$D$3:$D$5,$C$3:$C$5,0,0)*$D150,2),IF($E150=$A$6,ROUND(_xlfn.XLOOKUP(AM$15,$D$6:$D$9,$C$6:$C$9,0,0)*$D150,2),""))))</f>
        <v>0</v>
      </c>
      <c r="AN150" s="647">
        <f>IF(OR(AND($E150=$A$6,$D$9=AN$15),AND($E150=$A$10,$D$11=AN$15),AND($E150=$A$3,$D$5=AN$15)),$D150-SUM($R150:AM150),IF($E150=$A$10,ROUND(_xlfn.XLOOKUP(AN$15,$D$10:$D$11,$C$10:$C$11,0,0)*$D150,2),IF($E150=$A$3,ROUND(_xlfn.XLOOKUP(AN$15,$D$3:$D$5,$C$3:$C$5,0,0)*$D150,2),IF($E150=$A$6,ROUND(_xlfn.XLOOKUP(AN$15,$D$6:$D$9,$C$6:$C$9,0,0)*$D150,2),""))))</f>
        <v>85900.71</v>
      </c>
      <c r="AO150" s="645"/>
      <c r="AP150" s="646"/>
      <c r="AQ150" s="647"/>
      <c r="AR150" s="646"/>
      <c r="AS150" s="645"/>
      <c r="AT150" s="647"/>
      <c r="AU150" s="648">
        <f>IF(OR(AND($E150=$A$6,$D$9=AU$15),AND($E150=$A$10,$D$11=AU$15),AND($E150=$A$3,$D$5=AU$15)),$D150-SUM($R150:AT150),IF($E150=$A$10,ROUND(_xlfn.XLOOKUP(AU$15,$D$10:$D$11,$C$10:$C$11,0,0)*$D150,2),IF($E150=$A$3,ROUND(_xlfn.XLOOKUP(AU$15,$D$3:$D$5,$C$3:$C$5,0,0)*$D150,2),IF($E150=$A$6,ROUND(_xlfn.XLOOKUP(AU$15,$D$6:$D$9,$C$6:$C$9,0,0)*$D150,2),""))))</f>
        <v>85900.719999999972</v>
      </c>
      <c r="AV150" s="673" t="str">
        <f>IF(SUM(R150:AU150)=D150,"","CORRIGIR")</f>
        <v/>
      </c>
    </row>
    <row r="151" spans="1:48" ht="28.5" outlineLevel="1" x14ac:dyDescent="0.2">
      <c r="A151" s="559" t="s">
        <v>5306</v>
      </c>
      <c r="B151" s="558" t="s">
        <v>4821</v>
      </c>
      <c r="C151" s="557">
        <f t="shared" si="222"/>
        <v>9.9555876830141055E-3</v>
      </c>
      <c r="D151" s="556">
        <f>Produtos!$D144</f>
        <v>257702.13</v>
      </c>
      <c r="E151" s="578" t="s">
        <v>5296</v>
      </c>
      <c r="F151" s="577"/>
      <c r="G151" s="577"/>
      <c r="H151" s="577"/>
      <c r="I151" s="577"/>
      <c r="J151" s="577"/>
      <c r="K151" s="577"/>
      <c r="L151" s="577"/>
      <c r="M151" s="577" t="s">
        <v>5295</v>
      </c>
      <c r="N151" s="577" t="s">
        <v>5295</v>
      </c>
      <c r="O151" s="577" t="s">
        <v>5295</v>
      </c>
      <c r="P151" s="577" t="s">
        <v>5295</v>
      </c>
      <c r="Q151" s="577">
        <v>1</v>
      </c>
      <c r="R151" s="658">
        <f t="shared" si="235"/>
        <v>0</v>
      </c>
      <c r="S151" s="646">
        <f t="shared" si="236"/>
        <v>0</v>
      </c>
      <c r="T151" s="646">
        <f t="shared" si="237"/>
        <v>0</v>
      </c>
      <c r="U151" s="646">
        <f t="shared" si="238"/>
        <v>0</v>
      </c>
      <c r="V151" s="646">
        <f t="shared" si="239"/>
        <v>0</v>
      </c>
      <c r="W151" s="646">
        <f t="shared" si="240"/>
        <v>0</v>
      </c>
      <c r="X151" s="646">
        <f t="shared" si="241"/>
        <v>0</v>
      </c>
      <c r="Y151" s="646">
        <f t="shared" si="242"/>
        <v>0</v>
      </c>
      <c r="Z151" s="646">
        <f t="shared" si="243"/>
        <v>0</v>
      </c>
      <c r="AA151" s="646">
        <f t="shared" si="244"/>
        <v>0</v>
      </c>
      <c r="AB151" s="646">
        <f t="shared" si="245"/>
        <v>0</v>
      </c>
      <c r="AC151" s="646">
        <f t="shared" si="246"/>
        <v>64425.53</v>
      </c>
      <c r="AD151" s="645">
        <f>IF(OR(AND($E151=$A$6,$D$9=AD$15),AND($E151=$A$10,$D$11=AD$15),AND($E151=$A$3,$D$5=AD$15)),$D151-SUM($R151:AC151),IF($E151=$A$10,ROUND(_xlfn.XLOOKUP(AD$15,$D$10:$D$11,$C$10:$C$11,0,0)*$D151,2),IF($E151=$A$3,ROUND(_xlfn.XLOOKUP(AD$15,$D$3:$D$5,$C$3:$C$5,0,0)*$D151,2),IF($E151=$A$6,ROUND(_xlfn.XLOOKUP(AD$15,$D$6:$D$9,$C$6:$C$9,0,0)*$D151,2),""))))</f>
        <v>0</v>
      </c>
      <c r="AE151" s="646">
        <f>IF(OR(AND($E151=$A$6,$D$9=AE$15),AND($E151=$A$10,$D$11=AE$15),AND($E151=$A$3,$D$5=AE$15)),$D151-SUM($R151:AD151),IF($E151=$A$10,ROUND(_xlfn.XLOOKUP(AE$15,$D$10:$D$11,$C$10:$C$11,0,0)*$D151,2),IF($E151=$A$3,ROUND(_xlfn.XLOOKUP(AE$15,$D$3:$D$5,$C$3:$C$5,0,0)*$D151,2),IF($E151=$A$6,ROUND(_xlfn.XLOOKUP(AE$15,$D$6:$D$9,$C$6:$C$9,0,0)*$D151,2),""))))</f>
        <v>0</v>
      </c>
      <c r="AF151" s="647">
        <f>IF(OR(AND($E151=$A$6,$D$9=AF$15),AND($E151=$A$10,$D$11=AF$15),AND($E151=$A$3,$D$5=AF$15)),$D151-SUM($R151:AE151),IF($E151=$A$10,ROUND(_xlfn.XLOOKUP(AF$15,$D$10:$D$11,$C$10:$C$11,0,0)*$D151,2),IF($E151=$A$3,ROUND(_xlfn.XLOOKUP(AF$15,$D$3:$D$5,$C$3:$C$5,0,0)*$D151,2),IF($E151=$A$6,ROUND(_xlfn.XLOOKUP(AF$15,$D$6:$D$9,$C$6:$C$9,0,0)*$D151,2),""))))</f>
        <v>64425.53</v>
      </c>
      <c r="AG151" s="645"/>
      <c r="AH151" s="646"/>
      <c r="AI151" s="646"/>
      <c r="AJ151" s="646"/>
      <c r="AK151" s="647"/>
      <c r="AL151" s="645">
        <f>IF(OR(AND($E151=$A$6,$D$9=AL$15),AND($E151=$A$10,$D$11=AL$15),AND($E151=$A$3,$D$5=AL$15)),$D151-SUM($R151:AK151),IF($E151=$A$10,ROUND(_xlfn.XLOOKUP(AL$15,$D$10:$D$11,$C$10:$C$11,0,0)*$D151,2),IF($E151=$A$3,ROUND(_xlfn.XLOOKUP(AL$15,$D$3:$D$5,$C$3:$C$5,0,0)*$D151,2),IF($E151=$A$6,ROUND(_xlfn.XLOOKUP(AL$15,$D$6:$D$9,$C$6:$C$9,0,0)*$D151,2),""))))</f>
        <v>0</v>
      </c>
      <c r="AM151" s="646">
        <f>IF(OR(AND($E151=$A$6,$D$9=AM$15),AND($E151=$A$10,$D$11=AM$15),AND($E151=$A$3,$D$5=AM$15)),$D151-SUM($R151:AL151),IF($E151=$A$10,ROUND(_xlfn.XLOOKUP(AM$15,$D$10:$D$11,$C$10:$C$11,0,0)*$D151,2),IF($E151=$A$3,ROUND(_xlfn.XLOOKUP(AM$15,$D$3:$D$5,$C$3:$C$5,0,0)*$D151,2),IF($E151=$A$6,ROUND(_xlfn.XLOOKUP(AM$15,$D$6:$D$9,$C$6:$C$9,0,0)*$D151,2),""))))</f>
        <v>0</v>
      </c>
      <c r="AN151" s="647">
        <f>IF(OR(AND($E151=$A$6,$D$9=AN$15),AND($E151=$A$10,$D$11=AN$15),AND($E151=$A$3,$D$5=AN$15)),$D151-SUM($R151:AM151),IF($E151=$A$10,ROUND(_xlfn.XLOOKUP(AN$15,$D$10:$D$11,$C$10:$C$11,0,0)*$D151,2),IF($E151=$A$3,ROUND(_xlfn.XLOOKUP(AN$15,$D$3:$D$5,$C$3:$C$5,0,0)*$D151,2),IF($E151=$A$6,ROUND(_xlfn.XLOOKUP(AN$15,$D$6:$D$9,$C$6:$C$9,0,0)*$D151,2),""))))</f>
        <v>64425.53</v>
      </c>
      <c r="AO151" s="645"/>
      <c r="AP151" s="646"/>
      <c r="AQ151" s="647"/>
      <c r="AR151" s="646"/>
      <c r="AS151" s="645"/>
      <c r="AT151" s="647"/>
      <c r="AU151" s="648">
        <f>IF(OR(AND($E151=$A$6,$D$9=AU$15),AND($E151=$A$10,$D$11=AU$15),AND($E151=$A$3,$D$5=AU$15)),$D151-SUM($R151:AT151),IF($E151=$A$10,ROUND(_xlfn.XLOOKUP(AU$15,$D$10:$D$11,$C$10:$C$11,0,0)*$D151,2),IF($E151=$A$3,ROUND(_xlfn.XLOOKUP(AU$15,$D$3:$D$5,$C$3:$C$5,0,0)*$D151,2),IF($E151=$A$6,ROUND(_xlfn.XLOOKUP(AU$15,$D$6:$D$9,$C$6:$C$9,0,0)*$D151,2),""))))</f>
        <v>64425.540000000008</v>
      </c>
      <c r="AV151" s="673" t="str">
        <f>IF(SUM(R151:AU151)=D151,"","CORRIGIR")</f>
        <v/>
      </c>
    </row>
    <row r="152" spans="1:48" ht="15" x14ac:dyDescent="0.2">
      <c r="A152" s="567" t="s">
        <v>4822</v>
      </c>
      <c r="B152" s="566" t="s">
        <v>4823</v>
      </c>
      <c r="C152" s="583">
        <f t="shared" si="222"/>
        <v>3.6951149365725001E-2</v>
      </c>
      <c r="D152" s="564">
        <f>SUBTOTAL(9,D153)</f>
        <v>956486.97</v>
      </c>
      <c r="E152" s="563"/>
      <c r="F152" s="561"/>
      <c r="G152" s="562"/>
      <c r="H152" s="561"/>
      <c r="I152" s="562"/>
      <c r="J152" s="561"/>
      <c r="K152" s="562"/>
      <c r="L152" s="561"/>
      <c r="M152" s="562"/>
      <c r="N152" s="561"/>
      <c r="O152" s="562"/>
      <c r="P152" s="561"/>
      <c r="Q152" s="560"/>
      <c r="R152" s="640"/>
      <c r="S152" s="641"/>
      <c r="T152" s="640"/>
      <c r="U152" s="641"/>
      <c r="V152" s="640"/>
      <c r="W152" s="641"/>
      <c r="X152" s="640"/>
      <c r="Y152" s="641"/>
      <c r="Z152" s="640"/>
      <c r="AA152" s="641"/>
      <c r="AB152" s="640"/>
      <c r="AC152" s="641"/>
      <c r="AD152" s="640"/>
      <c r="AE152" s="641"/>
      <c r="AF152" s="640"/>
      <c r="AG152" s="641"/>
      <c r="AH152" s="640"/>
      <c r="AI152" s="641"/>
      <c r="AJ152" s="640"/>
      <c r="AK152" s="641"/>
      <c r="AL152" s="640"/>
      <c r="AM152" s="641"/>
      <c r="AN152" s="640"/>
      <c r="AO152" s="641"/>
      <c r="AP152" s="640"/>
      <c r="AQ152" s="641"/>
      <c r="AR152" s="640"/>
      <c r="AS152" s="641"/>
      <c r="AT152" s="640"/>
      <c r="AU152" s="642"/>
      <c r="AV152" s="673"/>
    </row>
    <row r="153" spans="1:48" ht="14.25" outlineLevel="1" x14ac:dyDescent="0.2">
      <c r="A153" s="559" t="s">
        <v>5305</v>
      </c>
      <c r="B153" s="558" t="s">
        <v>4824</v>
      </c>
      <c r="C153" s="557">
        <f t="shared" si="222"/>
        <v>3.6951149365725001E-2</v>
      </c>
      <c r="D153" s="556">
        <f>Produtos!$D146</f>
        <v>956486.97</v>
      </c>
      <c r="E153" s="578" t="s">
        <v>5296</v>
      </c>
      <c r="F153" s="577"/>
      <c r="G153" s="577"/>
      <c r="H153" s="577"/>
      <c r="I153" s="577"/>
      <c r="J153" s="577"/>
      <c r="K153" s="577"/>
      <c r="L153" s="577"/>
      <c r="M153" s="577" t="s">
        <v>5295</v>
      </c>
      <c r="N153" s="577" t="s">
        <v>5295</v>
      </c>
      <c r="O153" s="577" t="s">
        <v>5295</v>
      </c>
      <c r="P153" s="577" t="s">
        <v>5295</v>
      </c>
      <c r="Q153" s="577">
        <v>1</v>
      </c>
      <c r="R153" s="658">
        <f t="shared" ref="R153:AC153" si="247">IF(F153=1,ROUND(_xlfn.XLOOKUP($E153,$A$2:$A$11,$C$2:$C$11,0,0)*F153*$D153,2),0)</f>
        <v>0</v>
      </c>
      <c r="S153" s="646">
        <f t="shared" si="247"/>
        <v>0</v>
      </c>
      <c r="T153" s="646">
        <f t="shared" si="247"/>
        <v>0</v>
      </c>
      <c r="U153" s="646">
        <f t="shared" si="247"/>
        <v>0</v>
      </c>
      <c r="V153" s="646">
        <f t="shared" si="247"/>
        <v>0</v>
      </c>
      <c r="W153" s="646">
        <f t="shared" si="247"/>
        <v>0</v>
      </c>
      <c r="X153" s="646">
        <f t="shared" si="247"/>
        <v>0</v>
      </c>
      <c r="Y153" s="646">
        <f t="shared" si="247"/>
        <v>0</v>
      </c>
      <c r="Z153" s="646">
        <f t="shared" si="247"/>
        <v>0</v>
      </c>
      <c r="AA153" s="646">
        <f t="shared" si="247"/>
        <v>0</v>
      </c>
      <c r="AB153" s="646">
        <f t="shared" si="247"/>
        <v>0</v>
      </c>
      <c r="AC153" s="646">
        <f t="shared" si="247"/>
        <v>239121.74</v>
      </c>
      <c r="AD153" s="645">
        <f>IF(OR(AND($E153=$A$6,$D$9=AD$15),AND($E153=$A$10,$D$11=AD$15),AND($E153=$A$3,$D$5=AD$15)),$D153-SUM($R153:AC153),IF($E153=$A$10,ROUND(_xlfn.XLOOKUP(AD$15,$D$10:$D$11,$C$10:$C$11,0,0)*$D153,2),IF($E153=$A$3,ROUND(_xlfn.XLOOKUP(AD$15,$D$3:$D$5,$C$3:$C$5,0,0)*$D153,2),IF($E153=$A$6,ROUND(_xlfn.XLOOKUP(AD$15,$D$6:$D$9,$C$6:$C$9,0,0)*$D153,2),""))))</f>
        <v>0</v>
      </c>
      <c r="AE153" s="646">
        <f>IF(OR(AND($E153=$A$6,$D$9=AE$15),AND($E153=$A$10,$D$11=AE$15),AND($E153=$A$3,$D$5=AE$15)),$D153-SUM($R153:AD153),IF($E153=$A$10,ROUND(_xlfn.XLOOKUP(AE$15,$D$10:$D$11,$C$10:$C$11,0,0)*$D153,2),IF($E153=$A$3,ROUND(_xlfn.XLOOKUP(AE$15,$D$3:$D$5,$C$3:$C$5,0,0)*$D153,2),IF($E153=$A$6,ROUND(_xlfn.XLOOKUP(AE$15,$D$6:$D$9,$C$6:$C$9,0,0)*$D153,2),""))))</f>
        <v>0</v>
      </c>
      <c r="AF153" s="647">
        <f>IF(OR(AND($E153=$A$6,$D$9=AF$15),AND($E153=$A$10,$D$11=AF$15),AND($E153=$A$3,$D$5=AF$15)),$D153-SUM($R153:AE153),IF($E153=$A$10,ROUND(_xlfn.XLOOKUP(AF$15,$D$10:$D$11,$C$10:$C$11,0,0)*$D153,2),IF($E153=$A$3,ROUND(_xlfn.XLOOKUP(AF$15,$D$3:$D$5,$C$3:$C$5,0,0)*$D153,2),IF($E153=$A$6,ROUND(_xlfn.XLOOKUP(AF$15,$D$6:$D$9,$C$6:$C$9,0,0)*$D153,2),""))))</f>
        <v>239121.74</v>
      </c>
      <c r="AG153" s="645"/>
      <c r="AH153" s="646"/>
      <c r="AI153" s="646"/>
      <c r="AJ153" s="646"/>
      <c r="AK153" s="647"/>
      <c r="AL153" s="645">
        <f>IF(OR(AND($E153=$A$6,$D$9=AL$15),AND($E153=$A$10,$D$11=AL$15),AND($E153=$A$3,$D$5=AL$15)),$D153-SUM($R153:AK153),IF($E153=$A$10,ROUND(_xlfn.XLOOKUP(AL$15,$D$10:$D$11,$C$10:$C$11,0,0)*$D153,2),IF($E153=$A$3,ROUND(_xlfn.XLOOKUP(AL$15,$D$3:$D$5,$C$3:$C$5,0,0)*$D153,2),IF($E153=$A$6,ROUND(_xlfn.XLOOKUP(AL$15,$D$6:$D$9,$C$6:$C$9,0,0)*$D153,2),""))))</f>
        <v>0</v>
      </c>
      <c r="AM153" s="646">
        <f>IF(OR(AND($E153=$A$6,$D$9=AM$15),AND($E153=$A$10,$D$11=AM$15),AND($E153=$A$3,$D$5=AM$15)),$D153-SUM($R153:AL153),IF($E153=$A$10,ROUND(_xlfn.XLOOKUP(AM$15,$D$10:$D$11,$C$10:$C$11,0,0)*$D153,2),IF($E153=$A$3,ROUND(_xlfn.XLOOKUP(AM$15,$D$3:$D$5,$C$3:$C$5,0,0)*$D153,2),IF($E153=$A$6,ROUND(_xlfn.XLOOKUP(AM$15,$D$6:$D$9,$C$6:$C$9,0,0)*$D153,2),""))))</f>
        <v>0</v>
      </c>
      <c r="AN153" s="647">
        <f>IF(OR(AND($E153=$A$6,$D$9=AN$15),AND($E153=$A$10,$D$11=AN$15),AND($E153=$A$3,$D$5=AN$15)),$D153-SUM($R153:AM153),IF($E153=$A$10,ROUND(_xlfn.XLOOKUP(AN$15,$D$10:$D$11,$C$10:$C$11,0,0)*$D153,2),IF($E153=$A$3,ROUND(_xlfn.XLOOKUP(AN$15,$D$3:$D$5,$C$3:$C$5,0,0)*$D153,2),IF($E153=$A$6,ROUND(_xlfn.XLOOKUP(AN$15,$D$6:$D$9,$C$6:$C$9,0,0)*$D153,2),""))))</f>
        <v>239121.74</v>
      </c>
      <c r="AO153" s="645"/>
      <c r="AP153" s="646"/>
      <c r="AQ153" s="647"/>
      <c r="AR153" s="646"/>
      <c r="AS153" s="645"/>
      <c r="AT153" s="647"/>
      <c r="AU153" s="648">
        <f>IF(OR(AND($E153=$A$6,$D$9=AU$15),AND($E153=$A$10,$D$11=AU$15),AND($E153=$A$3,$D$5=AU$15)),$D153-SUM($R153:AT153),IF($E153=$A$10,ROUND(_xlfn.XLOOKUP(AU$15,$D$10:$D$11,$C$10:$C$11,0,0)*$D153,2),IF($E153=$A$3,ROUND(_xlfn.XLOOKUP(AU$15,$D$3:$D$5,$C$3:$C$5,0,0)*$D153,2),IF($E153=$A$6,ROUND(_xlfn.XLOOKUP(AU$15,$D$6:$D$9,$C$6:$C$9,0,0)*$D153,2),""))))</f>
        <v>239121.75</v>
      </c>
      <c r="AV153" s="673" t="str">
        <f>IF(SUM(R153:AU153)=D153,"","CORRIGIR")</f>
        <v/>
      </c>
    </row>
    <row r="154" spans="1:48" ht="15" x14ac:dyDescent="0.2">
      <c r="A154" s="567" t="s">
        <v>4825</v>
      </c>
      <c r="B154" s="566" t="s">
        <v>4755</v>
      </c>
      <c r="C154" s="583">
        <f t="shared" si="222"/>
        <v>8.1112277399448228E-3</v>
      </c>
      <c r="D154" s="564">
        <f>SUBTOTAL(9,D155)</f>
        <v>209960.55</v>
      </c>
      <c r="E154" s="563"/>
      <c r="F154" s="561"/>
      <c r="G154" s="562"/>
      <c r="H154" s="561"/>
      <c r="I154" s="562"/>
      <c r="J154" s="561"/>
      <c r="K154" s="562"/>
      <c r="L154" s="561"/>
      <c r="M154" s="562"/>
      <c r="N154" s="561"/>
      <c r="O154" s="562"/>
      <c r="P154" s="561"/>
      <c r="Q154" s="560"/>
      <c r="R154" s="640"/>
      <c r="S154" s="641"/>
      <c r="T154" s="640"/>
      <c r="U154" s="641"/>
      <c r="V154" s="640"/>
      <c r="W154" s="641"/>
      <c r="X154" s="640"/>
      <c r="Y154" s="641"/>
      <c r="Z154" s="640"/>
      <c r="AA154" s="641"/>
      <c r="AB154" s="640"/>
      <c r="AC154" s="641"/>
      <c r="AD154" s="640"/>
      <c r="AE154" s="641"/>
      <c r="AF154" s="640"/>
      <c r="AG154" s="641"/>
      <c r="AH154" s="640"/>
      <c r="AI154" s="641"/>
      <c r="AJ154" s="640"/>
      <c r="AK154" s="641"/>
      <c r="AL154" s="640"/>
      <c r="AM154" s="641"/>
      <c r="AN154" s="640"/>
      <c r="AO154" s="641"/>
      <c r="AP154" s="640"/>
      <c r="AQ154" s="641"/>
      <c r="AR154" s="640"/>
      <c r="AS154" s="641"/>
      <c r="AT154" s="640"/>
      <c r="AU154" s="642"/>
      <c r="AV154" s="673"/>
    </row>
    <row r="155" spans="1:48" ht="14.25" outlineLevel="1" x14ac:dyDescent="0.2">
      <c r="A155" s="559" t="s">
        <v>5304</v>
      </c>
      <c r="B155" s="558" t="s">
        <v>4755</v>
      </c>
      <c r="C155" s="557">
        <f t="shared" si="222"/>
        <v>8.1112277399448228E-3</v>
      </c>
      <c r="D155" s="556">
        <f>Produtos!$D148</f>
        <v>209960.55</v>
      </c>
      <c r="E155" s="578" t="s">
        <v>5296</v>
      </c>
      <c r="F155" s="577"/>
      <c r="G155" s="577"/>
      <c r="H155" s="577"/>
      <c r="I155" s="577"/>
      <c r="J155" s="577"/>
      <c r="K155" s="577"/>
      <c r="L155" s="577"/>
      <c r="M155" s="577" t="s">
        <v>5295</v>
      </c>
      <c r="N155" s="577" t="s">
        <v>5295</v>
      </c>
      <c r="O155" s="577" t="s">
        <v>5295</v>
      </c>
      <c r="P155" s="577" t="s">
        <v>5295</v>
      </c>
      <c r="Q155" s="577">
        <v>1</v>
      </c>
      <c r="R155" s="658">
        <f t="shared" ref="R155:AC155" si="248">IF(F155=1,ROUND(_xlfn.XLOOKUP($E155,$A$2:$A$11,$C$2:$C$11,0,0)*F155*$D155,2),0)</f>
        <v>0</v>
      </c>
      <c r="S155" s="646">
        <f t="shared" si="248"/>
        <v>0</v>
      </c>
      <c r="T155" s="646">
        <f t="shared" si="248"/>
        <v>0</v>
      </c>
      <c r="U155" s="646">
        <f t="shared" si="248"/>
        <v>0</v>
      </c>
      <c r="V155" s="646">
        <f t="shared" si="248"/>
        <v>0</v>
      </c>
      <c r="W155" s="646">
        <f t="shared" si="248"/>
        <v>0</v>
      </c>
      <c r="X155" s="646">
        <f t="shared" si="248"/>
        <v>0</v>
      </c>
      <c r="Y155" s="646">
        <f t="shared" si="248"/>
        <v>0</v>
      </c>
      <c r="Z155" s="646">
        <f t="shared" si="248"/>
        <v>0</v>
      </c>
      <c r="AA155" s="646">
        <f t="shared" si="248"/>
        <v>0</v>
      </c>
      <c r="AB155" s="646">
        <f t="shared" si="248"/>
        <v>0</v>
      </c>
      <c r="AC155" s="646">
        <f t="shared" si="248"/>
        <v>52490.14</v>
      </c>
      <c r="AD155" s="645">
        <f>IF(OR(AND($E155=$A$6,$D$9=AD$15),AND($E155=$A$10,$D$11=AD$15),AND($E155=$A$3,$D$5=AD$15)),$D155-SUM($R155:AC155),IF($E155=$A$10,ROUND(_xlfn.XLOOKUP(AD$15,$D$10:$D$11,$C$10:$C$11,0,0)*$D155,2),IF($E155=$A$3,ROUND(_xlfn.XLOOKUP(AD$15,$D$3:$D$5,$C$3:$C$5,0,0)*$D155,2),IF($E155=$A$6,ROUND(_xlfn.XLOOKUP(AD$15,$D$6:$D$9,$C$6:$C$9,0,0)*$D155,2),""))))</f>
        <v>0</v>
      </c>
      <c r="AE155" s="646">
        <f>IF(OR(AND($E155=$A$6,$D$9=AE$15),AND($E155=$A$10,$D$11=AE$15),AND($E155=$A$3,$D$5=AE$15)),$D155-SUM($R155:AD155),IF($E155=$A$10,ROUND(_xlfn.XLOOKUP(AE$15,$D$10:$D$11,$C$10:$C$11,0,0)*$D155,2),IF($E155=$A$3,ROUND(_xlfn.XLOOKUP(AE$15,$D$3:$D$5,$C$3:$C$5,0,0)*$D155,2),IF($E155=$A$6,ROUND(_xlfn.XLOOKUP(AE$15,$D$6:$D$9,$C$6:$C$9,0,0)*$D155,2),""))))</f>
        <v>0</v>
      </c>
      <c r="AF155" s="647">
        <f>IF(OR(AND($E155=$A$6,$D$9=AF$15),AND($E155=$A$10,$D$11=AF$15),AND($E155=$A$3,$D$5=AF$15)),$D155-SUM($R155:AE155),IF($E155=$A$10,ROUND(_xlfn.XLOOKUP(AF$15,$D$10:$D$11,$C$10:$C$11,0,0)*$D155,2),IF($E155=$A$3,ROUND(_xlfn.XLOOKUP(AF$15,$D$3:$D$5,$C$3:$C$5,0,0)*$D155,2),IF($E155=$A$6,ROUND(_xlfn.XLOOKUP(AF$15,$D$6:$D$9,$C$6:$C$9,0,0)*$D155,2),""))))</f>
        <v>52490.14</v>
      </c>
      <c r="AG155" s="645"/>
      <c r="AH155" s="646"/>
      <c r="AI155" s="646"/>
      <c r="AJ155" s="646"/>
      <c r="AK155" s="647"/>
      <c r="AL155" s="645">
        <f>IF(OR(AND($E155=$A$6,$D$9=AL$15),AND($E155=$A$10,$D$11=AL$15),AND($E155=$A$3,$D$5=AL$15)),$D155-SUM($R155:AK155),IF($E155=$A$10,ROUND(_xlfn.XLOOKUP(AL$15,$D$10:$D$11,$C$10:$C$11,0,0)*$D155,2),IF($E155=$A$3,ROUND(_xlfn.XLOOKUP(AL$15,$D$3:$D$5,$C$3:$C$5,0,0)*$D155,2),IF($E155=$A$6,ROUND(_xlfn.XLOOKUP(AL$15,$D$6:$D$9,$C$6:$C$9,0,0)*$D155,2),""))))</f>
        <v>0</v>
      </c>
      <c r="AM155" s="646">
        <f>IF(OR(AND($E155=$A$6,$D$9=AM$15),AND($E155=$A$10,$D$11=AM$15),AND($E155=$A$3,$D$5=AM$15)),$D155-SUM($R155:AL155),IF($E155=$A$10,ROUND(_xlfn.XLOOKUP(AM$15,$D$10:$D$11,$C$10:$C$11,0,0)*$D155,2),IF($E155=$A$3,ROUND(_xlfn.XLOOKUP(AM$15,$D$3:$D$5,$C$3:$C$5,0,0)*$D155,2),IF($E155=$A$6,ROUND(_xlfn.XLOOKUP(AM$15,$D$6:$D$9,$C$6:$C$9,0,0)*$D155,2),""))))</f>
        <v>0</v>
      </c>
      <c r="AN155" s="647">
        <f>IF(OR(AND($E155=$A$6,$D$9=AN$15),AND($E155=$A$10,$D$11=AN$15),AND($E155=$A$3,$D$5=AN$15)),$D155-SUM($R155:AM155),IF($E155=$A$10,ROUND(_xlfn.XLOOKUP(AN$15,$D$10:$D$11,$C$10:$C$11,0,0)*$D155,2),IF($E155=$A$3,ROUND(_xlfn.XLOOKUP(AN$15,$D$3:$D$5,$C$3:$C$5,0,0)*$D155,2),IF($E155=$A$6,ROUND(_xlfn.XLOOKUP(AN$15,$D$6:$D$9,$C$6:$C$9,0,0)*$D155,2),""))))</f>
        <v>52490.14</v>
      </c>
      <c r="AO155" s="645"/>
      <c r="AP155" s="646"/>
      <c r="AQ155" s="647"/>
      <c r="AR155" s="646"/>
      <c r="AS155" s="645"/>
      <c r="AT155" s="647"/>
      <c r="AU155" s="648">
        <f>IF(OR(AND($E155=$A$6,$D$9=AU$15),AND($E155=$A$10,$D$11=AU$15),AND($E155=$A$3,$D$5=AU$15)),$D155-SUM($R155:AT155),IF($E155=$A$10,ROUND(_xlfn.XLOOKUP(AU$15,$D$10:$D$11,$C$10:$C$11,0,0)*$D155,2),IF($E155=$A$3,ROUND(_xlfn.XLOOKUP(AU$15,$D$3:$D$5,$C$3:$C$5,0,0)*$D155,2),IF($E155=$A$6,ROUND(_xlfn.XLOOKUP(AU$15,$D$6:$D$9,$C$6:$C$9,0,0)*$D155,2),""))))</f>
        <v>52490.130000000005</v>
      </c>
      <c r="AV155" s="673" t="str">
        <f>IF(SUM(R155:AU155)=D155,"","CORRIGIR")</f>
        <v/>
      </c>
    </row>
    <row r="156" spans="1:48" s="568" customFormat="1" ht="15" x14ac:dyDescent="0.2">
      <c r="A156" s="576">
        <v>10</v>
      </c>
      <c r="B156" s="575" t="s">
        <v>4826</v>
      </c>
      <c r="C156" s="574">
        <f t="shared" si="222"/>
        <v>2.8720418087835008E-2</v>
      </c>
      <c r="D156" s="573">
        <f>SUBTOTAL(9,D157:D166)</f>
        <v>743433.04999999993</v>
      </c>
      <c r="E156" s="569"/>
      <c r="F156" s="572"/>
      <c r="G156" s="571"/>
      <c r="H156" s="570"/>
      <c r="I156" s="571"/>
      <c r="J156" s="570"/>
      <c r="K156" s="571"/>
      <c r="L156" s="570"/>
      <c r="M156" s="571"/>
      <c r="N156" s="570"/>
      <c r="O156" s="571"/>
      <c r="P156" s="570"/>
      <c r="Q156" s="569"/>
      <c r="R156" s="659"/>
      <c r="S156" s="660"/>
      <c r="T156" s="659"/>
      <c r="U156" s="660"/>
      <c r="V156" s="659"/>
      <c r="W156" s="660"/>
      <c r="X156" s="659"/>
      <c r="Y156" s="660"/>
      <c r="Z156" s="659"/>
      <c r="AA156" s="660"/>
      <c r="AB156" s="659"/>
      <c r="AC156" s="660"/>
      <c r="AD156" s="659"/>
      <c r="AE156" s="660"/>
      <c r="AF156" s="659"/>
      <c r="AG156" s="660"/>
      <c r="AH156" s="659"/>
      <c r="AI156" s="660"/>
      <c r="AJ156" s="659"/>
      <c r="AK156" s="660"/>
      <c r="AL156" s="659"/>
      <c r="AM156" s="660"/>
      <c r="AN156" s="659"/>
      <c r="AO156" s="660"/>
      <c r="AP156" s="659"/>
      <c r="AQ156" s="660"/>
      <c r="AR156" s="659"/>
      <c r="AS156" s="660"/>
      <c r="AT156" s="659"/>
      <c r="AU156" s="661"/>
      <c r="AV156" s="673"/>
    </row>
    <row r="157" spans="1:48" ht="15" x14ac:dyDescent="0.2">
      <c r="A157" s="567" t="s">
        <v>4827</v>
      </c>
      <c r="B157" s="566" t="s">
        <v>4694</v>
      </c>
      <c r="C157" s="565">
        <f t="shared" si="222"/>
        <v>5.0707789186572314E-5</v>
      </c>
      <c r="D157" s="564">
        <f>SUBTOTAL(9,D158)</f>
        <v>1312.58</v>
      </c>
      <c r="E157" s="563"/>
      <c r="F157" s="561"/>
      <c r="G157" s="562"/>
      <c r="H157" s="561"/>
      <c r="I157" s="562"/>
      <c r="J157" s="561"/>
      <c r="K157" s="562"/>
      <c r="L157" s="561"/>
      <c r="M157" s="562"/>
      <c r="N157" s="561"/>
      <c r="O157" s="562"/>
      <c r="P157" s="561"/>
      <c r="Q157" s="560"/>
      <c r="R157" s="640"/>
      <c r="S157" s="641"/>
      <c r="T157" s="640"/>
      <c r="U157" s="641"/>
      <c r="V157" s="640"/>
      <c r="W157" s="641"/>
      <c r="X157" s="640"/>
      <c r="Y157" s="641"/>
      <c r="Z157" s="640"/>
      <c r="AA157" s="641"/>
      <c r="AB157" s="640"/>
      <c r="AC157" s="641"/>
      <c r="AD157" s="640"/>
      <c r="AE157" s="641"/>
      <c r="AF157" s="640"/>
      <c r="AG157" s="641"/>
      <c r="AH157" s="640"/>
      <c r="AI157" s="641"/>
      <c r="AJ157" s="640"/>
      <c r="AK157" s="641"/>
      <c r="AL157" s="640"/>
      <c r="AM157" s="641"/>
      <c r="AN157" s="640"/>
      <c r="AO157" s="641"/>
      <c r="AP157" s="640"/>
      <c r="AQ157" s="641"/>
      <c r="AR157" s="640"/>
      <c r="AS157" s="641"/>
      <c r="AT157" s="640"/>
      <c r="AU157" s="642"/>
      <c r="AV157" s="673"/>
    </row>
    <row r="158" spans="1:48" ht="14.25" outlineLevel="1" x14ac:dyDescent="0.2">
      <c r="A158" s="559" t="s">
        <v>5303</v>
      </c>
      <c r="B158" s="558" t="s">
        <v>4828</v>
      </c>
      <c r="C158" s="557">
        <f t="shared" si="222"/>
        <v>5.0707789186572314E-5</v>
      </c>
      <c r="D158" s="556">
        <f>Produtos!$D151</f>
        <v>1312.58</v>
      </c>
      <c r="E158" s="580" t="s">
        <v>5286</v>
      </c>
      <c r="F158" s="577"/>
      <c r="G158" s="577"/>
      <c r="H158" s="577"/>
      <c r="I158" s="577"/>
      <c r="J158" s="577"/>
      <c r="K158" s="577" t="s">
        <v>5295</v>
      </c>
      <c r="L158" s="577">
        <v>1</v>
      </c>
      <c r="M158" s="577"/>
      <c r="N158" s="577"/>
      <c r="O158" s="577"/>
      <c r="P158" s="577"/>
      <c r="Q158" s="577"/>
      <c r="R158" s="658">
        <f t="shared" ref="R158:AC158" si="249">IF(F158=1,ROUND(_xlfn.XLOOKUP($E158,$A$2:$A$11,$C$2:$C$11,0,0)*F158*$D158,2),0)</f>
        <v>0</v>
      </c>
      <c r="S158" s="646">
        <f t="shared" si="249"/>
        <v>0</v>
      </c>
      <c r="T158" s="646">
        <f t="shared" si="249"/>
        <v>0</v>
      </c>
      <c r="U158" s="646">
        <f t="shared" si="249"/>
        <v>0</v>
      </c>
      <c r="V158" s="646">
        <f t="shared" si="249"/>
        <v>0</v>
      </c>
      <c r="W158" s="646">
        <f t="shared" si="249"/>
        <v>0</v>
      </c>
      <c r="X158" s="646">
        <f t="shared" si="249"/>
        <v>1312.58</v>
      </c>
      <c r="Y158" s="646">
        <f t="shared" si="249"/>
        <v>0</v>
      </c>
      <c r="Z158" s="646">
        <f t="shared" si="249"/>
        <v>0</v>
      </c>
      <c r="AA158" s="646">
        <f t="shared" si="249"/>
        <v>0</v>
      </c>
      <c r="AB158" s="646">
        <f t="shared" si="249"/>
        <v>0</v>
      </c>
      <c r="AC158" s="646">
        <f t="shared" si="249"/>
        <v>0</v>
      </c>
      <c r="AD158" s="645" t="str">
        <f>IF(OR(AND($E158=$A$6,$D$9=AD$15),AND($E158=$A$10,$D$11=AD$15),AND($E158=$A$3,$D$5=AD$15)),$D158-SUM($R158:AC158),IF($E158=$A$10,ROUND(_xlfn.XLOOKUP(AD$15,$D$10:$D$11,$C$10:$C$11,0,0)*$D158,2),IF($E158=$A$3,ROUND(_xlfn.XLOOKUP(AD$15,$D$3:$D$5,$C$3:$C$5,0,0)*$D158,2),IF($E158=$A$6,ROUND(_xlfn.XLOOKUP(AD$15,$D$6:$D$9,$C$6:$C$9,0,0)*$D158,2),""))))</f>
        <v/>
      </c>
      <c r="AE158" s="646" t="str">
        <f>IF(OR(AND($E158=$A$6,$D$9=AE$15),AND($E158=$A$10,$D$11=AE$15),AND($E158=$A$3,$D$5=AE$15)),$D158-SUM($R158:AD158),IF($E158=$A$10,ROUND(_xlfn.XLOOKUP(AE$15,$D$10:$D$11,$C$10:$C$11,0,0)*$D158,2),IF($E158=$A$3,ROUND(_xlfn.XLOOKUP(AE$15,$D$3:$D$5,$C$3:$C$5,0,0)*$D158,2),IF($E158=$A$6,ROUND(_xlfn.XLOOKUP(AE$15,$D$6:$D$9,$C$6:$C$9,0,0)*$D158,2),""))))</f>
        <v/>
      </c>
      <c r="AF158" s="647" t="str">
        <f>IF(OR(AND($E158=$A$6,$D$9=AF$15),AND($E158=$A$10,$D$11=AF$15),AND($E158=$A$3,$D$5=AF$15)),$D158-SUM($R158:AE158),IF($E158=$A$10,ROUND(_xlfn.XLOOKUP(AF$15,$D$10:$D$11,$C$10:$C$11,0,0)*$D158,2),IF($E158=$A$3,ROUND(_xlfn.XLOOKUP(AF$15,$D$3:$D$5,$C$3:$C$5,0,0)*$D158,2),IF($E158=$A$6,ROUND(_xlfn.XLOOKUP(AF$15,$D$6:$D$9,$C$6:$C$9,0,0)*$D158,2),""))))</f>
        <v/>
      </c>
      <c r="AG158" s="645"/>
      <c r="AH158" s="646"/>
      <c r="AI158" s="646"/>
      <c r="AJ158" s="646"/>
      <c r="AK158" s="647"/>
      <c r="AL158" s="645" t="str">
        <f>IF(OR(AND($E158=$A$6,$D$9=AL$15),AND($E158=$A$10,$D$11=AL$15),AND($E158=$A$3,$D$5=AL$15)),$D158-SUM($R158:AK158),IF($E158=$A$10,ROUND(_xlfn.XLOOKUP(AL$15,$D$10:$D$11,$C$10:$C$11,0,0)*$D158,2),IF($E158=$A$3,ROUND(_xlfn.XLOOKUP(AL$15,$D$3:$D$5,$C$3:$C$5,0,0)*$D158,2),IF($E158=$A$6,ROUND(_xlfn.XLOOKUP(AL$15,$D$6:$D$9,$C$6:$C$9,0,0)*$D158,2),""))))</f>
        <v/>
      </c>
      <c r="AM158" s="646" t="str">
        <f>IF(OR(AND($E158=$A$6,$D$9=AM$15),AND($E158=$A$10,$D$11=AM$15),AND($E158=$A$3,$D$5=AM$15)),$D158-SUM($R158:AL158),IF($E158=$A$10,ROUND(_xlfn.XLOOKUP(AM$15,$D$10:$D$11,$C$10:$C$11,0,0)*$D158,2),IF($E158=$A$3,ROUND(_xlfn.XLOOKUP(AM$15,$D$3:$D$5,$C$3:$C$5,0,0)*$D158,2),IF($E158=$A$6,ROUND(_xlfn.XLOOKUP(AM$15,$D$6:$D$9,$C$6:$C$9,0,0)*$D158,2),""))))</f>
        <v/>
      </c>
      <c r="AN158" s="647" t="str">
        <f>IF(OR(AND($E158=$A$6,$D$9=AN$15),AND($E158=$A$10,$D$11=AN$15),AND($E158=$A$3,$D$5=AN$15)),$D158-SUM($R158:AM158),IF($E158=$A$10,ROUND(_xlfn.XLOOKUP(AN$15,$D$10:$D$11,$C$10:$C$11,0,0)*$D158,2),IF($E158=$A$3,ROUND(_xlfn.XLOOKUP(AN$15,$D$3:$D$5,$C$3:$C$5,0,0)*$D158,2),IF($E158=$A$6,ROUND(_xlfn.XLOOKUP(AN$15,$D$6:$D$9,$C$6:$C$9,0,0)*$D158,2),""))))</f>
        <v/>
      </c>
      <c r="AO158" s="645"/>
      <c r="AP158" s="646"/>
      <c r="AQ158" s="647"/>
      <c r="AR158" s="646"/>
      <c r="AS158" s="645"/>
      <c r="AT158" s="647"/>
      <c r="AU158" s="648" t="str">
        <f>IF(OR(AND($E158=$A$6,$D$9=AU$15),AND($E158=$A$10,$D$11=AU$15),AND($E158=$A$3,$D$5=AU$15)),$D158-SUM($R158:AT158),IF($E158=$A$10,ROUND(_xlfn.XLOOKUP(AU$15,$D$10:$D$11,$C$10:$C$11,0,0)*$D158,2),IF($E158=$A$3,ROUND(_xlfn.XLOOKUP(AU$15,$D$3:$D$5,$C$3:$C$5,0,0)*$D158,2),IF($E158=$A$6,ROUND(_xlfn.XLOOKUP(AU$15,$D$6:$D$9,$C$6:$C$9,0,0)*$D158,2),""))))</f>
        <v/>
      </c>
      <c r="AV158" s="673" t="str">
        <f>IF(SUM(R158:AU158)=D158,"","CORRIGIR")</f>
        <v/>
      </c>
    </row>
    <row r="159" spans="1:48" ht="15" x14ac:dyDescent="0.2">
      <c r="A159" s="567" t="s">
        <v>4829</v>
      </c>
      <c r="B159" s="566" t="s">
        <v>4830</v>
      </c>
      <c r="C159" s="565">
        <f t="shared" si="222"/>
        <v>2.8669710298648437E-2</v>
      </c>
      <c r="D159" s="564">
        <f>SUBTOTAL(9,D160:D166)</f>
        <v>742120.47</v>
      </c>
      <c r="E159" s="563"/>
      <c r="F159" s="561"/>
      <c r="G159" s="562"/>
      <c r="H159" s="561"/>
      <c r="I159" s="562"/>
      <c r="J159" s="561"/>
      <c r="K159" s="562"/>
      <c r="L159" s="561"/>
      <c r="M159" s="562"/>
      <c r="N159" s="561"/>
      <c r="O159" s="562"/>
      <c r="P159" s="561"/>
      <c r="Q159" s="560"/>
      <c r="R159" s="640"/>
      <c r="S159" s="641"/>
      <c r="T159" s="640"/>
      <c r="U159" s="641"/>
      <c r="V159" s="640"/>
      <c r="W159" s="641"/>
      <c r="X159" s="640"/>
      <c r="Y159" s="641"/>
      <c r="Z159" s="640"/>
      <c r="AA159" s="641"/>
      <c r="AB159" s="640"/>
      <c r="AC159" s="641"/>
      <c r="AD159" s="640"/>
      <c r="AE159" s="641"/>
      <c r="AF159" s="640"/>
      <c r="AG159" s="641"/>
      <c r="AH159" s="640"/>
      <c r="AI159" s="641"/>
      <c r="AJ159" s="640"/>
      <c r="AK159" s="641"/>
      <c r="AL159" s="640"/>
      <c r="AM159" s="641"/>
      <c r="AN159" s="640"/>
      <c r="AO159" s="641"/>
      <c r="AP159" s="640"/>
      <c r="AQ159" s="641"/>
      <c r="AR159" s="640"/>
      <c r="AS159" s="641"/>
      <c r="AT159" s="640"/>
      <c r="AU159" s="642"/>
      <c r="AV159" s="673"/>
    </row>
    <row r="160" spans="1:48" ht="14.25" outlineLevel="1" x14ac:dyDescent="0.2">
      <c r="A160" s="559" t="s">
        <v>5302</v>
      </c>
      <c r="B160" s="579" t="s">
        <v>4831</v>
      </c>
      <c r="C160" s="557">
        <f t="shared" si="222"/>
        <v>4.0956728998069198E-3</v>
      </c>
      <c r="D160" s="556">
        <f>Produtos!$D153</f>
        <v>106017.21</v>
      </c>
      <c r="E160" s="578" t="s">
        <v>5296</v>
      </c>
      <c r="F160" s="577"/>
      <c r="G160" s="577"/>
      <c r="H160" s="577"/>
      <c r="I160" s="577"/>
      <c r="J160" s="577"/>
      <c r="K160" s="577"/>
      <c r="L160" s="577"/>
      <c r="M160" s="577" t="s">
        <v>5295</v>
      </c>
      <c r="N160" s="577" t="s">
        <v>5295</v>
      </c>
      <c r="O160" s="577" t="s">
        <v>5295</v>
      </c>
      <c r="P160" s="577" t="s">
        <v>5295</v>
      </c>
      <c r="Q160" s="577">
        <v>1</v>
      </c>
      <c r="R160" s="658">
        <f t="shared" ref="R160:R166" si="250">IF(F160=1,ROUND(_xlfn.XLOOKUP($E160,$A$2:$A$11,$C$2:$C$11,0,0)*F160*$D160,2),0)</f>
        <v>0</v>
      </c>
      <c r="S160" s="646">
        <f t="shared" ref="S160:S166" si="251">IF(G160=1,ROUND(_xlfn.XLOOKUP($E160,$A$2:$A$11,$C$2:$C$11,0,0)*G160*$D160,2),0)</f>
        <v>0</v>
      </c>
      <c r="T160" s="646">
        <f t="shared" ref="T160:T166" si="252">IF(H160=1,ROUND(_xlfn.XLOOKUP($E160,$A$2:$A$11,$C$2:$C$11,0,0)*H160*$D160,2),0)</f>
        <v>0</v>
      </c>
      <c r="U160" s="646">
        <f t="shared" ref="U160:U166" si="253">IF(I160=1,ROUND(_xlfn.XLOOKUP($E160,$A$2:$A$11,$C$2:$C$11,0,0)*I160*$D160,2),0)</f>
        <v>0</v>
      </c>
      <c r="V160" s="646">
        <f t="shared" ref="V160:V166" si="254">IF(J160=1,ROUND(_xlfn.XLOOKUP($E160,$A$2:$A$11,$C$2:$C$11,0,0)*J160*$D160,2),0)</f>
        <v>0</v>
      </c>
      <c r="W160" s="646">
        <f t="shared" ref="W160:W166" si="255">IF(K160=1,ROUND(_xlfn.XLOOKUP($E160,$A$2:$A$11,$C$2:$C$11,0,0)*K160*$D160,2),0)</f>
        <v>0</v>
      </c>
      <c r="X160" s="646">
        <f t="shared" ref="X160:X166" si="256">IF(L160=1,ROUND(_xlfn.XLOOKUP($E160,$A$2:$A$11,$C$2:$C$11,0,0)*L160*$D160,2),0)</f>
        <v>0</v>
      </c>
      <c r="Y160" s="646">
        <f t="shared" ref="Y160:Y166" si="257">IF(M160=1,ROUND(_xlfn.XLOOKUP($E160,$A$2:$A$11,$C$2:$C$11,0,0)*M160*$D160,2),0)</f>
        <v>0</v>
      </c>
      <c r="Z160" s="646">
        <f t="shared" ref="Z160:Z166" si="258">IF(N160=1,ROUND(_xlfn.XLOOKUP($E160,$A$2:$A$11,$C$2:$C$11,0,0)*N160*$D160,2),0)</f>
        <v>0</v>
      </c>
      <c r="AA160" s="646">
        <f t="shared" ref="AA160:AA166" si="259">IF(O160=1,ROUND(_xlfn.XLOOKUP($E160,$A$2:$A$11,$C$2:$C$11,0,0)*O160*$D160,2),0)</f>
        <v>0</v>
      </c>
      <c r="AB160" s="646">
        <f t="shared" ref="AB160:AB166" si="260">IF(P160=1,ROUND(_xlfn.XLOOKUP($E160,$A$2:$A$11,$C$2:$C$11,0,0)*P160*$D160,2),0)</f>
        <v>0</v>
      </c>
      <c r="AC160" s="646">
        <f t="shared" ref="AC160:AC166" si="261">IF(Q160=1,ROUND(_xlfn.XLOOKUP($E160,$A$2:$A$11,$C$2:$C$11,0,0)*Q160*$D160,2),0)</f>
        <v>26504.3</v>
      </c>
      <c r="AD160" s="645">
        <f>IF(OR(AND($E160=$A$6,$D$9=AD$15),AND($E160=$A$10,$D$11=AD$15),AND($E160=$A$3,$D$5=AD$15)),$D160-SUM($R160:AC160),IF($E160=$A$10,ROUND(_xlfn.XLOOKUP(AD$15,$D$10:$D$11,$C$10:$C$11,0,0)*$D160,2),IF($E160=$A$3,ROUND(_xlfn.XLOOKUP(AD$15,$D$3:$D$5,$C$3:$C$5,0,0)*$D160,2),IF($E160=$A$6,ROUND(_xlfn.XLOOKUP(AD$15,$D$6:$D$9,$C$6:$C$9,0,0)*$D160,2),""))))</f>
        <v>0</v>
      </c>
      <c r="AE160" s="646">
        <f>IF(OR(AND($E160=$A$6,$D$9=AE$15),AND($E160=$A$10,$D$11=AE$15),AND($E160=$A$3,$D$5=AE$15)),$D160-SUM($R160:AD160),IF($E160=$A$10,ROUND(_xlfn.XLOOKUP(AE$15,$D$10:$D$11,$C$10:$C$11,0,0)*$D160,2),IF($E160=$A$3,ROUND(_xlfn.XLOOKUP(AE$15,$D$3:$D$5,$C$3:$C$5,0,0)*$D160,2),IF($E160=$A$6,ROUND(_xlfn.XLOOKUP(AE$15,$D$6:$D$9,$C$6:$C$9,0,0)*$D160,2),""))))</f>
        <v>0</v>
      </c>
      <c r="AF160" s="647">
        <f>IF(OR(AND($E160=$A$6,$D$9=AF$15),AND($E160=$A$10,$D$11=AF$15),AND($E160=$A$3,$D$5=AF$15)),$D160-SUM($R160:AE160),IF($E160=$A$10,ROUND(_xlfn.XLOOKUP(AF$15,$D$10:$D$11,$C$10:$C$11,0,0)*$D160,2),IF($E160=$A$3,ROUND(_xlfn.XLOOKUP(AF$15,$D$3:$D$5,$C$3:$C$5,0,0)*$D160,2),IF($E160=$A$6,ROUND(_xlfn.XLOOKUP(AF$15,$D$6:$D$9,$C$6:$C$9,0,0)*$D160,2),""))))</f>
        <v>26504.3</v>
      </c>
      <c r="AG160" s="645"/>
      <c r="AH160" s="646"/>
      <c r="AI160" s="646"/>
      <c r="AJ160" s="646"/>
      <c r="AK160" s="647"/>
      <c r="AL160" s="645">
        <f>IF(OR(AND($E160=$A$6,$D$9=AL$15),AND($E160=$A$10,$D$11=AL$15),AND($E160=$A$3,$D$5=AL$15)),$D160-SUM($R160:AK160),IF($E160=$A$10,ROUND(_xlfn.XLOOKUP(AL$15,$D$10:$D$11,$C$10:$C$11,0,0)*$D160,2),IF($E160=$A$3,ROUND(_xlfn.XLOOKUP(AL$15,$D$3:$D$5,$C$3:$C$5,0,0)*$D160,2),IF($E160=$A$6,ROUND(_xlfn.XLOOKUP(AL$15,$D$6:$D$9,$C$6:$C$9,0,0)*$D160,2),""))))</f>
        <v>0</v>
      </c>
      <c r="AM160" s="646">
        <f>IF(OR(AND($E160=$A$6,$D$9=AM$15),AND($E160=$A$10,$D$11=AM$15),AND($E160=$A$3,$D$5=AM$15)),$D160-SUM($R160:AL160),IF($E160=$A$10,ROUND(_xlfn.XLOOKUP(AM$15,$D$10:$D$11,$C$10:$C$11,0,0)*$D160,2),IF($E160=$A$3,ROUND(_xlfn.XLOOKUP(AM$15,$D$3:$D$5,$C$3:$C$5,0,0)*$D160,2),IF($E160=$A$6,ROUND(_xlfn.XLOOKUP(AM$15,$D$6:$D$9,$C$6:$C$9,0,0)*$D160,2),""))))</f>
        <v>0</v>
      </c>
      <c r="AN160" s="647">
        <f>IF(OR(AND($E160=$A$6,$D$9=AN$15),AND($E160=$A$10,$D$11=AN$15),AND($E160=$A$3,$D$5=AN$15)),$D160-SUM($R160:AM160),IF($E160=$A$10,ROUND(_xlfn.XLOOKUP(AN$15,$D$10:$D$11,$C$10:$C$11,0,0)*$D160,2),IF($E160=$A$3,ROUND(_xlfn.XLOOKUP(AN$15,$D$3:$D$5,$C$3:$C$5,0,0)*$D160,2),IF($E160=$A$6,ROUND(_xlfn.XLOOKUP(AN$15,$D$6:$D$9,$C$6:$C$9,0,0)*$D160,2),""))))</f>
        <v>26504.3</v>
      </c>
      <c r="AO160" s="645"/>
      <c r="AP160" s="646"/>
      <c r="AQ160" s="647"/>
      <c r="AR160" s="646"/>
      <c r="AS160" s="645"/>
      <c r="AT160" s="647"/>
      <c r="AU160" s="648">
        <f>IF(OR(AND($E160=$A$6,$D$9=AU$15),AND($E160=$A$10,$D$11=AU$15),AND($E160=$A$3,$D$5=AU$15)),$D160-SUM($R160:AT160),IF($E160=$A$10,ROUND(_xlfn.XLOOKUP(AU$15,$D$10:$D$11,$C$10:$C$11,0,0)*$D160,2),IF($E160=$A$3,ROUND(_xlfn.XLOOKUP(AU$15,$D$3:$D$5,$C$3:$C$5,0,0)*$D160,2),IF($E160=$A$6,ROUND(_xlfn.XLOOKUP(AU$15,$D$6:$D$9,$C$6:$C$9,0,0)*$D160,2),""))))</f>
        <v>26504.310000000012</v>
      </c>
      <c r="AV160" s="673" t="str">
        <f t="shared" ref="AV160:AV166" si="262">IF(SUM(R160:AU160)=D160,"","CORRIGIR")</f>
        <v/>
      </c>
    </row>
    <row r="161" spans="1:48" ht="14.25" outlineLevel="1" x14ac:dyDescent="0.2">
      <c r="A161" s="559" t="s">
        <v>5301</v>
      </c>
      <c r="B161" s="579" t="s">
        <v>4832</v>
      </c>
      <c r="C161" s="557">
        <f t="shared" si="222"/>
        <v>4.0956728998069198E-3</v>
      </c>
      <c r="D161" s="556">
        <f>Produtos!$D154</f>
        <v>106017.21</v>
      </c>
      <c r="E161" s="578" t="s">
        <v>5296</v>
      </c>
      <c r="F161" s="577"/>
      <c r="G161" s="577"/>
      <c r="H161" s="577"/>
      <c r="I161" s="577"/>
      <c r="J161" s="577"/>
      <c r="K161" s="577"/>
      <c r="L161" s="577"/>
      <c r="M161" s="577" t="s">
        <v>5295</v>
      </c>
      <c r="N161" s="577" t="s">
        <v>5295</v>
      </c>
      <c r="O161" s="577" t="s">
        <v>5295</v>
      </c>
      <c r="P161" s="577" t="s">
        <v>5295</v>
      </c>
      <c r="Q161" s="577">
        <v>1</v>
      </c>
      <c r="R161" s="658">
        <f t="shared" si="250"/>
        <v>0</v>
      </c>
      <c r="S161" s="646">
        <f t="shared" si="251"/>
        <v>0</v>
      </c>
      <c r="T161" s="646">
        <f t="shared" si="252"/>
        <v>0</v>
      </c>
      <c r="U161" s="646">
        <f t="shared" si="253"/>
        <v>0</v>
      </c>
      <c r="V161" s="646">
        <f t="shared" si="254"/>
        <v>0</v>
      </c>
      <c r="W161" s="646">
        <f t="shared" si="255"/>
        <v>0</v>
      </c>
      <c r="X161" s="646">
        <f t="shared" si="256"/>
        <v>0</v>
      </c>
      <c r="Y161" s="646">
        <f t="shared" si="257"/>
        <v>0</v>
      </c>
      <c r="Z161" s="646">
        <f t="shared" si="258"/>
        <v>0</v>
      </c>
      <c r="AA161" s="646">
        <f t="shared" si="259"/>
        <v>0</v>
      </c>
      <c r="AB161" s="646">
        <f t="shared" si="260"/>
        <v>0</v>
      </c>
      <c r="AC161" s="646">
        <f t="shared" si="261"/>
        <v>26504.3</v>
      </c>
      <c r="AD161" s="645">
        <f>IF(OR(AND($E161=$A$6,$D$9=AD$15),AND($E161=$A$10,$D$11=AD$15),AND($E161=$A$3,$D$5=AD$15)),$D161-SUM($R161:AC161),IF($E161=$A$10,ROUND(_xlfn.XLOOKUP(AD$15,$D$10:$D$11,$C$10:$C$11,0,0)*$D161,2),IF($E161=$A$3,ROUND(_xlfn.XLOOKUP(AD$15,$D$3:$D$5,$C$3:$C$5,0,0)*$D161,2),IF($E161=$A$6,ROUND(_xlfn.XLOOKUP(AD$15,$D$6:$D$9,$C$6:$C$9,0,0)*$D161,2),""))))</f>
        <v>0</v>
      </c>
      <c r="AE161" s="646">
        <f>IF(OR(AND($E161=$A$6,$D$9=AE$15),AND($E161=$A$10,$D$11=AE$15),AND($E161=$A$3,$D$5=AE$15)),$D161-SUM($R161:AD161),IF($E161=$A$10,ROUND(_xlfn.XLOOKUP(AE$15,$D$10:$D$11,$C$10:$C$11,0,0)*$D161,2),IF($E161=$A$3,ROUND(_xlfn.XLOOKUP(AE$15,$D$3:$D$5,$C$3:$C$5,0,0)*$D161,2),IF($E161=$A$6,ROUND(_xlfn.XLOOKUP(AE$15,$D$6:$D$9,$C$6:$C$9,0,0)*$D161,2),""))))</f>
        <v>0</v>
      </c>
      <c r="AF161" s="647">
        <f>IF(OR(AND($E161=$A$6,$D$9=AF$15),AND($E161=$A$10,$D$11=AF$15),AND($E161=$A$3,$D$5=AF$15)),$D161-SUM($R161:AE161),IF($E161=$A$10,ROUND(_xlfn.XLOOKUP(AF$15,$D$10:$D$11,$C$10:$C$11,0,0)*$D161,2),IF($E161=$A$3,ROUND(_xlfn.XLOOKUP(AF$15,$D$3:$D$5,$C$3:$C$5,0,0)*$D161,2),IF($E161=$A$6,ROUND(_xlfn.XLOOKUP(AF$15,$D$6:$D$9,$C$6:$C$9,0,0)*$D161,2),""))))</f>
        <v>26504.3</v>
      </c>
      <c r="AG161" s="645"/>
      <c r="AH161" s="646"/>
      <c r="AI161" s="646"/>
      <c r="AJ161" s="646"/>
      <c r="AK161" s="647"/>
      <c r="AL161" s="645">
        <f>IF(OR(AND($E161=$A$6,$D$9=AL$15),AND($E161=$A$10,$D$11=AL$15),AND($E161=$A$3,$D$5=AL$15)),$D161-SUM($R161:AK161),IF($E161=$A$10,ROUND(_xlfn.XLOOKUP(AL$15,$D$10:$D$11,$C$10:$C$11,0,0)*$D161,2),IF($E161=$A$3,ROUND(_xlfn.XLOOKUP(AL$15,$D$3:$D$5,$C$3:$C$5,0,0)*$D161,2),IF($E161=$A$6,ROUND(_xlfn.XLOOKUP(AL$15,$D$6:$D$9,$C$6:$C$9,0,0)*$D161,2),""))))</f>
        <v>0</v>
      </c>
      <c r="AM161" s="646">
        <f>IF(OR(AND($E161=$A$6,$D$9=AM$15),AND($E161=$A$10,$D$11=AM$15),AND($E161=$A$3,$D$5=AM$15)),$D161-SUM($R161:AL161),IF($E161=$A$10,ROUND(_xlfn.XLOOKUP(AM$15,$D$10:$D$11,$C$10:$C$11,0,0)*$D161,2),IF($E161=$A$3,ROUND(_xlfn.XLOOKUP(AM$15,$D$3:$D$5,$C$3:$C$5,0,0)*$D161,2),IF($E161=$A$6,ROUND(_xlfn.XLOOKUP(AM$15,$D$6:$D$9,$C$6:$C$9,0,0)*$D161,2),""))))</f>
        <v>0</v>
      </c>
      <c r="AN161" s="647">
        <f>IF(OR(AND($E161=$A$6,$D$9=AN$15),AND($E161=$A$10,$D$11=AN$15),AND($E161=$A$3,$D$5=AN$15)),$D161-SUM($R161:AM161),IF($E161=$A$10,ROUND(_xlfn.XLOOKUP(AN$15,$D$10:$D$11,$C$10:$C$11,0,0)*$D161,2),IF($E161=$A$3,ROUND(_xlfn.XLOOKUP(AN$15,$D$3:$D$5,$C$3:$C$5,0,0)*$D161,2),IF($E161=$A$6,ROUND(_xlfn.XLOOKUP(AN$15,$D$6:$D$9,$C$6:$C$9,0,0)*$D161,2),""))))</f>
        <v>26504.3</v>
      </c>
      <c r="AO161" s="645"/>
      <c r="AP161" s="646"/>
      <c r="AQ161" s="647"/>
      <c r="AR161" s="646"/>
      <c r="AS161" s="645"/>
      <c r="AT161" s="647"/>
      <c r="AU161" s="648">
        <f>IF(OR(AND($E161=$A$6,$D$9=AU$15),AND($E161=$A$10,$D$11=AU$15),AND($E161=$A$3,$D$5=AU$15)),$D161-SUM($R161:AT161),IF($E161=$A$10,ROUND(_xlfn.XLOOKUP(AU$15,$D$10:$D$11,$C$10:$C$11,0,0)*$D161,2),IF($E161=$A$3,ROUND(_xlfn.XLOOKUP(AU$15,$D$3:$D$5,$C$3:$C$5,0,0)*$D161,2),IF($E161=$A$6,ROUND(_xlfn.XLOOKUP(AU$15,$D$6:$D$9,$C$6:$C$9,0,0)*$D161,2),""))))</f>
        <v>26504.310000000012</v>
      </c>
      <c r="AV161" s="673" t="str">
        <f t="shared" si="262"/>
        <v/>
      </c>
    </row>
    <row r="162" spans="1:48" ht="14.25" outlineLevel="1" x14ac:dyDescent="0.2">
      <c r="A162" s="559" t="s">
        <v>5300</v>
      </c>
      <c r="B162" s="579" t="s">
        <v>4833</v>
      </c>
      <c r="C162" s="557">
        <f t="shared" si="222"/>
        <v>4.0956728998069198E-3</v>
      </c>
      <c r="D162" s="556">
        <f>Produtos!$D155</f>
        <v>106017.21</v>
      </c>
      <c r="E162" s="578" t="s">
        <v>5296</v>
      </c>
      <c r="F162" s="577"/>
      <c r="G162" s="577"/>
      <c r="H162" s="577"/>
      <c r="I162" s="577"/>
      <c r="J162" s="577"/>
      <c r="K162" s="577"/>
      <c r="L162" s="577"/>
      <c r="M162" s="577" t="s">
        <v>5295</v>
      </c>
      <c r="N162" s="577" t="s">
        <v>5295</v>
      </c>
      <c r="O162" s="577" t="s">
        <v>5295</v>
      </c>
      <c r="P162" s="577" t="s">
        <v>5295</v>
      </c>
      <c r="Q162" s="577">
        <v>1</v>
      </c>
      <c r="R162" s="658">
        <f t="shared" si="250"/>
        <v>0</v>
      </c>
      <c r="S162" s="646">
        <f t="shared" si="251"/>
        <v>0</v>
      </c>
      <c r="T162" s="646">
        <f t="shared" si="252"/>
        <v>0</v>
      </c>
      <c r="U162" s="646">
        <f t="shared" si="253"/>
        <v>0</v>
      </c>
      <c r="V162" s="646">
        <f t="shared" si="254"/>
        <v>0</v>
      </c>
      <c r="W162" s="646">
        <f t="shared" si="255"/>
        <v>0</v>
      </c>
      <c r="X162" s="646">
        <f t="shared" si="256"/>
        <v>0</v>
      </c>
      <c r="Y162" s="646">
        <f t="shared" si="257"/>
        <v>0</v>
      </c>
      <c r="Z162" s="646">
        <f t="shared" si="258"/>
        <v>0</v>
      </c>
      <c r="AA162" s="646">
        <f t="shared" si="259"/>
        <v>0</v>
      </c>
      <c r="AB162" s="646">
        <f t="shared" si="260"/>
        <v>0</v>
      </c>
      <c r="AC162" s="646">
        <f t="shared" si="261"/>
        <v>26504.3</v>
      </c>
      <c r="AD162" s="645">
        <f>IF(OR(AND($E162=$A$6,$D$9=AD$15),AND($E162=$A$10,$D$11=AD$15),AND($E162=$A$3,$D$5=AD$15)),$D162-SUM($R162:AC162),IF($E162=$A$10,ROUND(_xlfn.XLOOKUP(AD$15,$D$10:$D$11,$C$10:$C$11,0,0)*$D162,2),IF($E162=$A$3,ROUND(_xlfn.XLOOKUP(AD$15,$D$3:$D$5,$C$3:$C$5,0,0)*$D162,2),IF($E162=$A$6,ROUND(_xlfn.XLOOKUP(AD$15,$D$6:$D$9,$C$6:$C$9,0,0)*$D162,2),""))))</f>
        <v>0</v>
      </c>
      <c r="AE162" s="646">
        <f>IF(OR(AND($E162=$A$6,$D$9=AE$15),AND($E162=$A$10,$D$11=AE$15),AND($E162=$A$3,$D$5=AE$15)),$D162-SUM($R162:AD162),IF($E162=$A$10,ROUND(_xlfn.XLOOKUP(AE$15,$D$10:$D$11,$C$10:$C$11,0,0)*$D162,2),IF($E162=$A$3,ROUND(_xlfn.XLOOKUP(AE$15,$D$3:$D$5,$C$3:$C$5,0,0)*$D162,2),IF($E162=$A$6,ROUND(_xlfn.XLOOKUP(AE$15,$D$6:$D$9,$C$6:$C$9,0,0)*$D162,2),""))))</f>
        <v>0</v>
      </c>
      <c r="AF162" s="647">
        <f>IF(OR(AND($E162=$A$6,$D$9=AF$15),AND($E162=$A$10,$D$11=AF$15),AND($E162=$A$3,$D$5=AF$15)),$D162-SUM($R162:AE162),IF($E162=$A$10,ROUND(_xlfn.XLOOKUP(AF$15,$D$10:$D$11,$C$10:$C$11,0,0)*$D162,2),IF($E162=$A$3,ROUND(_xlfn.XLOOKUP(AF$15,$D$3:$D$5,$C$3:$C$5,0,0)*$D162,2),IF($E162=$A$6,ROUND(_xlfn.XLOOKUP(AF$15,$D$6:$D$9,$C$6:$C$9,0,0)*$D162,2),""))))</f>
        <v>26504.3</v>
      </c>
      <c r="AG162" s="645"/>
      <c r="AH162" s="646"/>
      <c r="AI162" s="646"/>
      <c r="AJ162" s="646"/>
      <c r="AK162" s="647"/>
      <c r="AL162" s="645">
        <f>IF(OR(AND($E162=$A$6,$D$9=AL$15),AND($E162=$A$10,$D$11=AL$15),AND($E162=$A$3,$D$5=AL$15)),$D162-SUM($R162:AK162),IF($E162=$A$10,ROUND(_xlfn.XLOOKUP(AL$15,$D$10:$D$11,$C$10:$C$11,0,0)*$D162,2),IF($E162=$A$3,ROUND(_xlfn.XLOOKUP(AL$15,$D$3:$D$5,$C$3:$C$5,0,0)*$D162,2),IF($E162=$A$6,ROUND(_xlfn.XLOOKUP(AL$15,$D$6:$D$9,$C$6:$C$9,0,0)*$D162,2),""))))</f>
        <v>0</v>
      </c>
      <c r="AM162" s="646">
        <f>IF(OR(AND($E162=$A$6,$D$9=AM$15),AND($E162=$A$10,$D$11=AM$15),AND($E162=$A$3,$D$5=AM$15)),$D162-SUM($R162:AL162),IF($E162=$A$10,ROUND(_xlfn.XLOOKUP(AM$15,$D$10:$D$11,$C$10:$C$11,0,0)*$D162,2),IF($E162=$A$3,ROUND(_xlfn.XLOOKUP(AM$15,$D$3:$D$5,$C$3:$C$5,0,0)*$D162,2),IF($E162=$A$6,ROUND(_xlfn.XLOOKUP(AM$15,$D$6:$D$9,$C$6:$C$9,0,0)*$D162,2),""))))</f>
        <v>0</v>
      </c>
      <c r="AN162" s="647">
        <f>IF(OR(AND($E162=$A$6,$D$9=AN$15),AND($E162=$A$10,$D$11=AN$15),AND($E162=$A$3,$D$5=AN$15)),$D162-SUM($R162:AM162),IF($E162=$A$10,ROUND(_xlfn.XLOOKUP(AN$15,$D$10:$D$11,$C$10:$C$11,0,0)*$D162,2),IF($E162=$A$3,ROUND(_xlfn.XLOOKUP(AN$15,$D$3:$D$5,$C$3:$C$5,0,0)*$D162,2),IF($E162=$A$6,ROUND(_xlfn.XLOOKUP(AN$15,$D$6:$D$9,$C$6:$C$9,0,0)*$D162,2),""))))</f>
        <v>26504.3</v>
      </c>
      <c r="AO162" s="645"/>
      <c r="AP162" s="646"/>
      <c r="AQ162" s="647"/>
      <c r="AR162" s="646"/>
      <c r="AS162" s="645"/>
      <c r="AT162" s="647"/>
      <c r="AU162" s="648">
        <f>IF(OR(AND($E162=$A$6,$D$9=AU$15),AND($E162=$A$10,$D$11=AU$15),AND($E162=$A$3,$D$5=AU$15)),$D162-SUM($R162:AT162),IF($E162=$A$10,ROUND(_xlfn.XLOOKUP(AU$15,$D$10:$D$11,$C$10:$C$11,0,0)*$D162,2),IF($E162=$A$3,ROUND(_xlfn.XLOOKUP(AU$15,$D$3:$D$5,$C$3:$C$5,0,0)*$D162,2),IF($E162=$A$6,ROUND(_xlfn.XLOOKUP(AU$15,$D$6:$D$9,$C$6:$C$9,0,0)*$D162,2),""))))</f>
        <v>26504.310000000012</v>
      </c>
      <c r="AV162" s="673" t="str">
        <f t="shared" si="262"/>
        <v/>
      </c>
    </row>
    <row r="163" spans="1:48" ht="14.25" outlineLevel="1" x14ac:dyDescent="0.2">
      <c r="A163" s="559" t="s">
        <v>5299</v>
      </c>
      <c r="B163" s="579" t="s">
        <v>4834</v>
      </c>
      <c r="C163" s="557">
        <f t="shared" si="222"/>
        <v>4.0956728998069198E-3</v>
      </c>
      <c r="D163" s="556">
        <f>Produtos!$D156</f>
        <v>106017.21</v>
      </c>
      <c r="E163" s="578" t="s">
        <v>5296</v>
      </c>
      <c r="F163" s="577"/>
      <c r="G163" s="577"/>
      <c r="H163" s="577"/>
      <c r="I163" s="577"/>
      <c r="J163" s="577"/>
      <c r="K163" s="577"/>
      <c r="L163" s="577"/>
      <c r="M163" s="577" t="s">
        <v>5295</v>
      </c>
      <c r="N163" s="577" t="s">
        <v>5295</v>
      </c>
      <c r="O163" s="577" t="s">
        <v>5295</v>
      </c>
      <c r="P163" s="577" t="s">
        <v>5295</v>
      </c>
      <c r="Q163" s="577">
        <v>1</v>
      </c>
      <c r="R163" s="658">
        <f t="shared" si="250"/>
        <v>0</v>
      </c>
      <c r="S163" s="646">
        <f t="shared" si="251"/>
        <v>0</v>
      </c>
      <c r="T163" s="646">
        <f t="shared" si="252"/>
        <v>0</v>
      </c>
      <c r="U163" s="646">
        <f t="shared" si="253"/>
        <v>0</v>
      </c>
      <c r="V163" s="646">
        <f t="shared" si="254"/>
        <v>0</v>
      </c>
      <c r="W163" s="646">
        <f t="shared" si="255"/>
        <v>0</v>
      </c>
      <c r="X163" s="646">
        <f t="shared" si="256"/>
        <v>0</v>
      </c>
      <c r="Y163" s="646">
        <f t="shared" si="257"/>
        <v>0</v>
      </c>
      <c r="Z163" s="646">
        <f t="shared" si="258"/>
        <v>0</v>
      </c>
      <c r="AA163" s="646">
        <f t="shared" si="259"/>
        <v>0</v>
      </c>
      <c r="AB163" s="646">
        <f t="shared" si="260"/>
        <v>0</v>
      </c>
      <c r="AC163" s="646">
        <f t="shared" si="261"/>
        <v>26504.3</v>
      </c>
      <c r="AD163" s="645">
        <f>IF(OR(AND($E163=$A$6,$D$9=AD$15),AND($E163=$A$10,$D$11=AD$15),AND($E163=$A$3,$D$5=AD$15)),$D163-SUM($R163:AC163),IF($E163=$A$10,ROUND(_xlfn.XLOOKUP(AD$15,$D$10:$D$11,$C$10:$C$11,0,0)*$D163,2),IF($E163=$A$3,ROUND(_xlfn.XLOOKUP(AD$15,$D$3:$D$5,$C$3:$C$5,0,0)*$D163,2),IF($E163=$A$6,ROUND(_xlfn.XLOOKUP(AD$15,$D$6:$D$9,$C$6:$C$9,0,0)*$D163,2),""))))</f>
        <v>0</v>
      </c>
      <c r="AE163" s="646">
        <f>IF(OR(AND($E163=$A$6,$D$9=AE$15),AND($E163=$A$10,$D$11=AE$15),AND($E163=$A$3,$D$5=AE$15)),$D163-SUM($R163:AD163),IF($E163=$A$10,ROUND(_xlfn.XLOOKUP(AE$15,$D$10:$D$11,$C$10:$C$11,0,0)*$D163,2),IF($E163=$A$3,ROUND(_xlfn.XLOOKUP(AE$15,$D$3:$D$5,$C$3:$C$5,0,0)*$D163,2),IF($E163=$A$6,ROUND(_xlfn.XLOOKUP(AE$15,$D$6:$D$9,$C$6:$C$9,0,0)*$D163,2),""))))</f>
        <v>0</v>
      </c>
      <c r="AF163" s="647">
        <f>IF(OR(AND($E163=$A$6,$D$9=AF$15),AND($E163=$A$10,$D$11=AF$15),AND($E163=$A$3,$D$5=AF$15)),$D163-SUM($R163:AE163),IF($E163=$A$10,ROUND(_xlfn.XLOOKUP(AF$15,$D$10:$D$11,$C$10:$C$11,0,0)*$D163,2),IF($E163=$A$3,ROUND(_xlfn.XLOOKUP(AF$15,$D$3:$D$5,$C$3:$C$5,0,0)*$D163,2),IF($E163=$A$6,ROUND(_xlfn.XLOOKUP(AF$15,$D$6:$D$9,$C$6:$C$9,0,0)*$D163,2),""))))</f>
        <v>26504.3</v>
      </c>
      <c r="AG163" s="645"/>
      <c r="AH163" s="646"/>
      <c r="AI163" s="646"/>
      <c r="AJ163" s="646"/>
      <c r="AK163" s="647"/>
      <c r="AL163" s="645">
        <f>IF(OR(AND($E163=$A$6,$D$9=AL$15),AND($E163=$A$10,$D$11=AL$15),AND($E163=$A$3,$D$5=AL$15)),$D163-SUM($R163:AK163),IF($E163=$A$10,ROUND(_xlfn.XLOOKUP(AL$15,$D$10:$D$11,$C$10:$C$11,0,0)*$D163,2),IF($E163=$A$3,ROUND(_xlfn.XLOOKUP(AL$15,$D$3:$D$5,$C$3:$C$5,0,0)*$D163,2),IF($E163=$A$6,ROUND(_xlfn.XLOOKUP(AL$15,$D$6:$D$9,$C$6:$C$9,0,0)*$D163,2),""))))</f>
        <v>0</v>
      </c>
      <c r="AM163" s="646">
        <f>IF(OR(AND($E163=$A$6,$D$9=AM$15),AND($E163=$A$10,$D$11=AM$15),AND($E163=$A$3,$D$5=AM$15)),$D163-SUM($R163:AL163),IF($E163=$A$10,ROUND(_xlfn.XLOOKUP(AM$15,$D$10:$D$11,$C$10:$C$11,0,0)*$D163,2),IF($E163=$A$3,ROUND(_xlfn.XLOOKUP(AM$15,$D$3:$D$5,$C$3:$C$5,0,0)*$D163,2),IF($E163=$A$6,ROUND(_xlfn.XLOOKUP(AM$15,$D$6:$D$9,$C$6:$C$9,0,0)*$D163,2),""))))</f>
        <v>0</v>
      </c>
      <c r="AN163" s="647">
        <f>IF(OR(AND($E163=$A$6,$D$9=AN$15),AND($E163=$A$10,$D$11=AN$15),AND($E163=$A$3,$D$5=AN$15)),$D163-SUM($R163:AM163),IF($E163=$A$10,ROUND(_xlfn.XLOOKUP(AN$15,$D$10:$D$11,$C$10:$C$11,0,0)*$D163,2),IF($E163=$A$3,ROUND(_xlfn.XLOOKUP(AN$15,$D$3:$D$5,$C$3:$C$5,0,0)*$D163,2),IF($E163=$A$6,ROUND(_xlfn.XLOOKUP(AN$15,$D$6:$D$9,$C$6:$C$9,0,0)*$D163,2),""))))</f>
        <v>26504.3</v>
      </c>
      <c r="AO163" s="645"/>
      <c r="AP163" s="646"/>
      <c r="AQ163" s="647"/>
      <c r="AR163" s="646"/>
      <c r="AS163" s="645"/>
      <c r="AT163" s="647"/>
      <c r="AU163" s="648">
        <f>IF(OR(AND($E163=$A$6,$D$9=AU$15),AND($E163=$A$10,$D$11=AU$15),AND($E163=$A$3,$D$5=AU$15)),$D163-SUM($R163:AT163),IF($E163=$A$10,ROUND(_xlfn.XLOOKUP(AU$15,$D$10:$D$11,$C$10:$C$11,0,0)*$D163,2),IF($E163=$A$3,ROUND(_xlfn.XLOOKUP(AU$15,$D$3:$D$5,$C$3:$C$5,0,0)*$D163,2),IF($E163=$A$6,ROUND(_xlfn.XLOOKUP(AU$15,$D$6:$D$9,$C$6:$C$9,0,0)*$D163,2),""))))</f>
        <v>26504.310000000012</v>
      </c>
      <c r="AV163" s="673" t="str">
        <f t="shared" si="262"/>
        <v/>
      </c>
    </row>
    <row r="164" spans="1:48" ht="14.25" outlineLevel="1" x14ac:dyDescent="0.2">
      <c r="A164" s="559" t="s">
        <v>5299</v>
      </c>
      <c r="B164" s="579" t="s">
        <v>4834</v>
      </c>
      <c r="C164" s="557">
        <f t="shared" si="222"/>
        <v>4.0956728998069198E-3</v>
      </c>
      <c r="D164" s="556">
        <f>Produtos!$D157</f>
        <v>106017.21</v>
      </c>
      <c r="E164" s="578" t="s">
        <v>5296</v>
      </c>
      <c r="F164" s="577"/>
      <c r="G164" s="577"/>
      <c r="H164" s="577"/>
      <c r="I164" s="577"/>
      <c r="J164" s="577"/>
      <c r="K164" s="577"/>
      <c r="L164" s="577"/>
      <c r="M164" s="577" t="s">
        <v>5295</v>
      </c>
      <c r="N164" s="577" t="s">
        <v>5295</v>
      </c>
      <c r="O164" s="577" t="s">
        <v>5295</v>
      </c>
      <c r="P164" s="577" t="s">
        <v>5295</v>
      </c>
      <c r="Q164" s="577">
        <v>1</v>
      </c>
      <c r="R164" s="658">
        <f t="shared" si="250"/>
        <v>0</v>
      </c>
      <c r="S164" s="646">
        <f t="shared" si="251"/>
        <v>0</v>
      </c>
      <c r="T164" s="646">
        <f t="shared" si="252"/>
        <v>0</v>
      </c>
      <c r="U164" s="646">
        <f t="shared" si="253"/>
        <v>0</v>
      </c>
      <c r="V164" s="646">
        <f t="shared" si="254"/>
        <v>0</v>
      </c>
      <c r="W164" s="646">
        <f t="shared" si="255"/>
        <v>0</v>
      </c>
      <c r="X164" s="646">
        <f t="shared" si="256"/>
        <v>0</v>
      </c>
      <c r="Y164" s="646">
        <f t="shared" si="257"/>
        <v>0</v>
      </c>
      <c r="Z164" s="646">
        <f t="shared" si="258"/>
        <v>0</v>
      </c>
      <c r="AA164" s="646">
        <f t="shared" si="259"/>
        <v>0</v>
      </c>
      <c r="AB164" s="646">
        <f t="shared" si="260"/>
        <v>0</v>
      </c>
      <c r="AC164" s="646">
        <f t="shared" si="261"/>
        <v>26504.3</v>
      </c>
      <c r="AD164" s="645">
        <f>IF(OR(AND($E164=$A$6,$D$9=AD$15),AND($E164=$A$10,$D$11=AD$15),AND($E164=$A$3,$D$5=AD$15)),$D164-SUM($R164:AC164),IF($E164=$A$10,ROUND(_xlfn.XLOOKUP(AD$15,$D$10:$D$11,$C$10:$C$11,0,0)*$D164,2),IF($E164=$A$3,ROUND(_xlfn.XLOOKUP(AD$15,$D$3:$D$5,$C$3:$C$5,0,0)*$D164,2),IF($E164=$A$6,ROUND(_xlfn.XLOOKUP(AD$15,$D$6:$D$9,$C$6:$C$9,0,0)*$D164,2),""))))</f>
        <v>0</v>
      </c>
      <c r="AE164" s="646">
        <f>IF(OR(AND($E164=$A$6,$D$9=AE$15),AND($E164=$A$10,$D$11=AE$15),AND($E164=$A$3,$D$5=AE$15)),$D164-SUM($R164:AD164),IF($E164=$A$10,ROUND(_xlfn.XLOOKUP(AE$15,$D$10:$D$11,$C$10:$C$11,0,0)*$D164,2),IF($E164=$A$3,ROUND(_xlfn.XLOOKUP(AE$15,$D$3:$D$5,$C$3:$C$5,0,0)*$D164,2),IF($E164=$A$6,ROUND(_xlfn.XLOOKUP(AE$15,$D$6:$D$9,$C$6:$C$9,0,0)*$D164,2),""))))</f>
        <v>0</v>
      </c>
      <c r="AF164" s="647">
        <f>IF(OR(AND($E164=$A$6,$D$9=AF$15),AND($E164=$A$10,$D$11=AF$15),AND($E164=$A$3,$D$5=AF$15)),$D164-SUM($R164:AE164),IF($E164=$A$10,ROUND(_xlfn.XLOOKUP(AF$15,$D$10:$D$11,$C$10:$C$11,0,0)*$D164,2),IF($E164=$A$3,ROUND(_xlfn.XLOOKUP(AF$15,$D$3:$D$5,$C$3:$C$5,0,0)*$D164,2),IF($E164=$A$6,ROUND(_xlfn.XLOOKUP(AF$15,$D$6:$D$9,$C$6:$C$9,0,0)*$D164,2),""))))</f>
        <v>26504.3</v>
      </c>
      <c r="AG164" s="645"/>
      <c r="AH164" s="646"/>
      <c r="AI164" s="646"/>
      <c r="AJ164" s="646"/>
      <c r="AK164" s="647"/>
      <c r="AL164" s="645">
        <f>IF(OR(AND($E164=$A$6,$D$9=AL$15),AND($E164=$A$10,$D$11=AL$15),AND($E164=$A$3,$D$5=AL$15)),$D164-SUM($R164:AK164),IF($E164=$A$10,ROUND(_xlfn.XLOOKUP(AL$15,$D$10:$D$11,$C$10:$C$11,0,0)*$D164,2),IF($E164=$A$3,ROUND(_xlfn.XLOOKUP(AL$15,$D$3:$D$5,$C$3:$C$5,0,0)*$D164,2),IF($E164=$A$6,ROUND(_xlfn.XLOOKUP(AL$15,$D$6:$D$9,$C$6:$C$9,0,0)*$D164,2),""))))</f>
        <v>0</v>
      </c>
      <c r="AM164" s="646">
        <f>IF(OR(AND($E164=$A$6,$D$9=AM$15),AND($E164=$A$10,$D$11=AM$15),AND($E164=$A$3,$D$5=AM$15)),$D164-SUM($R164:AL164),IF($E164=$A$10,ROUND(_xlfn.XLOOKUP(AM$15,$D$10:$D$11,$C$10:$C$11,0,0)*$D164,2),IF($E164=$A$3,ROUND(_xlfn.XLOOKUP(AM$15,$D$3:$D$5,$C$3:$C$5,0,0)*$D164,2),IF($E164=$A$6,ROUND(_xlfn.XLOOKUP(AM$15,$D$6:$D$9,$C$6:$C$9,0,0)*$D164,2),""))))</f>
        <v>0</v>
      </c>
      <c r="AN164" s="647">
        <f>IF(OR(AND($E164=$A$6,$D$9=AN$15),AND($E164=$A$10,$D$11=AN$15),AND($E164=$A$3,$D$5=AN$15)),$D164-SUM($R164:AM164),IF($E164=$A$10,ROUND(_xlfn.XLOOKUP(AN$15,$D$10:$D$11,$C$10:$C$11,0,0)*$D164,2),IF($E164=$A$3,ROUND(_xlfn.XLOOKUP(AN$15,$D$3:$D$5,$C$3:$C$5,0,0)*$D164,2),IF($E164=$A$6,ROUND(_xlfn.XLOOKUP(AN$15,$D$6:$D$9,$C$6:$C$9,0,0)*$D164,2),""))))</f>
        <v>26504.3</v>
      </c>
      <c r="AO164" s="645"/>
      <c r="AP164" s="646"/>
      <c r="AQ164" s="647"/>
      <c r="AR164" s="646"/>
      <c r="AS164" s="645"/>
      <c r="AT164" s="647"/>
      <c r="AU164" s="648">
        <f>IF(OR(AND($E164=$A$6,$D$9=AU$15),AND($E164=$A$10,$D$11=AU$15),AND($E164=$A$3,$D$5=AU$15)),$D164-SUM($R164:AT164),IF($E164=$A$10,ROUND(_xlfn.XLOOKUP(AU$15,$D$10:$D$11,$C$10:$C$11,0,0)*$D164,2),IF($E164=$A$3,ROUND(_xlfn.XLOOKUP(AU$15,$D$3:$D$5,$C$3:$C$5,0,0)*$D164,2),IF($E164=$A$6,ROUND(_xlfn.XLOOKUP(AU$15,$D$6:$D$9,$C$6:$C$9,0,0)*$D164,2),""))))</f>
        <v>26504.310000000012</v>
      </c>
      <c r="AV164" s="673" t="str">
        <f t="shared" si="262"/>
        <v/>
      </c>
    </row>
    <row r="165" spans="1:48" ht="14.25" outlineLevel="1" x14ac:dyDescent="0.2">
      <c r="A165" s="559" t="s">
        <v>5298</v>
      </c>
      <c r="B165" s="579" t="s">
        <v>4835</v>
      </c>
      <c r="C165" s="557">
        <f t="shared" si="222"/>
        <v>4.0956728998069198E-3</v>
      </c>
      <c r="D165" s="556">
        <f>Produtos!$D158</f>
        <v>106017.21</v>
      </c>
      <c r="E165" s="578" t="s">
        <v>5296</v>
      </c>
      <c r="F165" s="577"/>
      <c r="G165" s="577"/>
      <c r="H165" s="577"/>
      <c r="I165" s="577"/>
      <c r="J165" s="577"/>
      <c r="K165" s="577"/>
      <c r="L165" s="577"/>
      <c r="M165" s="577" t="s">
        <v>5295</v>
      </c>
      <c r="N165" s="577" t="s">
        <v>5295</v>
      </c>
      <c r="O165" s="577" t="s">
        <v>5295</v>
      </c>
      <c r="P165" s="577" t="s">
        <v>5295</v>
      </c>
      <c r="Q165" s="577">
        <v>1</v>
      </c>
      <c r="R165" s="658">
        <f t="shared" si="250"/>
        <v>0</v>
      </c>
      <c r="S165" s="646">
        <f t="shared" si="251"/>
        <v>0</v>
      </c>
      <c r="T165" s="646">
        <f t="shared" si="252"/>
        <v>0</v>
      </c>
      <c r="U165" s="646">
        <f t="shared" si="253"/>
        <v>0</v>
      </c>
      <c r="V165" s="646">
        <f t="shared" si="254"/>
        <v>0</v>
      </c>
      <c r="W165" s="646">
        <f t="shared" si="255"/>
        <v>0</v>
      </c>
      <c r="X165" s="646">
        <f t="shared" si="256"/>
        <v>0</v>
      </c>
      <c r="Y165" s="646">
        <f t="shared" si="257"/>
        <v>0</v>
      </c>
      <c r="Z165" s="646">
        <f t="shared" si="258"/>
        <v>0</v>
      </c>
      <c r="AA165" s="646">
        <f t="shared" si="259"/>
        <v>0</v>
      </c>
      <c r="AB165" s="646">
        <f t="shared" si="260"/>
        <v>0</v>
      </c>
      <c r="AC165" s="646">
        <f t="shared" si="261"/>
        <v>26504.3</v>
      </c>
      <c r="AD165" s="645">
        <f>IF(OR(AND($E165=$A$6,$D$9=AD$15),AND($E165=$A$10,$D$11=AD$15),AND($E165=$A$3,$D$5=AD$15)),$D165-SUM($R165:AC165),IF($E165=$A$10,ROUND(_xlfn.XLOOKUP(AD$15,$D$10:$D$11,$C$10:$C$11,0,0)*$D165,2),IF($E165=$A$3,ROUND(_xlfn.XLOOKUP(AD$15,$D$3:$D$5,$C$3:$C$5,0,0)*$D165,2),IF($E165=$A$6,ROUND(_xlfn.XLOOKUP(AD$15,$D$6:$D$9,$C$6:$C$9,0,0)*$D165,2),""))))</f>
        <v>0</v>
      </c>
      <c r="AE165" s="646">
        <f>IF(OR(AND($E165=$A$6,$D$9=AE$15),AND($E165=$A$10,$D$11=AE$15),AND($E165=$A$3,$D$5=AE$15)),$D165-SUM($R165:AD165),IF($E165=$A$10,ROUND(_xlfn.XLOOKUP(AE$15,$D$10:$D$11,$C$10:$C$11,0,0)*$D165,2),IF($E165=$A$3,ROUND(_xlfn.XLOOKUP(AE$15,$D$3:$D$5,$C$3:$C$5,0,0)*$D165,2),IF($E165=$A$6,ROUND(_xlfn.XLOOKUP(AE$15,$D$6:$D$9,$C$6:$C$9,0,0)*$D165,2),""))))</f>
        <v>0</v>
      </c>
      <c r="AF165" s="647">
        <f>IF(OR(AND($E165=$A$6,$D$9=AF$15),AND($E165=$A$10,$D$11=AF$15),AND($E165=$A$3,$D$5=AF$15)),$D165-SUM($R165:AE165),IF($E165=$A$10,ROUND(_xlfn.XLOOKUP(AF$15,$D$10:$D$11,$C$10:$C$11,0,0)*$D165,2),IF($E165=$A$3,ROUND(_xlfn.XLOOKUP(AF$15,$D$3:$D$5,$C$3:$C$5,0,0)*$D165,2),IF($E165=$A$6,ROUND(_xlfn.XLOOKUP(AF$15,$D$6:$D$9,$C$6:$C$9,0,0)*$D165,2),""))))</f>
        <v>26504.3</v>
      </c>
      <c r="AG165" s="645"/>
      <c r="AH165" s="646"/>
      <c r="AI165" s="646"/>
      <c r="AJ165" s="646"/>
      <c r="AK165" s="647"/>
      <c r="AL165" s="645">
        <f>IF(OR(AND($E165=$A$6,$D$9=AL$15),AND($E165=$A$10,$D$11=AL$15),AND($E165=$A$3,$D$5=AL$15)),$D165-SUM($R165:AK165),IF($E165=$A$10,ROUND(_xlfn.XLOOKUP(AL$15,$D$10:$D$11,$C$10:$C$11,0,0)*$D165,2),IF($E165=$A$3,ROUND(_xlfn.XLOOKUP(AL$15,$D$3:$D$5,$C$3:$C$5,0,0)*$D165,2),IF($E165=$A$6,ROUND(_xlfn.XLOOKUP(AL$15,$D$6:$D$9,$C$6:$C$9,0,0)*$D165,2),""))))</f>
        <v>0</v>
      </c>
      <c r="AM165" s="646">
        <f>IF(OR(AND($E165=$A$6,$D$9=AM$15),AND($E165=$A$10,$D$11=AM$15),AND($E165=$A$3,$D$5=AM$15)),$D165-SUM($R165:AL165),IF($E165=$A$10,ROUND(_xlfn.XLOOKUP(AM$15,$D$10:$D$11,$C$10:$C$11,0,0)*$D165,2),IF($E165=$A$3,ROUND(_xlfn.XLOOKUP(AM$15,$D$3:$D$5,$C$3:$C$5,0,0)*$D165,2),IF($E165=$A$6,ROUND(_xlfn.XLOOKUP(AM$15,$D$6:$D$9,$C$6:$C$9,0,0)*$D165,2),""))))</f>
        <v>0</v>
      </c>
      <c r="AN165" s="647">
        <f>IF(OR(AND($E165=$A$6,$D$9=AN$15),AND($E165=$A$10,$D$11=AN$15),AND($E165=$A$3,$D$5=AN$15)),$D165-SUM($R165:AM165),IF($E165=$A$10,ROUND(_xlfn.XLOOKUP(AN$15,$D$10:$D$11,$C$10:$C$11,0,0)*$D165,2),IF($E165=$A$3,ROUND(_xlfn.XLOOKUP(AN$15,$D$3:$D$5,$C$3:$C$5,0,0)*$D165,2),IF($E165=$A$6,ROUND(_xlfn.XLOOKUP(AN$15,$D$6:$D$9,$C$6:$C$9,0,0)*$D165,2),""))))</f>
        <v>26504.3</v>
      </c>
      <c r="AO165" s="645"/>
      <c r="AP165" s="646"/>
      <c r="AQ165" s="647"/>
      <c r="AR165" s="646"/>
      <c r="AS165" s="645"/>
      <c r="AT165" s="647"/>
      <c r="AU165" s="648">
        <f>IF(OR(AND($E165=$A$6,$D$9=AU$15),AND($E165=$A$10,$D$11=AU$15),AND($E165=$A$3,$D$5=AU$15)),$D165-SUM($R165:AT165),IF($E165=$A$10,ROUND(_xlfn.XLOOKUP(AU$15,$D$10:$D$11,$C$10:$C$11,0,0)*$D165,2),IF($E165=$A$3,ROUND(_xlfn.XLOOKUP(AU$15,$D$3:$D$5,$C$3:$C$5,0,0)*$D165,2),IF($E165=$A$6,ROUND(_xlfn.XLOOKUP(AU$15,$D$6:$D$9,$C$6:$C$9,0,0)*$D165,2),""))))</f>
        <v>26504.310000000012</v>
      </c>
      <c r="AV165" s="673" t="str">
        <f t="shared" si="262"/>
        <v/>
      </c>
    </row>
    <row r="166" spans="1:48" ht="14.25" outlineLevel="1" x14ac:dyDescent="0.2">
      <c r="A166" s="559" t="s">
        <v>5297</v>
      </c>
      <c r="B166" s="579" t="s">
        <v>4836</v>
      </c>
      <c r="C166" s="557">
        <f t="shared" si="222"/>
        <v>4.0956728998069198E-3</v>
      </c>
      <c r="D166" s="556">
        <f>Produtos!$D159</f>
        <v>106017.21</v>
      </c>
      <c r="E166" s="578" t="s">
        <v>5296</v>
      </c>
      <c r="F166" s="577"/>
      <c r="G166" s="577"/>
      <c r="H166" s="577"/>
      <c r="I166" s="577"/>
      <c r="J166" s="577"/>
      <c r="K166" s="577"/>
      <c r="L166" s="577"/>
      <c r="M166" s="577" t="s">
        <v>5295</v>
      </c>
      <c r="N166" s="577" t="s">
        <v>5295</v>
      </c>
      <c r="O166" s="577" t="s">
        <v>5295</v>
      </c>
      <c r="P166" s="577" t="s">
        <v>5295</v>
      </c>
      <c r="Q166" s="577">
        <v>1</v>
      </c>
      <c r="R166" s="658">
        <f t="shared" si="250"/>
        <v>0</v>
      </c>
      <c r="S166" s="646">
        <f t="shared" si="251"/>
        <v>0</v>
      </c>
      <c r="T166" s="646">
        <f t="shared" si="252"/>
        <v>0</v>
      </c>
      <c r="U166" s="646">
        <f t="shared" si="253"/>
        <v>0</v>
      </c>
      <c r="V166" s="646">
        <f t="shared" si="254"/>
        <v>0</v>
      </c>
      <c r="W166" s="646">
        <f t="shared" si="255"/>
        <v>0</v>
      </c>
      <c r="X166" s="646">
        <f t="shared" si="256"/>
        <v>0</v>
      </c>
      <c r="Y166" s="646">
        <f t="shared" si="257"/>
        <v>0</v>
      </c>
      <c r="Z166" s="646">
        <f t="shared" si="258"/>
        <v>0</v>
      </c>
      <c r="AA166" s="646">
        <f t="shared" si="259"/>
        <v>0</v>
      </c>
      <c r="AB166" s="646">
        <f t="shared" si="260"/>
        <v>0</v>
      </c>
      <c r="AC166" s="646">
        <f t="shared" si="261"/>
        <v>26504.3</v>
      </c>
      <c r="AD166" s="645">
        <f>IF(OR(AND($E166=$A$6,$D$9=AD$15),AND($E166=$A$10,$D$11=AD$15),AND($E166=$A$3,$D$5=AD$15)),$D166-SUM($R166:AC166),IF($E166=$A$10,ROUND(_xlfn.XLOOKUP(AD$15,$D$10:$D$11,$C$10:$C$11,0,0)*$D166,2),IF($E166=$A$3,ROUND(_xlfn.XLOOKUP(AD$15,$D$3:$D$5,$C$3:$C$5,0,0)*$D166,2),IF($E166=$A$6,ROUND(_xlfn.XLOOKUP(AD$15,$D$6:$D$9,$C$6:$C$9,0,0)*$D166,2),""))))</f>
        <v>0</v>
      </c>
      <c r="AE166" s="646">
        <f>IF(OR(AND($E166=$A$6,$D$9=AE$15),AND($E166=$A$10,$D$11=AE$15),AND($E166=$A$3,$D$5=AE$15)),$D166-SUM($R166:AD166),IF($E166=$A$10,ROUND(_xlfn.XLOOKUP(AE$15,$D$10:$D$11,$C$10:$C$11,0,0)*$D166,2),IF($E166=$A$3,ROUND(_xlfn.XLOOKUP(AE$15,$D$3:$D$5,$C$3:$C$5,0,0)*$D166,2),IF($E166=$A$6,ROUND(_xlfn.XLOOKUP(AE$15,$D$6:$D$9,$C$6:$C$9,0,0)*$D166,2),""))))</f>
        <v>0</v>
      </c>
      <c r="AF166" s="647">
        <f>IF(OR(AND($E166=$A$6,$D$9=AF$15),AND($E166=$A$10,$D$11=AF$15),AND($E166=$A$3,$D$5=AF$15)),$D166-SUM($R166:AE166),IF($E166=$A$10,ROUND(_xlfn.XLOOKUP(AF$15,$D$10:$D$11,$C$10:$C$11,0,0)*$D166,2),IF($E166=$A$3,ROUND(_xlfn.XLOOKUP(AF$15,$D$3:$D$5,$C$3:$C$5,0,0)*$D166,2),IF($E166=$A$6,ROUND(_xlfn.XLOOKUP(AF$15,$D$6:$D$9,$C$6:$C$9,0,0)*$D166,2),""))))</f>
        <v>26504.3</v>
      </c>
      <c r="AG166" s="645"/>
      <c r="AH166" s="646"/>
      <c r="AI166" s="646"/>
      <c r="AJ166" s="646"/>
      <c r="AK166" s="647"/>
      <c r="AL166" s="645">
        <f>IF(OR(AND($E166=$A$6,$D$9=AL$15),AND($E166=$A$10,$D$11=AL$15),AND($E166=$A$3,$D$5=AL$15)),$D166-SUM($R166:AK166),IF($E166=$A$10,ROUND(_xlfn.XLOOKUP(AL$15,$D$10:$D$11,$C$10:$C$11,0,0)*$D166,2),IF($E166=$A$3,ROUND(_xlfn.XLOOKUP(AL$15,$D$3:$D$5,$C$3:$C$5,0,0)*$D166,2),IF($E166=$A$6,ROUND(_xlfn.XLOOKUP(AL$15,$D$6:$D$9,$C$6:$C$9,0,0)*$D166,2),""))))</f>
        <v>0</v>
      </c>
      <c r="AM166" s="646">
        <f>IF(OR(AND($E166=$A$6,$D$9=AM$15),AND($E166=$A$10,$D$11=AM$15),AND($E166=$A$3,$D$5=AM$15)),$D166-SUM($R166:AL166),IF($E166=$A$10,ROUND(_xlfn.XLOOKUP(AM$15,$D$10:$D$11,$C$10:$C$11,0,0)*$D166,2),IF($E166=$A$3,ROUND(_xlfn.XLOOKUP(AM$15,$D$3:$D$5,$C$3:$C$5,0,0)*$D166,2),IF($E166=$A$6,ROUND(_xlfn.XLOOKUP(AM$15,$D$6:$D$9,$C$6:$C$9,0,0)*$D166,2),""))))</f>
        <v>0</v>
      </c>
      <c r="AN166" s="647">
        <f>IF(OR(AND($E166=$A$6,$D$9=AN$15),AND($E166=$A$10,$D$11=AN$15),AND($E166=$A$3,$D$5=AN$15)),$D166-SUM($R166:AM166),IF($E166=$A$10,ROUND(_xlfn.XLOOKUP(AN$15,$D$10:$D$11,$C$10:$C$11,0,0)*$D166,2),IF($E166=$A$3,ROUND(_xlfn.XLOOKUP(AN$15,$D$3:$D$5,$C$3:$C$5,0,0)*$D166,2),IF($E166=$A$6,ROUND(_xlfn.XLOOKUP(AN$15,$D$6:$D$9,$C$6:$C$9,0,0)*$D166,2),""))))</f>
        <v>26504.3</v>
      </c>
      <c r="AO166" s="645"/>
      <c r="AP166" s="646"/>
      <c r="AQ166" s="647"/>
      <c r="AR166" s="646"/>
      <c r="AS166" s="645"/>
      <c r="AT166" s="647"/>
      <c r="AU166" s="648">
        <f>IF(OR(AND($E166=$A$6,$D$9=AU$15),AND($E166=$A$10,$D$11=AU$15),AND($E166=$A$3,$D$5=AU$15)),$D166-SUM($R166:AT166),IF($E166=$A$10,ROUND(_xlfn.XLOOKUP(AU$15,$D$10:$D$11,$C$10:$C$11,0,0)*$D166,2),IF($E166=$A$3,ROUND(_xlfn.XLOOKUP(AU$15,$D$3:$D$5,$C$3:$C$5,0,0)*$D166,2),IF($E166=$A$6,ROUND(_xlfn.XLOOKUP(AU$15,$D$6:$D$9,$C$6:$C$9,0,0)*$D166,2),""))))</f>
        <v>26504.310000000012</v>
      </c>
      <c r="AV166" s="673" t="str">
        <f t="shared" si="262"/>
        <v/>
      </c>
    </row>
    <row r="167" spans="1:48" s="568" customFormat="1" ht="15" x14ac:dyDescent="0.2">
      <c r="A167" s="576">
        <v>11</v>
      </c>
      <c r="B167" s="575" t="s">
        <v>4837</v>
      </c>
      <c r="C167" s="574">
        <f t="shared" si="222"/>
        <v>3.5255902186662656E-2</v>
      </c>
      <c r="D167" s="573">
        <f>SUBTOTAL(9,D168:D174)</f>
        <v>912605.2</v>
      </c>
      <c r="E167" s="569"/>
      <c r="F167" s="572"/>
      <c r="G167" s="571"/>
      <c r="H167" s="570"/>
      <c r="I167" s="571"/>
      <c r="J167" s="570"/>
      <c r="K167" s="571"/>
      <c r="L167" s="570"/>
      <c r="M167" s="571"/>
      <c r="N167" s="570"/>
      <c r="O167" s="571"/>
      <c r="P167" s="570"/>
      <c r="Q167" s="569"/>
      <c r="R167" s="659"/>
      <c r="S167" s="660"/>
      <c r="T167" s="659"/>
      <c r="U167" s="660"/>
      <c r="V167" s="659"/>
      <c r="W167" s="660"/>
      <c r="X167" s="659"/>
      <c r="Y167" s="660"/>
      <c r="Z167" s="659"/>
      <c r="AA167" s="660"/>
      <c r="AB167" s="659"/>
      <c r="AC167" s="660"/>
      <c r="AD167" s="659"/>
      <c r="AE167" s="660"/>
      <c r="AF167" s="659"/>
      <c r="AG167" s="660"/>
      <c r="AH167" s="659"/>
      <c r="AI167" s="660"/>
      <c r="AJ167" s="659"/>
      <c r="AK167" s="660"/>
      <c r="AL167" s="659"/>
      <c r="AM167" s="660"/>
      <c r="AN167" s="659"/>
      <c r="AO167" s="660"/>
      <c r="AP167" s="659"/>
      <c r="AQ167" s="660"/>
      <c r="AR167" s="659"/>
      <c r="AS167" s="660"/>
      <c r="AT167" s="659"/>
      <c r="AU167" s="661"/>
      <c r="AV167" s="673"/>
    </row>
    <row r="168" spans="1:48" ht="15" x14ac:dyDescent="0.2">
      <c r="A168" s="567" t="s">
        <v>4838</v>
      </c>
      <c r="B168" s="566" t="s">
        <v>4840</v>
      </c>
      <c r="C168" s="565">
        <f t="shared" si="222"/>
        <v>1.233956576533193E-2</v>
      </c>
      <c r="D168" s="564">
        <f>SUBTOTAL(9,D169:D170)</f>
        <v>319411.82</v>
      </c>
      <c r="E168" s="563"/>
      <c r="F168" s="561"/>
      <c r="G168" s="562"/>
      <c r="H168" s="561"/>
      <c r="I168" s="562"/>
      <c r="J168" s="561"/>
      <c r="K168" s="562"/>
      <c r="L168" s="561"/>
      <c r="M168" s="562"/>
      <c r="N168" s="561"/>
      <c r="O168" s="562"/>
      <c r="P168" s="561"/>
      <c r="Q168" s="560"/>
      <c r="R168" s="640"/>
      <c r="S168" s="641"/>
      <c r="T168" s="640"/>
      <c r="U168" s="641"/>
      <c r="V168" s="640"/>
      <c r="W168" s="641"/>
      <c r="X168" s="640"/>
      <c r="Y168" s="641"/>
      <c r="Z168" s="640"/>
      <c r="AA168" s="641"/>
      <c r="AB168" s="640"/>
      <c r="AC168" s="641"/>
      <c r="AD168" s="640"/>
      <c r="AE168" s="641"/>
      <c r="AF168" s="640"/>
      <c r="AG168" s="641"/>
      <c r="AH168" s="640"/>
      <c r="AI168" s="641"/>
      <c r="AJ168" s="640"/>
      <c r="AK168" s="641"/>
      <c r="AL168" s="640"/>
      <c r="AM168" s="641"/>
      <c r="AN168" s="640"/>
      <c r="AO168" s="641"/>
      <c r="AP168" s="640"/>
      <c r="AQ168" s="641"/>
      <c r="AR168" s="640"/>
      <c r="AS168" s="641"/>
      <c r="AT168" s="640"/>
      <c r="AU168" s="642"/>
      <c r="AV168" s="673"/>
    </row>
    <row r="169" spans="1:48" ht="28.5" outlineLevel="1" x14ac:dyDescent="0.2">
      <c r="A169" s="559" t="s">
        <v>5294</v>
      </c>
      <c r="B169" s="558" t="s">
        <v>4841</v>
      </c>
      <c r="C169" s="557">
        <f t="shared" si="222"/>
        <v>6.169782882665965E-3</v>
      </c>
      <c r="D169" s="556">
        <f>Produtos!$D162</f>
        <v>159705.91</v>
      </c>
      <c r="E169" s="555" t="s">
        <v>5281</v>
      </c>
      <c r="F169" s="690" t="s">
        <v>5292</v>
      </c>
      <c r="G169" s="691"/>
      <c r="H169" s="691"/>
      <c r="I169" s="691"/>
      <c r="J169" s="691"/>
      <c r="K169" s="691"/>
      <c r="L169" s="691"/>
      <c r="M169" s="691"/>
      <c r="N169" s="691"/>
      <c r="O169" s="691"/>
      <c r="P169" s="691"/>
      <c r="Q169" s="692"/>
      <c r="R169" s="662" t="str">
        <f t="shared" ref="R169:AC170" si="263">IF(F169=1,IF($E169=$A$2,ROUND($C$2*F169*$D169,2),IF($E169=$A$3,ROUND($C$3*F169*$D169,2),IF($E169=$A$6,ROUND($C$6*F169*$D169,2),IF($E169=$A$10,ROUND($C$10*F169*$D169,2),"")))),IF(E169=1,IF($E169=$A$3,$D169-Q169,""),""))</f>
        <v/>
      </c>
      <c r="S169" s="663" t="str">
        <f t="shared" si="263"/>
        <v/>
      </c>
      <c r="T169" s="663" t="str">
        <f t="shared" si="263"/>
        <v/>
      </c>
      <c r="U169" s="663" t="str">
        <f t="shared" si="263"/>
        <v/>
      </c>
      <c r="V169" s="663" t="str">
        <f t="shared" si="263"/>
        <v/>
      </c>
      <c r="W169" s="663" t="str">
        <f t="shared" si="263"/>
        <v/>
      </c>
      <c r="X169" s="663" t="str">
        <f t="shared" si="263"/>
        <v/>
      </c>
      <c r="Y169" s="663" t="str">
        <f t="shared" si="263"/>
        <v/>
      </c>
      <c r="Z169" s="663" t="str">
        <f t="shared" si="263"/>
        <v/>
      </c>
      <c r="AA169" s="663" t="str">
        <f t="shared" si="263"/>
        <v/>
      </c>
      <c r="AB169" s="663" t="str">
        <f t="shared" si="263"/>
        <v/>
      </c>
      <c r="AC169" s="663" t="str">
        <f t="shared" si="263"/>
        <v/>
      </c>
      <c r="AD169" s="664" t="str">
        <f>IF(E169=$A$6,ROUND($C$7*$D169,2),"")</f>
        <v/>
      </c>
      <c r="AE169" s="663" t="str">
        <f>IF(F169="B",ROUND($C$7*$D169,2),"")</f>
        <v/>
      </c>
      <c r="AF169" s="665" t="str">
        <f>IF(G169="B",ROUND($C$7*$D169,2),"")</f>
        <v/>
      </c>
      <c r="AG169" s="664">
        <f>ROUND($D169*$C$10,2)</f>
        <v>79852.960000000006</v>
      </c>
      <c r="AH169" s="663"/>
      <c r="AI169" s="663"/>
      <c r="AJ169" s="663"/>
      <c r="AK169" s="665"/>
      <c r="AL169" s="664" t="str">
        <f>IF(E169=$A$6,ROUND($C$8*$D169,2),"")</f>
        <v/>
      </c>
      <c r="AM169" s="663"/>
      <c r="AN169" s="665"/>
      <c r="AO169" s="664"/>
      <c r="AP169" s="663"/>
      <c r="AQ169" s="665"/>
      <c r="AR169" s="663"/>
      <c r="AS169" s="664"/>
      <c r="AT169" s="665"/>
      <c r="AU169" s="666">
        <f>IF($D169-SUM($R169:$AT169)=0,"",$D169-SUM($R169:$AT169))</f>
        <v>79852.95</v>
      </c>
      <c r="AV169" s="673" t="str">
        <f>IF(SUM(R169:AU169)=D169,"","CORRIGIR")</f>
        <v/>
      </c>
    </row>
    <row r="170" spans="1:48" ht="15" outlineLevel="1" x14ac:dyDescent="0.2">
      <c r="A170" s="559" t="s">
        <v>5293</v>
      </c>
      <c r="B170" s="558" t="s">
        <v>4842</v>
      </c>
      <c r="C170" s="557">
        <f t="shared" si="222"/>
        <v>6.169782882665965E-3</v>
      </c>
      <c r="D170" s="556">
        <f>Produtos!$D163</f>
        <v>159705.91</v>
      </c>
      <c r="E170" s="555" t="s">
        <v>5281</v>
      </c>
      <c r="F170" s="690" t="s">
        <v>5292</v>
      </c>
      <c r="G170" s="691"/>
      <c r="H170" s="691"/>
      <c r="I170" s="691"/>
      <c r="J170" s="691"/>
      <c r="K170" s="691"/>
      <c r="L170" s="691"/>
      <c r="M170" s="691"/>
      <c r="N170" s="691"/>
      <c r="O170" s="691"/>
      <c r="P170" s="691"/>
      <c r="Q170" s="692"/>
      <c r="R170" s="658" t="str">
        <f t="shared" si="263"/>
        <v/>
      </c>
      <c r="S170" s="646" t="str">
        <f t="shared" si="263"/>
        <v/>
      </c>
      <c r="T170" s="646" t="str">
        <f t="shared" si="263"/>
        <v/>
      </c>
      <c r="U170" s="646" t="str">
        <f t="shared" si="263"/>
        <v/>
      </c>
      <c r="V170" s="646" t="str">
        <f t="shared" si="263"/>
        <v/>
      </c>
      <c r="W170" s="646" t="str">
        <f t="shared" si="263"/>
        <v/>
      </c>
      <c r="X170" s="646" t="str">
        <f t="shared" si="263"/>
        <v/>
      </c>
      <c r="Y170" s="646" t="str">
        <f t="shared" si="263"/>
        <v/>
      </c>
      <c r="Z170" s="646" t="str">
        <f t="shared" si="263"/>
        <v/>
      </c>
      <c r="AA170" s="646" t="str">
        <f t="shared" si="263"/>
        <v/>
      </c>
      <c r="AB170" s="646" t="str">
        <f t="shared" si="263"/>
        <v/>
      </c>
      <c r="AC170" s="646" t="str">
        <f t="shared" si="263"/>
        <v/>
      </c>
      <c r="AD170" s="645" t="str">
        <f>IF(E170=$A$6,ROUND($C$7*$D170,2),"")</f>
        <v/>
      </c>
      <c r="AE170" s="646" t="str">
        <f>IF(F170="B",ROUND($C$7*$D170,2),"")</f>
        <v/>
      </c>
      <c r="AF170" s="647" t="str">
        <f>IF(G170="B",ROUND($C$7*$D170,2),"")</f>
        <v/>
      </c>
      <c r="AG170" s="645">
        <f>ROUND($D170*$C$10,2)</f>
        <v>79852.960000000006</v>
      </c>
      <c r="AH170" s="646"/>
      <c r="AI170" s="646"/>
      <c r="AJ170" s="646"/>
      <c r="AK170" s="647"/>
      <c r="AL170" s="645" t="str">
        <f>IF(E170=$A$6,ROUND($C$8*$D170,2),"")</f>
        <v/>
      </c>
      <c r="AM170" s="646"/>
      <c r="AN170" s="647"/>
      <c r="AO170" s="645"/>
      <c r="AP170" s="646"/>
      <c r="AQ170" s="647"/>
      <c r="AR170" s="646"/>
      <c r="AS170" s="645"/>
      <c r="AT170" s="647"/>
      <c r="AU170" s="648">
        <f>IF($D170-SUM($R170:$AT170)=0,"",$D170-SUM($R170:$AT170))</f>
        <v>79852.95</v>
      </c>
      <c r="AV170" s="673" t="str">
        <f>IF(SUM(R170:AU170)=D170,"","CORRIGIR")</f>
        <v/>
      </c>
    </row>
    <row r="171" spans="1:48" ht="15" x14ac:dyDescent="0.2">
      <c r="A171" s="567" t="s">
        <v>4839</v>
      </c>
      <c r="B171" s="566" t="s">
        <v>4844</v>
      </c>
      <c r="C171" s="565">
        <f t="shared" si="222"/>
        <v>1.233956576533193E-2</v>
      </c>
      <c r="D171" s="564">
        <f>SUBTOTAL(9,D172)</f>
        <v>319411.82</v>
      </c>
      <c r="E171" s="563"/>
      <c r="F171" s="561"/>
      <c r="G171" s="562"/>
      <c r="H171" s="561"/>
      <c r="I171" s="562"/>
      <c r="J171" s="561"/>
      <c r="K171" s="562"/>
      <c r="L171" s="561"/>
      <c r="M171" s="562"/>
      <c r="N171" s="561"/>
      <c r="O171" s="562"/>
      <c r="P171" s="561"/>
      <c r="Q171" s="560"/>
      <c r="R171" s="640"/>
      <c r="S171" s="641"/>
      <c r="T171" s="640"/>
      <c r="U171" s="641"/>
      <c r="V171" s="640"/>
      <c r="W171" s="641"/>
      <c r="X171" s="640"/>
      <c r="Y171" s="641"/>
      <c r="Z171" s="640"/>
      <c r="AA171" s="641"/>
      <c r="AB171" s="640"/>
      <c r="AC171" s="641"/>
      <c r="AD171" s="640"/>
      <c r="AE171" s="641"/>
      <c r="AF171" s="640"/>
      <c r="AG171" s="641"/>
      <c r="AH171" s="640"/>
      <c r="AI171" s="641"/>
      <c r="AJ171" s="640"/>
      <c r="AK171" s="641"/>
      <c r="AL171" s="640"/>
      <c r="AM171" s="641"/>
      <c r="AN171" s="640"/>
      <c r="AO171" s="641"/>
      <c r="AP171" s="640"/>
      <c r="AQ171" s="641"/>
      <c r="AR171" s="640"/>
      <c r="AS171" s="641"/>
      <c r="AT171" s="640"/>
      <c r="AU171" s="642"/>
      <c r="AV171" s="673"/>
    </row>
    <row r="172" spans="1:48" ht="15" outlineLevel="1" x14ac:dyDescent="0.2">
      <c r="A172" s="559" t="s">
        <v>5291</v>
      </c>
      <c r="B172" s="558" t="s">
        <v>4845</v>
      </c>
      <c r="C172" s="557">
        <f t="shared" si="222"/>
        <v>1.233956576533193E-2</v>
      </c>
      <c r="D172" s="556">
        <f>Produtos!$D165</f>
        <v>319411.82</v>
      </c>
      <c r="E172" s="555" t="s">
        <v>5281</v>
      </c>
      <c r="F172" s="690" t="s">
        <v>5290</v>
      </c>
      <c r="G172" s="691"/>
      <c r="H172" s="691"/>
      <c r="I172" s="691"/>
      <c r="J172" s="691"/>
      <c r="K172" s="691"/>
      <c r="L172" s="691"/>
      <c r="M172" s="691"/>
      <c r="N172" s="691"/>
      <c r="O172" s="691"/>
      <c r="P172" s="691"/>
      <c r="Q172" s="692"/>
      <c r="R172" s="658" t="str">
        <f t="shared" ref="R172:AC172" si="264">IF(F172=1,IF($E172=$A$2,ROUND($C$2*F172*$D172,2),IF($E172=$A$3,ROUND($C$3*F172*$D172,2),IF($E172=$A$6,ROUND($C$6*F172*$D172,2),IF($E172=$A$10,ROUND($C$10*F172*$D172,2),"")))),IF(E172=1,IF($E172=$A$3,$D172-Q172,""),""))</f>
        <v/>
      </c>
      <c r="S172" s="646" t="str">
        <f t="shared" si="264"/>
        <v/>
      </c>
      <c r="T172" s="646" t="str">
        <f t="shared" si="264"/>
        <v/>
      </c>
      <c r="U172" s="646" t="str">
        <f t="shared" si="264"/>
        <v/>
      </c>
      <c r="V172" s="646" t="str">
        <f t="shared" si="264"/>
        <v/>
      </c>
      <c r="W172" s="646" t="str">
        <f t="shared" si="264"/>
        <v/>
      </c>
      <c r="X172" s="646" t="str">
        <f t="shared" si="264"/>
        <v/>
      </c>
      <c r="Y172" s="646" t="str">
        <f t="shared" si="264"/>
        <v/>
      </c>
      <c r="Z172" s="646" t="str">
        <f t="shared" si="264"/>
        <v/>
      </c>
      <c r="AA172" s="646" t="str">
        <f t="shared" si="264"/>
        <v/>
      </c>
      <c r="AB172" s="646" t="str">
        <f t="shared" si="264"/>
        <v/>
      </c>
      <c r="AC172" s="646" t="str">
        <f t="shared" si="264"/>
        <v/>
      </c>
      <c r="AD172" s="645" t="str">
        <f>IF(E172=$A$6,ROUND($C$7*$D172,2),"")</f>
        <v/>
      </c>
      <c r="AE172" s="646" t="str">
        <f>IF(F172="B",ROUND($C$7*$D172,2),"")</f>
        <v/>
      </c>
      <c r="AF172" s="647" t="str">
        <f>IF(G172="B",ROUND($C$7*$D172,2),"")</f>
        <v/>
      </c>
      <c r="AG172" s="645"/>
      <c r="AH172" s="646"/>
      <c r="AI172" s="646"/>
      <c r="AJ172" s="646"/>
      <c r="AK172" s="647"/>
      <c r="AL172" s="645" t="str">
        <f>IF(E172=$A$6,ROUND($C$8*$D172,2),"")</f>
        <v/>
      </c>
      <c r="AM172" s="646"/>
      <c r="AN172" s="647"/>
      <c r="AO172" s="664">
        <f>ROUND($D172*$C$10,2)</f>
        <v>159705.91</v>
      </c>
      <c r="AP172" s="646"/>
      <c r="AQ172" s="647"/>
      <c r="AR172" s="646"/>
      <c r="AS172" s="645"/>
      <c r="AT172" s="647"/>
      <c r="AU172" s="648">
        <f>IF($D172-SUM($R172:$AT172)=0,"",$D172-SUM($R172:$AT172))</f>
        <v>159705.91</v>
      </c>
      <c r="AV172" s="673" t="str">
        <f>IF(SUM(R172:AU172)=D172,"","CORRIGIR")</f>
        <v/>
      </c>
    </row>
    <row r="173" spans="1:48" ht="15" x14ac:dyDescent="0.2">
      <c r="A173" s="567" t="s">
        <v>4843</v>
      </c>
      <c r="B173" s="566" t="s">
        <v>4846</v>
      </c>
      <c r="C173" s="565">
        <f t="shared" si="222"/>
        <v>1.0576770655998796E-2</v>
      </c>
      <c r="D173" s="564">
        <f>SUBTOTAL(9,D174)</f>
        <v>273781.56</v>
      </c>
      <c r="E173" s="563"/>
      <c r="F173" s="561"/>
      <c r="G173" s="562"/>
      <c r="H173" s="561"/>
      <c r="I173" s="562"/>
      <c r="J173" s="561"/>
      <c r="K173" s="562"/>
      <c r="L173" s="561"/>
      <c r="M173" s="562"/>
      <c r="N173" s="561"/>
      <c r="O173" s="562"/>
      <c r="P173" s="561"/>
      <c r="Q173" s="560"/>
      <c r="R173" s="640"/>
      <c r="S173" s="641"/>
      <c r="T173" s="640"/>
      <c r="U173" s="641"/>
      <c r="V173" s="640"/>
      <c r="W173" s="641"/>
      <c r="X173" s="640"/>
      <c r="Y173" s="641"/>
      <c r="Z173" s="640"/>
      <c r="AA173" s="641"/>
      <c r="AB173" s="640"/>
      <c r="AC173" s="641"/>
      <c r="AD173" s="640"/>
      <c r="AE173" s="641"/>
      <c r="AF173" s="640"/>
      <c r="AG173" s="641"/>
      <c r="AH173" s="640"/>
      <c r="AI173" s="641"/>
      <c r="AJ173" s="640"/>
      <c r="AK173" s="641"/>
      <c r="AL173" s="640"/>
      <c r="AM173" s="641"/>
      <c r="AN173" s="640"/>
      <c r="AO173" s="641"/>
      <c r="AP173" s="640"/>
      <c r="AQ173" s="641"/>
      <c r="AR173" s="640"/>
      <c r="AS173" s="641"/>
      <c r="AT173" s="640"/>
      <c r="AU173" s="642"/>
      <c r="AV173" s="673"/>
    </row>
    <row r="174" spans="1:48" ht="15" outlineLevel="1" x14ac:dyDescent="0.2">
      <c r="A174" s="559" t="s">
        <v>5289</v>
      </c>
      <c r="B174" s="558" t="s">
        <v>4847</v>
      </c>
      <c r="C174" s="557">
        <f t="shared" si="222"/>
        <v>1.0576770655998796E-2</v>
      </c>
      <c r="D174" s="556">
        <f>Produtos!$D167</f>
        <v>273781.56</v>
      </c>
      <c r="E174" s="555" t="s">
        <v>5281</v>
      </c>
      <c r="F174" s="690" t="s">
        <v>5288</v>
      </c>
      <c r="G174" s="691"/>
      <c r="H174" s="691"/>
      <c r="I174" s="691"/>
      <c r="J174" s="691"/>
      <c r="K174" s="691"/>
      <c r="L174" s="691"/>
      <c r="M174" s="691"/>
      <c r="N174" s="691"/>
      <c r="O174" s="691"/>
      <c r="P174" s="691"/>
      <c r="Q174" s="692"/>
      <c r="R174" s="658" t="str">
        <f t="shared" ref="R174:AC174" si="265">IF(F174=1,IF($E174=$A$2,ROUND($C$2*F174*$D174,2),IF($E174=$A$3,ROUND($C$3*F174*$D174,2),IF($E174=$A$6,ROUND($C$6*F174*$D174,2),IF($E174=$A$10,ROUND($C$10*F174*$D174,2),"")))),IF(E174=1,IF($E174=$A$3,$D174-Q174,""),""))</f>
        <v/>
      </c>
      <c r="S174" s="646" t="str">
        <f t="shared" si="265"/>
        <v/>
      </c>
      <c r="T174" s="646" t="str">
        <f t="shared" si="265"/>
        <v/>
      </c>
      <c r="U174" s="646" t="str">
        <f t="shared" si="265"/>
        <v/>
      </c>
      <c r="V174" s="646" t="str">
        <f t="shared" si="265"/>
        <v/>
      </c>
      <c r="W174" s="646" t="str">
        <f t="shared" si="265"/>
        <v/>
      </c>
      <c r="X174" s="646" t="str">
        <f t="shared" si="265"/>
        <v/>
      </c>
      <c r="Y174" s="646" t="str">
        <f t="shared" si="265"/>
        <v/>
      </c>
      <c r="Z174" s="646" t="str">
        <f t="shared" si="265"/>
        <v/>
      </c>
      <c r="AA174" s="646" t="str">
        <f t="shared" si="265"/>
        <v/>
      </c>
      <c r="AB174" s="646" t="str">
        <f t="shared" si="265"/>
        <v/>
      </c>
      <c r="AC174" s="646" t="str">
        <f t="shared" si="265"/>
        <v/>
      </c>
      <c r="AD174" s="645" t="str">
        <f>IF(E174=$A$6,ROUND($C$7*$D174,2),"")</f>
        <v/>
      </c>
      <c r="AE174" s="646" t="str">
        <f>IF(F174="B",ROUND($C$7*$D174,2),"")</f>
        <v/>
      </c>
      <c r="AF174" s="647" t="str">
        <f>IF(G174="B",ROUND($C$7*$D174,2),"")</f>
        <v/>
      </c>
      <c r="AG174" s="645"/>
      <c r="AH174" s="646"/>
      <c r="AI174" s="646"/>
      <c r="AJ174" s="646"/>
      <c r="AK174" s="647"/>
      <c r="AL174" s="645" t="str">
        <f>IF(E174=$A$6,ROUND($C$8*$D174,2),"")</f>
        <v/>
      </c>
      <c r="AM174" s="646"/>
      <c r="AN174" s="647"/>
      <c r="AO174" s="645"/>
      <c r="AP174" s="646"/>
      <c r="AQ174" s="647"/>
      <c r="AR174" s="646"/>
      <c r="AS174" s="664">
        <f>ROUND($D174*$C$10,2)</f>
        <v>136890.78</v>
      </c>
      <c r="AT174" s="647"/>
      <c r="AU174" s="648">
        <f>IF($D174-SUM($R174:$AT174)=0,"",$D174-SUM($R174:$AT174))</f>
        <v>136890.78</v>
      </c>
      <c r="AV174" s="673" t="str">
        <f>IF(SUM(R174:AU174)=D174,"","CORRIGIR")</f>
        <v/>
      </c>
    </row>
    <row r="175" spans="1:48" s="568" customFormat="1" ht="15" x14ac:dyDescent="0.2">
      <c r="A175" s="576">
        <v>12</v>
      </c>
      <c r="B175" s="575" t="s">
        <v>4848</v>
      </c>
      <c r="C175" s="574">
        <f t="shared" si="222"/>
        <v>3.3996993180852753E-2</v>
      </c>
      <c r="D175" s="573">
        <f>SUBTOTAL(9,D176:D182)</f>
        <v>880018.12</v>
      </c>
      <c r="E175" s="569"/>
      <c r="F175" s="572"/>
      <c r="G175" s="571"/>
      <c r="H175" s="570"/>
      <c r="I175" s="571"/>
      <c r="J175" s="570"/>
      <c r="K175" s="571"/>
      <c r="L175" s="570"/>
      <c r="M175" s="571"/>
      <c r="N175" s="570"/>
      <c r="O175" s="571"/>
      <c r="P175" s="570"/>
      <c r="Q175" s="569"/>
      <c r="R175" s="659"/>
      <c r="S175" s="660"/>
      <c r="T175" s="659"/>
      <c r="U175" s="660"/>
      <c r="V175" s="659"/>
      <c r="W175" s="660"/>
      <c r="X175" s="659"/>
      <c r="Y175" s="660"/>
      <c r="Z175" s="659"/>
      <c r="AA175" s="660"/>
      <c r="AB175" s="659"/>
      <c r="AC175" s="660"/>
      <c r="AD175" s="659"/>
      <c r="AE175" s="660"/>
      <c r="AF175" s="659"/>
      <c r="AG175" s="660"/>
      <c r="AH175" s="659"/>
      <c r="AI175" s="660"/>
      <c r="AJ175" s="659"/>
      <c r="AK175" s="660"/>
      <c r="AL175" s="659"/>
      <c r="AM175" s="660"/>
      <c r="AN175" s="659"/>
      <c r="AO175" s="660"/>
      <c r="AP175" s="659"/>
      <c r="AQ175" s="660"/>
      <c r="AR175" s="659"/>
      <c r="AS175" s="660"/>
      <c r="AT175" s="659"/>
      <c r="AU175" s="661"/>
      <c r="AV175" s="673"/>
    </row>
    <row r="176" spans="1:48" ht="15" x14ac:dyDescent="0.2">
      <c r="A176" s="567" t="s">
        <v>4849</v>
      </c>
      <c r="B176" s="566" t="s">
        <v>4694</v>
      </c>
      <c r="C176" s="565">
        <f t="shared" si="222"/>
        <v>5.9088648095084564E-5</v>
      </c>
      <c r="D176" s="564">
        <f>SUBTOTAL(9,D177)</f>
        <v>1529.52</v>
      </c>
      <c r="E176" s="563"/>
      <c r="F176" s="561"/>
      <c r="G176" s="562"/>
      <c r="H176" s="561"/>
      <c r="I176" s="562"/>
      <c r="J176" s="561"/>
      <c r="K176" s="562"/>
      <c r="L176" s="561"/>
      <c r="M176" s="562"/>
      <c r="N176" s="561"/>
      <c r="O176" s="562"/>
      <c r="P176" s="561"/>
      <c r="Q176" s="560"/>
      <c r="R176" s="640"/>
      <c r="S176" s="641"/>
      <c r="T176" s="640"/>
      <c r="U176" s="641"/>
      <c r="V176" s="640"/>
      <c r="W176" s="641"/>
      <c r="X176" s="640"/>
      <c r="Y176" s="641"/>
      <c r="Z176" s="640"/>
      <c r="AA176" s="641"/>
      <c r="AB176" s="640"/>
      <c r="AC176" s="641"/>
      <c r="AD176" s="640"/>
      <c r="AE176" s="641"/>
      <c r="AF176" s="640"/>
      <c r="AG176" s="641"/>
      <c r="AH176" s="640"/>
      <c r="AI176" s="641"/>
      <c r="AJ176" s="640"/>
      <c r="AK176" s="641"/>
      <c r="AL176" s="640"/>
      <c r="AM176" s="641"/>
      <c r="AN176" s="640"/>
      <c r="AO176" s="641"/>
      <c r="AP176" s="640"/>
      <c r="AQ176" s="641"/>
      <c r="AR176" s="640"/>
      <c r="AS176" s="641"/>
      <c r="AT176" s="640"/>
      <c r="AU176" s="642"/>
      <c r="AV176" s="673"/>
    </row>
    <row r="177" spans="1:48" ht="15" outlineLevel="1" x14ac:dyDescent="0.2">
      <c r="A177" s="559" t="s">
        <v>5287</v>
      </c>
      <c r="B177" s="558" t="s">
        <v>4828</v>
      </c>
      <c r="C177" s="557">
        <f t="shared" si="222"/>
        <v>5.9088648095084564E-5</v>
      </c>
      <c r="D177" s="556">
        <f>Produtos!$D170</f>
        <v>1529.52</v>
      </c>
      <c r="E177" s="555" t="s">
        <v>5286</v>
      </c>
      <c r="F177" s="690" t="s">
        <v>5280</v>
      </c>
      <c r="G177" s="691"/>
      <c r="H177" s="691"/>
      <c r="I177" s="691"/>
      <c r="J177" s="691"/>
      <c r="K177" s="691"/>
      <c r="L177" s="691"/>
      <c r="M177" s="691"/>
      <c r="N177" s="691"/>
      <c r="O177" s="691"/>
      <c r="P177" s="691"/>
      <c r="Q177" s="692"/>
      <c r="R177" s="658" t="str">
        <f t="shared" ref="R177:AC177" si="266">IF(F177=1,IF($E177=$A$2,ROUND($C$2*F177*$D177,2),IF($E177=$A$3,ROUND($C$3*F177*$D177,2),IF($E177=$A$6,ROUND($C$6*F177*$D177,2),IF($E177=$A$10,ROUND($C$10*F177*$D177,2),"")))),IF(E177=1,IF($E177=$A$3,$D177-Q177,""),""))</f>
        <v/>
      </c>
      <c r="S177" s="646" t="str">
        <f t="shared" si="266"/>
        <v/>
      </c>
      <c r="T177" s="646" t="str">
        <f t="shared" si="266"/>
        <v/>
      </c>
      <c r="U177" s="646" t="str">
        <f t="shared" si="266"/>
        <v/>
      </c>
      <c r="V177" s="646" t="str">
        <f t="shared" si="266"/>
        <v/>
      </c>
      <c r="W177" s="646" t="str">
        <f t="shared" si="266"/>
        <v/>
      </c>
      <c r="X177" s="646" t="str">
        <f t="shared" si="266"/>
        <v/>
      </c>
      <c r="Y177" s="646" t="str">
        <f t="shared" si="266"/>
        <v/>
      </c>
      <c r="Z177" s="646" t="str">
        <f t="shared" si="266"/>
        <v/>
      </c>
      <c r="AA177" s="646" t="str">
        <f t="shared" si="266"/>
        <v/>
      </c>
      <c r="AB177" s="646" t="str">
        <f t="shared" si="266"/>
        <v/>
      </c>
      <c r="AC177" s="646" t="str">
        <f t="shared" si="266"/>
        <v/>
      </c>
      <c r="AD177" s="645">
        <f>D177</f>
        <v>1529.52</v>
      </c>
      <c r="AE177" s="646" t="str">
        <f>IF(F177="B",ROUND($C$7*$D177,2),"")</f>
        <v/>
      </c>
      <c r="AF177" s="647" t="str">
        <f>IF(G177="B",ROUND($C$7*$D177,2),"")</f>
        <v/>
      </c>
      <c r="AG177" s="646"/>
      <c r="AH177" s="646"/>
      <c r="AI177" s="646"/>
      <c r="AJ177" s="646"/>
      <c r="AK177" s="647"/>
      <c r="AL177" s="645" t="str">
        <f>IF(E177=$A$6,ROUND($C$8*$D177,2),"")</f>
        <v/>
      </c>
      <c r="AM177" s="646"/>
      <c r="AN177" s="647"/>
      <c r="AO177" s="645"/>
      <c r="AP177" s="646"/>
      <c r="AQ177" s="647"/>
      <c r="AR177" s="646"/>
      <c r="AS177" s="645"/>
      <c r="AT177" s="647"/>
      <c r="AU177" s="648" t="str">
        <f>IF($D177-SUM($R177:$AT177)=0,"",$D177-SUM($R177:$AT177))</f>
        <v/>
      </c>
      <c r="AV177" s="673" t="str">
        <f>IF(SUM(R177:AU177)=D177,"","CORRIGIR")</f>
        <v/>
      </c>
    </row>
    <row r="178" spans="1:48" ht="15" x14ac:dyDescent="0.2">
      <c r="A178" s="567" t="s">
        <v>4850</v>
      </c>
      <c r="B178" s="566" t="s">
        <v>5284</v>
      </c>
      <c r="C178" s="565">
        <f t="shared" si="222"/>
        <v>1.8148612049603028E-2</v>
      </c>
      <c r="D178" s="564">
        <f>SUBTOTAL(9,D179)</f>
        <v>469780</v>
      </c>
      <c r="E178" s="563"/>
      <c r="F178" s="561"/>
      <c r="G178" s="562"/>
      <c r="H178" s="561"/>
      <c r="I178" s="562"/>
      <c r="J178" s="561"/>
      <c r="K178" s="562"/>
      <c r="L178" s="561"/>
      <c r="M178" s="562"/>
      <c r="N178" s="561"/>
      <c r="O178" s="562"/>
      <c r="P178" s="561"/>
      <c r="Q178" s="560"/>
      <c r="R178" s="640"/>
      <c r="S178" s="641"/>
      <c r="T178" s="640"/>
      <c r="U178" s="641"/>
      <c r="V178" s="640"/>
      <c r="W178" s="641"/>
      <c r="X178" s="640"/>
      <c r="Y178" s="641"/>
      <c r="Z178" s="640"/>
      <c r="AA178" s="641"/>
      <c r="AB178" s="640"/>
      <c r="AC178" s="641"/>
      <c r="AD178" s="640"/>
      <c r="AE178" s="641"/>
      <c r="AF178" s="640"/>
      <c r="AG178" s="641"/>
      <c r="AH178" s="640"/>
      <c r="AI178" s="641"/>
      <c r="AJ178" s="640"/>
      <c r="AK178" s="641"/>
      <c r="AL178" s="640"/>
      <c r="AM178" s="641"/>
      <c r="AN178" s="640"/>
      <c r="AO178" s="641"/>
      <c r="AP178" s="640"/>
      <c r="AQ178" s="641"/>
      <c r="AR178" s="640"/>
      <c r="AS178" s="641"/>
      <c r="AT178" s="640"/>
      <c r="AU178" s="642"/>
      <c r="AV178" s="673"/>
    </row>
    <row r="179" spans="1:48" ht="15" outlineLevel="1" x14ac:dyDescent="0.2">
      <c r="A179" s="559" t="s">
        <v>5285</v>
      </c>
      <c r="B179" s="558" t="s">
        <v>5284</v>
      </c>
      <c r="C179" s="557">
        <f t="shared" si="222"/>
        <v>1.8148612049603028E-2</v>
      </c>
      <c r="D179" s="556">
        <f>Produtos!$D172</f>
        <v>469780</v>
      </c>
      <c r="E179" s="555" t="s">
        <v>5281</v>
      </c>
      <c r="F179" s="690" t="s">
        <v>5280</v>
      </c>
      <c r="G179" s="691"/>
      <c r="H179" s="691"/>
      <c r="I179" s="691"/>
      <c r="J179" s="691"/>
      <c r="K179" s="691"/>
      <c r="L179" s="691"/>
      <c r="M179" s="691"/>
      <c r="N179" s="691"/>
      <c r="O179" s="691"/>
      <c r="P179" s="691"/>
      <c r="Q179" s="692"/>
      <c r="R179" s="658" t="str">
        <f t="shared" ref="R179:AC179" si="267">IF(F179=1,IF($E179=$A$2,ROUND($C$2*F179*$D179,2),IF($E179=$A$3,ROUND($C$3*F179*$D179,2),IF($E179=$A$6,ROUND($C$6*F179*$D179,2),IF($E179=$A$10,ROUND($C$10*F179*$D179,2),"")))),IF(E179=1,IF($E179=$A$3,$D179-Q179,""),""))</f>
        <v/>
      </c>
      <c r="S179" s="646" t="str">
        <f t="shared" si="267"/>
        <v/>
      </c>
      <c r="T179" s="646" t="str">
        <f t="shared" si="267"/>
        <v/>
      </c>
      <c r="U179" s="646" t="str">
        <f t="shared" si="267"/>
        <v/>
      </c>
      <c r="V179" s="646" t="str">
        <f t="shared" si="267"/>
        <v/>
      </c>
      <c r="W179" s="646" t="str">
        <f t="shared" si="267"/>
        <v/>
      </c>
      <c r="X179" s="646" t="str">
        <f t="shared" si="267"/>
        <v/>
      </c>
      <c r="Y179" s="646" t="str">
        <f t="shared" si="267"/>
        <v/>
      </c>
      <c r="Z179" s="646" t="str">
        <f t="shared" si="267"/>
        <v/>
      </c>
      <c r="AA179" s="646" t="str">
        <f t="shared" si="267"/>
        <v/>
      </c>
      <c r="AB179" s="646" t="str">
        <f t="shared" si="267"/>
        <v/>
      </c>
      <c r="AC179" s="646" t="str">
        <f t="shared" si="267"/>
        <v/>
      </c>
      <c r="AD179" s="645" t="str">
        <f>IF(E179=$A$6,ROUND($C$7*$D179,2),"")</f>
        <v/>
      </c>
      <c r="AE179" s="646" t="str">
        <f>IF(F179="B",ROUND($C$7*$D179,2),"")</f>
        <v/>
      </c>
      <c r="AF179" s="647" t="str">
        <f>IF(G179="B",ROUND($C$7*$D179,2),"")</f>
        <v/>
      </c>
      <c r="AG179" s="645">
        <f>50%*D179</f>
        <v>234890</v>
      </c>
      <c r="AH179" s="646"/>
      <c r="AI179" s="646"/>
      <c r="AJ179" s="646"/>
      <c r="AK179" s="647"/>
      <c r="AL179" s="645" t="str">
        <f>IF(E179=$A$6,ROUND($C$8*$D179,2),"")</f>
        <v/>
      </c>
      <c r="AM179" s="646"/>
      <c r="AN179" s="647"/>
      <c r="AO179" s="645"/>
      <c r="AP179" s="646"/>
      <c r="AQ179" s="647"/>
      <c r="AR179" s="646"/>
      <c r="AS179" s="645"/>
      <c r="AT179" s="647"/>
      <c r="AU179" s="648">
        <f>IF($D179-SUM($R179:$AT179)=0,"",$D179-SUM($R179:$AT179))</f>
        <v>234890</v>
      </c>
      <c r="AV179" s="673" t="str">
        <f>IF(SUM(R179:AU179)=D179,"","CORRIGIR")</f>
        <v/>
      </c>
    </row>
    <row r="180" spans="1:48" ht="15" x14ac:dyDescent="0.2">
      <c r="A180" s="567" t="s">
        <v>4868</v>
      </c>
      <c r="B180" s="566" t="s">
        <v>4869</v>
      </c>
      <c r="C180" s="565">
        <f t="shared" si="222"/>
        <v>1.5789292483154634E-2</v>
      </c>
      <c r="D180" s="564">
        <f>SUBTOTAL(9,D181:D182)</f>
        <v>408708.6</v>
      </c>
      <c r="E180" s="563"/>
      <c r="F180" s="561"/>
      <c r="G180" s="562"/>
      <c r="H180" s="561"/>
      <c r="I180" s="562"/>
      <c r="J180" s="561"/>
      <c r="K180" s="562"/>
      <c r="L180" s="561"/>
      <c r="M180" s="562"/>
      <c r="N180" s="561"/>
      <c r="O180" s="562"/>
      <c r="P180" s="561"/>
      <c r="Q180" s="560"/>
      <c r="R180" s="640"/>
      <c r="S180" s="641"/>
      <c r="T180" s="640"/>
      <c r="U180" s="641"/>
      <c r="V180" s="640"/>
      <c r="W180" s="641"/>
      <c r="X180" s="640"/>
      <c r="Y180" s="641"/>
      <c r="Z180" s="640"/>
      <c r="AA180" s="641"/>
      <c r="AB180" s="640"/>
      <c r="AC180" s="641"/>
      <c r="AD180" s="640"/>
      <c r="AE180" s="641"/>
      <c r="AF180" s="640"/>
      <c r="AG180" s="641"/>
      <c r="AH180" s="640"/>
      <c r="AI180" s="641"/>
      <c r="AJ180" s="640"/>
      <c r="AK180" s="641"/>
      <c r="AL180" s="640"/>
      <c r="AM180" s="641"/>
      <c r="AN180" s="640"/>
      <c r="AO180" s="641"/>
      <c r="AP180" s="640"/>
      <c r="AQ180" s="641"/>
      <c r="AR180" s="640"/>
      <c r="AS180" s="641"/>
      <c r="AT180" s="640"/>
      <c r="AU180" s="642"/>
      <c r="AV180" s="673"/>
    </row>
    <row r="181" spans="1:48" ht="15" outlineLevel="1" x14ac:dyDescent="0.2">
      <c r="A181" s="559" t="s">
        <v>5283</v>
      </c>
      <c r="B181" s="558" t="s">
        <v>4870</v>
      </c>
      <c r="C181" s="557">
        <f t="shared" si="222"/>
        <v>3.1578584966309273E-3</v>
      </c>
      <c r="D181" s="556">
        <f>Produtos!$D174</f>
        <v>81741.72</v>
      </c>
      <c r="E181" s="555" t="s">
        <v>5281</v>
      </c>
      <c r="F181" s="690" t="s">
        <v>5280</v>
      </c>
      <c r="G181" s="691"/>
      <c r="H181" s="691"/>
      <c r="I181" s="691"/>
      <c r="J181" s="691"/>
      <c r="K181" s="691"/>
      <c r="L181" s="691"/>
      <c r="M181" s="691"/>
      <c r="N181" s="691"/>
      <c r="O181" s="691"/>
      <c r="P181" s="691"/>
      <c r="Q181" s="692"/>
      <c r="R181" s="658" t="str">
        <f t="shared" ref="R181:AC182" si="268">IF(F181=1,IF($E181=$A$2,ROUND($C$2*F181*$D181,2),IF($E181=$A$3,ROUND($C$3*F181*$D181,2),IF($E181=$A$6,ROUND($C$6*F181*$D181,2),IF($E181=$A$10,ROUND($C$10*F181*$D181,2),"")))),IF(E181=1,IF($E181=$A$3,$D181-Q181,""),""))</f>
        <v/>
      </c>
      <c r="S181" s="646" t="str">
        <f t="shared" si="268"/>
        <v/>
      </c>
      <c r="T181" s="646" t="str">
        <f t="shared" si="268"/>
        <v/>
      </c>
      <c r="U181" s="646" t="str">
        <f t="shared" si="268"/>
        <v/>
      </c>
      <c r="V181" s="646" t="str">
        <f t="shared" si="268"/>
        <v/>
      </c>
      <c r="W181" s="646" t="str">
        <f t="shared" si="268"/>
        <v/>
      </c>
      <c r="X181" s="646" t="str">
        <f t="shared" si="268"/>
        <v/>
      </c>
      <c r="Y181" s="646" t="str">
        <f t="shared" si="268"/>
        <v/>
      </c>
      <c r="Z181" s="646" t="str">
        <f t="shared" si="268"/>
        <v/>
      </c>
      <c r="AA181" s="646" t="str">
        <f t="shared" si="268"/>
        <v/>
      </c>
      <c r="AB181" s="646" t="str">
        <f t="shared" si="268"/>
        <v/>
      </c>
      <c r="AC181" s="646" t="str">
        <f t="shared" si="268"/>
        <v/>
      </c>
      <c r="AD181" s="645" t="str">
        <f>IF(E181=$A$6,ROUND($C$7*$D181,2),"")</f>
        <v/>
      </c>
      <c r="AE181" s="646" t="str">
        <f>IF(F181="B",ROUND($C$7*$D181,2),"")</f>
        <v/>
      </c>
      <c r="AF181" s="647" t="str">
        <f>IF(G181="B",ROUND($C$7*$D181,2),"")</f>
        <v/>
      </c>
      <c r="AG181" s="645">
        <f>50%*D181</f>
        <v>40870.86</v>
      </c>
      <c r="AH181" s="646"/>
      <c r="AI181" s="646"/>
      <c r="AJ181" s="646"/>
      <c r="AK181" s="647"/>
      <c r="AL181" s="645" t="str">
        <f>IF(E181=$A$6,ROUND($C$8*$D181,2),"")</f>
        <v/>
      </c>
      <c r="AM181" s="646"/>
      <c r="AN181" s="647"/>
      <c r="AO181" s="645"/>
      <c r="AP181" s="646"/>
      <c r="AQ181" s="647"/>
      <c r="AR181" s="646"/>
      <c r="AS181" s="645"/>
      <c r="AT181" s="647"/>
      <c r="AU181" s="648">
        <f>IF($D181-SUM($R181:$AT181)=0,"",$D181-SUM($R181:$AT181))</f>
        <v>40870.86</v>
      </c>
      <c r="AV181" s="673" t="str">
        <f>IF(SUM(R181:AU181)=D181,"","CORRIGIR")</f>
        <v/>
      </c>
    </row>
    <row r="182" spans="1:48" ht="15.75" outlineLevel="1" thickBot="1" x14ac:dyDescent="0.25">
      <c r="A182" s="554" t="s">
        <v>5282</v>
      </c>
      <c r="B182" s="553" t="s">
        <v>4871</v>
      </c>
      <c r="C182" s="552">
        <f t="shared" si="222"/>
        <v>1.2631433986523709E-2</v>
      </c>
      <c r="D182" s="551">
        <f>Produtos!$D175</f>
        <v>326966.88</v>
      </c>
      <c r="E182" s="550" t="s">
        <v>5281</v>
      </c>
      <c r="F182" s="693" t="s">
        <v>5280</v>
      </c>
      <c r="G182" s="694"/>
      <c r="H182" s="694"/>
      <c r="I182" s="694"/>
      <c r="J182" s="694"/>
      <c r="K182" s="694"/>
      <c r="L182" s="694"/>
      <c r="M182" s="694"/>
      <c r="N182" s="694"/>
      <c r="O182" s="694"/>
      <c r="P182" s="694"/>
      <c r="Q182" s="695"/>
      <c r="R182" s="667" t="str">
        <f t="shared" si="268"/>
        <v/>
      </c>
      <c r="S182" s="668" t="str">
        <f t="shared" si="268"/>
        <v/>
      </c>
      <c r="T182" s="668" t="str">
        <f t="shared" si="268"/>
        <v/>
      </c>
      <c r="U182" s="668" t="str">
        <f t="shared" si="268"/>
        <v/>
      </c>
      <c r="V182" s="668" t="str">
        <f t="shared" si="268"/>
        <v/>
      </c>
      <c r="W182" s="668" t="str">
        <f t="shared" si="268"/>
        <v/>
      </c>
      <c r="X182" s="668" t="str">
        <f t="shared" si="268"/>
        <v/>
      </c>
      <c r="Y182" s="668" t="str">
        <f t="shared" si="268"/>
        <v/>
      </c>
      <c r="Z182" s="668" t="str">
        <f t="shared" si="268"/>
        <v/>
      </c>
      <c r="AA182" s="668" t="str">
        <f t="shared" si="268"/>
        <v/>
      </c>
      <c r="AB182" s="668" t="str">
        <f t="shared" si="268"/>
        <v/>
      </c>
      <c r="AC182" s="668" t="str">
        <f t="shared" si="268"/>
        <v/>
      </c>
      <c r="AD182" s="669" t="str">
        <f>IF(E182=$A$6,ROUND($C$7*$D182,2),"")</f>
        <v/>
      </c>
      <c r="AE182" s="668" t="str">
        <f>IF(F182="B",ROUND($C$7*$D182,2),"")</f>
        <v/>
      </c>
      <c r="AF182" s="670" t="str">
        <f>IF(G182="B",ROUND($C$7*$D182,2),"")</f>
        <v/>
      </c>
      <c r="AG182" s="669">
        <f>50%*D182</f>
        <v>163483.44</v>
      </c>
      <c r="AH182" s="668"/>
      <c r="AI182" s="668"/>
      <c r="AJ182" s="668"/>
      <c r="AK182" s="670"/>
      <c r="AL182" s="669" t="str">
        <f>IF(E182=$A$6,ROUND($C$8*$D182,2),"")</f>
        <v/>
      </c>
      <c r="AM182" s="668"/>
      <c r="AN182" s="670"/>
      <c r="AO182" s="669"/>
      <c r="AP182" s="668"/>
      <c r="AQ182" s="670"/>
      <c r="AR182" s="668"/>
      <c r="AS182" s="669"/>
      <c r="AT182" s="670"/>
      <c r="AU182" s="671">
        <f>IF($D182-SUM($R182:$AT182)=0,"",$D182-SUM($R182:$AT182))</f>
        <v>163483.44</v>
      </c>
      <c r="AV182" s="673" t="str">
        <f>IF(SUM(R182:AU182)=D182,"","CORRIGIR")</f>
        <v/>
      </c>
    </row>
    <row r="183" spans="1:48" ht="14.25" x14ac:dyDescent="0.2">
      <c r="A183" s="549"/>
      <c r="B183" s="548"/>
      <c r="C183" s="548"/>
      <c r="D183" s="548"/>
      <c r="E183" s="548"/>
      <c r="F183" s="547"/>
      <c r="G183" s="547"/>
      <c r="H183" s="547"/>
      <c r="I183" s="547"/>
      <c r="J183" s="547"/>
      <c r="K183" s="547"/>
      <c r="L183" s="547"/>
      <c r="M183" s="547"/>
      <c r="N183" s="547"/>
      <c r="O183" s="547"/>
      <c r="P183" s="547"/>
      <c r="Q183" s="547"/>
      <c r="R183" s="547"/>
      <c r="S183" s="547"/>
      <c r="T183" s="547"/>
      <c r="U183" s="547"/>
      <c r="V183" s="547"/>
      <c r="W183" s="547"/>
      <c r="X183" s="547"/>
      <c r="Y183" s="547"/>
      <c r="Z183" s="547"/>
      <c r="AA183" s="547"/>
      <c r="AB183" s="547"/>
      <c r="AC183" s="547"/>
      <c r="AD183" s="547"/>
      <c r="AE183" s="547"/>
      <c r="AF183" s="547"/>
      <c r="AG183" s="547"/>
      <c r="AH183" s="547"/>
      <c r="AI183" s="547"/>
      <c r="AJ183" s="547"/>
      <c r="AK183" s="547"/>
      <c r="AL183" s="547"/>
      <c r="AM183" s="547"/>
      <c r="AN183" s="547"/>
      <c r="AO183" s="547"/>
      <c r="AP183" s="547"/>
      <c r="AQ183" s="547"/>
      <c r="AR183" s="547"/>
      <c r="AS183" s="547"/>
      <c r="AT183" s="547"/>
      <c r="AU183" s="547"/>
    </row>
  </sheetData>
  <mergeCells count="20">
    <mergeCell ref="F177:Q177"/>
    <mergeCell ref="F182:Q182"/>
    <mergeCell ref="F14:Q14"/>
    <mergeCell ref="F172:Q172"/>
    <mergeCell ref="F174:Q174"/>
    <mergeCell ref="F170:Q170"/>
    <mergeCell ref="F179:Q179"/>
    <mergeCell ref="F181:Q181"/>
    <mergeCell ref="F169:Q169"/>
    <mergeCell ref="A3:A5"/>
    <mergeCell ref="A6:A9"/>
    <mergeCell ref="R13:AU13"/>
    <mergeCell ref="AO14:AQ14"/>
    <mergeCell ref="A10:A11"/>
    <mergeCell ref="AD14:AF14"/>
    <mergeCell ref="N7:Q7"/>
    <mergeCell ref="AS14:AT14"/>
    <mergeCell ref="AL14:AN14"/>
    <mergeCell ref="R14:AC14"/>
    <mergeCell ref="AG14:AK14"/>
  </mergeCells>
  <conditionalFormatting sqref="F18:Q24">
    <cfRule type="cellIs" dxfId="186" priority="123" operator="equal">
      <formula>1</formula>
    </cfRule>
    <cfRule type="cellIs" dxfId="185" priority="124" operator="equal">
      <formula>"x"</formula>
    </cfRule>
  </conditionalFormatting>
  <conditionalFormatting sqref="F26:Q28">
    <cfRule type="cellIs" dxfId="184" priority="121" operator="equal">
      <formula>1</formula>
    </cfRule>
    <cfRule type="cellIs" dxfId="183" priority="122" operator="equal">
      <formula>"x"</formula>
    </cfRule>
  </conditionalFormatting>
  <conditionalFormatting sqref="F30:Q32">
    <cfRule type="cellIs" dxfId="182" priority="119" operator="equal">
      <formula>1</formula>
    </cfRule>
    <cfRule type="cellIs" dxfId="181" priority="120" operator="equal">
      <formula>"x"</formula>
    </cfRule>
  </conditionalFormatting>
  <conditionalFormatting sqref="F34:Q38">
    <cfRule type="cellIs" dxfId="180" priority="117" operator="equal">
      <formula>1</formula>
    </cfRule>
    <cfRule type="cellIs" dxfId="179" priority="118" operator="equal">
      <formula>"x"</formula>
    </cfRule>
  </conditionalFormatting>
  <conditionalFormatting sqref="F41:Q48">
    <cfRule type="cellIs" dxfId="178" priority="115" operator="equal">
      <formula>1</formula>
    </cfRule>
    <cfRule type="cellIs" dxfId="177" priority="116" operator="equal">
      <formula>"x"</formula>
    </cfRule>
  </conditionalFormatting>
  <conditionalFormatting sqref="F50:Q50">
    <cfRule type="cellIs" dxfId="176" priority="113" operator="equal">
      <formula>1</formula>
    </cfRule>
    <cfRule type="cellIs" dxfId="175" priority="114" operator="equal">
      <formula>"x"</formula>
    </cfRule>
  </conditionalFormatting>
  <conditionalFormatting sqref="H52:Q52 I53:Q54">
    <cfRule type="cellIs" dxfId="174" priority="111" operator="equal">
      <formula>1</formula>
    </cfRule>
    <cfRule type="cellIs" dxfId="173" priority="112" operator="equal">
      <formula>"x"</formula>
    </cfRule>
  </conditionalFormatting>
  <conditionalFormatting sqref="H56:Q56 I57:Q58">
    <cfRule type="cellIs" dxfId="172" priority="109" operator="equal">
      <formula>1</formula>
    </cfRule>
    <cfRule type="cellIs" dxfId="171" priority="110" operator="equal">
      <formula>"x"</formula>
    </cfRule>
  </conditionalFormatting>
  <conditionalFormatting sqref="H60:Q60">
    <cfRule type="cellIs" dxfId="170" priority="107" operator="equal">
      <formula>1</formula>
    </cfRule>
    <cfRule type="cellIs" dxfId="169" priority="108" operator="equal">
      <formula>"x"</formula>
    </cfRule>
  </conditionalFormatting>
  <conditionalFormatting sqref="H62:Q62 I63:Q65">
    <cfRule type="cellIs" dxfId="168" priority="105" operator="equal">
      <formula>1</formula>
    </cfRule>
    <cfRule type="cellIs" dxfId="167" priority="106" operator="equal">
      <formula>"x"</formula>
    </cfRule>
  </conditionalFormatting>
  <conditionalFormatting sqref="H67:Q67 I68:Q68">
    <cfRule type="cellIs" dxfId="166" priority="103" operator="equal">
      <formula>1</formula>
    </cfRule>
    <cfRule type="cellIs" dxfId="165" priority="104" operator="equal">
      <formula>"x"</formula>
    </cfRule>
  </conditionalFormatting>
  <conditionalFormatting sqref="H70:Q70 I71:Q71">
    <cfRule type="cellIs" dxfId="164" priority="101" operator="equal">
      <formula>1</formula>
    </cfRule>
    <cfRule type="cellIs" dxfId="163" priority="102" operator="equal">
      <formula>"x"</formula>
    </cfRule>
  </conditionalFormatting>
  <conditionalFormatting sqref="I73:Q73">
    <cfRule type="cellIs" dxfId="162" priority="99" operator="equal">
      <formula>1</formula>
    </cfRule>
    <cfRule type="cellIs" dxfId="161" priority="100" operator="equal">
      <formula>"x"</formula>
    </cfRule>
  </conditionalFormatting>
  <conditionalFormatting sqref="I75:Q75">
    <cfRule type="cellIs" dxfId="160" priority="97" operator="equal">
      <formula>1</formula>
    </cfRule>
    <cfRule type="cellIs" dxfId="159" priority="98" operator="equal">
      <formula>"x"</formula>
    </cfRule>
  </conditionalFormatting>
  <conditionalFormatting sqref="I77:Q78">
    <cfRule type="cellIs" dxfId="158" priority="95" operator="equal">
      <formula>1</formula>
    </cfRule>
    <cfRule type="cellIs" dxfId="157" priority="96" operator="equal">
      <formula>"x"</formula>
    </cfRule>
  </conditionalFormatting>
  <conditionalFormatting sqref="G81:Q81">
    <cfRule type="cellIs" dxfId="156" priority="93" operator="equal">
      <formula>1</formula>
    </cfRule>
    <cfRule type="cellIs" dxfId="155" priority="94" operator="equal">
      <formula>"x"</formula>
    </cfRule>
  </conditionalFormatting>
  <conditionalFormatting sqref="F83:Q84">
    <cfRule type="cellIs" dxfId="154" priority="91" operator="equal">
      <formula>1</formula>
    </cfRule>
    <cfRule type="cellIs" dxfId="153" priority="92" operator="equal">
      <formula>"x"</formula>
    </cfRule>
  </conditionalFormatting>
  <conditionalFormatting sqref="F81">
    <cfRule type="cellIs" dxfId="152" priority="89" operator="equal">
      <formula>1</formula>
    </cfRule>
    <cfRule type="cellIs" dxfId="151" priority="90" operator="equal">
      <formula>"x"</formula>
    </cfRule>
  </conditionalFormatting>
  <conditionalFormatting sqref="F77:H78">
    <cfRule type="cellIs" dxfId="150" priority="87" operator="equal">
      <formula>1</formula>
    </cfRule>
    <cfRule type="cellIs" dxfId="149" priority="88" operator="equal">
      <formula>"x"</formula>
    </cfRule>
  </conditionalFormatting>
  <conditionalFormatting sqref="F75:H75">
    <cfRule type="cellIs" dxfId="148" priority="85" operator="equal">
      <formula>1</formula>
    </cfRule>
    <cfRule type="cellIs" dxfId="147" priority="86" operator="equal">
      <formula>"x"</formula>
    </cfRule>
  </conditionalFormatting>
  <conditionalFormatting sqref="F73:H73">
    <cfRule type="cellIs" dxfId="146" priority="83" operator="equal">
      <formula>1</formula>
    </cfRule>
    <cfRule type="cellIs" dxfId="145" priority="84" operator="equal">
      <formula>"x"</formula>
    </cfRule>
  </conditionalFormatting>
  <conditionalFormatting sqref="F70:G71">
    <cfRule type="cellIs" dxfId="144" priority="81" operator="equal">
      <formula>1</formula>
    </cfRule>
    <cfRule type="cellIs" dxfId="143" priority="82" operator="equal">
      <formula>"x"</formula>
    </cfRule>
  </conditionalFormatting>
  <conditionalFormatting sqref="H71">
    <cfRule type="cellIs" dxfId="142" priority="79" operator="equal">
      <formula>1</formula>
    </cfRule>
    <cfRule type="cellIs" dxfId="141" priority="80" operator="equal">
      <formula>"x"</formula>
    </cfRule>
  </conditionalFormatting>
  <conditionalFormatting sqref="F68:H68">
    <cfRule type="cellIs" dxfId="140" priority="77" operator="equal">
      <formula>1</formula>
    </cfRule>
    <cfRule type="cellIs" dxfId="139" priority="78" operator="equal">
      <formula>"x"</formula>
    </cfRule>
  </conditionalFormatting>
  <conditionalFormatting sqref="F67:G67">
    <cfRule type="cellIs" dxfId="138" priority="75" operator="equal">
      <formula>1</formula>
    </cfRule>
    <cfRule type="cellIs" dxfId="137" priority="76" operator="equal">
      <formula>"x"</formula>
    </cfRule>
  </conditionalFormatting>
  <conditionalFormatting sqref="F63:H65">
    <cfRule type="cellIs" dxfId="136" priority="73" operator="equal">
      <formula>1</formula>
    </cfRule>
    <cfRule type="cellIs" dxfId="135" priority="74" operator="equal">
      <formula>"x"</formula>
    </cfRule>
  </conditionalFormatting>
  <conditionalFormatting sqref="F62:G62">
    <cfRule type="cellIs" dxfId="134" priority="71" operator="equal">
      <formula>1</formula>
    </cfRule>
    <cfRule type="cellIs" dxfId="133" priority="72" operator="equal">
      <formula>"x"</formula>
    </cfRule>
  </conditionalFormatting>
  <conditionalFormatting sqref="F60:G60">
    <cfRule type="cellIs" dxfId="132" priority="69" operator="equal">
      <formula>1</formula>
    </cfRule>
    <cfRule type="cellIs" dxfId="131" priority="70" operator="equal">
      <formula>"x"</formula>
    </cfRule>
  </conditionalFormatting>
  <conditionalFormatting sqref="F56:G58">
    <cfRule type="cellIs" dxfId="130" priority="67" operator="equal">
      <formula>1</formula>
    </cfRule>
    <cfRule type="cellIs" dxfId="129" priority="68" operator="equal">
      <formula>"x"</formula>
    </cfRule>
  </conditionalFormatting>
  <conditionalFormatting sqref="H57:H58">
    <cfRule type="cellIs" dxfId="128" priority="65" operator="equal">
      <formula>1</formula>
    </cfRule>
    <cfRule type="cellIs" dxfId="127" priority="66" operator="equal">
      <formula>"x"</formula>
    </cfRule>
  </conditionalFormatting>
  <conditionalFormatting sqref="F53:H54">
    <cfRule type="cellIs" dxfId="126" priority="63" operator="equal">
      <formula>1</formula>
    </cfRule>
    <cfRule type="cellIs" dxfId="125" priority="64" operator="equal">
      <formula>"x"</formula>
    </cfRule>
  </conditionalFormatting>
  <conditionalFormatting sqref="F52:G52">
    <cfRule type="cellIs" dxfId="124" priority="61" operator="equal">
      <formula>1</formula>
    </cfRule>
    <cfRule type="cellIs" dxfId="123" priority="62" operator="equal">
      <formula>"x"</formula>
    </cfRule>
  </conditionalFormatting>
  <conditionalFormatting sqref="F86:I86 K86:Q86">
    <cfRule type="cellIs" dxfId="122" priority="59" operator="equal">
      <formula>1</formula>
    </cfRule>
    <cfRule type="cellIs" dxfId="121" priority="60" operator="equal">
      <formula>"x"</formula>
    </cfRule>
  </conditionalFormatting>
  <conditionalFormatting sqref="F88:Q88">
    <cfRule type="cellIs" dxfId="120" priority="57" operator="equal">
      <formula>1</formula>
    </cfRule>
    <cfRule type="cellIs" dxfId="119" priority="58" operator="equal">
      <formula>"x"</formula>
    </cfRule>
  </conditionalFormatting>
  <conditionalFormatting sqref="J86">
    <cfRule type="cellIs" dxfId="118" priority="55" operator="equal">
      <formula>1</formula>
    </cfRule>
    <cfRule type="cellIs" dxfId="117" priority="56" operator="equal">
      <formula>"x"</formula>
    </cfRule>
  </conditionalFormatting>
  <conditionalFormatting sqref="F91:Q91">
    <cfRule type="cellIs" dxfId="116" priority="53" operator="equal">
      <formula>1</formula>
    </cfRule>
    <cfRule type="cellIs" dxfId="115" priority="54" operator="equal">
      <formula>"x"</formula>
    </cfRule>
  </conditionalFormatting>
  <conditionalFormatting sqref="F93:Q93">
    <cfRule type="cellIs" dxfId="114" priority="51" operator="equal">
      <formula>1</formula>
    </cfRule>
    <cfRule type="cellIs" dxfId="113" priority="52" operator="equal">
      <formula>"x"</formula>
    </cfRule>
  </conditionalFormatting>
  <conditionalFormatting sqref="F95:Q95">
    <cfRule type="cellIs" dxfId="112" priority="49" operator="equal">
      <formula>1</formula>
    </cfRule>
    <cfRule type="cellIs" dxfId="111" priority="50" operator="equal">
      <formula>"x"</formula>
    </cfRule>
  </conditionalFormatting>
  <conditionalFormatting sqref="F97:Q97">
    <cfRule type="cellIs" dxfId="110" priority="47" operator="equal">
      <formula>1</formula>
    </cfRule>
    <cfRule type="cellIs" dxfId="109" priority="48" operator="equal">
      <formula>"x"</formula>
    </cfRule>
  </conditionalFormatting>
  <conditionalFormatting sqref="F102:Q102">
    <cfRule type="cellIs" dxfId="108" priority="45" operator="equal">
      <formula>1</formula>
    </cfRule>
    <cfRule type="cellIs" dxfId="107" priority="46" operator="equal">
      <formula>"x"</formula>
    </cfRule>
  </conditionalFormatting>
  <conditionalFormatting sqref="F104:Q104">
    <cfRule type="cellIs" dxfId="106" priority="43" operator="equal">
      <formula>1</formula>
    </cfRule>
    <cfRule type="cellIs" dxfId="105" priority="44" operator="equal">
      <formula>"x"</formula>
    </cfRule>
  </conditionalFormatting>
  <conditionalFormatting sqref="F100:Q100">
    <cfRule type="cellIs" dxfId="104" priority="41" operator="equal">
      <formula>1</formula>
    </cfRule>
    <cfRule type="cellIs" dxfId="103" priority="42" operator="equal">
      <formula>"x"</formula>
    </cfRule>
  </conditionalFormatting>
  <conditionalFormatting sqref="F107:Q107">
    <cfRule type="cellIs" dxfId="102" priority="39" operator="equal">
      <formula>1</formula>
    </cfRule>
    <cfRule type="cellIs" dxfId="101" priority="40" operator="equal">
      <formula>"x"</formula>
    </cfRule>
  </conditionalFormatting>
  <conditionalFormatting sqref="F109:Q109">
    <cfRule type="cellIs" dxfId="100" priority="37" operator="equal">
      <formula>1</formula>
    </cfRule>
    <cfRule type="cellIs" dxfId="99" priority="38" operator="equal">
      <formula>"x"</formula>
    </cfRule>
  </conditionalFormatting>
  <conditionalFormatting sqref="F111:Q111">
    <cfRule type="cellIs" dxfId="98" priority="35" operator="equal">
      <formula>1</formula>
    </cfRule>
    <cfRule type="cellIs" dxfId="97" priority="36" operator="equal">
      <formula>"x"</formula>
    </cfRule>
  </conditionalFormatting>
  <conditionalFormatting sqref="F114:Q121">
    <cfRule type="cellIs" dxfId="96" priority="33" operator="equal">
      <formula>1</formula>
    </cfRule>
    <cfRule type="cellIs" dxfId="95" priority="34" operator="equal">
      <formula>"x"</formula>
    </cfRule>
  </conditionalFormatting>
  <conditionalFormatting sqref="F123:Q124">
    <cfRule type="cellIs" dxfId="94" priority="31" operator="equal">
      <formula>1</formula>
    </cfRule>
    <cfRule type="cellIs" dxfId="93" priority="32" operator="equal">
      <formula>"x"</formula>
    </cfRule>
  </conditionalFormatting>
  <conditionalFormatting sqref="F126:Q128">
    <cfRule type="cellIs" dxfId="92" priority="29" operator="equal">
      <formula>1</formula>
    </cfRule>
    <cfRule type="cellIs" dxfId="91" priority="30" operator="equal">
      <formula>"x"</formula>
    </cfRule>
  </conditionalFormatting>
  <conditionalFormatting sqref="F130:Q132">
    <cfRule type="cellIs" dxfId="90" priority="27" operator="equal">
      <formula>1</formula>
    </cfRule>
    <cfRule type="cellIs" dxfId="89" priority="28" operator="equal">
      <formula>"x"</formula>
    </cfRule>
  </conditionalFormatting>
  <conditionalFormatting sqref="F134:Q134">
    <cfRule type="cellIs" dxfId="88" priority="25" operator="equal">
      <formula>1</formula>
    </cfRule>
    <cfRule type="cellIs" dxfId="87" priority="26" operator="equal">
      <formula>"x"</formula>
    </cfRule>
  </conditionalFormatting>
  <conditionalFormatting sqref="F136:Q136">
    <cfRule type="cellIs" dxfId="86" priority="23" operator="equal">
      <formula>1</formula>
    </cfRule>
    <cfRule type="cellIs" dxfId="85" priority="24" operator="equal">
      <formula>"x"</formula>
    </cfRule>
  </conditionalFormatting>
  <conditionalFormatting sqref="F139:Q139">
    <cfRule type="cellIs" dxfId="84" priority="21" operator="equal">
      <formula>1</formula>
    </cfRule>
    <cfRule type="cellIs" dxfId="83" priority="22" operator="equal">
      <formula>"x"</formula>
    </cfRule>
  </conditionalFormatting>
  <conditionalFormatting sqref="F141:Q141">
    <cfRule type="cellIs" dxfId="82" priority="19" operator="equal">
      <formula>1</formula>
    </cfRule>
    <cfRule type="cellIs" dxfId="81" priority="20" operator="equal">
      <formula>"x"</formula>
    </cfRule>
  </conditionalFormatting>
  <conditionalFormatting sqref="F143:Q143">
    <cfRule type="cellIs" dxfId="80" priority="17" operator="equal">
      <formula>1</formula>
    </cfRule>
    <cfRule type="cellIs" dxfId="79" priority="18" operator="equal">
      <formula>"x"</formula>
    </cfRule>
  </conditionalFormatting>
  <conditionalFormatting sqref="F146:Q146">
    <cfRule type="cellIs" dxfId="78" priority="15" operator="equal">
      <formula>1</formula>
    </cfRule>
    <cfRule type="cellIs" dxfId="77" priority="16" operator="equal">
      <formula>"x"</formula>
    </cfRule>
  </conditionalFormatting>
  <conditionalFormatting sqref="F147:Q147">
    <cfRule type="cellIs" dxfId="76" priority="13" operator="equal">
      <formula>1</formula>
    </cfRule>
    <cfRule type="cellIs" dxfId="75" priority="14" operator="equal">
      <formula>"x"</formula>
    </cfRule>
  </conditionalFormatting>
  <conditionalFormatting sqref="F149:Q149">
    <cfRule type="cellIs" dxfId="74" priority="11" operator="equal">
      <formula>1</formula>
    </cfRule>
    <cfRule type="cellIs" dxfId="73" priority="12" operator="equal">
      <formula>"x"</formula>
    </cfRule>
  </conditionalFormatting>
  <conditionalFormatting sqref="F150:Q151">
    <cfRule type="cellIs" dxfId="72" priority="9" operator="equal">
      <formula>1</formula>
    </cfRule>
    <cfRule type="cellIs" dxfId="71" priority="10" operator="equal">
      <formula>"x"</formula>
    </cfRule>
  </conditionalFormatting>
  <conditionalFormatting sqref="F153:Q153">
    <cfRule type="cellIs" dxfId="70" priority="7" operator="equal">
      <formula>1</formula>
    </cfRule>
    <cfRule type="cellIs" dxfId="69" priority="8" operator="equal">
      <formula>"x"</formula>
    </cfRule>
  </conditionalFormatting>
  <conditionalFormatting sqref="F155:Q155">
    <cfRule type="cellIs" dxfId="68" priority="5" operator="equal">
      <formula>1</formula>
    </cfRule>
    <cfRule type="cellIs" dxfId="67" priority="6" operator="equal">
      <formula>"x"</formula>
    </cfRule>
  </conditionalFormatting>
  <conditionalFormatting sqref="F158:Q158">
    <cfRule type="cellIs" dxfId="66" priority="3" operator="equal">
      <formula>1</formula>
    </cfRule>
    <cfRule type="cellIs" dxfId="65" priority="4" operator="equal">
      <formula>"x"</formula>
    </cfRule>
  </conditionalFormatting>
  <conditionalFormatting sqref="F160:Q166">
    <cfRule type="cellIs" dxfId="64" priority="1" operator="equal">
      <formula>1</formula>
    </cfRule>
    <cfRule type="cellIs" dxfId="63" priority="2" operator="equal">
      <formula>"x"</formula>
    </cfRule>
  </conditionalFormatting>
  <pageMargins left="0.78740157480314965" right="0.78740157480314965" top="0.98425196850393704" bottom="0.78740157480314965" header="0.19685039370078741" footer="0.31496062992125984"/>
  <pageSetup paperSize="8" scale="80" orientation="landscape" r:id="rId1"/>
  <headerFooter>
    <oddHeader>&amp;R&amp;G</oddHeader>
    <oddFooter>&amp;R&amp;"Arial,Normal"&amp;9ANEXO XI - Página &amp;P de &amp;N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-0.249977111117893"/>
  </sheetPr>
  <dimension ref="A1:E17"/>
  <sheetViews>
    <sheetView showGridLines="0" zoomScale="120" zoomScaleNormal="120" workbookViewId="0"/>
  </sheetViews>
  <sheetFormatPr defaultRowHeight="12.75" x14ac:dyDescent="0.2"/>
  <cols>
    <col min="1" max="1" width="19.85546875" style="33" customWidth="1"/>
    <col min="2" max="2" width="20.85546875" style="33" bestFit="1" customWidth="1"/>
    <col min="3" max="4" width="13" style="33" customWidth="1"/>
    <col min="5" max="16384" width="9.140625" style="33"/>
  </cols>
  <sheetData>
    <row r="1" spans="1:5" x14ac:dyDescent="0.2">
      <c r="A1" s="252" t="s">
        <v>4666</v>
      </c>
      <c r="B1" s="253"/>
      <c r="C1" s="253"/>
      <c r="D1" s="253"/>
      <c r="E1" s="254"/>
    </row>
    <row r="2" spans="1:5" x14ac:dyDescent="0.2">
      <c r="A2" s="500" t="s">
        <v>4667</v>
      </c>
      <c r="B2" s="501"/>
      <c r="C2" s="255" t="s">
        <v>4668</v>
      </c>
      <c r="D2" s="256" t="s">
        <v>4669</v>
      </c>
      <c r="E2" s="254"/>
    </row>
    <row r="3" spans="1:5" x14ac:dyDescent="0.2">
      <c r="A3" s="496" t="s">
        <v>4670</v>
      </c>
      <c r="B3" s="499" t="s">
        <v>4671</v>
      </c>
      <c r="C3" s="259">
        <v>6.91</v>
      </c>
      <c r="D3" s="260">
        <v>10</v>
      </c>
      <c r="E3" s="254"/>
    </row>
    <row r="4" spans="1:5" x14ac:dyDescent="0.2">
      <c r="A4" s="261" t="s">
        <v>4672</v>
      </c>
      <c r="B4" s="262" t="s">
        <v>5279</v>
      </c>
      <c r="C4" s="263">
        <v>0.85</v>
      </c>
      <c r="D4" s="264">
        <v>1.23</v>
      </c>
      <c r="E4" s="254"/>
    </row>
    <row r="5" spans="1:5" x14ac:dyDescent="0.2">
      <c r="A5" s="261" t="s">
        <v>4673</v>
      </c>
      <c r="B5" s="262" t="s">
        <v>4674</v>
      </c>
      <c r="C5" s="263">
        <v>0.5</v>
      </c>
      <c r="D5" s="264">
        <v>0.72</v>
      </c>
      <c r="E5" s="254"/>
    </row>
    <row r="6" spans="1:5" x14ac:dyDescent="0.2">
      <c r="A6" s="265" t="s">
        <v>4675</v>
      </c>
      <c r="B6" s="266" t="s">
        <v>4676</v>
      </c>
      <c r="C6" s="267">
        <v>0.1</v>
      </c>
      <c r="D6" s="268">
        <v>0.14000000000000001</v>
      </c>
      <c r="E6" s="254"/>
    </row>
    <row r="7" spans="1:5" x14ac:dyDescent="0.2">
      <c r="B7" s="502" t="s">
        <v>4677</v>
      </c>
      <c r="C7" s="269">
        <v>8.36</v>
      </c>
      <c r="D7" s="270">
        <v>12.1</v>
      </c>
      <c r="E7" s="254"/>
    </row>
    <row r="8" spans="1:5" x14ac:dyDescent="0.2">
      <c r="A8" s="500" t="s">
        <v>4678</v>
      </c>
      <c r="B8" s="501"/>
      <c r="C8" s="255" t="s">
        <v>4668</v>
      </c>
      <c r="D8" s="256" t="s">
        <v>4669</v>
      </c>
      <c r="E8" s="254"/>
    </row>
    <row r="9" spans="1:5" x14ac:dyDescent="0.2">
      <c r="A9" s="271" t="s">
        <v>4679</v>
      </c>
      <c r="B9" s="272" t="s">
        <v>4671</v>
      </c>
      <c r="C9" s="273">
        <v>8.2899999999999991</v>
      </c>
      <c r="D9" s="274">
        <v>12</v>
      </c>
      <c r="E9" s="254"/>
    </row>
    <row r="10" spans="1:5" x14ac:dyDescent="0.2">
      <c r="B10" s="502" t="s">
        <v>4680</v>
      </c>
      <c r="C10" s="269">
        <v>8.2899999999999991</v>
      </c>
      <c r="D10" s="270">
        <v>12</v>
      </c>
      <c r="E10" s="254"/>
    </row>
    <row r="11" spans="1:5" x14ac:dyDescent="0.2">
      <c r="A11" s="500" t="s">
        <v>4681</v>
      </c>
      <c r="B11" s="501"/>
      <c r="C11" s="255" t="s">
        <v>4668</v>
      </c>
      <c r="D11" s="256" t="s">
        <v>4669</v>
      </c>
      <c r="E11" s="254"/>
    </row>
    <row r="12" spans="1:5" x14ac:dyDescent="0.2">
      <c r="A12" s="257" t="s">
        <v>4682</v>
      </c>
      <c r="B12" s="258" t="s">
        <v>4683</v>
      </c>
      <c r="C12" s="259">
        <v>1.65</v>
      </c>
      <c r="D12" s="260">
        <v>2.39</v>
      </c>
      <c r="E12" s="254"/>
    </row>
    <row r="13" spans="1:5" x14ac:dyDescent="0.2">
      <c r="A13" s="261" t="s">
        <v>4684</v>
      </c>
      <c r="B13" s="262" t="s">
        <v>4685</v>
      </c>
      <c r="C13" s="263">
        <v>7.6</v>
      </c>
      <c r="D13" s="264">
        <v>11</v>
      </c>
      <c r="E13" s="254"/>
    </row>
    <row r="14" spans="1:5" x14ac:dyDescent="0.2">
      <c r="A14" s="265" t="s">
        <v>5227</v>
      </c>
      <c r="B14" s="266" t="s">
        <v>4686</v>
      </c>
      <c r="C14" s="267">
        <v>5</v>
      </c>
      <c r="D14" s="268">
        <v>7.24</v>
      </c>
      <c r="E14" s="254"/>
    </row>
    <row r="15" spans="1:5" x14ac:dyDescent="0.2">
      <c r="B15" s="502" t="s">
        <v>4687</v>
      </c>
      <c r="C15" s="269">
        <v>14.25</v>
      </c>
      <c r="D15" s="270">
        <v>20.62</v>
      </c>
      <c r="E15" s="254"/>
    </row>
    <row r="16" spans="1:5" x14ac:dyDescent="0.2">
      <c r="A16" s="252" t="s">
        <v>4688</v>
      </c>
      <c r="B16" s="275"/>
      <c r="C16" s="276">
        <v>30.9</v>
      </c>
      <c r="D16" s="277">
        <v>44.73</v>
      </c>
      <c r="E16" s="254"/>
    </row>
    <row r="17" spans="1:5" x14ac:dyDescent="0.2">
      <c r="A17" s="534" t="s">
        <v>4689</v>
      </c>
      <c r="B17" s="278"/>
      <c r="C17" s="278"/>
      <c r="D17" s="278"/>
      <c r="E17" s="278"/>
    </row>
  </sheetData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 tint="-0.249977111117893"/>
  </sheetPr>
  <dimension ref="A1:R30"/>
  <sheetViews>
    <sheetView showGridLines="0" zoomScale="110" zoomScaleNormal="110" workbookViewId="0">
      <pane ySplit="2" topLeftCell="A3" activePane="bottomLeft" state="frozen"/>
      <selection pane="bottomLeft" activeCell="C19" sqref="C19"/>
    </sheetView>
  </sheetViews>
  <sheetFormatPr defaultRowHeight="14.25" x14ac:dyDescent="0.2"/>
  <cols>
    <col min="1" max="1" width="9.140625" style="280"/>
    <col min="2" max="3" width="10.85546875" style="280" customWidth="1"/>
    <col min="4" max="4" width="25.7109375" style="280" customWidth="1"/>
    <col min="5" max="5" width="41.42578125" style="505" bestFit="1" customWidth="1"/>
    <col min="6" max="6" width="9.85546875" style="505" bestFit="1" customWidth="1"/>
    <col min="7" max="7" width="6" style="505" bestFit="1" customWidth="1"/>
    <col min="8" max="8" width="5.7109375" style="505" bestFit="1" customWidth="1"/>
    <col min="9" max="10" width="6" style="505" bestFit="1" customWidth="1"/>
    <col min="11" max="11" width="5.7109375" style="505" bestFit="1" customWidth="1"/>
    <col min="12" max="18" width="6" style="505" bestFit="1" customWidth="1"/>
    <col min="19" max="16384" width="9.140625" style="280"/>
  </cols>
  <sheetData>
    <row r="1" spans="1:18" x14ac:dyDescent="0.2">
      <c r="A1" s="504" t="s">
        <v>2656</v>
      </c>
      <c r="C1" s="279"/>
    </row>
    <row r="2" spans="1:18" ht="15" x14ac:dyDescent="0.2">
      <c r="A2" s="281" t="s">
        <v>2657</v>
      </c>
      <c r="B2" s="281" t="s">
        <v>2658</v>
      </c>
      <c r="C2" s="282">
        <v>1</v>
      </c>
      <c r="E2" s="519" t="s">
        <v>5228</v>
      </c>
      <c r="F2" s="520"/>
      <c r="G2" s="521">
        <v>44197</v>
      </c>
      <c r="H2" s="522">
        <v>44228</v>
      </c>
      <c r="I2" s="522">
        <v>44256</v>
      </c>
      <c r="J2" s="522">
        <v>44287</v>
      </c>
      <c r="K2" s="522">
        <v>44317</v>
      </c>
      <c r="L2" s="522">
        <v>44348</v>
      </c>
      <c r="M2" s="522">
        <v>44378</v>
      </c>
      <c r="N2" s="522">
        <v>44409</v>
      </c>
      <c r="O2" s="521">
        <v>44440</v>
      </c>
      <c r="P2" s="522">
        <v>44470</v>
      </c>
      <c r="Q2" s="522">
        <v>44501</v>
      </c>
      <c r="R2" s="522">
        <v>44531</v>
      </c>
    </row>
    <row r="3" spans="1:18" ht="15" x14ac:dyDescent="0.25">
      <c r="A3" s="503">
        <v>43831</v>
      </c>
      <c r="B3" s="285">
        <v>0.21</v>
      </c>
      <c r="C3" s="283">
        <f t="shared" ref="C3:C29" si="0">C2*(1+B3/100)</f>
        <v>1.0021</v>
      </c>
      <c r="E3" s="506" t="s">
        <v>5229</v>
      </c>
      <c r="F3" s="507" t="s">
        <v>5230</v>
      </c>
      <c r="G3" s="508">
        <v>340.39400000000001</v>
      </c>
      <c r="H3" s="509">
        <v>344.88099999999997</v>
      </c>
      <c r="I3" s="509">
        <v>353.221</v>
      </c>
      <c r="J3" s="509">
        <v>353.714</v>
      </c>
      <c r="K3" s="509">
        <v>359.97399999999999</v>
      </c>
      <c r="L3" s="509">
        <v>365.18799999999999</v>
      </c>
      <c r="M3" s="509">
        <v>372.04399999999998</v>
      </c>
      <c r="N3" s="509">
        <v>379.21199999999999</v>
      </c>
      <c r="O3" s="508">
        <v>383.88600000000002</v>
      </c>
      <c r="P3" s="509">
        <v>393.22</v>
      </c>
      <c r="Q3" s="509">
        <v>403.58199999999999</v>
      </c>
      <c r="R3" s="509">
        <v>408.89499999999998</v>
      </c>
    </row>
    <row r="4" spans="1:18" ht="15" x14ac:dyDescent="0.2">
      <c r="A4" s="284">
        <v>43862</v>
      </c>
      <c r="B4" s="285">
        <v>0.25</v>
      </c>
      <c r="C4" s="286">
        <f t="shared" si="0"/>
        <v>1.00460525</v>
      </c>
      <c r="E4" s="510" t="s">
        <v>5231</v>
      </c>
      <c r="F4" s="511" t="s">
        <v>5230</v>
      </c>
      <c r="G4" s="512">
        <v>366.40199999999999</v>
      </c>
      <c r="H4" s="513">
        <v>374.50700000000001</v>
      </c>
      <c r="I4" s="513">
        <v>381.78399999999999</v>
      </c>
      <c r="J4" s="513">
        <v>388.65699999999998</v>
      </c>
      <c r="K4" s="513">
        <v>397.71300000000002</v>
      </c>
      <c r="L4" s="513">
        <v>407.21100000000001</v>
      </c>
      <c r="M4" s="513">
        <v>415.12099999999998</v>
      </c>
      <c r="N4" s="513">
        <v>418.72300000000001</v>
      </c>
      <c r="O4" s="512">
        <v>421.46</v>
      </c>
      <c r="P4" s="513">
        <v>425.988</v>
      </c>
      <c r="Q4" s="513">
        <v>431.149</v>
      </c>
      <c r="R4" s="513">
        <v>434.35899999999998</v>
      </c>
    </row>
    <row r="5" spans="1:18" ht="15" x14ac:dyDescent="0.2">
      <c r="A5" s="284">
        <v>43891</v>
      </c>
      <c r="B5" s="285">
        <v>7.0000000000000007E-2</v>
      </c>
      <c r="C5" s="286">
        <f t="shared" si="0"/>
        <v>1.005308473675</v>
      </c>
      <c r="E5" s="514" t="s">
        <v>5232</v>
      </c>
      <c r="F5" s="515" t="s">
        <v>5230</v>
      </c>
      <c r="G5" s="516">
        <v>379.92099999999999</v>
      </c>
      <c r="H5" s="517">
        <v>386.50700000000001</v>
      </c>
      <c r="I5" s="517">
        <v>394.16500000000002</v>
      </c>
      <c r="J5" s="517">
        <v>399.11700000000002</v>
      </c>
      <c r="K5" s="517">
        <v>408.29300000000001</v>
      </c>
      <c r="L5" s="517">
        <v>413.42899999999997</v>
      </c>
      <c r="M5" s="517">
        <v>418.12400000000002</v>
      </c>
      <c r="N5" s="517">
        <v>424.08800000000002</v>
      </c>
      <c r="O5" s="516">
        <v>428.47500000000002</v>
      </c>
      <c r="P5" s="517">
        <v>432.71499999999997</v>
      </c>
      <c r="Q5" s="517">
        <v>445.97300000000001</v>
      </c>
      <c r="R5" s="517">
        <v>456.17099999999999</v>
      </c>
    </row>
    <row r="6" spans="1:18" ht="15" x14ac:dyDescent="0.2">
      <c r="A6" s="284">
        <v>43922</v>
      </c>
      <c r="B6" s="285">
        <v>-0.31</v>
      </c>
      <c r="C6" s="286">
        <f t="shared" si="0"/>
        <v>1.0021920174066075</v>
      </c>
      <c r="E6" s="510" t="s">
        <v>5233</v>
      </c>
      <c r="F6" s="511" t="s">
        <v>5230</v>
      </c>
      <c r="G6" s="512">
        <v>245.714</v>
      </c>
      <c r="H6" s="513">
        <v>245.83600000000001</v>
      </c>
      <c r="I6" s="513">
        <v>245.977</v>
      </c>
      <c r="J6" s="513">
        <v>247.32599999999999</v>
      </c>
      <c r="K6" s="513">
        <v>247.64500000000001</v>
      </c>
      <c r="L6" s="513">
        <v>249.93700000000001</v>
      </c>
      <c r="M6" s="513">
        <v>251.077</v>
      </c>
      <c r="N6" s="513">
        <v>251.964</v>
      </c>
      <c r="O6" s="512">
        <v>252.42500000000001</v>
      </c>
      <c r="P6" s="513">
        <v>255.76599999999999</v>
      </c>
      <c r="Q6" s="513">
        <v>256.72500000000002</v>
      </c>
      <c r="R6" s="513">
        <v>257.14800000000002</v>
      </c>
    </row>
    <row r="7" spans="1:18" ht="15" x14ac:dyDescent="0.2">
      <c r="A7" s="284">
        <v>43952</v>
      </c>
      <c r="B7" s="285">
        <v>-0.38</v>
      </c>
      <c r="C7" s="286">
        <f t="shared" si="0"/>
        <v>0.99838368774046238</v>
      </c>
      <c r="E7" s="514" t="s">
        <v>5234</v>
      </c>
      <c r="F7" s="515" t="s">
        <v>5230</v>
      </c>
      <c r="G7" s="516">
        <v>347.38200000000001</v>
      </c>
      <c r="H7" s="517">
        <v>351.83</v>
      </c>
      <c r="I7" s="517">
        <v>357.04599999999999</v>
      </c>
      <c r="J7" s="517">
        <v>361.44600000000003</v>
      </c>
      <c r="K7" s="517">
        <v>364.61900000000003</v>
      </c>
      <c r="L7" s="517">
        <v>368.59199999999998</v>
      </c>
      <c r="M7" s="517">
        <v>374.96199999999999</v>
      </c>
      <c r="N7" s="517">
        <v>379.995</v>
      </c>
      <c r="O7" s="516">
        <v>383.70499999999998</v>
      </c>
      <c r="P7" s="517">
        <v>388.541</v>
      </c>
      <c r="Q7" s="517">
        <v>393.08100000000002</v>
      </c>
      <c r="R7" s="517">
        <v>396.18</v>
      </c>
    </row>
    <row r="8" spans="1:18" ht="15" x14ac:dyDescent="0.2">
      <c r="A8" s="284">
        <v>43983</v>
      </c>
      <c r="B8" s="285">
        <v>0.26</v>
      </c>
      <c r="C8" s="286">
        <f t="shared" si="0"/>
        <v>1.0009794853285876</v>
      </c>
      <c r="E8" s="510" t="s">
        <v>5235</v>
      </c>
      <c r="F8" s="511" t="s">
        <v>5230</v>
      </c>
      <c r="G8" s="512">
        <v>324.82</v>
      </c>
      <c r="H8" s="513">
        <v>330.791</v>
      </c>
      <c r="I8" s="513">
        <v>337.72399999999999</v>
      </c>
      <c r="J8" s="513">
        <v>342.87299999999999</v>
      </c>
      <c r="K8" s="513">
        <v>348.339</v>
      </c>
      <c r="L8" s="513">
        <v>354.42399999999998</v>
      </c>
      <c r="M8" s="513">
        <v>360.28800000000001</v>
      </c>
      <c r="N8" s="513">
        <v>371.56700000000001</v>
      </c>
      <c r="O8" s="512">
        <v>373.24400000000003</v>
      </c>
      <c r="P8" s="513">
        <v>377.43900000000002</v>
      </c>
      <c r="Q8" s="513">
        <v>383.27300000000002</v>
      </c>
      <c r="R8" s="513">
        <v>387.94400000000002</v>
      </c>
    </row>
    <row r="9" spans="1:18" ht="15" x14ac:dyDescent="0.2">
      <c r="A9" s="284">
        <v>44013</v>
      </c>
      <c r="B9" s="285">
        <v>0.36</v>
      </c>
      <c r="C9" s="286">
        <f t="shared" si="0"/>
        <v>1.0045830114757706</v>
      </c>
      <c r="E9" s="514" t="s">
        <v>5236</v>
      </c>
      <c r="F9" s="515" t="s">
        <v>5230</v>
      </c>
      <c r="G9" s="516">
        <v>304.11399999999998</v>
      </c>
      <c r="H9" s="517">
        <v>307.04599999999999</v>
      </c>
      <c r="I9" s="517">
        <v>310.48899999999998</v>
      </c>
      <c r="J9" s="517">
        <v>313.68599999999998</v>
      </c>
      <c r="K9" s="517">
        <v>317.22899999999998</v>
      </c>
      <c r="L9" s="517">
        <v>322.92099999999999</v>
      </c>
      <c r="M9" s="517">
        <v>327.988</v>
      </c>
      <c r="N9" s="517">
        <v>332.11</v>
      </c>
      <c r="O9" s="516">
        <v>335.37099999999998</v>
      </c>
      <c r="P9" s="517">
        <v>339.80599999999998</v>
      </c>
      <c r="Q9" s="517">
        <v>344.02600000000001</v>
      </c>
      <c r="R9" s="517">
        <v>347.98599999999999</v>
      </c>
    </row>
    <row r="10" spans="1:18" ht="15" x14ac:dyDescent="0.2">
      <c r="A10" s="284">
        <v>44044</v>
      </c>
      <c r="B10" s="285">
        <v>0.24</v>
      </c>
      <c r="C10" s="286">
        <f t="shared" si="0"/>
        <v>1.0069940107033124</v>
      </c>
      <c r="E10" s="510" t="s">
        <v>5237</v>
      </c>
      <c r="F10" s="511" t="s">
        <v>5230</v>
      </c>
      <c r="G10" s="512">
        <v>324.142</v>
      </c>
      <c r="H10" s="513">
        <v>326.53199999999998</v>
      </c>
      <c r="I10" s="513">
        <v>329.98599999999999</v>
      </c>
      <c r="J10" s="513">
        <v>331.45400000000001</v>
      </c>
      <c r="K10" s="513">
        <v>334.12099999999998</v>
      </c>
      <c r="L10" s="513">
        <v>337.12799999999999</v>
      </c>
      <c r="M10" s="513">
        <v>340.95600000000002</v>
      </c>
      <c r="N10" s="513">
        <v>344.04199999999997</v>
      </c>
      <c r="O10" s="512">
        <v>346.45100000000002</v>
      </c>
      <c r="P10" s="513">
        <v>349.40100000000001</v>
      </c>
      <c r="Q10" s="513">
        <v>355.01900000000001</v>
      </c>
      <c r="R10" s="513">
        <v>357.65600000000001</v>
      </c>
    </row>
    <row r="11" spans="1:18" ht="15" x14ac:dyDescent="0.2">
      <c r="A11" s="284">
        <v>44075</v>
      </c>
      <c r="B11" s="285">
        <v>0.64</v>
      </c>
      <c r="C11" s="286">
        <f t="shared" si="0"/>
        <v>1.0134387723718135</v>
      </c>
      <c r="E11" s="514" t="s">
        <v>5238</v>
      </c>
      <c r="F11" s="515" t="s">
        <v>5230</v>
      </c>
      <c r="G11" s="516">
        <v>707.04600000000005</v>
      </c>
      <c r="H11" s="517">
        <v>765.37199999999996</v>
      </c>
      <c r="I11" s="517">
        <v>764.30799999999999</v>
      </c>
      <c r="J11" s="517">
        <v>763.32</v>
      </c>
      <c r="K11" s="517">
        <v>930.52599999999995</v>
      </c>
      <c r="L11" s="517">
        <v>929.63800000000003</v>
      </c>
      <c r="M11" s="517">
        <v>935.39</v>
      </c>
      <c r="N11" s="517">
        <v>981.55600000000004</v>
      </c>
      <c r="O11" s="516">
        <v>981.81299999999999</v>
      </c>
      <c r="P11" s="517">
        <v>982.24400000000003</v>
      </c>
      <c r="Q11" s="517">
        <v>1075.6400000000001</v>
      </c>
      <c r="R11" s="517">
        <v>1079.0940000000001</v>
      </c>
    </row>
    <row r="12" spans="1:18" ht="15" x14ac:dyDescent="0.2">
      <c r="A12" s="284">
        <v>44105</v>
      </c>
      <c r="B12" s="285">
        <v>0.86</v>
      </c>
      <c r="C12" s="286">
        <f t="shared" si="0"/>
        <v>1.0221543458142111</v>
      </c>
      <c r="E12" s="510" t="s">
        <v>5239</v>
      </c>
      <c r="F12" s="511" t="s">
        <v>5230</v>
      </c>
      <c r="G12" s="512">
        <v>347.01100000000002</v>
      </c>
      <c r="H12" s="513">
        <v>353.57</v>
      </c>
      <c r="I12" s="513">
        <v>358.18400000000003</v>
      </c>
      <c r="J12" s="513">
        <v>362.14800000000002</v>
      </c>
      <c r="K12" s="513">
        <v>365.58100000000002</v>
      </c>
      <c r="L12" s="513">
        <v>370.68900000000002</v>
      </c>
      <c r="M12" s="513">
        <v>378.59300000000002</v>
      </c>
      <c r="N12" s="513">
        <v>385.005</v>
      </c>
      <c r="O12" s="512">
        <v>388.80700000000002</v>
      </c>
      <c r="P12" s="513">
        <v>395.64</v>
      </c>
      <c r="Q12" s="513">
        <v>403.84699999999998</v>
      </c>
      <c r="R12" s="513">
        <v>407.66899999999998</v>
      </c>
    </row>
    <row r="13" spans="1:18" ht="15" x14ac:dyDescent="0.2">
      <c r="A13" s="284">
        <v>44136</v>
      </c>
      <c r="B13" s="285">
        <v>0.89</v>
      </c>
      <c r="C13" s="286">
        <f t="shared" si="0"/>
        <v>1.0312515194919574</v>
      </c>
      <c r="E13" s="514" t="s">
        <v>5240</v>
      </c>
      <c r="F13" s="515" t="s">
        <v>5241</v>
      </c>
      <c r="G13" s="516">
        <v>951.39499999999998</v>
      </c>
      <c r="H13" s="517">
        <v>977.13300000000004</v>
      </c>
      <c r="I13" s="517">
        <v>998.34400000000005</v>
      </c>
      <c r="J13" s="517">
        <v>1020.495</v>
      </c>
      <c r="K13" s="517">
        <v>1055.1669999999999</v>
      </c>
      <c r="L13" s="517">
        <v>1056.3430000000001</v>
      </c>
      <c r="M13" s="517">
        <v>1071.615</v>
      </c>
      <c r="N13" s="517">
        <v>1070.1469999999999</v>
      </c>
      <c r="O13" s="516">
        <v>1064.31</v>
      </c>
      <c r="P13" s="517">
        <v>1081.3009999999999</v>
      </c>
      <c r="Q13" s="517">
        <v>1075.0219999999999</v>
      </c>
      <c r="R13" s="517">
        <v>1088.489</v>
      </c>
    </row>
    <row r="14" spans="1:18" ht="15" x14ac:dyDescent="0.2">
      <c r="A14" s="284">
        <v>44166</v>
      </c>
      <c r="B14" s="285">
        <v>1.35</v>
      </c>
      <c r="C14" s="286">
        <f t="shared" si="0"/>
        <v>1.0451734150050989</v>
      </c>
      <c r="E14" s="510" t="s">
        <v>5242</v>
      </c>
      <c r="F14" s="511" t="s">
        <v>5241</v>
      </c>
      <c r="G14" s="512">
        <v>852.80899999999997</v>
      </c>
      <c r="H14" s="513">
        <v>868.92899999999997</v>
      </c>
      <c r="I14" s="513">
        <v>880.26499999999999</v>
      </c>
      <c r="J14" s="513">
        <v>888.19100000000003</v>
      </c>
      <c r="K14" s="513">
        <v>907.899</v>
      </c>
      <c r="L14" s="513">
        <v>927.51199999999994</v>
      </c>
      <c r="M14" s="513">
        <v>935.35900000000004</v>
      </c>
      <c r="N14" s="513">
        <v>939.69899999999996</v>
      </c>
      <c r="O14" s="512">
        <v>944.52</v>
      </c>
      <c r="P14" s="513">
        <v>952.596</v>
      </c>
      <c r="Q14" s="513">
        <v>959.00099999999998</v>
      </c>
      <c r="R14" s="513">
        <v>962.32100000000003</v>
      </c>
    </row>
    <row r="15" spans="1:18" ht="15" x14ac:dyDescent="0.2">
      <c r="A15" s="284">
        <v>44197</v>
      </c>
      <c r="B15" s="285">
        <v>0.25</v>
      </c>
      <c r="C15" s="286">
        <f t="shared" si="0"/>
        <v>1.0477863485426115</v>
      </c>
      <c r="E15" s="514" t="s">
        <v>5243</v>
      </c>
      <c r="F15" s="515" t="s">
        <v>5241</v>
      </c>
      <c r="G15" s="516">
        <v>1056.4290000000001</v>
      </c>
      <c r="H15" s="517">
        <v>1281.923</v>
      </c>
      <c r="I15" s="517">
        <v>1302.21</v>
      </c>
      <c r="J15" s="517">
        <v>1350.0540000000001</v>
      </c>
      <c r="K15" s="517">
        <v>1389.1790000000001</v>
      </c>
      <c r="L15" s="517">
        <v>1431.434</v>
      </c>
      <c r="M15" s="517">
        <v>1430.38</v>
      </c>
      <c r="N15" s="517">
        <v>1420.4780000000001</v>
      </c>
      <c r="O15" s="516">
        <v>1425.3109999999999</v>
      </c>
      <c r="P15" s="517">
        <v>1540.5730000000001</v>
      </c>
      <c r="Q15" s="517">
        <v>1544.297</v>
      </c>
      <c r="R15" s="517">
        <v>1502.0609999999999</v>
      </c>
    </row>
    <row r="16" spans="1:18" ht="15" x14ac:dyDescent="0.2">
      <c r="A16" s="284">
        <v>44228</v>
      </c>
      <c r="B16" s="285">
        <v>0.86</v>
      </c>
      <c r="C16" s="286">
        <f t="shared" si="0"/>
        <v>1.0567973111400779</v>
      </c>
      <c r="E16" s="510" t="s">
        <v>5244</v>
      </c>
      <c r="F16" s="511" t="s">
        <v>5245</v>
      </c>
      <c r="G16" s="512">
        <v>263.13600000000002</v>
      </c>
      <c r="H16" s="513">
        <v>304.20600000000002</v>
      </c>
      <c r="I16" s="513">
        <v>317.69499999999999</v>
      </c>
      <c r="J16" s="513">
        <v>342.608</v>
      </c>
      <c r="K16" s="513">
        <v>360.65899999999999</v>
      </c>
      <c r="L16" s="513">
        <v>381.07900000000001</v>
      </c>
      <c r="M16" s="513">
        <v>387.12400000000002</v>
      </c>
      <c r="N16" s="513">
        <v>397.74599999999998</v>
      </c>
      <c r="O16" s="512">
        <v>401.95800000000003</v>
      </c>
      <c r="P16" s="513">
        <v>417.04300000000001</v>
      </c>
      <c r="Q16" s="513">
        <v>403.72300000000001</v>
      </c>
      <c r="R16" s="513">
        <v>396.41399999999999</v>
      </c>
    </row>
    <row r="17" spans="1:18" ht="15" x14ac:dyDescent="0.2">
      <c r="A17" s="284">
        <v>44256</v>
      </c>
      <c r="B17" s="285">
        <v>0.93</v>
      </c>
      <c r="C17" s="286">
        <f t="shared" si="0"/>
        <v>1.0666255261336808</v>
      </c>
      <c r="E17" s="514" t="s">
        <v>5246</v>
      </c>
      <c r="F17" s="515" t="s">
        <v>5247</v>
      </c>
      <c r="G17" s="516">
        <v>454.34399999999999</v>
      </c>
      <c r="H17" s="517">
        <v>462.93099999999998</v>
      </c>
      <c r="I17" s="517">
        <v>468.97199999999998</v>
      </c>
      <c r="J17" s="517">
        <v>473.19299999999998</v>
      </c>
      <c r="K17" s="517">
        <v>483.69299999999998</v>
      </c>
      <c r="L17" s="517">
        <v>494.14100000000002</v>
      </c>
      <c r="M17" s="517">
        <v>498.32100000000003</v>
      </c>
      <c r="N17" s="517">
        <v>500.63299999999998</v>
      </c>
      <c r="O17" s="516">
        <v>503.20100000000002</v>
      </c>
      <c r="P17" s="517">
        <v>504.221</v>
      </c>
      <c r="Q17" s="517">
        <v>512.44000000000005</v>
      </c>
      <c r="R17" s="517">
        <v>516.57399999999996</v>
      </c>
    </row>
    <row r="18" spans="1:18" ht="15" x14ac:dyDescent="0.2">
      <c r="A18" s="284">
        <v>44287</v>
      </c>
      <c r="B18" s="285">
        <v>0.31</v>
      </c>
      <c r="C18" s="286">
        <f t="shared" si="0"/>
        <v>1.0699320652646953</v>
      </c>
      <c r="E18" s="510" t="s">
        <v>5248</v>
      </c>
      <c r="F18" s="511" t="s">
        <v>5249</v>
      </c>
      <c r="G18" s="512">
        <v>208.261</v>
      </c>
      <c r="H18" s="513">
        <v>211.04300000000001</v>
      </c>
      <c r="I18" s="513">
        <v>216.999</v>
      </c>
      <c r="J18" s="513">
        <v>220.52799999999999</v>
      </c>
      <c r="K18" s="513">
        <v>223.57499999999999</v>
      </c>
      <c r="L18" s="513">
        <v>226.07400000000001</v>
      </c>
      <c r="M18" s="513">
        <v>228.833</v>
      </c>
      <c r="N18" s="513">
        <v>231.75</v>
      </c>
      <c r="O18" s="512">
        <v>237.55</v>
      </c>
      <c r="P18" s="513">
        <v>240.85</v>
      </c>
      <c r="Q18" s="513">
        <v>245.18700000000001</v>
      </c>
      <c r="R18" s="513">
        <v>249.166</v>
      </c>
    </row>
    <row r="19" spans="1:18" ht="15" x14ac:dyDescent="0.2">
      <c r="A19" s="284">
        <v>44317</v>
      </c>
      <c r="B19" s="285">
        <v>0.83</v>
      </c>
      <c r="C19" s="286">
        <f t="shared" si="0"/>
        <v>1.0788125014063923</v>
      </c>
      <c r="E19" s="514" t="s">
        <v>5250</v>
      </c>
      <c r="F19" s="515" t="s">
        <v>5230</v>
      </c>
      <c r="G19" s="516">
        <v>836.67899999999997</v>
      </c>
      <c r="H19" s="517">
        <v>868.35400000000004</v>
      </c>
      <c r="I19" s="517">
        <v>862.47</v>
      </c>
      <c r="J19" s="517">
        <v>870.99900000000002</v>
      </c>
      <c r="K19" s="517">
        <v>1015.104</v>
      </c>
      <c r="L19" s="517">
        <v>1018.274</v>
      </c>
      <c r="M19" s="517">
        <v>1026.2170000000001</v>
      </c>
      <c r="N19" s="517">
        <v>1044.1890000000001</v>
      </c>
      <c r="O19" s="516">
        <v>1042.473</v>
      </c>
      <c r="P19" s="517">
        <v>1041.998</v>
      </c>
      <c r="Q19" s="517">
        <v>1125.5640000000001</v>
      </c>
      <c r="R19" s="517">
        <v>1114.135</v>
      </c>
    </row>
    <row r="20" spans="1:18" ht="15" x14ac:dyDescent="0.2">
      <c r="A20" s="284">
        <v>44348</v>
      </c>
      <c r="B20" s="285">
        <v>0.53</v>
      </c>
      <c r="C20" s="286">
        <f t="shared" si="0"/>
        <v>1.0845302076638463</v>
      </c>
      <c r="E20" s="510" t="s">
        <v>5251</v>
      </c>
      <c r="F20" s="511" t="s">
        <v>5230</v>
      </c>
      <c r="G20" s="512">
        <v>733.97500000000002</v>
      </c>
      <c r="H20" s="513">
        <v>803.51400000000001</v>
      </c>
      <c r="I20" s="513">
        <v>799.43399999999997</v>
      </c>
      <c r="J20" s="513">
        <v>798.06</v>
      </c>
      <c r="K20" s="513">
        <v>993.15700000000004</v>
      </c>
      <c r="L20" s="513">
        <v>992.06399999999996</v>
      </c>
      <c r="M20" s="513">
        <v>997.29499999999996</v>
      </c>
      <c r="N20" s="513">
        <v>1052.0070000000001</v>
      </c>
      <c r="O20" s="512">
        <v>1048.8399999999999</v>
      </c>
      <c r="P20" s="513">
        <v>1048.684</v>
      </c>
      <c r="Q20" s="513">
        <v>1155.6389999999999</v>
      </c>
      <c r="R20" s="513">
        <v>1159.471</v>
      </c>
    </row>
    <row r="21" spans="1:18" ht="15" x14ac:dyDescent="0.2">
      <c r="A21" s="284">
        <v>44378</v>
      </c>
      <c r="B21" s="285">
        <v>0.96</v>
      </c>
      <c r="C21" s="286">
        <f t="shared" si="0"/>
        <v>1.0949416976574193</v>
      </c>
      <c r="E21" s="514" t="s">
        <v>5252</v>
      </c>
      <c r="F21" s="515" t="s">
        <v>5230</v>
      </c>
      <c r="G21" s="516">
        <v>666.40099999999995</v>
      </c>
      <c r="H21" s="517">
        <v>718.82799999999997</v>
      </c>
      <c r="I21" s="517">
        <v>721.43700000000001</v>
      </c>
      <c r="J21" s="517">
        <v>720.35199999999998</v>
      </c>
      <c r="K21" s="517">
        <v>863.06700000000001</v>
      </c>
      <c r="L21" s="517">
        <v>861.99</v>
      </c>
      <c r="M21" s="517">
        <v>868.41399999999999</v>
      </c>
      <c r="N21" s="517">
        <v>909.22299999999996</v>
      </c>
      <c r="O21" s="516">
        <v>912.476</v>
      </c>
      <c r="P21" s="517">
        <v>913.73900000000003</v>
      </c>
      <c r="Q21" s="517">
        <v>995.22199999999998</v>
      </c>
      <c r="R21" s="517">
        <v>1001.265</v>
      </c>
    </row>
    <row r="22" spans="1:18" ht="15" x14ac:dyDescent="0.2">
      <c r="A22" s="284">
        <v>44409</v>
      </c>
      <c r="B22" s="285">
        <v>0.87</v>
      </c>
      <c r="C22" s="286">
        <f t="shared" si="0"/>
        <v>1.1044676904270387</v>
      </c>
      <c r="E22" s="510" t="s">
        <v>5253</v>
      </c>
      <c r="F22" s="511" t="s">
        <v>5254</v>
      </c>
      <c r="G22" s="512">
        <v>117.054</v>
      </c>
      <c r="H22" s="513">
        <v>117.721</v>
      </c>
      <c r="I22" s="513">
        <v>118.96299999999999</v>
      </c>
      <c r="J22" s="513">
        <v>119.377</v>
      </c>
      <c r="K22" s="513">
        <v>120.143</v>
      </c>
      <c r="L22" s="513">
        <v>121.126</v>
      </c>
      <c r="M22" s="513">
        <v>121.834</v>
      </c>
      <c r="N22" s="513">
        <v>122.547</v>
      </c>
      <c r="O22" s="512">
        <v>123.586</v>
      </c>
      <c r="P22" s="513">
        <v>124.768</v>
      </c>
      <c r="Q22" s="513">
        <v>126.08</v>
      </c>
      <c r="R22" s="513">
        <v>127.124</v>
      </c>
    </row>
    <row r="23" spans="1:18" ht="15" x14ac:dyDescent="0.2">
      <c r="A23" s="284">
        <v>44440</v>
      </c>
      <c r="B23" s="285">
        <v>1.1599999999999999</v>
      </c>
      <c r="C23" s="286">
        <f t="shared" si="0"/>
        <v>1.1172795156359925</v>
      </c>
      <c r="E23" s="514" t="s">
        <v>5255</v>
      </c>
      <c r="F23" s="515" t="s">
        <v>5254</v>
      </c>
      <c r="G23" s="516">
        <v>120.261</v>
      </c>
      <c r="H23" s="517">
        <v>122.127</v>
      </c>
      <c r="I23" s="517">
        <v>126.224</v>
      </c>
      <c r="J23" s="517">
        <v>125.92400000000001</v>
      </c>
      <c r="K23" s="517">
        <v>127.91800000000001</v>
      </c>
      <c r="L23" s="517">
        <v>129.47</v>
      </c>
      <c r="M23" s="517">
        <v>132.04400000000001</v>
      </c>
      <c r="N23" s="517">
        <v>134.67099999999999</v>
      </c>
      <c r="O23" s="516">
        <v>138.33699999999999</v>
      </c>
      <c r="P23" s="517">
        <v>143.00200000000001</v>
      </c>
      <c r="Q23" s="517">
        <v>149.17699999999999</v>
      </c>
      <c r="R23" s="517">
        <v>151.364</v>
      </c>
    </row>
    <row r="24" spans="1:18" ht="15" x14ac:dyDescent="0.2">
      <c r="A24" s="284">
        <v>44470</v>
      </c>
      <c r="B24" s="285">
        <v>1.25</v>
      </c>
      <c r="C24" s="286">
        <f t="shared" si="0"/>
        <v>1.1312455095814424</v>
      </c>
      <c r="E24" s="510" t="s">
        <v>5256</v>
      </c>
      <c r="F24" s="511" t="s">
        <v>5254</v>
      </c>
      <c r="G24" s="512">
        <v>120.893</v>
      </c>
      <c r="H24" s="513">
        <v>123.333</v>
      </c>
      <c r="I24" s="513">
        <v>126.792</v>
      </c>
      <c r="J24" s="513">
        <v>128.09200000000001</v>
      </c>
      <c r="K24" s="513">
        <v>130.066</v>
      </c>
      <c r="L24" s="513">
        <v>132.30199999999999</v>
      </c>
      <c r="M24" s="513">
        <v>134.91300000000001</v>
      </c>
      <c r="N24" s="513">
        <v>135.96700000000001</v>
      </c>
      <c r="O24" s="512">
        <v>137.107</v>
      </c>
      <c r="P24" s="513">
        <v>139.19300000000001</v>
      </c>
      <c r="Q24" s="513">
        <v>141.74299999999999</v>
      </c>
      <c r="R24" s="513">
        <v>143.28200000000001</v>
      </c>
    </row>
    <row r="25" spans="1:18" ht="15" x14ac:dyDescent="0.2">
      <c r="A25" s="284">
        <v>44501</v>
      </c>
      <c r="B25" s="285">
        <v>0.95</v>
      </c>
      <c r="C25" s="286">
        <f t="shared" si="0"/>
        <v>1.1419923419224662</v>
      </c>
      <c r="E25" s="514" t="s">
        <v>5257</v>
      </c>
      <c r="F25" s="515" t="s">
        <v>5258</v>
      </c>
      <c r="G25" s="516">
        <v>114.593</v>
      </c>
      <c r="H25" s="517">
        <v>122.23399999999999</v>
      </c>
      <c r="I25" s="517">
        <v>123.815</v>
      </c>
      <c r="J25" s="517">
        <v>124.87</v>
      </c>
      <c r="K25" s="517">
        <v>142.97300000000001</v>
      </c>
      <c r="L25" s="517">
        <v>142.696</v>
      </c>
      <c r="M25" s="517">
        <v>143.989</v>
      </c>
      <c r="N25" s="517">
        <v>149.339</v>
      </c>
      <c r="O25" s="516">
        <v>150.429</v>
      </c>
      <c r="P25" s="517">
        <v>151.85900000000001</v>
      </c>
      <c r="Q25" s="517">
        <v>163.209</v>
      </c>
      <c r="R25" s="517">
        <v>165.51599999999999</v>
      </c>
    </row>
    <row r="26" spans="1:18" ht="15" x14ac:dyDescent="0.2">
      <c r="A26" s="284">
        <v>44531</v>
      </c>
      <c r="B26" s="285">
        <v>0.73</v>
      </c>
      <c r="C26" s="286">
        <f t="shared" si="0"/>
        <v>1.1503288860185004</v>
      </c>
      <c r="E26" s="510" t="s">
        <v>5259</v>
      </c>
      <c r="F26" s="511" t="s">
        <v>5258</v>
      </c>
      <c r="G26" s="512">
        <v>113.188</v>
      </c>
      <c r="H26" s="513">
        <v>121.97799999999999</v>
      </c>
      <c r="I26" s="513">
        <v>123.17100000000001</v>
      </c>
      <c r="J26" s="513">
        <v>123.52</v>
      </c>
      <c r="K26" s="513">
        <v>146.51300000000001</v>
      </c>
      <c r="L26" s="513">
        <v>146.13</v>
      </c>
      <c r="M26" s="513">
        <v>146.648</v>
      </c>
      <c r="N26" s="513">
        <v>152.93</v>
      </c>
      <c r="O26" s="512">
        <v>153.18</v>
      </c>
      <c r="P26" s="513">
        <v>153.76300000000001</v>
      </c>
      <c r="Q26" s="513">
        <v>167.55600000000001</v>
      </c>
      <c r="R26" s="513">
        <v>168.697</v>
      </c>
    </row>
    <row r="27" spans="1:18" ht="15" x14ac:dyDescent="0.2">
      <c r="A27" s="284">
        <v>44562</v>
      </c>
      <c r="B27" s="285">
        <v>0.54</v>
      </c>
      <c r="C27" s="286">
        <f t="shared" si="0"/>
        <v>1.1565406620030003</v>
      </c>
      <c r="E27" s="514" t="s">
        <v>5260</v>
      </c>
      <c r="F27" s="515" t="s">
        <v>5258</v>
      </c>
      <c r="G27" s="516">
        <v>118.285</v>
      </c>
      <c r="H27" s="517">
        <v>123.374</v>
      </c>
      <c r="I27" s="517">
        <v>124.123</v>
      </c>
      <c r="J27" s="517">
        <v>126.18899999999999</v>
      </c>
      <c r="K27" s="517">
        <v>142.54</v>
      </c>
      <c r="L27" s="517">
        <v>141.86799999999999</v>
      </c>
      <c r="M27" s="517">
        <v>143.845</v>
      </c>
      <c r="N27" s="517">
        <v>148.28</v>
      </c>
      <c r="O27" s="516">
        <v>148.79599999999999</v>
      </c>
      <c r="P27" s="517">
        <v>150.63</v>
      </c>
      <c r="Q27" s="517">
        <v>161.452</v>
      </c>
      <c r="R27" s="517">
        <v>163.643</v>
      </c>
    </row>
    <row r="28" spans="1:18" ht="15" x14ac:dyDescent="0.2">
      <c r="A28" s="284">
        <v>44593</v>
      </c>
      <c r="B28" s="285">
        <v>1.01</v>
      </c>
      <c r="C28" s="286">
        <f t="shared" si="0"/>
        <v>1.1682217226892306</v>
      </c>
      <c r="E28" s="510" t="s">
        <v>5261</v>
      </c>
      <c r="F28" s="511" t="s">
        <v>5258</v>
      </c>
      <c r="G28" s="512">
        <v>116.73699999999999</v>
      </c>
      <c r="H28" s="513">
        <v>126.378</v>
      </c>
      <c r="I28" s="513">
        <v>126.852</v>
      </c>
      <c r="J28" s="513">
        <v>126.764</v>
      </c>
      <c r="K28" s="513">
        <v>152.30099999999999</v>
      </c>
      <c r="L28" s="513">
        <v>151.95699999999999</v>
      </c>
      <c r="M28" s="513">
        <v>152.78100000000001</v>
      </c>
      <c r="N28" s="513">
        <v>160.00299999999999</v>
      </c>
      <c r="O28" s="512">
        <v>160.26499999999999</v>
      </c>
      <c r="P28" s="513">
        <v>160.458</v>
      </c>
      <c r="Q28" s="513">
        <v>175.416</v>
      </c>
      <c r="R28" s="513">
        <v>176.05</v>
      </c>
    </row>
    <row r="29" spans="1:18" ht="15" x14ac:dyDescent="0.2">
      <c r="A29" s="287">
        <v>44621</v>
      </c>
      <c r="B29" s="523"/>
      <c r="C29" s="288">
        <f t="shared" si="0"/>
        <v>1.1682217226892306</v>
      </c>
      <c r="E29" s="514" t="s">
        <v>5262</v>
      </c>
      <c r="F29" s="515" t="s">
        <v>5263</v>
      </c>
      <c r="G29" s="518"/>
      <c r="H29" s="518"/>
      <c r="I29" s="518"/>
      <c r="J29" s="518"/>
      <c r="K29" s="518"/>
      <c r="L29" s="518"/>
      <c r="M29" s="518"/>
      <c r="N29" s="517">
        <v>101.693</v>
      </c>
      <c r="O29" s="516">
        <v>102.511</v>
      </c>
      <c r="P29" s="517">
        <v>105.619</v>
      </c>
      <c r="Q29" s="517">
        <v>108.357</v>
      </c>
      <c r="R29" s="517">
        <v>109.771</v>
      </c>
    </row>
    <row r="30" spans="1:18" x14ac:dyDescent="0.2">
      <c r="A30" s="289" t="s">
        <v>2659</v>
      </c>
      <c r="B30" s="290" t="s">
        <v>2660</v>
      </c>
      <c r="C30" s="290"/>
    </row>
  </sheetData>
  <pageMargins left="0.511811024" right="0.511811024" top="0.78740157499999996" bottom="0.78740157499999996" header="0.31496062000000002" footer="0.31496062000000002"/>
  <pageSetup paperSize="9" orientation="portrait" horizontalDpi="200" verticalDpi="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Plan12"/>
  <dimension ref="A1:Q40"/>
  <sheetViews>
    <sheetView showGridLines="0" workbookViewId="0"/>
  </sheetViews>
  <sheetFormatPr defaultRowHeight="15" x14ac:dyDescent="0.2"/>
  <cols>
    <col min="1" max="1" width="21" style="386" bestFit="1" customWidth="1"/>
    <col min="2" max="2" width="6.5703125" style="386" bestFit="1" customWidth="1"/>
    <col min="3" max="3" width="9.7109375" style="386" customWidth="1"/>
    <col min="4" max="4" width="7.7109375" style="386" customWidth="1"/>
    <col min="5" max="5" width="9.85546875" style="386" customWidth="1"/>
    <col min="6" max="8" width="5.7109375" style="386" customWidth="1"/>
    <col min="9" max="9" width="4.140625" style="531" bestFit="1" customWidth="1"/>
    <col min="10" max="12" width="9.7109375" style="386" customWidth="1"/>
    <col min="13" max="13" width="5.7109375" style="386" customWidth="1"/>
    <col min="14" max="14" width="4.140625" style="531" bestFit="1" customWidth="1"/>
    <col min="15" max="17" width="9.7109375" style="386" customWidth="1"/>
    <col min="18" max="16384" width="9.140625" style="386"/>
  </cols>
  <sheetData>
    <row r="1" spans="1:17" ht="12.75" x14ac:dyDescent="0.2">
      <c r="B1"/>
      <c r="D1" s="526" t="s">
        <v>5276</v>
      </c>
      <c r="E1" s="526"/>
      <c r="F1" s="526"/>
      <c r="G1" s="526"/>
      <c r="H1" s="526"/>
      <c r="I1" s="526"/>
      <c r="J1" s="526"/>
      <c r="K1" s="526"/>
      <c r="L1" s="526"/>
      <c r="M1" s="526"/>
      <c r="N1" s="526"/>
      <c r="O1" s="526"/>
      <c r="P1" s="526"/>
      <c r="Q1" s="526"/>
    </row>
    <row r="2" spans="1:17" ht="15.75" thickBot="1" x14ac:dyDescent="0.25">
      <c r="A2" s="533" t="s">
        <v>5270</v>
      </c>
      <c r="B2"/>
      <c r="C2" s="374"/>
      <c r="D2" s="387" t="s">
        <v>5275</v>
      </c>
      <c r="E2" s="388"/>
      <c r="F2" s="388"/>
      <c r="G2" s="388"/>
      <c r="H2" s="388"/>
      <c r="I2" s="528"/>
      <c r="J2" s="389"/>
      <c r="N2" s="529"/>
    </row>
    <row r="3" spans="1:17" ht="15.75" x14ac:dyDescent="0.2">
      <c r="A3" s="30"/>
      <c r="B3" s="150"/>
      <c r="C3" s="30"/>
      <c r="E3" s="373"/>
      <c r="F3" s="373"/>
      <c r="G3" s="373"/>
      <c r="H3" s="373"/>
      <c r="I3" s="530"/>
      <c r="J3" s="373"/>
      <c r="K3" s="373"/>
      <c r="N3" s="529"/>
    </row>
    <row r="4" spans="1:17" x14ac:dyDescent="0.25">
      <c r="A4" s="524" t="s">
        <v>5271</v>
      </c>
      <c r="B4" s="525">
        <f>E9</f>
        <v>754.75</v>
      </c>
      <c r="C4" s="715" t="s">
        <v>5273</v>
      </c>
      <c r="D4" s="32" t="s">
        <v>1721</v>
      </c>
      <c r="E4" s="32" t="s">
        <v>5272</v>
      </c>
      <c r="F4" s="32" t="s">
        <v>1722</v>
      </c>
      <c r="G4" s="32" t="s">
        <v>1723</v>
      </c>
      <c r="H4" s="374"/>
      <c r="I4" s="714" t="s">
        <v>4998</v>
      </c>
      <c r="J4" s="32" t="s">
        <v>4629</v>
      </c>
      <c r="K4" s="32" t="s">
        <v>4630</v>
      </c>
      <c r="L4" s="32" t="s">
        <v>4631</v>
      </c>
      <c r="N4" s="714" t="s">
        <v>4999</v>
      </c>
      <c r="O4" s="32" t="s">
        <v>4629</v>
      </c>
      <c r="P4" s="32" t="s">
        <v>4630</v>
      </c>
      <c r="Q4" s="32" t="s">
        <v>4631</v>
      </c>
    </row>
    <row r="5" spans="1:17" x14ac:dyDescent="0.2">
      <c r="A5" s="30"/>
      <c r="B5" s="150"/>
      <c r="C5" s="715"/>
      <c r="D5" s="16" t="s">
        <v>1717</v>
      </c>
      <c r="E5" s="375">
        <f t="array" ref="E5">(MIN(IF(J5:L5&gt;0,J5:L5))+MIN(IF(O5:Q5&gt;0,O5:Q5)))</f>
        <v>749</v>
      </c>
      <c r="F5" s="16" t="s">
        <v>1719</v>
      </c>
      <c r="G5" s="16" t="s">
        <v>1719</v>
      </c>
      <c r="H5" s="2"/>
      <c r="I5" s="714"/>
      <c r="J5" s="376">
        <v>373</v>
      </c>
      <c r="K5" s="376">
        <v>376</v>
      </c>
      <c r="L5" s="376">
        <v>387</v>
      </c>
      <c r="N5" s="714"/>
      <c r="O5" s="376">
        <v>376</v>
      </c>
      <c r="P5" s="376">
        <v>383</v>
      </c>
      <c r="Q5" s="376">
        <v>391</v>
      </c>
    </row>
    <row r="6" spans="1:17" x14ac:dyDescent="0.2">
      <c r="A6" s="30"/>
      <c r="B6" s="150"/>
      <c r="C6" s="715"/>
      <c r="D6" s="16" t="s">
        <v>1718</v>
      </c>
      <c r="E6" s="375">
        <f t="array" ref="E6">(MIN(IF(J6:L6&gt;0,J6:L6))+MIN(IF(O6:Q6&gt;0,O6:Q6)))</f>
        <v>687</v>
      </c>
      <c r="F6" s="16" t="s">
        <v>1719</v>
      </c>
      <c r="G6" s="16" t="s">
        <v>1719</v>
      </c>
      <c r="H6" s="2"/>
      <c r="I6" s="714"/>
      <c r="J6" s="376">
        <v>290</v>
      </c>
      <c r="K6" s="376">
        <v>362</v>
      </c>
      <c r="L6" s="376">
        <v>397</v>
      </c>
      <c r="N6" s="714"/>
      <c r="O6" s="376">
        <v>397</v>
      </c>
      <c r="P6" s="376">
        <v>397</v>
      </c>
      <c r="Q6" s="376">
        <v>399</v>
      </c>
    </row>
    <row r="7" spans="1:17" x14ac:dyDescent="0.2">
      <c r="A7" s="30"/>
      <c r="B7" s="150"/>
      <c r="C7" s="715"/>
      <c r="D7" s="16" t="s">
        <v>2664</v>
      </c>
      <c r="E7" s="375">
        <f t="array" ref="E7">(MIN(IF(J7:L7&gt;0,J7:L7))+MIN(IF(O7:Q7&gt;0,O7:Q7)))</f>
        <v>578</v>
      </c>
      <c r="F7" s="16" t="s">
        <v>1719</v>
      </c>
      <c r="G7" s="16" t="s">
        <v>1719</v>
      </c>
      <c r="H7" s="2"/>
      <c r="I7" s="714"/>
      <c r="J7" s="376">
        <v>292</v>
      </c>
      <c r="K7" s="376">
        <v>293</v>
      </c>
      <c r="L7" s="376">
        <v>293</v>
      </c>
      <c r="N7" s="714"/>
      <c r="O7" s="376">
        <v>286</v>
      </c>
      <c r="P7" s="376">
        <v>298</v>
      </c>
      <c r="Q7" s="376">
        <v>298</v>
      </c>
    </row>
    <row r="8" spans="1:17" x14ac:dyDescent="0.2">
      <c r="A8" s="30"/>
      <c r="B8" s="150"/>
      <c r="C8" s="715"/>
      <c r="D8" s="16" t="s">
        <v>1720</v>
      </c>
      <c r="E8" s="375">
        <f t="array" ref="E8">(MIN(IF(J8:L8&gt;0,J8:L8))+MIN(IF(O8:Q8&gt;0,O8:Q8)))</f>
        <v>1005</v>
      </c>
      <c r="F8" s="16" t="s">
        <v>1719</v>
      </c>
      <c r="G8" s="16" t="s">
        <v>1719</v>
      </c>
      <c r="H8" s="2"/>
      <c r="I8" s="714"/>
      <c r="J8" s="376">
        <v>501</v>
      </c>
      <c r="K8" s="376">
        <v>503</v>
      </c>
      <c r="L8" s="376">
        <v>503</v>
      </c>
      <c r="N8" s="714"/>
      <c r="O8" s="376">
        <v>504</v>
      </c>
      <c r="P8" s="376">
        <v>504</v>
      </c>
      <c r="Q8" s="376">
        <v>506</v>
      </c>
    </row>
    <row r="9" spans="1:17" x14ac:dyDescent="0.2">
      <c r="A9" s="30"/>
      <c r="B9" s="150"/>
      <c r="C9" s="715"/>
      <c r="D9" s="32" t="s">
        <v>5274</v>
      </c>
      <c r="E9" s="391">
        <f>AVERAGEIF(E5:E8,"&gt;0",E5:E8)</f>
        <v>754.75</v>
      </c>
      <c r="I9" s="527"/>
      <c r="N9" s="527"/>
    </row>
    <row r="10" spans="1:17" x14ac:dyDescent="0.2">
      <c r="A10" s="30"/>
      <c r="B10" s="150"/>
      <c r="C10" s="30"/>
      <c r="D10" s="31"/>
      <c r="I10" s="527"/>
      <c r="N10" s="527"/>
    </row>
    <row r="11" spans="1:17" ht="15.75" thickBot="1" x14ac:dyDescent="0.25">
      <c r="A11" s="533" t="s">
        <v>5269</v>
      </c>
      <c r="B11"/>
      <c r="C11" s="30"/>
      <c r="D11" s="532" t="s">
        <v>5007</v>
      </c>
      <c r="E11" s="532"/>
      <c r="F11" s="532"/>
      <c r="G11" s="532"/>
      <c r="H11" s="532"/>
      <c r="I11" s="532"/>
      <c r="J11" s="532"/>
      <c r="K11" s="532"/>
      <c r="L11" s="532"/>
      <c r="M11" s="532"/>
      <c r="N11" s="532"/>
      <c r="O11" s="532"/>
      <c r="P11" s="532"/>
      <c r="Q11" s="532"/>
    </row>
    <row r="12" spans="1:17" x14ac:dyDescent="0.2">
      <c r="A12" s="30"/>
      <c r="B12"/>
      <c r="C12" s="30"/>
      <c r="D12" s="532" t="s">
        <v>5008</v>
      </c>
      <c r="E12" s="532"/>
      <c r="F12" s="532"/>
      <c r="G12" s="532"/>
      <c r="H12" s="532"/>
      <c r="I12" s="532"/>
      <c r="J12" s="532"/>
      <c r="K12" s="532"/>
      <c r="L12" s="532"/>
      <c r="M12" s="532"/>
      <c r="N12" s="532"/>
      <c r="O12" s="532"/>
      <c r="P12" s="532"/>
      <c r="Q12" s="532"/>
    </row>
    <row r="13" spans="1:17" x14ac:dyDescent="0.25">
      <c r="A13" s="524" t="s">
        <v>5271</v>
      </c>
      <c r="B13" s="525">
        <f>AVERAGE(E20,E28)</f>
        <v>824.7</v>
      </c>
      <c r="C13" s="30"/>
      <c r="E13" s="373"/>
      <c r="F13" s="373"/>
      <c r="G13" s="373"/>
      <c r="H13" s="373"/>
      <c r="I13" s="373"/>
      <c r="J13" s="373"/>
      <c r="K13" s="373"/>
      <c r="N13" s="527"/>
    </row>
    <row r="14" spans="1:17" x14ac:dyDescent="0.2">
      <c r="A14" s="30"/>
      <c r="B14" s="150"/>
      <c r="C14" s="713" t="s">
        <v>5006</v>
      </c>
      <c r="D14" s="32" t="s">
        <v>1721</v>
      </c>
      <c r="E14" s="32" t="s">
        <v>5272</v>
      </c>
      <c r="F14" s="32" t="s">
        <v>1722</v>
      </c>
      <c r="G14" s="32" t="s">
        <v>1723</v>
      </c>
      <c r="H14" s="374"/>
      <c r="I14" s="713" t="s">
        <v>4998</v>
      </c>
      <c r="J14" s="32" t="s">
        <v>4629</v>
      </c>
      <c r="K14" s="32" t="s">
        <v>4630</v>
      </c>
      <c r="L14" s="32" t="s">
        <v>4631</v>
      </c>
      <c r="N14" s="713" t="s">
        <v>4999</v>
      </c>
      <c r="O14" s="32" t="s">
        <v>4629</v>
      </c>
      <c r="P14" s="32" t="s">
        <v>4630</v>
      </c>
      <c r="Q14" s="32" t="s">
        <v>4631</v>
      </c>
    </row>
    <row r="15" spans="1:17" x14ac:dyDescent="0.2">
      <c r="A15" s="30"/>
      <c r="B15" s="150"/>
      <c r="C15" s="713"/>
      <c r="D15" s="16" t="s">
        <v>1717</v>
      </c>
      <c r="E15" s="375">
        <f t="array" ref="E15">(MIN(IF(J15:L15&gt;0,J15:L15))+MIN(IF(O15:Q15&gt;0,O15:Q15)))</f>
        <v>963</v>
      </c>
      <c r="F15" s="16" t="s">
        <v>4903</v>
      </c>
      <c r="G15" s="16" t="s">
        <v>4903</v>
      </c>
      <c r="H15" s="2"/>
      <c r="I15" s="713"/>
      <c r="J15" s="376">
        <v>407</v>
      </c>
      <c r="K15" s="376">
        <v>556</v>
      </c>
      <c r="L15" s="376">
        <v>966</v>
      </c>
      <c r="N15" s="713"/>
      <c r="O15" s="376">
        <v>556</v>
      </c>
      <c r="P15" s="376">
        <v>625</v>
      </c>
      <c r="Q15" s="376">
        <v>1072</v>
      </c>
    </row>
    <row r="16" spans="1:17" x14ac:dyDescent="0.2">
      <c r="A16" s="30"/>
      <c r="B16" s="150"/>
      <c r="C16" s="713"/>
      <c r="D16" s="16" t="s">
        <v>1718</v>
      </c>
      <c r="E16" s="375">
        <f t="array" ref="E16">(MIN(IF(J16:L16&gt;0,J16:L16))+MIN(IF(O16:Q16&gt;0,O16:Q16)))</f>
        <v>933</v>
      </c>
      <c r="F16" s="16" t="s">
        <v>4903</v>
      </c>
      <c r="G16" s="16" t="s">
        <v>4903</v>
      </c>
      <c r="H16" s="2"/>
      <c r="I16" s="713"/>
      <c r="J16" s="376">
        <v>458</v>
      </c>
      <c r="K16" s="376">
        <v>987</v>
      </c>
      <c r="L16" s="376">
        <v>1340</v>
      </c>
      <c r="N16" s="713"/>
      <c r="O16" s="376">
        <v>475</v>
      </c>
      <c r="P16" s="376">
        <v>877</v>
      </c>
      <c r="Q16" s="376">
        <v>1194</v>
      </c>
    </row>
    <row r="17" spans="1:17" x14ac:dyDescent="0.2">
      <c r="A17" s="30"/>
      <c r="B17" s="150"/>
      <c r="C17" s="713"/>
      <c r="D17" s="16" t="s">
        <v>2664</v>
      </c>
      <c r="E17" s="375">
        <f t="array" ref="E17">(MIN(IF(J17:L17&gt;0,J17:L17))+MIN(IF(O17:Q17&gt;0,O17:Q17)))</f>
        <v>982</v>
      </c>
      <c r="F17" s="16" t="s">
        <v>4903</v>
      </c>
      <c r="G17" s="16" t="s">
        <v>4903</v>
      </c>
      <c r="H17" s="2"/>
      <c r="I17" s="713"/>
      <c r="J17" s="376">
        <v>453</v>
      </c>
      <c r="K17" s="376">
        <v>1278</v>
      </c>
      <c r="L17" s="376">
        <v>1335</v>
      </c>
      <c r="N17" s="713"/>
      <c r="O17" s="376">
        <v>529</v>
      </c>
      <c r="P17" s="376">
        <v>755</v>
      </c>
      <c r="Q17" s="376">
        <v>1194</v>
      </c>
    </row>
    <row r="18" spans="1:17" x14ac:dyDescent="0.2">
      <c r="A18" s="30"/>
      <c r="B18" s="150"/>
      <c r="C18" s="713"/>
      <c r="D18" s="16" t="s">
        <v>1720</v>
      </c>
      <c r="E18" s="375">
        <f t="array" ref="E18">(MIN(IF(J18:L18&gt;0,J18:L18))+MIN(IF(O18:Q18&gt;0,O18:Q18)))</f>
        <v>874</v>
      </c>
      <c r="F18" s="16" t="s">
        <v>4903</v>
      </c>
      <c r="G18" s="16" t="s">
        <v>4903</v>
      </c>
      <c r="H18" s="2"/>
      <c r="I18" s="713"/>
      <c r="J18" s="376">
        <v>277</v>
      </c>
      <c r="K18" s="376">
        <v>615</v>
      </c>
      <c r="L18" s="376">
        <v>1255</v>
      </c>
      <c r="N18" s="713"/>
      <c r="O18" s="376">
        <v>597</v>
      </c>
      <c r="P18" s="376">
        <v>625</v>
      </c>
      <c r="Q18" s="376">
        <v>1199</v>
      </c>
    </row>
    <row r="19" spans="1:17" x14ac:dyDescent="0.2">
      <c r="A19" s="30"/>
      <c r="B19" s="150"/>
      <c r="C19" s="713"/>
      <c r="D19" s="16" t="s">
        <v>1719</v>
      </c>
      <c r="E19" s="375">
        <f t="array" ref="E19">(MIN(IF(J19:L19&gt;0,J19:L19))+MIN(IF(O19:Q19&gt;0,O19:Q19)))</f>
        <v>933</v>
      </c>
      <c r="F19" s="16" t="s">
        <v>4903</v>
      </c>
      <c r="G19" s="16" t="s">
        <v>4903</v>
      </c>
      <c r="H19" s="2"/>
      <c r="I19" s="713"/>
      <c r="J19" s="376">
        <v>458</v>
      </c>
      <c r="K19" s="376">
        <v>703</v>
      </c>
      <c r="L19" s="376">
        <v>1540</v>
      </c>
      <c r="N19" s="713"/>
      <c r="O19" s="376">
        <v>475</v>
      </c>
      <c r="P19" s="376">
        <v>929</v>
      </c>
      <c r="Q19" s="376">
        <v>1123</v>
      </c>
    </row>
    <row r="20" spans="1:17" x14ac:dyDescent="0.2">
      <c r="A20" s="30"/>
      <c r="B20" s="150"/>
      <c r="C20" s="713"/>
      <c r="D20" s="32" t="s">
        <v>5274</v>
      </c>
      <c r="E20" s="391">
        <f>AVERAGEIF(E15:E19,"&gt;0",E15:E19)</f>
        <v>937</v>
      </c>
      <c r="I20" s="527"/>
      <c r="N20" s="527"/>
    </row>
    <row r="21" spans="1:17" x14ac:dyDescent="0.2">
      <c r="A21" s="30"/>
      <c r="B21" s="150"/>
      <c r="C21" s="30"/>
      <c r="E21" s="373"/>
      <c r="F21" s="373"/>
      <c r="G21" s="373"/>
      <c r="H21" s="373"/>
      <c r="I21" s="373"/>
      <c r="J21" s="373"/>
      <c r="K21" s="373"/>
      <c r="N21" s="527"/>
    </row>
    <row r="22" spans="1:17" x14ac:dyDescent="0.2">
      <c r="A22" s="30"/>
      <c r="B22" s="150"/>
      <c r="C22" s="713" t="s">
        <v>1704</v>
      </c>
      <c r="D22" s="32" t="s">
        <v>1721</v>
      </c>
      <c r="E22" s="32" t="s">
        <v>5272</v>
      </c>
      <c r="F22" s="32" t="s">
        <v>1722</v>
      </c>
      <c r="G22" s="32" t="s">
        <v>1723</v>
      </c>
      <c r="H22" s="374"/>
      <c r="I22" s="713" t="s">
        <v>4998</v>
      </c>
      <c r="J22" s="32" t="s">
        <v>4629</v>
      </c>
      <c r="K22" s="32" t="s">
        <v>4630</v>
      </c>
      <c r="L22" s="32" t="s">
        <v>4631</v>
      </c>
      <c r="N22" s="713" t="s">
        <v>4999</v>
      </c>
      <c r="O22" s="32" t="s">
        <v>4629</v>
      </c>
      <c r="P22" s="32" t="s">
        <v>4630</v>
      </c>
      <c r="Q22" s="32" t="s">
        <v>4631</v>
      </c>
    </row>
    <row r="23" spans="1:17" x14ac:dyDescent="0.2">
      <c r="A23" s="30"/>
      <c r="B23" s="150"/>
      <c r="C23" s="713"/>
      <c r="D23" s="16" t="s">
        <v>1717</v>
      </c>
      <c r="E23" s="375">
        <f t="array" ref="E23">(MIN(IF(J23:L23&gt;0,J23:L23))+MIN(IF(O23:Q23&gt;0,O23:Q23)))</f>
        <v>802</v>
      </c>
      <c r="F23" s="16" t="s">
        <v>4903</v>
      </c>
      <c r="G23" s="16" t="s">
        <v>4903</v>
      </c>
      <c r="H23" s="2"/>
      <c r="I23" s="713"/>
      <c r="J23" s="376">
        <v>388</v>
      </c>
      <c r="K23" s="376">
        <v>406</v>
      </c>
      <c r="L23" s="376">
        <v>446</v>
      </c>
      <c r="N23" s="713"/>
      <c r="O23" s="376">
        <v>414</v>
      </c>
      <c r="P23" s="376">
        <v>544</v>
      </c>
      <c r="Q23" s="376">
        <v>523</v>
      </c>
    </row>
    <row r="24" spans="1:17" x14ac:dyDescent="0.2">
      <c r="A24" s="30"/>
      <c r="B24" s="150"/>
      <c r="C24" s="713"/>
      <c r="D24" s="16" t="s">
        <v>1718</v>
      </c>
      <c r="E24" s="375">
        <f t="array" ref="E24">(MIN(IF(J24:L24&gt;0,J24:L24))+MIN(IF(O24:Q24&gt;0,O24:Q24)))</f>
        <v>600</v>
      </c>
      <c r="F24" s="16" t="s">
        <v>4903</v>
      </c>
      <c r="G24" s="16" t="s">
        <v>4903</v>
      </c>
      <c r="H24" s="2"/>
      <c r="I24" s="713"/>
      <c r="J24" s="376">
        <v>296</v>
      </c>
      <c r="K24" s="376">
        <v>420</v>
      </c>
      <c r="L24" s="376">
        <v>450</v>
      </c>
      <c r="N24" s="713"/>
      <c r="O24" s="376">
        <v>304</v>
      </c>
      <c r="P24" s="376">
        <v>424</v>
      </c>
      <c r="Q24" s="376">
        <v>718</v>
      </c>
    </row>
    <row r="25" spans="1:17" x14ac:dyDescent="0.2">
      <c r="A25" s="30"/>
      <c r="B25" s="150"/>
      <c r="C25" s="713"/>
      <c r="D25" s="16" t="s">
        <v>2664</v>
      </c>
      <c r="E25" s="375">
        <f t="array" ref="E25">(MIN(IF(J25:L25&gt;0,J25:L25))+MIN(IF(O25:Q25&gt;0,O25:Q25)))</f>
        <v>781</v>
      </c>
      <c r="F25" s="16" t="s">
        <v>4903</v>
      </c>
      <c r="G25" s="16" t="s">
        <v>4903</v>
      </c>
      <c r="H25" s="2"/>
      <c r="I25" s="713"/>
      <c r="J25" s="376">
        <v>386</v>
      </c>
      <c r="K25" s="376">
        <v>470</v>
      </c>
      <c r="L25" s="376">
        <v>780</v>
      </c>
      <c r="N25" s="713"/>
      <c r="O25" s="376">
        <v>395</v>
      </c>
      <c r="P25" s="376">
        <v>443</v>
      </c>
      <c r="Q25" s="376">
        <v>1187</v>
      </c>
    </row>
    <row r="26" spans="1:17" x14ac:dyDescent="0.2">
      <c r="A26" s="30"/>
      <c r="B26" s="150"/>
      <c r="C26" s="713"/>
      <c r="D26" s="16" t="s">
        <v>1720</v>
      </c>
      <c r="E26" s="375">
        <f t="array" ref="E26">(MIN(IF(J26:L26&gt;0,J26:L26))+MIN(IF(O26:Q26&gt;0,O26:Q26)))</f>
        <v>599</v>
      </c>
      <c r="F26" s="16" t="s">
        <v>4903</v>
      </c>
      <c r="G26" s="16" t="s">
        <v>4903</v>
      </c>
      <c r="H26" s="2"/>
      <c r="I26" s="713"/>
      <c r="J26" s="376">
        <v>295</v>
      </c>
      <c r="K26" s="376">
        <v>440</v>
      </c>
      <c r="L26" s="376">
        <v>765</v>
      </c>
      <c r="N26" s="713"/>
      <c r="O26" s="376">
        <v>304</v>
      </c>
      <c r="P26" s="376">
        <v>304</v>
      </c>
      <c r="Q26" s="376">
        <v>748</v>
      </c>
    </row>
    <row r="27" spans="1:17" x14ac:dyDescent="0.2">
      <c r="A27" s="30"/>
      <c r="B27" s="150"/>
      <c r="C27" s="713"/>
      <c r="D27" s="16" t="s">
        <v>1719</v>
      </c>
      <c r="E27" s="375">
        <f t="array" ref="E27">(MIN(IF(J27:L27&gt;0,J27:L27))+MIN(IF(O27:Q27&gt;0,O27:Q27)))</f>
        <v>780</v>
      </c>
      <c r="F27" s="16" t="s">
        <v>4903</v>
      </c>
      <c r="G27" s="16" t="s">
        <v>4903</v>
      </c>
      <c r="H27" s="2"/>
      <c r="I27" s="713"/>
      <c r="J27" s="376">
        <v>388</v>
      </c>
      <c r="K27" s="376">
        <v>558</v>
      </c>
      <c r="L27" s="376">
        <v>725</v>
      </c>
      <c r="N27" s="713"/>
      <c r="O27" s="376">
        <v>392</v>
      </c>
      <c r="P27" s="376">
        <v>424</v>
      </c>
      <c r="Q27" s="376">
        <v>664</v>
      </c>
    </row>
    <row r="28" spans="1:17" x14ac:dyDescent="0.2">
      <c r="A28" s="30"/>
      <c r="B28" s="150"/>
      <c r="C28" s="713"/>
      <c r="D28" s="32" t="s">
        <v>5274</v>
      </c>
      <c r="E28" s="391">
        <f>AVERAGEIF(E23:E27,"&gt;0",E23:E27)</f>
        <v>712.4</v>
      </c>
      <c r="I28" s="527"/>
      <c r="N28" s="527"/>
    </row>
    <row r="29" spans="1:17" ht="15.75" thickBot="1" x14ac:dyDescent="0.25">
      <c r="A29" s="533" t="s">
        <v>2665</v>
      </c>
      <c r="B29"/>
      <c r="C29" s="30"/>
      <c r="D29" s="30"/>
      <c r="I29" s="527"/>
      <c r="N29" s="527"/>
    </row>
    <row r="30" spans="1:17" x14ac:dyDescent="0.2">
      <c r="B30"/>
      <c r="C30" s="30"/>
      <c r="I30" s="527"/>
      <c r="N30" s="527"/>
    </row>
    <row r="31" spans="1:17" x14ac:dyDescent="0.2">
      <c r="A31" s="377" t="s">
        <v>5271</v>
      </c>
      <c r="B31" s="390">
        <f>E36</f>
        <v>961.25</v>
      </c>
      <c r="C31" s="713" t="s">
        <v>5277</v>
      </c>
      <c r="D31" s="32" t="s">
        <v>1721</v>
      </c>
      <c r="E31" s="32" t="s">
        <v>5272</v>
      </c>
      <c r="F31" s="32" t="s">
        <v>1722</v>
      </c>
      <c r="G31" s="32" t="s">
        <v>1723</v>
      </c>
      <c r="H31" s="374"/>
      <c r="I31" s="713" t="s">
        <v>4998</v>
      </c>
      <c r="J31" s="32" t="s">
        <v>4629</v>
      </c>
      <c r="K31" s="32" t="s">
        <v>4630</v>
      </c>
      <c r="L31" s="32" t="s">
        <v>4631</v>
      </c>
      <c r="N31" s="713" t="s">
        <v>4999</v>
      </c>
      <c r="O31" s="32" t="s">
        <v>4629</v>
      </c>
      <c r="P31" s="32" t="s">
        <v>4630</v>
      </c>
      <c r="Q31" s="32" t="s">
        <v>4631</v>
      </c>
    </row>
    <row r="32" spans="1:17" x14ac:dyDescent="0.2">
      <c r="C32" s="713"/>
      <c r="D32" s="16" t="s">
        <v>1717</v>
      </c>
      <c r="E32" s="375">
        <f t="array" ref="E32">(MIN(IF(J32:L32&gt;0,J32:L32))+MIN(IF(O32:Q32&gt;0,O32:Q32)))</f>
        <v>912</v>
      </c>
      <c r="F32" s="16" t="s">
        <v>1720</v>
      </c>
      <c r="G32" s="16" t="s">
        <v>1720</v>
      </c>
      <c r="H32" s="2"/>
      <c r="I32" s="713"/>
      <c r="J32" s="376">
        <v>457</v>
      </c>
      <c r="K32" s="376">
        <v>457</v>
      </c>
      <c r="L32" s="376">
        <v>577</v>
      </c>
      <c r="N32" s="713"/>
      <c r="O32" s="376">
        <v>455</v>
      </c>
      <c r="P32" s="376">
        <v>456</v>
      </c>
      <c r="Q32" s="376">
        <v>456</v>
      </c>
    </row>
    <row r="33" spans="3:17" x14ac:dyDescent="0.2">
      <c r="C33" s="713"/>
      <c r="D33" s="16" t="s">
        <v>1718</v>
      </c>
      <c r="E33" s="375">
        <f t="array" ref="E33">(MIN(IF(J33:L33&gt;0,J33:L33))+MIN(IF(O33:Q33&gt;0,O33:Q33)))</f>
        <v>849</v>
      </c>
      <c r="F33" s="16" t="s">
        <v>1720</v>
      </c>
      <c r="G33" s="16" t="s">
        <v>1720</v>
      </c>
      <c r="H33" s="2"/>
      <c r="I33" s="713"/>
      <c r="J33" s="376">
        <v>427</v>
      </c>
      <c r="K33" s="376">
        <v>576</v>
      </c>
      <c r="L33" s="376">
        <v>674</v>
      </c>
      <c r="N33" s="713"/>
      <c r="O33" s="376">
        <v>422</v>
      </c>
      <c r="P33" s="376">
        <v>467</v>
      </c>
      <c r="Q33" s="376">
        <v>571</v>
      </c>
    </row>
    <row r="34" spans="3:17" x14ac:dyDescent="0.2">
      <c r="C34" s="713"/>
      <c r="D34" s="16" t="s">
        <v>2664</v>
      </c>
      <c r="E34" s="375">
        <f t="array" ref="E34">(MIN(IF(J34:L34&gt;0,J34:L34))+MIN(IF(O34:Q34&gt;0,O34:Q34)))</f>
        <v>1080</v>
      </c>
      <c r="F34" s="16" t="s">
        <v>1720</v>
      </c>
      <c r="G34" s="16" t="s">
        <v>1720</v>
      </c>
      <c r="H34" s="2"/>
      <c r="I34" s="713"/>
      <c r="J34" s="376">
        <v>540</v>
      </c>
      <c r="K34" s="376">
        <v>613</v>
      </c>
      <c r="L34" s="376">
        <v>672</v>
      </c>
      <c r="N34" s="713"/>
      <c r="O34" s="376">
        <v>540</v>
      </c>
      <c r="P34" s="376">
        <v>540</v>
      </c>
      <c r="Q34" s="376">
        <v>557</v>
      </c>
    </row>
    <row r="35" spans="3:17" x14ac:dyDescent="0.2">
      <c r="C35" s="713"/>
      <c r="D35" s="16" t="s">
        <v>1719</v>
      </c>
      <c r="E35" s="375">
        <f t="array" ref="E35">(MIN(IF(J35:L35&gt;0,J35:L35))+MIN(IF(O35:Q35&gt;0,O35:Q35)))</f>
        <v>1004</v>
      </c>
      <c r="F35" s="16" t="s">
        <v>1720</v>
      </c>
      <c r="G35" s="16" t="s">
        <v>1720</v>
      </c>
      <c r="H35" s="2"/>
      <c r="I35" s="713"/>
      <c r="J35" s="376">
        <v>504</v>
      </c>
      <c r="K35" s="376">
        <v>508</v>
      </c>
      <c r="L35" s="376">
        <v>602</v>
      </c>
      <c r="N35" s="713"/>
      <c r="O35" s="376">
        <v>500</v>
      </c>
      <c r="P35" s="376">
        <v>503</v>
      </c>
      <c r="Q35" s="376">
        <v>503</v>
      </c>
    </row>
    <row r="36" spans="3:17" x14ac:dyDescent="0.2">
      <c r="C36" s="713"/>
      <c r="D36" s="32" t="s">
        <v>5274</v>
      </c>
      <c r="E36" s="391">
        <f>AVERAGEIF(E32:E35,"&gt;0",E32:E35)</f>
        <v>961.25</v>
      </c>
      <c r="H36" s="2"/>
      <c r="I36" s="529"/>
      <c r="N36" s="529"/>
    </row>
    <row r="37" spans="3:17" x14ac:dyDescent="0.2">
      <c r="C37" s="30"/>
    </row>
    <row r="38" spans="3:17" x14ac:dyDescent="0.2">
      <c r="C38" s="30"/>
    </row>
    <row r="39" spans="3:17" x14ac:dyDescent="0.2">
      <c r="C39" s="30"/>
    </row>
    <row r="40" spans="3:17" x14ac:dyDescent="0.2">
      <c r="C40" s="30"/>
    </row>
  </sheetData>
  <mergeCells count="12">
    <mergeCell ref="C4:C9"/>
    <mergeCell ref="C14:C20"/>
    <mergeCell ref="C22:C28"/>
    <mergeCell ref="C31:C36"/>
    <mergeCell ref="I31:I35"/>
    <mergeCell ref="N31:N35"/>
    <mergeCell ref="I22:I27"/>
    <mergeCell ref="N22:N27"/>
    <mergeCell ref="I4:I8"/>
    <mergeCell ref="N4:N8"/>
    <mergeCell ref="I14:I19"/>
    <mergeCell ref="N14:N1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Plan13"/>
  <dimension ref="A1:E51"/>
  <sheetViews>
    <sheetView showGridLines="0" workbookViewId="0"/>
  </sheetViews>
  <sheetFormatPr defaultRowHeight="12.75" x14ac:dyDescent="0.2"/>
  <cols>
    <col min="1" max="1" width="20.28515625" style="33" customWidth="1"/>
    <col min="2" max="3" width="15.7109375" style="33" customWidth="1"/>
    <col min="4" max="4" width="25" style="33" customWidth="1"/>
    <col min="5" max="5" width="15.7109375" style="33" customWidth="1"/>
    <col min="6" max="6" width="2.7109375" style="33" customWidth="1"/>
    <col min="7" max="7" width="9.140625" style="33"/>
    <col min="8" max="8" width="13.85546875" style="33" bestFit="1" customWidth="1"/>
    <col min="9" max="9" width="9.140625" style="33"/>
    <col min="10" max="10" width="9.42578125" style="33" bestFit="1" customWidth="1"/>
    <col min="11" max="16384" width="9.140625" style="33"/>
  </cols>
  <sheetData>
    <row r="1" spans="1:4" x14ac:dyDescent="0.2">
      <c r="A1" s="379" t="s">
        <v>1902</v>
      </c>
      <c r="B1" s="380" t="s">
        <v>5003</v>
      </c>
      <c r="C1" s="380" t="s">
        <v>5004</v>
      </c>
    </row>
    <row r="2" spans="1:4" x14ac:dyDescent="0.2">
      <c r="A2" s="381" t="s">
        <v>1729</v>
      </c>
      <c r="B2" s="33" t="s">
        <v>1685</v>
      </c>
      <c r="C2" s="33">
        <f t="shared" ref="C2:C28" si="0">IF(ISNA(MATCH($B2,$B$33:$B$50,0))=FALSE,$B$32,IF(ISNA(MATCH($B2,$C$33:$C$50,0))=FALSE,$C$32,IF(ISNA(MATCH($B2,$D$33:$D$50,0))=FALSE,$D$32,$E$32)))</f>
        <v>224.2</v>
      </c>
      <c r="D2" s="382">
        <f>AVERAGE(C2,$E$32)</f>
        <v>200.6</v>
      </c>
    </row>
    <row r="3" spans="1:4" x14ac:dyDescent="0.2">
      <c r="A3" s="381" t="s">
        <v>1730</v>
      </c>
      <c r="B3" s="378" t="s">
        <v>1727</v>
      </c>
      <c r="C3" s="33">
        <f t="shared" si="0"/>
        <v>224.2</v>
      </c>
      <c r="D3" s="382">
        <f t="shared" ref="D3:D28" si="1">AVERAGE(C3,$E$32)</f>
        <v>200.6</v>
      </c>
    </row>
    <row r="4" spans="1:4" x14ac:dyDescent="0.2">
      <c r="A4" s="381" t="s">
        <v>1731</v>
      </c>
      <c r="B4" s="33" t="s">
        <v>1698</v>
      </c>
      <c r="C4" s="33">
        <f t="shared" si="0"/>
        <v>224.2</v>
      </c>
      <c r="D4" s="382">
        <f t="shared" si="1"/>
        <v>200.6</v>
      </c>
    </row>
    <row r="5" spans="1:4" x14ac:dyDescent="0.2">
      <c r="A5" s="381" t="s">
        <v>1732</v>
      </c>
      <c r="B5" s="378" t="s">
        <v>1728</v>
      </c>
      <c r="C5" s="33">
        <f t="shared" si="0"/>
        <v>212.4</v>
      </c>
      <c r="D5" s="382">
        <f t="shared" si="1"/>
        <v>194.7</v>
      </c>
    </row>
    <row r="6" spans="1:4" x14ac:dyDescent="0.2">
      <c r="A6" s="381" t="s">
        <v>1733</v>
      </c>
      <c r="B6" s="33" t="s">
        <v>1696</v>
      </c>
      <c r="C6" s="33">
        <f t="shared" si="0"/>
        <v>212.4</v>
      </c>
      <c r="D6" s="382">
        <f t="shared" si="1"/>
        <v>194.7</v>
      </c>
    </row>
    <row r="7" spans="1:4" x14ac:dyDescent="0.2">
      <c r="A7" s="381" t="s">
        <v>1734</v>
      </c>
      <c r="B7" s="33" t="s">
        <v>1699</v>
      </c>
      <c r="C7" s="33">
        <f t="shared" si="0"/>
        <v>212.4</v>
      </c>
      <c r="D7" s="382">
        <f t="shared" si="1"/>
        <v>194.7</v>
      </c>
    </row>
    <row r="8" spans="1:4" x14ac:dyDescent="0.2">
      <c r="A8" s="381" t="s">
        <v>1735</v>
      </c>
      <c r="B8" s="33" t="s">
        <v>1700</v>
      </c>
      <c r="C8" s="33">
        <f t="shared" si="0"/>
        <v>212.4</v>
      </c>
      <c r="D8" s="382">
        <f t="shared" si="1"/>
        <v>194.7</v>
      </c>
    </row>
    <row r="9" spans="1:4" x14ac:dyDescent="0.2">
      <c r="A9" s="381" t="s">
        <v>1736</v>
      </c>
      <c r="B9" s="33" t="s">
        <v>1702</v>
      </c>
      <c r="C9" s="33">
        <f t="shared" si="0"/>
        <v>212.4</v>
      </c>
      <c r="D9" s="382">
        <f t="shared" si="1"/>
        <v>194.7</v>
      </c>
    </row>
    <row r="10" spans="1:4" x14ac:dyDescent="0.2">
      <c r="A10" s="383" t="s">
        <v>1717</v>
      </c>
      <c r="B10" s="33" t="s">
        <v>1687</v>
      </c>
      <c r="C10" s="33">
        <f t="shared" si="0"/>
        <v>212.4</v>
      </c>
      <c r="D10" s="382">
        <f t="shared" si="1"/>
        <v>194.7</v>
      </c>
    </row>
    <row r="11" spans="1:4" x14ac:dyDescent="0.2">
      <c r="A11" s="381" t="s">
        <v>1737</v>
      </c>
      <c r="B11" s="33" t="s">
        <v>1695</v>
      </c>
      <c r="C11" s="33">
        <f t="shared" si="0"/>
        <v>200.6</v>
      </c>
      <c r="D11" s="382">
        <f t="shared" si="1"/>
        <v>188.8</v>
      </c>
    </row>
    <row r="12" spans="1:4" x14ac:dyDescent="0.2">
      <c r="A12" s="381" t="s">
        <v>1738</v>
      </c>
      <c r="B12" s="33" t="s">
        <v>1697</v>
      </c>
      <c r="C12" s="33">
        <f t="shared" si="0"/>
        <v>200.6</v>
      </c>
      <c r="D12" s="382">
        <f t="shared" si="1"/>
        <v>188.8</v>
      </c>
    </row>
    <row r="13" spans="1:4" x14ac:dyDescent="0.2">
      <c r="A13" s="381" t="s">
        <v>1739</v>
      </c>
      <c r="B13" s="33" t="s">
        <v>1688</v>
      </c>
      <c r="C13" s="33">
        <f t="shared" si="0"/>
        <v>200.6</v>
      </c>
      <c r="D13" s="382">
        <f t="shared" si="1"/>
        <v>188.8</v>
      </c>
    </row>
    <row r="14" spans="1:4" x14ac:dyDescent="0.2">
      <c r="A14" s="381" t="s">
        <v>1740</v>
      </c>
      <c r="B14" s="33" t="s">
        <v>1701</v>
      </c>
      <c r="C14" s="33">
        <f t="shared" si="0"/>
        <v>200.6</v>
      </c>
      <c r="D14" s="382">
        <f t="shared" si="1"/>
        <v>188.8</v>
      </c>
    </row>
    <row r="15" spans="1:4" x14ac:dyDescent="0.2">
      <c r="A15" s="381" t="s">
        <v>1741</v>
      </c>
      <c r="B15" s="33" t="s">
        <v>1686</v>
      </c>
      <c r="C15" s="33">
        <f t="shared" si="0"/>
        <v>200.6</v>
      </c>
      <c r="D15" s="382">
        <f t="shared" si="1"/>
        <v>188.8</v>
      </c>
    </row>
    <row r="16" spans="1:4" x14ac:dyDescent="0.2">
      <c r="A16" s="381" t="s">
        <v>1742</v>
      </c>
      <c r="B16" s="33" t="s">
        <v>1703</v>
      </c>
      <c r="C16" s="33">
        <f t="shared" si="0"/>
        <v>200.6</v>
      </c>
      <c r="D16" s="382">
        <f t="shared" si="1"/>
        <v>188.8</v>
      </c>
    </row>
    <row r="17" spans="1:5" x14ac:dyDescent="0.2">
      <c r="A17" s="381" t="s">
        <v>1743</v>
      </c>
      <c r="B17" s="33" t="s">
        <v>1704</v>
      </c>
      <c r="C17" s="33">
        <f t="shared" si="0"/>
        <v>200.6</v>
      </c>
      <c r="D17" s="382">
        <f t="shared" si="1"/>
        <v>188.8</v>
      </c>
    </row>
    <row r="18" spans="1:5" x14ac:dyDescent="0.2">
      <c r="A18" s="381" t="s">
        <v>1744</v>
      </c>
      <c r="B18" s="33" t="s">
        <v>1705</v>
      </c>
      <c r="C18" s="33">
        <f t="shared" si="0"/>
        <v>200.6</v>
      </c>
      <c r="D18" s="382">
        <f t="shared" si="1"/>
        <v>188.8</v>
      </c>
    </row>
    <row r="19" spans="1:5" x14ac:dyDescent="0.2">
      <c r="A19" s="381" t="s">
        <v>1724</v>
      </c>
      <c r="B19" s="33" t="s">
        <v>1706</v>
      </c>
      <c r="C19" s="33">
        <f t="shared" si="0"/>
        <v>200.6</v>
      </c>
      <c r="D19" s="382">
        <f t="shared" si="1"/>
        <v>188.8</v>
      </c>
    </row>
    <row r="20" spans="1:5" x14ac:dyDescent="0.2">
      <c r="A20" s="381" t="s">
        <v>1745</v>
      </c>
      <c r="B20" s="33" t="s">
        <v>1707</v>
      </c>
      <c r="C20" s="33">
        <f t="shared" si="0"/>
        <v>200.6</v>
      </c>
      <c r="D20" s="382">
        <f t="shared" si="1"/>
        <v>188.8</v>
      </c>
    </row>
    <row r="21" spans="1:5" x14ac:dyDescent="0.2">
      <c r="A21" s="381" t="s">
        <v>1746</v>
      </c>
      <c r="B21" s="33" t="s">
        <v>1708</v>
      </c>
      <c r="C21" s="33">
        <f t="shared" si="0"/>
        <v>200.6</v>
      </c>
      <c r="D21" s="382">
        <f t="shared" si="1"/>
        <v>188.8</v>
      </c>
    </row>
    <row r="22" spans="1:5" x14ac:dyDescent="0.2">
      <c r="A22" s="381" t="s">
        <v>1747</v>
      </c>
      <c r="B22" s="33" t="s">
        <v>1709</v>
      </c>
      <c r="C22" s="33">
        <f t="shared" si="0"/>
        <v>200.6</v>
      </c>
      <c r="D22" s="382">
        <f t="shared" si="1"/>
        <v>188.8</v>
      </c>
    </row>
    <row r="23" spans="1:5" x14ac:dyDescent="0.2">
      <c r="A23" s="381" t="s">
        <v>1748</v>
      </c>
      <c r="B23" s="33" t="s">
        <v>1710</v>
      </c>
      <c r="C23" s="33">
        <f t="shared" si="0"/>
        <v>200.6</v>
      </c>
      <c r="D23" s="382">
        <f t="shared" si="1"/>
        <v>188.8</v>
      </c>
    </row>
    <row r="24" spans="1:5" x14ac:dyDescent="0.2">
      <c r="A24" s="381" t="s">
        <v>1749</v>
      </c>
      <c r="B24" s="33" t="s">
        <v>1711</v>
      </c>
      <c r="C24" s="33">
        <f t="shared" si="0"/>
        <v>200.6</v>
      </c>
      <c r="D24" s="382">
        <f t="shared" si="1"/>
        <v>188.8</v>
      </c>
    </row>
    <row r="25" spans="1:5" x14ac:dyDescent="0.2">
      <c r="A25" s="381" t="s">
        <v>1750</v>
      </c>
      <c r="B25" s="33" t="s">
        <v>1712</v>
      </c>
      <c r="C25" s="33">
        <f t="shared" si="0"/>
        <v>200.6</v>
      </c>
      <c r="D25" s="382">
        <f t="shared" si="1"/>
        <v>188.8</v>
      </c>
    </row>
    <row r="26" spans="1:5" x14ac:dyDescent="0.2">
      <c r="A26" s="381" t="s">
        <v>1751</v>
      </c>
      <c r="B26" s="33" t="s">
        <v>1713</v>
      </c>
      <c r="C26" s="33">
        <f t="shared" si="0"/>
        <v>200.6</v>
      </c>
      <c r="D26" s="382">
        <f t="shared" si="1"/>
        <v>188.8</v>
      </c>
    </row>
    <row r="27" spans="1:5" x14ac:dyDescent="0.2">
      <c r="A27" s="381" t="s">
        <v>1752</v>
      </c>
      <c r="B27" s="33" t="s">
        <v>1714</v>
      </c>
      <c r="C27" s="33">
        <f t="shared" si="0"/>
        <v>200.6</v>
      </c>
      <c r="D27" s="382">
        <f t="shared" si="1"/>
        <v>188.8</v>
      </c>
    </row>
    <row r="28" spans="1:5" x14ac:dyDescent="0.2">
      <c r="A28" s="381" t="s">
        <v>1753</v>
      </c>
      <c r="B28" s="33" t="s">
        <v>1715</v>
      </c>
      <c r="C28" s="33">
        <f t="shared" si="0"/>
        <v>200.6</v>
      </c>
      <c r="D28" s="382">
        <f t="shared" si="1"/>
        <v>188.8</v>
      </c>
    </row>
    <row r="29" spans="1:5" x14ac:dyDescent="0.2">
      <c r="A29" s="381"/>
      <c r="D29" s="382"/>
    </row>
    <row r="30" spans="1:5" x14ac:dyDescent="0.2">
      <c r="A30" s="380" t="s">
        <v>5005</v>
      </c>
    </row>
    <row r="31" spans="1:5" ht="22.5" x14ac:dyDescent="0.2">
      <c r="A31" s="17" t="s">
        <v>1689</v>
      </c>
      <c r="B31" s="17" t="s">
        <v>1690</v>
      </c>
      <c r="C31" s="18" t="s">
        <v>1691</v>
      </c>
      <c r="D31" s="17" t="s">
        <v>1692</v>
      </c>
      <c r="E31" s="17" t="s">
        <v>1693</v>
      </c>
    </row>
    <row r="32" spans="1:5" x14ac:dyDescent="0.2">
      <c r="A32" s="19"/>
      <c r="B32" s="20">
        <v>224.2</v>
      </c>
      <c r="C32" s="20">
        <v>212.4</v>
      </c>
      <c r="D32" s="20">
        <v>200.6</v>
      </c>
      <c r="E32" s="20">
        <v>177</v>
      </c>
    </row>
    <row r="33" spans="1:5" x14ac:dyDescent="0.2">
      <c r="A33" s="716" t="s">
        <v>1694</v>
      </c>
      <c r="B33" s="21" t="s">
        <v>1685</v>
      </c>
      <c r="C33" s="21" t="s">
        <v>1728</v>
      </c>
      <c r="D33" s="21" t="s">
        <v>1695</v>
      </c>
      <c r="E33" s="22"/>
    </row>
    <row r="34" spans="1:5" x14ac:dyDescent="0.2">
      <c r="A34" s="716"/>
      <c r="B34" s="21" t="s">
        <v>1727</v>
      </c>
      <c r="C34" s="21" t="s">
        <v>1696</v>
      </c>
      <c r="D34" s="21" t="s">
        <v>1697</v>
      </c>
      <c r="E34" s="22"/>
    </row>
    <row r="35" spans="1:5" x14ac:dyDescent="0.2">
      <c r="A35" s="716"/>
      <c r="B35" s="21" t="s">
        <v>1698</v>
      </c>
      <c r="C35" s="21" t="s">
        <v>1699</v>
      </c>
      <c r="D35" s="21" t="s">
        <v>1688</v>
      </c>
      <c r="E35" s="22"/>
    </row>
    <row r="36" spans="1:5" x14ac:dyDescent="0.2">
      <c r="A36" s="716"/>
      <c r="B36" s="21"/>
      <c r="C36" s="21" t="s">
        <v>1700</v>
      </c>
      <c r="D36" s="21" t="s">
        <v>1701</v>
      </c>
      <c r="E36" s="22"/>
    </row>
    <row r="37" spans="1:5" x14ac:dyDescent="0.2">
      <c r="A37" s="716"/>
      <c r="B37" s="21"/>
      <c r="C37" s="21" t="s">
        <v>1702</v>
      </c>
      <c r="D37" s="21" t="s">
        <v>1686</v>
      </c>
      <c r="E37" s="22"/>
    </row>
    <row r="38" spans="1:5" x14ac:dyDescent="0.2">
      <c r="A38" s="716"/>
      <c r="B38" s="21"/>
      <c r="C38" s="21" t="s">
        <v>1687</v>
      </c>
      <c r="D38" s="21" t="s">
        <v>1703</v>
      </c>
      <c r="E38" s="22"/>
    </row>
    <row r="39" spans="1:5" x14ac:dyDescent="0.2">
      <c r="A39" s="716"/>
      <c r="B39" s="21"/>
      <c r="C39" s="21"/>
      <c r="D39" s="21" t="s">
        <v>1704</v>
      </c>
      <c r="E39" s="22"/>
    </row>
    <row r="40" spans="1:5" x14ac:dyDescent="0.2">
      <c r="A40" s="716"/>
      <c r="B40" s="21"/>
      <c r="C40" s="23"/>
      <c r="D40" s="21" t="s">
        <v>1705</v>
      </c>
      <c r="E40" s="22"/>
    </row>
    <row r="41" spans="1:5" x14ac:dyDescent="0.2">
      <c r="A41" s="716"/>
      <c r="B41" s="21"/>
      <c r="C41" s="23"/>
      <c r="D41" s="21" t="s">
        <v>1706</v>
      </c>
      <c r="E41" s="22"/>
    </row>
    <row r="42" spans="1:5" ht="14.25" x14ac:dyDescent="0.2">
      <c r="A42" s="716"/>
      <c r="B42" s="24"/>
      <c r="C42" s="23"/>
      <c r="D42" s="21" t="s">
        <v>1707</v>
      </c>
      <c r="E42" s="384"/>
    </row>
    <row r="43" spans="1:5" ht="14.25" x14ac:dyDescent="0.2">
      <c r="A43" s="716"/>
      <c r="B43" s="24"/>
      <c r="C43" s="25"/>
      <c r="D43" s="21" t="s">
        <v>1708</v>
      </c>
      <c r="E43" s="25"/>
    </row>
    <row r="44" spans="1:5" ht="14.25" x14ac:dyDescent="0.2">
      <c r="A44" s="716"/>
      <c r="B44" s="24"/>
      <c r="C44" s="25"/>
      <c r="D44" s="21" t="s">
        <v>1709</v>
      </c>
      <c r="E44" s="25"/>
    </row>
    <row r="45" spans="1:5" ht="14.25" x14ac:dyDescent="0.2">
      <c r="A45" s="716"/>
      <c r="B45" s="24"/>
      <c r="C45" s="25"/>
      <c r="D45" s="21" t="s">
        <v>1710</v>
      </c>
      <c r="E45" s="25"/>
    </row>
    <row r="46" spans="1:5" ht="14.25" x14ac:dyDescent="0.2">
      <c r="A46" s="716"/>
      <c r="B46" s="24"/>
      <c r="C46" s="25"/>
      <c r="D46" s="21" t="s">
        <v>1711</v>
      </c>
      <c r="E46" s="25"/>
    </row>
    <row r="47" spans="1:5" ht="14.25" x14ac:dyDescent="0.2">
      <c r="A47" s="716"/>
      <c r="B47" s="24"/>
      <c r="C47" s="25"/>
      <c r="D47" s="21" t="s">
        <v>1712</v>
      </c>
      <c r="E47" s="25"/>
    </row>
    <row r="48" spans="1:5" ht="14.25" x14ac:dyDescent="0.2">
      <c r="A48" s="716"/>
      <c r="B48" s="24"/>
      <c r="C48" s="25"/>
      <c r="D48" s="21" t="s">
        <v>1713</v>
      </c>
      <c r="E48" s="25"/>
    </row>
    <row r="49" spans="1:5" ht="14.25" x14ac:dyDescent="0.2">
      <c r="A49" s="716"/>
      <c r="B49" s="24"/>
      <c r="C49" s="25"/>
      <c r="D49" s="21" t="s">
        <v>1714</v>
      </c>
      <c r="E49" s="25"/>
    </row>
    <row r="50" spans="1:5" ht="14.25" x14ac:dyDescent="0.2">
      <c r="A50" s="717"/>
      <c r="B50" s="26"/>
      <c r="C50" s="27"/>
      <c r="D50" s="28" t="s">
        <v>1715</v>
      </c>
      <c r="E50" s="27"/>
    </row>
    <row r="51" spans="1:5" ht="14.25" x14ac:dyDescent="0.2">
      <c r="A51" s="29" t="s">
        <v>1716</v>
      </c>
      <c r="B51" s="385"/>
      <c r="C51" s="385"/>
      <c r="D51" s="385"/>
      <c r="E51" s="385"/>
    </row>
  </sheetData>
  <mergeCells count="1">
    <mergeCell ref="A33:A50"/>
  </mergeCells>
  <hyperlinks>
    <hyperlink ref="A51" r:id="rId1" xr:uid="{00000000-0004-0000-0B00-000000000000}"/>
  </hyperlink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Plan7"/>
  <dimension ref="A1:D29"/>
  <sheetViews>
    <sheetView showGridLines="0" workbookViewId="0"/>
  </sheetViews>
  <sheetFormatPr defaultRowHeight="12.75" x14ac:dyDescent="0.2"/>
  <cols>
    <col min="1" max="1" width="5.28515625" style="154" bestFit="1" customWidth="1"/>
    <col min="2" max="2" width="78" style="154" bestFit="1" customWidth="1"/>
    <col min="3" max="3" width="8.7109375" style="154" bestFit="1" customWidth="1"/>
    <col min="4" max="4" width="14.140625" style="154" bestFit="1" customWidth="1"/>
    <col min="5" max="16384" width="9.140625" style="154"/>
  </cols>
  <sheetData>
    <row r="1" spans="1:4" x14ac:dyDescent="0.2">
      <c r="A1" s="152" t="s">
        <v>2668</v>
      </c>
      <c r="B1" s="152" t="s">
        <v>2669</v>
      </c>
      <c r="C1" s="152" t="s">
        <v>2670</v>
      </c>
      <c r="D1" s="153" t="s">
        <v>2671</v>
      </c>
    </row>
    <row r="2" spans="1:4" x14ac:dyDescent="0.2">
      <c r="A2" s="155">
        <v>1</v>
      </c>
      <c r="B2" s="156" t="s">
        <v>2672</v>
      </c>
      <c r="C2" s="157"/>
      <c r="D2" s="158"/>
    </row>
    <row r="3" spans="1:4" x14ac:dyDescent="0.2">
      <c r="A3" s="159" t="s">
        <v>2673</v>
      </c>
      <c r="B3" s="160" t="s">
        <v>2674</v>
      </c>
      <c r="C3" s="161"/>
      <c r="D3" s="162"/>
    </row>
    <row r="4" spans="1:4" x14ac:dyDescent="0.2">
      <c r="A4" s="159" t="s">
        <v>2675</v>
      </c>
      <c r="B4" s="160" t="s">
        <v>2676</v>
      </c>
      <c r="C4" s="159" t="s">
        <v>2677</v>
      </c>
      <c r="D4" s="163">
        <v>1242.8</v>
      </c>
    </row>
    <row r="5" spans="1:4" x14ac:dyDescent="0.2">
      <c r="A5" s="159" t="s">
        <v>2678</v>
      </c>
      <c r="B5" s="160" t="s">
        <v>2679</v>
      </c>
      <c r="C5" s="159" t="s">
        <v>2680</v>
      </c>
      <c r="D5" s="164">
        <v>23.68</v>
      </c>
    </row>
    <row r="6" spans="1:4" x14ac:dyDescent="0.2">
      <c r="A6" s="165" t="s">
        <v>2681</v>
      </c>
      <c r="B6" s="166" t="s">
        <v>2682</v>
      </c>
      <c r="C6" s="167"/>
      <c r="D6" s="168"/>
    </row>
    <row r="7" spans="1:4" x14ac:dyDescent="0.2">
      <c r="A7" s="159" t="s">
        <v>2683</v>
      </c>
      <c r="B7" s="160" t="s">
        <v>2676</v>
      </c>
      <c r="C7" s="159" t="s">
        <v>2677</v>
      </c>
      <c r="D7" s="163">
        <v>1242.8</v>
      </c>
    </row>
    <row r="8" spans="1:4" x14ac:dyDescent="0.2">
      <c r="A8" s="159" t="s">
        <v>2684</v>
      </c>
      <c r="B8" s="160" t="s">
        <v>2679</v>
      </c>
      <c r="C8" s="159" t="s">
        <v>2680</v>
      </c>
      <c r="D8" s="164">
        <v>23.68</v>
      </c>
    </row>
    <row r="9" spans="1:4" x14ac:dyDescent="0.2">
      <c r="A9" s="159" t="s">
        <v>2685</v>
      </c>
      <c r="B9" s="160" t="s">
        <v>2686</v>
      </c>
      <c r="C9" s="161"/>
      <c r="D9" s="162"/>
    </row>
    <row r="10" spans="1:4" x14ac:dyDescent="0.2">
      <c r="A10" s="159" t="s">
        <v>2687</v>
      </c>
      <c r="B10" s="160" t="s">
        <v>2676</v>
      </c>
      <c r="C10" s="159" t="s">
        <v>2677</v>
      </c>
      <c r="D10" s="163">
        <v>1242.8</v>
      </c>
    </row>
    <row r="11" spans="1:4" x14ac:dyDescent="0.2">
      <c r="A11" s="159" t="s">
        <v>2688</v>
      </c>
      <c r="B11" s="160" t="s">
        <v>2679</v>
      </c>
      <c r="C11" s="159" t="s">
        <v>2680</v>
      </c>
      <c r="D11" s="164">
        <v>40.5</v>
      </c>
    </row>
    <row r="12" spans="1:4" x14ac:dyDescent="0.2">
      <c r="A12" s="159" t="s">
        <v>2689</v>
      </c>
      <c r="B12" s="160" t="s">
        <v>2690</v>
      </c>
      <c r="C12" s="161"/>
      <c r="D12" s="162"/>
    </row>
    <row r="13" spans="1:4" x14ac:dyDescent="0.2">
      <c r="A13" s="159" t="s">
        <v>2691</v>
      </c>
      <c r="B13" s="160" t="s">
        <v>2676</v>
      </c>
      <c r="C13" s="159" t="s">
        <v>2677</v>
      </c>
      <c r="D13" s="163">
        <v>5164.2299999999996</v>
      </c>
    </row>
    <row r="14" spans="1:4" x14ac:dyDescent="0.2">
      <c r="A14" s="159" t="s">
        <v>2692</v>
      </c>
      <c r="B14" s="160" t="s">
        <v>2679</v>
      </c>
      <c r="C14" s="159" t="s">
        <v>2693</v>
      </c>
      <c r="D14" s="164">
        <v>2.62</v>
      </c>
    </row>
    <row r="15" spans="1:4" x14ac:dyDescent="0.2">
      <c r="A15" s="159" t="s">
        <v>2694</v>
      </c>
      <c r="B15" s="160" t="s">
        <v>2695</v>
      </c>
      <c r="C15" s="161"/>
      <c r="D15" s="162"/>
    </row>
    <row r="16" spans="1:4" x14ac:dyDescent="0.2">
      <c r="A16" s="159" t="s">
        <v>2696</v>
      </c>
      <c r="B16" s="160" t="s">
        <v>2676</v>
      </c>
      <c r="C16" s="159" t="s">
        <v>2677</v>
      </c>
      <c r="D16" s="163">
        <v>1242.8</v>
      </c>
    </row>
    <row r="17" spans="1:4" x14ac:dyDescent="0.2">
      <c r="A17" s="159" t="s">
        <v>2697</v>
      </c>
      <c r="B17" s="160" t="s">
        <v>2679</v>
      </c>
      <c r="C17" s="159" t="s">
        <v>2680</v>
      </c>
      <c r="D17" s="164">
        <v>4.68</v>
      </c>
    </row>
    <row r="18" spans="1:4" x14ac:dyDescent="0.2">
      <c r="A18" s="159" t="s">
        <v>2698</v>
      </c>
      <c r="B18" s="160" t="s">
        <v>2699</v>
      </c>
      <c r="C18" s="161"/>
      <c r="D18" s="162"/>
    </row>
    <row r="19" spans="1:4" x14ac:dyDescent="0.2">
      <c r="A19" s="159" t="s">
        <v>2700</v>
      </c>
      <c r="B19" s="160" t="s">
        <v>2676</v>
      </c>
      <c r="C19" s="159" t="s">
        <v>2677</v>
      </c>
      <c r="D19" s="163">
        <v>1225.95</v>
      </c>
    </row>
    <row r="20" spans="1:4" x14ac:dyDescent="0.2">
      <c r="A20" s="159" t="s">
        <v>2701</v>
      </c>
      <c r="B20" s="160" t="s">
        <v>2679</v>
      </c>
      <c r="C20" s="159" t="s">
        <v>2680</v>
      </c>
      <c r="D20" s="164">
        <v>4.49</v>
      </c>
    </row>
    <row r="21" spans="1:4" x14ac:dyDescent="0.2">
      <c r="A21" s="159" t="s">
        <v>2702</v>
      </c>
      <c r="B21" s="160" t="s">
        <v>2703</v>
      </c>
      <c r="C21" s="161"/>
      <c r="D21" s="162"/>
    </row>
    <row r="22" spans="1:4" x14ac:dyDescent="0.2">
      <c r="A22" s="159" t="s">
        <v>2704</v>
      </c>
      <c r="B22" s="160" t="s">
        <v>2676</v>
      </c>
      <c r="C22" s="159" t="s">
        <v>2677</v>
      </c>
      <c r="D22" s="163">
        <v>7765.28</v>
      </c>
    </row>
    <row r="23" spans="1:4" x14ac:dyDescent="0.2">
      <c r="A23" s="159" t="s">
        <v>2705</v>
      </c>
      <c r="B23" s="160" t="s">
        <v>2679</v>
      </c>
      <c r="C23" s="159" t="s">
        <v>2680</v>
      </c>
      <c r="D23" s="164">
        <v>65.63</v>
      </c>
    </row>
    <row r="24" spans="1:4" x14ac:dyDescent="0.2">
      <c r="A24" s="155">
        <v>2</v>
      </c>
      <c r="B24" s="156" t="s">
        <v>2706</v>
      </c>
      <c r="C24" s="157"/>
      <c r="D24" s="158"/>
    </row>
    <row r="25" spans="1:4" x14ac:dyDescent="0.2">
      <c r="A25" s="159" t="s">
        <v>2707</v>
      </c>
      <c r="B25" s="160" t="s">
        <v>1906</v>
      </c>
      <c r="C25" s="159" t="s">
        <v>33</v>
      </c>
      <c r="D25" s="164">
        <v>337.92</v>
      </c>
    </row>
    <row r="26" spans="1:4" x14ac:dyDescent="0.2">
      <c r="A26" s="159" t="s">
        <v>2708</v>
      </c>
      <c r="B26" s="160" t="s">
        <v>1907</v>
      </c>
      <c r="C26" s="159" t="s">
        <v>33</v>
      </c>
      <c r="D26" s="164">
        <v>138.68</v>
      </c>
    </row>
    <row r="27" spans="1:4" x14ac:dyDescent="0.2">
      <c r="A27" s="159" t="s">
        <v>2709</v>
      </c>
      <c r="B27" s="160" t="s">
        <v>1908</v>
      </c>
      <c r="C27" s="159" t="s">
        <v>33</v>
      </c>
      <c r="D27" s="164">
        <v>433.1</v>
      </c>
    </row>
    <row r="28" spans="1:4" x14ac:dyDescent="0.2">
      <c r="A28" s="159" t="s">
        <v>2710</v>
      </c>
      <c r="B28" s="160" t="s">
        <v>1909</v>
      </c>
      <c r="C28" s="159" t="s">
        <v>33</v>
      </c>
      <c r="D28" s="164">
        <v>591.08000000000004</v>
      </c>
    </row>
    <row r="29" spans="1:4" x14ac:dyDescent="0.2">
      <c r="A29" s="169"/>
      <c r="B29" s="169"/>
      <c r="C29" s="169"/>
      <c r="D29" s="170" t="s">
        <v>2711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Plan10"/>
  <dimension ref="A1:B5"/>
  <sheetViews>
    <sheetView showGridLines="0" workbookViewId="0"/>
  </sheetViews>
  <sheetFormatPr defaultRowHeight="12.75" x14ac:dyDescent="0.2"/>
  <cols>
    <col min="1" max="1" width="64.5703125" style="171" customWidth="1"/>
    <col min="2" max="2" width="13" style="171" customWidth="1"/>
    <col min="3" max="16384" width="9.140625" style="171"/>
  </cols>
  <sheetData>
    <row r="1" spans="1:2" ht="15" x14ac:dyDescent="0.2">
      <c r="A1" s="172" t="s">
        <v>2717</v>
      </c>
      <c r="B1" s="172" t="s">
        <v>2718</v>
      </c>
    </row>
    <row r="2" spans="1:2" ht="15" x14ac:dyDescent="0.2">
      <c r="A2" s="173" t="s">
        <v>2719</v>
      </c>
      <c r="B2" s="174">
        <v>15120</v>
      </c>
    </row>
    <row r="3" spans="1:2" ht="15" x14ac:dyDescent="0.2">
      <c r="A3" s="173" t="s">
        <v>2720</v>
      </c>
      <c r="B3" s="174">
        <v>3500</v>
      </c>
    </row>
    <row r="4" spans="1:2" ht="15" x14ac:dyDescent="0.2">
      <c r="A4" s="173" t="s">
        <v>2721</v>
      </c>
      <c r="B4" s="174">
        <v>16800</v>
      </c>
    </row>
    <row r="5" spans="1:2" ht="15" x14ac:dyDescent="0.2">
      <c r="A5" s="173" t="s">
        <v>2722</v>
      </c>
      <c r="B5" s="174">
        <v>6400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Plan14"/>
  <dimension ref="A1:D11"/>
  <sheetViews>
    <sheetView showGridLines="0" workbookViewId="0"/>
  </sheetViews>
  <sheetFormatPr defaultRowHeight="12.75" x14ac:dyDescent="0.2"/>
  <cols>
    <col min="1" max="1" width="5.85546875" style="171" customWidth="1"/>
    <col min="2" max="2" width="67.5703125" style="171" bestFit="1" customWidth="1"/>
    <col min="3" max="3" width="9.85546875" style="171" customWidth="1"/>
    <col min="4" max="4" width="13.42578125" style="171" customWidth="1"/>
    <col min="5" max="16384" width="9.140625" style="171"/>
  </cols>
  <sheetData>
    <row r="1" spans="1:4" ht="25.5" x14ac:dyDescent="0.2">
      <c r="A1" s="175" t="s">
        <v>2725</v>
      </c>
      <c r="B1" s="175" t="s">
        <v>2726</v>
      </c>
      <c r="C1" s="175" t="s">
        <v>2727</v>
      </c>
      <c r="D1" s="183" t="s">
        <v>2734</v>
      </c>
    </row>
    <row r="2" spans="1:4" x14ac:dyDescent="0.2">
      <c r="A2" s="184">
        <v>1</v>
      </c>
      <c r="B2" s="185"/>
      <c r="C2" s="186"/>
      <c r="D2" s="187"/>
    </row>
    <row r="3" spans="1:4" ht="30" customHeight="1" x14ac:dyDescent="0.2">
      <c r="A3" s="176" t="s">
        <v>2673</v>
      </c>
      <c r="B3" s="177" t="s">
        <v>2733</v>
      </c>
      <c r="C3" s="178" t="s">
        <v>2728</v>
      </c>
      <c r="D3" s="179">
        <v>10000</v>
      </c>
    </row>
    <row r="4" spans="1:4" ht="30" customHeight="1" x14ac:dyDescent="0.2">
      <c r="A4" s="176" t="s">
        <v>2681</v>
      </c>
      <c r="B4" s="177" t="s">
        <v>1913</v>
      </c>
      <c r="C4" s="178" t="s">
        <v>2729</v>
      </c>
      <c r="D4" s="180">
        <v>285</v>
      </c>
    </row>
    <row r="5" spans="1:4" ht="30" customHeight="1" x14ac:dyDescent="0.2">
      <c r="A5" s="176" t="s">
        <v>2685</v>
      </c>
      <c r="B5" s="181" t="s">
        <v>2730</v>
      </c>
      <c r="C5" s="178" t="s">
        <v>2729</v>
      </c>
      <c r="D5" s="180">
        <v>30</v>
      </c>
    </row>
    <row r="6" spans="1:4" x14ac:dyDescent="0.2">
      <c r="A6" s="184">
        <v>2</v>
      </c>
      <c r="B6" s="188" t="s">
        <v>2731</v>
      </c>
      <c r="C6" s="189"/>
      <c r="D6" s="187"/>
    </row>
    <row r="7" spans="1:4" ht="30" customHeight="1" x14ac:dyDescent="0.2">
      <c r="A7" s="176" t="s">
        <v>2707</v>
      </c>
      <c r="B7" s="181" t="s">
        <v>2732</v>
      </c>
      <c r="C7" s="178" t="s">
        <v>2729</v>
      </c>
      <c r="D7" s="180">
        <v>10</v>
      </c>
    </row>
    <row r="8" spans="1:4" ht="30" customHeight="1" x14ac:dyDescent="0.2">
      <c r="A8" s="176" t="s">
        <v>2708</v>
      </c>
      <c r="B8" s="182" t="s">
        <v>2723</v>
      </c>
      <c r="C8" s="178" t="s">
        <v>2729</v>
      </c>
      <c r="D8" s="179">
        <v>5000</v>
      </c>
    </row>
    <row r="9" spans="1:4" ht="30" customHeight="1" x14ac:dyDescent="0.2">
      <c r="A9" s="176" t="s">
        <v>2709</v>
      </c>
      <c r="B9" s="191" t="s">
        <v>2736</v>
      </c>
      <c r="C9" s="178" t="s">
        <v>2729</v>
      </c>
      <c r="D9" s="180">
        <v>200</v>
      </c>
    </row>
    <row r="10" spans="1:4" x14ac:dyDescent="0.2">
      <c r="A10" s="184">
        <v>3</v>
      </c>
      <c r="B10" s="185" t="s">
        <v>1849</v>
      </c>
      <c r="C10" s="186"/>
      <c r="D10" s="187"/>
    </row>
    <row r="11" spans="1:4" ht="30" customHeight="1" x14ac:dyDescent="0.2">
      <c r="A11" s="176" t="s">
        <v>2724</v>
      </c>
      <c r="B11" s="181" t="s">
        <v>2737</v>
      </c>
      <c r="C11" s="178" t="s">
        <v>2728</v>
      </c>
      <c r="D11" s="179">
        <v>60000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showGridLines="0" workbookViewId="0"/>
  </sheetViews>
  <sheetFormatPr defaultRowHeight="14.25" x14ac:dyDescent="0.2"/>
  <cols>
    <col min="1" max="16384" width="9.140625" style="427"/>
  </cols>
  <sheetData/>
  <pageMargins left="0.511811024" right="0.511811024" top="0.78740157499999996" bottom="0.78740157499999996" header="0.31496062000000002" footer="0.3149606200000000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F0"/>
  </sheetPr>
  <dimension ref="B1:X63"/>
  <sheetViews>
    <sheetView showGridLines="0" topLeftCell="J33" workbookViewId="0">
      <selection activeCell="Q66" sqref="Q66"/>
    </sheetView>
  </sheetViews>
  <sheetFormatPr defaultRowHeight="14.25" x14ac:dyDescent="0.2"/>
  <cols>
    <col min="1" max="1" width="5.28515625" style="445" customWidth="1"/>
    <col min="2" max="2" width="15.7109375" style="445" customWidth="1"/>
    <col min="3" max="3" width="9.85546875" style="445" customWidth="1"/>
    <col min="4" max="4" width="9.28515625" style="445" customWidth="1"/>
    <col min="5" max="8" width="13.85546875" style="445" customWidth="1"/>
    <col min="9" max="9" width="11.28515625" style="445" customWidth="1"/>
    <col min="10" max="14" width="13.85546875" style="445" customWidth="1"/>
    <col min="15" max="15" width="10.140625" style="445" customWidth="1"/>
    <col min="16" max="16" width="12" style="445" customWidth="1"/>
    <col min="17" max="17" width="13.85546875" style="445" customWidth="1"/>
    <col min="18" max="18" width="20.7109375" style="445" customWidth="1"/>
    <col min="19" max="19" width="16.85546875" style="445" customWidth="1"/>
    <col min="20" max="20" width="17" style="445" customWidth="1"/>
    <col min="21" max="21" width="13.5703125" style="445" customWidth="1"/>
    <col min="22" max="22" width="13.42578125" style="445" customWidth="1"/>
    <col min="23" max="16384" width="9.140625" style="445"/>
  </cols>
  <sheetData>
    <row r="1" spans="2:20" hidden="1" x14ac:dyDescent="0.2"/>
    <row r="2" spans="2:20" ht="45" hidden="1" customHeight="1" x14ac:dyDescent="0.2">
      <c r="B2" s="446" t="s">
        <v>1852</v>
      </c>
      <c r="C2" s="446"/>
      <c r="D2" s="446"/>
      <c r="E2" s="447" t="s">
        <v>5062</v>
      </c>
      <c r="F2" s="447" t="s">
        <v>5063</v>
      </c>
      <c r="G2" s="447" t="s">
        <v>5064</v>
      </c>
      <c r="H2" s="448" t="s">
        <v>5065</v>
      </c>
      <c r="I2" s="447" t="s">
        <v>5066</v>
      </c>
      <c r="J2" s="449"/>
      <c r="K2" s="449"/>
      <c r="L2" s="449"/>
      <c r="M2" s="449"/>
    </row>
    <row r="3" spans="2:20" ht="15" hidden="1" x14ac:dyDescent="0.25">
      <c r="D3" s="445" t="s">
        <v>5067</v>
      </c>
      <c r="E3" s="445" t="s">
        <v>5068</v>
      </c>
      <c r="I3" s="450"/>
      <c r="J3" s="450"/>
      <c r="K3" s="450"/>
      <c r="L3" s="450"/>
      <c r="M3" s="450"/>
    </row>
    <row r="4" spans="2:20" ht="22.5" hidden="1" customHeight="1" x14ac:dyDescent="0.25">
      <c r="B4" s="446" t="s">
        <v>1852</v>
      </c>
      <c r="C4" s="451"/>
      <c r="D4" s="445" t="s">
        <v>5069</v>
      </c>
      <c r="E4" s="445" t="s">
        <v>4888</v>
      </c>
      <c r="F4" s="445" t="s">
        <v>4880</v>
      </c>
      <c r="G4" s="445" t="s">
        <v>4882</v>
      </c>
      <c r="H4" s="445" t="s">
        <v>5070</v>
      </c>
      <c r="I4" s="450"/>
      <c r="J4" s="450"/>
      <c r="K4" s="450"/>
      <c r="L4" s="450"/>
      <c r="M4" s="450"/>
    </row>
    <row r="5" spans="2:20" ht="15" hidden="1" x14ac:dyDescent="0.25">
      <c r="B5" s="452" t="s">
        <v>5071</v>
      </c>
      <c r="C5" s="453"/>
      <c r="D5" s="454">
        <v>1</v>
      </c>
      <c r="E5" s="455"/>
      <c r="F5" s="455">
        <v>167.9</v>
      </c>
      <c r="G5" s="455">
        <v>900</v>
      </c>
      <c r="H5" s="455">
        <v>1067.8999999999999</v>
      </c>
      <c r="I5" s="456"/>
      <c r="J5" s="457"/>
      <c r="K5" s="457"/>
      <c r="L5" s="457"/>
      <c r="M5" s="457"/>
      <c r="P5" s="445" t="s">
        <v>5067</v>
      </c>
      <c r="Q5" s="445" t="s">
        <v>5068</v>
      </c>
    </row>
    <row r="6" spans="2:20" hidden="1" x14ac:dyDescent="0.2">
      <c r="B6" s="458" t="s">
        <v>5072</v>
      </c>
      <c r="C6" s="458"/>
      <c r="D6" s="459" t="s">
        <v>5073</v>
      </c>
      <c r="E6" s="455"/>
      <c r="F6" s="455"/>
      <c r="G6" s="455">
        <v>344.40000000000003</v>
      </c>
      <c r="H6" s="455">
        <v>344.40000000000003</v>
      </c>
      <c r="I6" s="455"/>
      <c r="J6" s="455"/>
      <c r="K6" s="455"/>
      <c r="L6" s="455"/>
      <c r="M6" s="455"/>
      <c r="P6" s="445" t="s">
        <v>5069</v>
      </c>
      <c r="Q6" s="445" t="s">
        <v>4888</v>
      </c>
      <c r="R6" s="445" t="s">
        <v>4882</v>
      </c>
      <c r="S6" s="445" t="s">
        <v>5074</v>
      </c>
      <c r="T6" s="445" t="s">
        <v>5070</v>
      </c>
    </row>
    <row r="7" spans="2:20" hidden="1" x14ac:dyDescent="0.2">
      <c r="B7" s="458" t="s">
        <v>5075</v>
      </c>
      <c r="C7" s="458"/>
      <c r="D7" s="459" t="s">
        <v>5076</v>
      </c>
      <c r="E7" s="455"/>
      <c r="F7" s="455">
        <v>167.9</v>
      </c>
      <c r="G7" s="455">
        <v>256.5</v>
      </c>
      <c r="H7" s="455">
        <v>424.4</v>
      </c>
      <c r="I7" s="455"/>
      <c r="J7" s="455"/>
      <c r="K7" s="455"/>
      <c r="L7" s="455"/>
      <c r="M7" s="455"/>
      <c r="P7" s="460">
        <v>5</v>
      </c>
      <c r="Q7" s="445">
        <v>85</v>
      </c>
      <c r="R7" s="445">
        <v>423.7</v>
      </c>
      <c r="T7" s="445">
        <v>508.7</v>
      </c>
    </row>
    <row r="8" spans="2:20" hidden="1" x14ac:dyDescent="0.2">
      <c r="B8" s="458" t="s">
        <v>5077</v>
      </c>
      <c r="C8" s="458"/>
      <c r="D8" s="459" t="s">
        <v>5078</v>
      </c>
      <c r="E8" s="455"/>
      <c r="F8" s="455"/>
      <c r="G8" s="455">
        <v>299.09999999999997</v>
      </c>
      <c r="H8" s="455">
        <v>299.09999999999997</v>
      </c>
      <c r="I8" s="455"/>
      <c r="J8" s="455"/>
      <c r="K8" s="455"/>
      <c r="L8" s="455"/>
      <c r="M8" s="455"/>
      <c r="P8" s="460" t="s">
        <v>5079</v>
      </c>
      <c r="Q8" s="445">
        <v>91.199999999999989</v>
      </c>
      <c r="R8" s="445">
        <v>176.2</v>
      </c>
      <c r="T8" s="445">
        <v>267.39999999999998</v>
      </c>
    </row>
    <row r="9" spans="2:20" ht="15" hidden="1" x14ac:dyDescent="0.25">
      <c r="B9" s="452" t="s">
        <v>5080</v>
      </c>
      <c r="C9" s="453"/>
      <c r="D9" s="454">
        <v>2</v>
      </c>
      <c r="E9" s="455">
        <v>20.9</v>
      </c>
      <c r="F9" s="455"/>
      <c r="G9" s="455">
        <v>421.9</v>
      </c>
      <c r="H9" s="455">
        <v>442.79999999999995</v>
      </c>
      <c r="I9" s="456"/>
      <c r="J9" s="457"/>
      <c r="K9" s="457"/>
      <c r="L9" s="457"/>
      <c r="M9" s="457"/>
      <c r="P9" s="460" t="s">
        <v>5074</v>
      </c>
    </row>
    <row r="10" spans="2:20" hidden="1" x14ac:dyDescent="0.2">
      <c r="B10" s="458" t="s">
        <v>5081</v>
      </c>
      <c r="C10" s="458"/>
      <c r="D10" s="459" t="s">
        <v>5082</v>
      </c>
      <c r="E10" s="455">
        <v>18.5</v>
      </c>
      <c r="F10" s="455"/>
      <c r="G10" s="455">
        <v>208.8</v>
      </c>
      <c r="H10" s="455">
        <v>227.3</v>
      </c>
      <c r="I10" s="455"/>
      <c r="J10" s="455"/>
      <c r="K10" s="455"/>
      <c r="L10" s="455"/>
      <c r="M10" s="455"/>
      <c r="P10" s="460" t="s">
        <v>5070</v>
      </c>
      <c r="Q10" s="445">
        <v>176.2</v>
      </c>
      <c r="R10" s="445">
        <v>599.9</v>
      </c>
      <c r="T10" s="445">
        <v>776.09999999999991</v>
      </c>
    </row>
    <row r="11" spans="2:20" hidden="1" x14ac:dyDescent="0.2">
      <c r="B11" s="458" t="s">
        <v>5083</v>
      </c>
      <c r="C11" s="458"/>
      <c r="D11" s="459" t="s">
        <v>5084</v>
      </c>
      <c r="E11" s="455">
        <v>2.4</v>
      </c>
      <c r="F11" s="455"/>
      <c r="G11" s="455">
        <v>213.09999999999997</v>
      </c>
      <c r="H11" s="455">
        <v>215.49999999999997</v>
      </c>
      <c r="I11" s="455"/>
      <c r="J11" s="455"/>
      <c r="K11" s="455"/>
      <c r="L11" s="455"/>
      <c r="M11" s="455"/>
    </row>
    <row r="12" spans="2:20" ht="15" hidden="1" x14ac:dyDescent="0.25">
      <c r="B12" s="452" t="s">
        <v>5085</v>
      </c>
      <c r="C12" s="453"/>
      <c r="D12" s="454">
        <v>3</v>
      </c>
      <c r="E12" s="455">
        <v>28.799999999999997</v>
      </c>
      <c r="F12" s="455"/>
      <c r="G12" s="455">
        <v>817.10000000000025</v>
      </c>
      <c r="H12" s="455">
        <v>845.9000000000002</v>
      </c>
      <c r="I12" s="456"/>
      <c r="J12" s="457"/>
      <c r="K12" s="457"/>
      <c r="L12" s="457"/>
      <c r="M12" s="457"/>
    </row>
    <row r="13" spans="2:20" hidden="1" x14ac:dyDescent="0.2">
      <c r="B13" s="458" t="s">
        <v>5086</v>
      </c>
      <c r="C13" s="458"/>
      <c r="D13" s="459" t="s">
        <v>5087</v>
      </c>
      <c r="E13" s="455">
        <v>28.799999999999997</v>
      </c>
      <c r="F13" s="455"/>
      <c r="G13" s="455">
        <v>817.10000000000025</v>
      </c>
      <c r="H13" s="455">
        <v>845.9000000000002</v>
      </c>
      <c r="I13" s="455"/>
      <c r="J13" s="455"/>
      <c r="K13" s="455"/>
      <c r="L13" s="455"/>
      <c r="M13" s="455"/>
    </row>
    <row r="14" spans="2:20" ht="15" hidden="1" x14ac:dyDescent="0.25">
      <c r="B14" s="452" t="s">
        <v>5088</v>
      </c>
      <c r="C14" s="453"/>
      <c r="D14" s="454">
        <v>4</v>
      </c>
      <c r="E14" s="455">
        <v>510.4</v>
      </c>
      <c r="F14" s="455"/>
      <c r="G14" s="455">
        <v>691.69999999999993</v>
      </c>
      <c r="H14" s="455">
        <v>1202.0999999999999</v>
      </c>
      <c r="I14" s="456"/>
      <c r="J14" s="457"/>
      <c r="K14" s="457"/>
      <c r="L14" s="457"/>
      <c r="M14" s="457"/>
    </row>
    <row r="15" spans="2:20" hidden="1" x14ac:dyDescent="0.2">
      <c r="B15" s="458" t="s">
        <v>5089</v>
      </c>
      <c r="C15" s="458"/>
      <c r="D15" s="459" t="s">
        <v>5090</v>
      </c>
      <c r="E15" s="455">
        <v>31.299999999999997</v>
      </c>
      <c r="F15" s="455"/>
      <c r="G15" s="455"/>
      <c r="H15" s="455">
        <v>31.299999999999997</v>
      </c>
      <c r="I15" s="455"/>
      <c r="J15" s="455"/>
      <c r="K15" s="455"/>
      <c r="L15" s="455"/>
      <c r="M15" s="455"/>
    </row>
    <row r="16" spans="2:20" hidden="1" x14ac:dyDescent="0.2">
      <c r="B16" s="458" t="s">
        <v>5091</v>
      </c>
      <c r="C16" s="458"/>
      <c r="D16" s="459" t="s">
        <v>5092</v>
      </c>
      <c r="E16" s="455">
        <v>139.4</v>
      </c>
      <c r="F16" s="455"/>
      <c r="G16" s="455"/>
      <c r="H16" s="455">
        <v>139.4</v>
      </c>
      <c r="I16" s="455"/>
      <c r="J16" s="455"/>
      <c r="K16" s="455"/>
      <c r="L16" s="455"/>
      <c r="M16" s="455"/>
    </row>
    <row r="17" spans="2:15" hidden="1" x14ac:dyDescent="0.2">
      <c r="B17" s="458" t="s">
        <v>5093</v>
      </c>
      <c r="C17" s="458"/>
      <c r="D17" s="459" t="s">
        <v>5094</v>
      </c>
      <c r="E17" s="455">
        <v>213.2</v>
      </c>
      <c r="F17" s="455"/>
      <c r="G17" s="455"/>
      <c r="H17" s="455">
        <v>213.2</v>
      </c>
      <c r="I17" s="455"/>
      <c r="J17" s="455"/>
      <c r="K17" s="455"/>
      <c r="L17" s="455"/>
      <c r="M17" s="455"/>
    </row>
    <row r="18" spans="2:15" hidden="1" x14ac:dyDescent="0.2">
      <c r="B18" s="458" t="s">
        <v>5095</v>
      </c>
      <c r="C18" s="458"/>
      <c r="D18" s="459" t="s">
        <v>5096</v>
      </c>
      <c r="E18" s="455">
        <v>4.0999999999999996</v>
      </c>
      <c r="F18" s="455"/>
      <c r="G18" s="455">
        <v>235.79999999999998</v>
      </c>
      <c r="H18" s="455">
        <v>239.89999999999998</v>
      </c>
      <c r="I18" s="455"/>
      <c r="J18" s="455"/>
      <c r="K18" s="455"/>
      <c r="L18" s="455"/>
      <c r="M18" s="455"/>
    </row>
    <row r="19" spans="2:15" hidden="1" x14ac:dyDescent="0.2">
      <c r="B19" s="458" t="s">
        <v>5097</v>
      </c>
      <c r="C19" s="458"/>
      <c r="D19" s="459" t="s">
        <v>5098</v>
      </c>
      <c r="E19" s="455">
        <v>122.4</v>
      </c>
      <c r="F19" s="455"/>
      <c r="G19" s="455">
        <v>455.9</v>
      </c>
      <c r="H19" s="455">
        <v>578.29999999999995</v>
      </c>
      <c r="I19" s="455"/>
      <c r="J19" s="455"/>
      <c r="K19" s="455"/>
      <c r="L19" s="455"/>
      <c r="M19" s="455"/>
    </row>
    <row r="20" spans="2:15" ht="15" hidden="1" x14ac:dyDescent="0.25">
      <c r="B20" s="452" t="s">
        <v>5099</v>
      </c>
      <c r="C20" s="453"/>
      <c r="D20" s="454">
        <v>5</v>
      </c>
      <c r="E20" s="455">
        <v>208.70000000000002</v>
      </c>
      <c r="F20" s="455"/>
      <c r="G20" s="455">
        <v>733.09999999999991</v>
      </c>
      <c r="H20" s="455">
        <v>941.8</v>
      </c>
      <c r="I20" s="456"/>
      <c r="J20" s="457"/>
      <c r="K20" s="457"/>
      <c r="L20" s="457"/>
      <c r="M20" s="457"/>
    </row>
    <row r="21" spans="2:15" hidden="1" x14ac:dyDescent="0.2">
      <c r="B21" s="458" t="s">
        <v>5100</v>
      </c>
      <c r="C21" s="458"/>
      <c r="D21" s="459" t="s">
        <v>5101</v>
      </c>
      <c r="E21" s="455">
        <v>8.4</v>
      </c>
      <c r="F21" s="455"/>
      <c r="G21" s="455"/>
      <c r="H21" s="455">
        <v>8.4</v>
      </c>
      <c r="I21" s="455"/>
      <c r="J21" s="455"/>
      <c r="K21" s="455"/>
      <c r="L21" s="455"/>
      <c r="M21" s="455"/>
    </row>
    <row r="22" spans="2:15" hidden="1" x14ac:dyDescent="0.2">
      <c r="B22" s="458" t="s">
        <v>5102</v>
      </c>
      <c r="C22" s="458"/>
      <c r="D22" s="459" t="s">
        <v>5103</v>
      </c>
      <c r="E22" s="455">
        <v>24.1</v>
      </c>
      <c r="F22" s="455"/>
      <c r="G22" s="455">
        <v>133.19999999999999</v>
      </c>
      <c r="H22" s="455">
        <v>157.29999999999998</v>
      </c>
      <c r="I22" s="455"/>
      <c r="J22" s="455"/>
      <c r="K22" s="455"/>
      <c r="L22" s="455"/>
      <c r="M22" s="455"/>
    </row>
    <row r="23" spans="2:15" hidden="1" x14ac:dyDescent="0.2">
      <c r="B23" s="458" t="s">
        <v>5104</v>
      </c>
      <c r="C23" s="458"/>
      <c r="D23" s="459" t="s">
        <v>5105</v>
      </c>
      <c r="E23" s="455">
        <v>176.20000000000002</v>
      </c>
      <c r="F23" s="455"/>
      <c r="G23" s="455">
        <v>599.9</v>
      </c>
      <c r="H23" s="455">
        <v>776.1</v>
      </c>
      <c r="I23" s="455"/>
      <c r="J23" s="455"/>
      <c r="K23" s="455"/>
      <c r="L23" s="455"/>
      <c r="M23" s="455"/>
    </row>
    <row r="24" spans="2:15" ht="15" hidden="1" x14ac:dyDescent="0.25">
      <c r="B24" s="452" t="s">
        <v>5106</v>
      </c>
      <c r="C24" s="453"/>
      <c r="D24" s="454">
        <v>6</v>
      </c>
      <c r="E24" s="455">
        <v>7.6</v>
      </c>
      <c r="F24" s="455"/>
      <c r="G24" s="455">
        <v>520.70000000000005</v>
      </c>
      <c r="H24" s="455">
        <v>528.29999999999995</v>
      </c>
      <c r="I24" s="456">
        <v>127.1</v>
      </c>
      <c r="J24" s="457"/>
      <c r="K24" s="457"/>
      <c r="L24" s="457"/>
      <c r="M24" s="457"/>
    </row>
    <row r="25" spans="2:15" hidden="1" x14ac:dyDescent="0.2">
      <c r="B25" s="458" t="s">
        <v>5107</v>
      </c>
      <c r="C25" s="458"/>
      <c r="D25" s="459" t="s">
        <v>5108</v>
      </c>
      <c r="E25" s="455"/>
      <c r="F25" s="455"/>
      <c r="G25" s="455">
        <v>107.5</v>
      </c>
      <c r="H25" s="455">
        <v>107.5</v>
      </c>
      <c r="I25" s="455"/>
      <c r="J25" s="455"/>
      <c r="K25" s="455"/>
      <c r="L25" s="455"/>
      <c r="M25" s="455"/>
    </row>
    <row r="26" spans="2:15" hidden="1" x14ac:dyDescent="0.2">
      <c r="B26" s="458" t="s">
        <v>5109</v>
      </c>
      <c r="C26" s="458"/>
      <c r="D26" s="459" t="s">
        <v>5110</v>
      </c>
      <c r="E26" s="455"/>
      <c r="F26" s="455"/>
      <c r="G26" s="455">
        <v>59.5</v>
      </c>
      <c r="H26" s="455">
        <v>59.5</v>
      </c>
      <c r="I26" s="455"/>
      <c r="J26" s="455"/>
      <c r="K26" s="455"/>
      <c r="L26" s="455"/>
      <c r="M26" s="455"/>
    </row>
    <row r="27" spans="2:15" hidden="1" x14ac:dyDescent="0.2">
      <c r="B27" s="458" t="s">
        <v>5111</v>
      </c>
      <c r="C27" s="458"/>
      <c r="D27" s="459" t="s">
        <v>5112</v>
      </c>
      <c r="E27" s="455"/>
      <c r="F27" s="455"/>
      <c r="G27" s="455">
        <v>64.099999999999994</v>
      </c>
      <c r="H27" s="455">
        <v>64.099999999999994</v>
      </c>
      <c r="I27" s="455">
        <v>64.099999999999994</v>
      </c>
      <c r="J27" s="455"/>
      <c r="K27" s="455"/>
      <c r="L27" s="455"/>
      <c r="M27" s="455"/>
    </row>
    <row r="28" spans="2:15" hidden="1" x14ac:dyDescent="0.2">
      <c r="B28" s="458" t="s">
        <v>5113</v>
      </c>
      <c r="C28" s="458"/>
      <c r="D28" s="459" t="s">
        <v>5114</v>
      </c>
      <c r="E28" s="455"/>
      <c r="F28" s="455"/>
      <c r="G28" s="455">
        <v>98.9</v>
      </c>
      <c r="H28" s="455">
        <v>98.9</v>
      </c>
      <c r="I28" s="455"/>
      <c r="J28" s="455"/>
      <c r="K28" s="455"/>
      <c r="L28" s="455"/>
      <c r="M28" s="455"/>
    </row>
    <row r="29" spans="2:15" hidden="1" x14ac:dyDescent="0.2">
      <c r="B29" s="458" t="s">
        <v>5115</v>
      </c>
      <c r="C29" s="458"/>
      <c r="D29" s="459" t="s">
        <v>5116</v>
      </c>
      <c r="E29" s="455"/>
      <c r="F29" s="455"/>
      <c r="G29" s="455">
        <v>0.8</v>
      </c>
      <c r="H29" s="455">
        <v>0.8</v>
      </c>
      <c r="I29" s="455">
        <v>0.8</v>
      </c>
      <c r="J29" s="455"/>
      <c r="K29" s="455"/>
      <c r="L29" s="455"/>
      <c r="M29" s="455"/>
    </row>
    <row r="30" spans="2:15" hidden="1" x14ac:dyDescent="0.2">
      <c r="B30" s="458" t="s">
        <v>5117</v>
      </c>
      <c r="C30" s="458"/>
      <c r="D30" s="459" t="s">
        <v>5118</v>
      </c>
      <c r="E30" s="455"/>
      <c r="F30" s="455"/>
      <c r="G30" s="455">
        <v>161.19999999999999</v>
      </c>
      <c r="H30" s="455">
        <v>161.19999999999999</v>
      </c>
      <c r="I30" s="455">
        <v>33.5</v>
      </c>
      <c r="J30" s="455"/>
      <c r="K30" s="455"/>
      <c r="L30" s="455"/>
      <c r="M30" s="455"/>
    </row>
    <row r="31" spans="2:15" hidden="1" x14ac:dyDescent="0.2">
      <c r="B31" s="458" t="s">
        <v>5119</v>
      </c>
      <c r="C31" s="458"/>
      <c r="D31" s="459" t="s">
        <v>5120</v>
      </c>
      <c r="E31" s="455">
        <v>7.6</v>
      </c>
      <c r="F31" s="455"/>
      <c r="G31" s="455">
        <v>28.7</v>
      </c>
      <c r="H31" s="455">
        <v>36.299999999999997</v>
      </c>
      <c r="I31" s="455">
        <v>28.7</v>
      </c>
      <c r="J31" s="455"/>
      <c r="K31" s="455"/>
      <c r="L31" s="455"/>
      <c r="M31" s="455"/>
    </row>
    <row r="32" spans="2:15" ht="15" hidden="1" x14ac:dyDescent="0.25">
      <c r="B32" s="461" t="s">
        <v>5070</v>
      </c>
      <c r="C32" s="462"/>
      <c r="D32" s="454" t="s">
        <v>5070</v>
      </c>
      <c r="E32" s="455">
        <v>776.40000000000009</v>
      </c>
      <c r="F32" s="455">
        <v>167.9</v>
      </c>
      <c r="G32" s="455">
        <v>4084.5</v>
      </c>
      <c r="H32" s="455">
        <v>5028.8</v>
      </c>
      <c r="I32" s="463">
        <v>127.1</v>
      </c>
      <c r="J32" s="464"/>
      <c r="K32" s="464"/>
      <c r="L32" s="464"/>
      <c r="M32" s="464"/>
      <c r="O32" s="465"/>
    </row>
    <row r="33" spans="2:24" x14ac:dyDescent="0.2">
      <c r="H33" s="466"/>
      <c r="P33" s="465"/>
    </row>
    <row r="34" spans="2:24" x14ac:dyDescent="0.2">
      <c r="P34" s="466"/>
    </row>
    <row r="35" spans="2:24" x14ac:dyDescent="0.2">
      <c r="B35" s="718" t="s">
        <v>5121</v>
      </c>
      <c r="C35" s="718"/>
      <c r="D35" s="718"/>
      <c r="E35" s="718"/>
      <c r="F35" s="718"/>
      <c r="G35" s="718"/>
      <c r="H35" s="718"/>
      <c r="I35" s="718"/>
      <c r="J35" s="467"/>
      <c r="K35" s="467"/>
      <c r="L35" s="467"/>
      <c r="M35" s="467"/>
      <c r="T35" s="468"/>
    </row>
    <row r="36" spans="2:24" x14ac:dyDescent="0.2">
      <c r="J36" s="719" t="s">
        <v>5122</v>
      </c>
      <c r="K36" s="720"/>
      <c r="L36" s="720"/>
      <c r="M36" s="720"/>
      <c r="N36" s="721"/>
    </row>
    <row r="37" spans="2:24" ht="60" x14ac:dyDescent="0.2">
      <c r="B37" s="469" t="s">
        <v>1852</v>
      </c>
      <c r="C37" s="469"/>
      <c r="D37" s="447"/>
      <c r="E37" s="447" t="s">
        <v>5062</v>
      </c>
      <c r="F37" s="447" t="s">
        <v>5123</v>
      </c>
      <c r="G37" s="447" t="s">
        <v>5124</v>
      </c>
      <c r="H37" s="470" t="s">
        <v>5065</v>
      </c>
      <c r="I37" s="447"/>
      <c r="J37" s="449" t="s">
        <v>5125</v>
      </c>
      <c r="K37" s="449" t="s">
        <v>5126</v>
      </c>
      <c r="L37" s="449" t="s">
        <v>5127</v>
      </c>
      <c r="M37" s="449" t="s">
        <v>5128</v>
      </c>
      <c r="N37" s="449"/>
      <c r="P37" s="471" t="s">
        <v>5129</v>
      </c>
      <c r="Q37" s="447" t="s">
        <v>5130</v>
      </c>
      <c r="R37" s="447" t="s">
        <v>5131</v>
      </c>
      <c r="S37" s="447" t="s">
        <v>5132</v>
      </c>
      <c r="T37" s="447" t="s">
        <v>5133</v>
      </c>
    </row>
    <row r="38" spans="2:24" ht="15" x14ac:dyDescent="0.25">
      <c r="B38" s="452" t="s">
        <v>5134</v>
      </c>
      <c r="C38" s="452" t="s">
        <v>5135</v>
      </c>
      <c r="D38" s="452"/>
      <c r="E38" s="456"/>
      <c r="F38" s="456"/>
      <c r="G38" s="456"/>
      <c r="H38" s="472"/>
      <c r="I38" s="456"/>
      <c r="J38" s="457"/>
      <c r="K38" s="457"/>
      <c r="L38" s="457"/>
      <c r="M38" s="457"/>
      <c r="N38" s="457"/>
      <c r="O38" s="473"/>
      <c r="P38" s="474"/>
      <c r="Q38" s="475"/>
      <c r="R38" s="475"/>
      <c r="S38" s="475"/>
      <c r="T38" s="475"/>
      <c r="U38" s="476"/>
      <c r="V38" s="476"/>
      <c r="W38" s="476">
        <f>V38*4</f>
        <v>0</v>
      </c>
    </row>
    <row r="39" spans="2:24" x14ac:dyDescent="0.2">
      <c r="B39" s="458" t="s">
        <v>5000</v>
      </c>
      <c r="C39" s="458">
        <v>1</v>
      </c>
      <c r="D39" s="458"/>
      <c r="E39" s="455">
        <v>2.4999999999999996</v>
      </c>
      <c r="F39" s="455">
        <v>192.20000000000002</v>
      </c>
      <c r="G39" s="455">
        <v>0</v>
      </c>
      <c r="H39" s="477">
        <f>E39+F39+G39</f>
        <v>194.70000000000002</v>
      </c>
      <c r="I39" s="455"/>
      <c r="J39" s="455">
        <f>F39/3</f>
        <v>64.066666666666677</v>
      </c>
      <c r="K39" s="478"/>
      <c r="L39" s="455">
        <f>F39/3</f>
        <v>64.066666666666677</v>
      </c>
      <c r="M39" s="455"/>
      <c r="N39" s="455"/>
      <c r="O39" s="466">
        <f>J39+K39+L39</f>
        <v>128.13333333333335</v>
      </c>
      <c r="P39" s="474">
        <f>O39/5</f>
        <v>25.626666666666672</v>
      </c>
      <c r="Q39" s="475">
        <v>20</v>
      </c>
      <c r="R39" s="475">
        <v>20</v>
      </c>
      <c r="S39" s="475">
        <v>48</v>
      </c>
      <c r="T39" s="475">
        <f>(H39/5)*3</f>
        <v>116.82000000000002</v>
      </c>
      <c r="V39" s="476"/>
      <c r="W39" s="476"/>
    </row>
    <row r="40" spans="2:24" x14ac:dyDescent="0.2">
      <c r="B40" s="458" t="s">
        <v>5000</v>
      </c>
      <c r="C40" s="458">
        <v>1</v>
      </c>
      <c r="D40" s="467" t="s">
        <v>5041</v>
      </c>
      <c r="E40" s="455">
        <v>5.6000000000000005</v>
      </c>
      <c r="F40" s="455">
        <v>7</v>
      </c>
      <c r="G40" s="455">
        <v>0</v>
      </c>
      <c r="H40" s="477">
        <f>E40+F40+G40</f>
        <v>12.600000000000001</v>
      </c>
      <c r="I40" s="455"/>
      <c r="J40" s="455">
        <f>F40/3</f>
        <v>2.3333333333333335</v>
      </c>
      <c r="K40" s="455"/>
      <c r="L40" s="455"/>
      <c r="M40" s="455"/>
      <c r="N40" s="455"/>
      <c r="O40" s="466">
        <f t="shared" ref="O40:O45" si="0">J40+K40+L40</f>
        <v>2.3333333333333335</v>
      </c>
      <c r="P40" s="474"/>
      <c r="Q40" s="475">
        <v>1</v>
      </c>
      <c r="R40" s="475">
        <v>1</v>
      </c>
      <c r="S40" s="475"/>
      <c r="T40" s="475">
        <f>(H40/5)*3</f>
        <v>7.5600000000000014</v>
      </c>
      <c r="V40" s="476"/>
      <c r="W40" s="476"/>
    </row>
    <row r="41" spans="2:24" x14ac:dyDescent="0.2">
      <c r="B41" s="458" t="s">
        <v>5001</v>
      </c>
      <c r="C41" s="458">
        <v>2</v>
      </c>
      <c r="D41" s="458"/>
      <c r="E41" s="455">
        <v>396.24000000000007</v>
      </c>
      <c r="F41" s="455">
        <v>464.11999999999995</v>
      </c>
      <c r="G41" s="455">
        <v>38.1</v>
      </c>
      <c r="H41" s="477">
        <f>E41+F41</f>
        <v>860.36</v>
      </c>
      <c r="I41" s="455"/>
      <c r="J41" s="455">
        <f>F41/3</f>
        <v>154.70666666666665</v>
      </c>
      <c r="K41" s="455">
        <f>G41</f>
        <v>38.1</v>
      </c>
      <c r="L41" s="455">
        <f>(F41/3)+(E41/3)</f>
        <v>286.78666666666663</v>
      </c>
      <c r="M41" s="455"/>
      <c r="N41" s="455"/>
      <c r="O41" s="466">
        <f t="shared" si="0"/>
        <v>479.59333333333325</v>
      </c>
      <c r="P41" s="474">
        <f>O41/5</f>
        <v>95.918666666666653</v>
      </c>
      <c r="Q41" s="475">
        <v>90</v>
      </c>
      <c r="R41" s="475">
        <v>90</v>
      </c>
      <c r="S41" s="475">
        <v>83</v>
      </c>
      <c r="T41" s="475">
        <f>((E41+F41)/5)*3</f>
        <v>516.21600000000001</v>
      </c>
      <c r="V41" s="476"/>
      <c r="W41" s="476"/>
    </row>
    <row r="42" spans="2:24" x14ac:dyDescent="0.2">
      <c r="B42" s="458" t="s">
        <v>5001</v>
      </c>
      <c r="C42" s="458">
        <v>2</v>
      </c>
      <c r="D42" s="467" t="s">
        <v>5041</v>
      </c>
      <c r="E42" s="455">
        <v>34.200000000000003</v>
      </c>
      <c r="F42" s="455">
        <v>9.7000000000000011</v>
      </c>
      <c r="G42" s="455">
        <v>0</v>
      </c>
      <c r="H42" s="477">
        <f>E42+F42+G42</f>
        <v>43.900000000000006</v>
      </c>
      <c r="I42" s="455"/>
      <c r="J42" s="455">
        <f>H42/2</f>
        <v>21.950000000000003</v>
      </c>
      <c r="K42" s="455">
        <f>I42/2</f>
        <v>0</v>
      </c>
      <c r="L42" s="455"/>
      <c r="M42" s="455"/>
      <c r="N42" s="455"/>
      <c r="O42" s="466">
        <f t="shared" si="0"/>
        <v>21.950000000000003</v>
      </c>
      <c r="P42" s="474"/>
      <c r="Q42" s="475">
        <v>5</v>
      </c>
      <c r="R42" s="475">
        <v>2</v>
      </c>
      <c r="S42" s="475"/>
      <c r="T42" s="475">
        <f>(H42/5)*3</f>
        <v>26.340000000000003</v>
      </c>
      <c r="V42" s="476"/>
      <c r="W42" s="476"/>
    </row>
    <row r="43" spans="2:24" x14ac:dyDescent="0.2">
      <c r="B43" s="458" t="s">
        <v>5002</v>
      </c>
      <c r="C43" s="458">
        <v>2</v>
      </c>
      <c r="D43" s="458"/>
      <c r="E43" s="455">
        <v>0.7</v>
      </c>
      <c r="F43" s="455">
        <v>462.59999999999997</v>
      </c>
      <c r="G43" s="455">
        <v>0</v>
      </c>
      <c r="H43" s="477">
        <f>E43+F43+G43</f>
        <v>463.29999999999995</v>
      </c>
      <c r="I43" s="455"/>
      <c r="J43" s="455">
        <f>462/3</f>
        <v>154</v>
      </c>
      <c r="K43" s="455"/>
      <c r="L43" s="455">
        <f>462/3</f>
        <v>154</v>
      </c>
      <c r="M43" s="455"/>
      <c r="N43" s="455"/>
      <c r="O43" s="466">
        <f t="shared" si="0"/>
        <v>308</v>
      </c>
      <c r="P43" s="474">
        <f>O43/5</f>
        <v>61.6</v>
      </c>
      <c r="Q43" s="475">
        <v>60</v>
      </c>
      <c r="R43" s="475">
        <v>50</v>
      </c>
      <c r="S43" s="475">
        <v>12</v>
      </c>
      <c r="T43" s="475">
        <f>(H43/5)*3</f>
        <v>277.98</v>
      </c>
      <c r="V43" s="476"/>
      <c r="W43" s="476"/>
    </row>
    <row r="44" spans="2:24" x14ac:dyDescent="0.2">
      <c r="B44" s="458" t="s">
        <v>5002</v>
      </c>
      <c r="C44" s="458">
        <v>2</v>
      </c>
      <c r="D44" s="467" t="s">
        <v>5041</v>
      </c>
      <c r="E44" s="455">
        <v>4</v>
      </c>
      <c r="F44" s="455">
        <v>2.7</v>
      </c>
      <c r="G44" s="455">
        <v>0</v>
      </c>
      <c r="H44" s="477">
        <f>E44+F44+G44</f>
        <v>6.7</v>
      </c>
      <c r="I44" s="455"/>
      <c r="J44" s="455">
        <v>2.7</v>
      </c>
      <c r="K44" s="455"/>
      <c r="L44" s="455"/>
      <c r="M44" s="455"/>
      <c r="N44" s="455"/>
      <c r="O44" s="466">
        <f t="shared" si="0"/>
        <v>2.7</v>
      </c>
      <c r="P44" s="474"/>
      <c r="Q44" s="475">
        <v>1</v>
      </c>
      <c r="R44" s="475">
        <v>1</v>
      </c>
      <c r="S44" s="475"/>
      <c r="T44" s="475">
        <f>(H44/5)*3</f>
        <v>4.0200000000000005</v>
      </c>
      <c r="V44" s="476"/>
      <c r="W44" s="476"/>
    </row>
    <row r="45" spans="2:24" x14ac:dyDescent="0.2">
      <c r="B45" s="458" t="s">
        <v>5136</v>
      </c>
      <c r="C45" s="458">
        <v>2</v>
      </c>
      <c r="D45" s="458"/>
      <c r="E45" s="455">
        <v>0</v>
      </c>
      <c r="F45" s="455">
        <v>0</v>
      </c>
      <c r="G45" s="455">
        <v>6.3</v>
      </c>
      <c r="H45" s="477"/>
      <c r="I45" s="455"/>
      <c r="J45" s="455"/>
      <c r="K45" s="455">
        <f>G45</f>
        <v>6.3</v>
      </c>
      <c r="L45" s="455"/>
      <c r="M45" s="455"/>
      <c r="N45" s="455"/>
      <c r="O45" s="466">
        <f t="shared" si="0"/>
        <v>6.3</v>
      </c>
      <c r="P45" s="474"/>
      <c r="Q45" s="475" t="s">
        <v>10</v>
      </c>
      <c r="R45" s="475" t="s">
        <v>10</v>
      </c>
      <c r="S45" s="475"/>
      <c r="T45" s="475" t="s">
        <v>10</v>
      </c>
      <c r="V45" s="476"/>
      <c r="W45" s="476"/>
    </row>
    <row r="46" spans="2:24" x14ac:dyDescent="0.2">
      <c r="B46" s="458"/>
      <c r="C46" s="458"/>
      <c r="D46" s="458"/>
      <c r="E46" s="455"/>
      <c r="F46" s="455"/>
      <c r="G46" s="455"/>
      <c r="H46" s="477"/>
      <c r="I46" s="455"/>
      <c r="J46" s="455"/>
      <c r="K46" s="455"/>
      <c r="L46" s="455"/>
      <c r="M46" s="455"/>
      <c r="N46" s="455"/>
      <c r="P46" s="474"/>
      <c r="Q46" s="475"/>
      <c r="R46" s="475"/>
      <c r="S46" s="475"/>
      <c r="T46" s="475"/>
      <c r="V46" s="476"/>
      <c r="W46" s="476"/>
    </row>
    <row r="47" spans="2:24" x14ac:dyDescent="0.2">
      <c r="B47" s="458"/>
      <c r="C47" s="458"/>
      <c r="D47" s="458"/>
      <c r="E47" s="455"/>
      <c r="F47" s="455"/>
      <c r="G47" s="455"/>
      <c r="H47" s="477"/>
      <c r="I47" s="455"/>
      <c r="J47" s="455"/>
      <c r="K47" s="455"/>
      <c r="L47" s="455"/>
      <c r="M47" s="455"/>
      <c r="N47" s="455"/>
      <c r="P47" s="474"/>
      <c r="Q47" s="475"/>
      <c r="R47" s="475"/>
      <c r="S47" s="475"/>
      <c r="T47" s="475"/>
      <c r="V47" s="476"/>
      <c r="W47" s="476"/>
    </row>
    <row r="48" spans="2:24" ht="15" x14ac:dyDescent="0.25">
      <c r="B48" s="479" t="s">
        <v>5070</v>
      </c>
      <c r="C48" s="479"/>
      <c r="D48" s="479"/>
      <c r="E48" s="480"/>
      <c r="F48" s="480"/>
      <c r="G48" s="480"/>
      <c r="H48" s="481"/>
      <c r="I48" s="480"/>
      <c r="J48" s="482"/>
      <c r="K48" s="482"/>
      <c r="L48" s="482"/>
      <c r="M48" s="482"/>
      <c r="N48" s="482"/>
      <c r="O48" s="483"/>
      <c r="P48" s="484" t="s">
        <v>5137</v>
      </c>
      <c r="Q48" s="485">
        <f>SUM(Q39:Q45)</f>
        <v>177</v>
      </c>
      <c r="R48" s="485">
        <f t="shared" ref="R48:T48" si="1">SUM(R39:R45)</f>
        <v>164</v>
      </c>
      <c r="S48" s="485">
        <f t="shared" si="1"/>
        <v>143</v>
      </c>
      <c r="T48" s="485">
        <f t="shared" si="1"/>
        <v>948.93600000000004</v>
      </c>
      <c r="U48" s="483"/>
      <c r="V48" s="483"/>
      <c r="W48" s="483"/>
      <c r="X48" s="483"/>
    </row>
    <row r="49" spans="16:21" x14ac:dyDescent="0.2">
      <c r="P49" s="466" t="s">
        <v>5138</v>
      </c>
      <c r="Q49" s="445">
        <v>10</v>
      </c>
      <c r="R49" s="445">
        <v>5</v>
      </c>
      <c r="S49" s="445">
        <v>10</v>
      </c>
      <c r="U49" s="486"/>
    </row>
    <row r="50" spans="16:21" x14ac:dyDescent="0.2">
      <c r="P50" s="445" t="s">
        <v>5139</v>
      </c>
      <c r="Q50" s="445">
        <f>Q48*Q49</f>
        <v>1770</v>
      </c>
      <c r="R50" s="445">
        <f>R48*R49</f>
        <v>820</v>
      </c>
      <c r="S50" s="445">
        <f>S48*S49</f>
        <v>1430</v>
      </c>
    </row>
    <row r="53" spans="16:21" x14ac:dyDescent="0.2">
      <c r="U53" s="486"/>
    </row>
    <row r="63" spans="16:21" x14ac:dyDescent="0.2">
      <c r="Q63" s="445" t="s">
        <v>5140</v>
      </c>
    </row>
  </sheetData>
  <mergeCells count="2">
    <mergeCell ref="B35:I35"/>
    <mergeCell ref="J36:N36"/>
  </mergeCells>
  <pageMargins left="0.511811024" right="0.511811024" top="0.78740157499999996" bottom="0.78740157499999996" header="0.31496062000000002" footer="0.31496062000000002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5"/>
  <sheetViews>
    <sheetView showGridLines="0" workbookViewId="0">
      <pane ySplit="8" topLeftCell="A9" activePane="bottomLeft" state="frozen"/>
      <selection pane="bottomLeft" activeCell="A2" sqref="A2"/>
    </sheetView>
  </sheetViews>
  <sheetFormatPr defaultRowHeight="12.75" outlineLevelRow="2" x14ac:dyDescent="0.2"/>
  <cols>
    <col min="1" max="1" width="5.5703125" bestFit="1" customWidth="1"/>
    <col min="2" max="2" width="92.5703125" customWidth="1"/>
    <col min="3" max="3" width="15.85546875" customWidth="1"/>
    <col min="4" max="4" width="15.7109375" bestFit="1" customWidth="1"/>
    <col min="5" max="5" width="3.42578125" customWidth="1"/>
    <col min="6" max="6" width="18.140625" style="328" bestFit="1" customWidth="1"/>
    <col min="7" max="7" width="10.28515625" style="328" bestFit="1" customWidth="1"/>
    <col min="8" max="8" width="3.42578125" bestFit="1" customWidth="1"/>
    <col min="9" max="9" width="40.7109375" customWidth="1"/>
    <col min="10" max="10" width="7.7109375" customWidth="1"/>
    <col min="12" max="12" width="11.28515625" bestFit="1" customWidth="1"/>
  </cols>
  <sheetData>
    <row r="1" spans="1:12" x14ac:dyDescent="0.2">
      <c r="A1" s="291"/>
      <c r="B1" s="292"/>
      <c r="C1" s="292"/>
      <c r="D1" s="292"/>
      <c r="I1" s="535"/>
      <c r="J1" s="535"/>
      <c r="K1" s="536"/>
    </row>
    <row r="2" spans="1:12" ht="14.25" x14ac:dyDescent="0.2">
      <c r="A2" s="293"/>
      <c r="B2" s="294"/>
      <c r="C2" s="294"/>
      <c r="D2" s="294"/>
      <c r="I2" s="696" t="s">
        <v>4853</v>
      </c>
      <c r="J2" s="697"/>
      <c r="L2" s="353"/>
    </row>
    <row r="3" spans="1:12" ht="15" x14ac:dyDescent="0.2">
      <c r="A3" s="291"/>
      <c r="B3" s="295"/>
      <c r="C3" s="296" t="s">
        <v>2497</v>
      </c>
      <c r="D3" s="335">
        <f>SUBTOTAL(9,D9:D175)</f>
        <v>25885175.06000001</v>
      </c>
      <c r="I3" s="537" t="s">
        <v>4854</v>
      </c>
      <c r="J3" s="333">
        <v>5.0000000000000001E-3</v>
      </c>
      <c r="L3" s="354"/>
    </row>
    <row r="4" spans="1:12" ht="15" x14ac:dyDescent="0.2">
      <c r="A4" s="295"/>
      <c r="B4" s="295"/>
      <c r="C4" s="297"/>
      <c r="I4" s="537" t="s">
        <v>4855</v>
      </c>
      <c r="J4" s="334">
        <v>0.2</v>
      </c>
    </row>
    <row r="5" spans="1:12" ht="14.25" x14ac:dyDescent="0.2">
      <c r="A5" s="293"/>
      <c r="B5" s="294"/>
      <c r="C5" s="298"/>
      <c r="D5" s="298"/>
      <c r="I5" s="537" t="s">
        <v>4856</v>
      </c>
      <c r="J5" s="334">
        <v>0.15</v>
      </c>
    </row>
    <row r="6" spans="1:12" ht="15" x14ac:dyDescent="0.2">
      <c r="A6" s="293"/>
      <c r="B6" s="295" t="s">
        <v>4690</v>
      </c>
      <c r="C6" s="299"/>
      <c r="D6" s="300"/>
      <c r="F6" s="327">
        <f>F9+F32+F72+F82+F91+F98+F105+F130+F137+F149+F160+F168</f>
        <v>25885175.038640138</v>
      </c>
      <c r="G6" s="338"/>
      <c r="I6" s="537" t="s">
        <v>4857</v>
      </c>
      <c r="J6" s="334">
        <v>0.1</v>
      </c>
    </row>
    <row r="7" spans="1:12" ht="15.75" thickBot="1" x14ac:dyDescent="0.25">
      <c r="A7" s="301"/>
      <c r="B7" s="302"/>
      <c r="C7" s="303"/>
      <c r="D7" s="304"/>
      <c r="F7" s="336">
        <f>Resumo!$E$10</f>
        <v>25885175.038640145</v>
      </c>
      <c r="G7" s="319" t="s">
        <v>2497</v>
      </c>
      <c r="H7" s="337" t="str">
        <f>IF(F7=SUM(F9,F33,F42,F44,F48,F52:F54,F59,F62,F65,F67,F69,F73,F75,F78,F80,F82,F91,F98,F105,F130,F138:F141,F145,F147,F150,F152,F161,F164,F166,F169,F171,F173),"OK","CORRIGIR")</f>
        <v>OK</v>
      </c>
      <c r="I7" s="537" t="s">
        <v>4858</v>
      </c>
      <c r="J7" s="334">
        <f>1-J4-J5-J6</f>
        <v>0.55000000000000004</v>
      </c>
    </row>
    <row r="8" spans="1:12" ht="26.25" thickBot="1" x14ac:dyDescent="0.25">
      <c r="A8" s="305" t="s">
        <v>0</v>
      </c>
      <c r="B8" s="306" t="s">
        <v>1</v>
      </c>
      <c r="C8" s="307" t="s">
        <v>4691</v>
      </c>
      <c r="D8" s="538" t="s">
        <v>4692</v>
      </c>
      <c r="F8" s="320" t="s">
        <v>4851</v>
      </c>
      <c r="G8" s="320" t="s">
        <v>4852</v>
      </c>
      <c r="H8" s="329"/>
      <c r="I8" s="361"/>
    </row>
    <row r="9" spans="1:12" ht="15" x14ac:dyDescent="0.2">
      <c r="A9" s="308">
        <v>1</v>
      </c>
      <c r="B9" s="309" t="s">
        <v>4693</v>
      </c>
      <c r="C9" s="340"/>
      <c r="D9" s="539">
        <f>SUBTOTAL(9,D10:D31)</f>
        <v>2976615.370000001</v>
      </c>
      <c r="F9" s="321">
        <f>SUM(F10,F18,F22,F26)</f>
        <v>2976615.3759961943</v>
      </c>
      <c r="G9" s="322">
        <f>SUM(F18,F22,F26)/($F$7-'Parte B'!$G$5)</f>
        <v>0.11498795695048411</v>
      </c>
      <c r="H9" s="329"/>
      <c r="I9" s="361"/>
    </row>
    <row r="10" spans="1:12" ht="15" x14ac:dyDescent="0.2">
      <c r="A10" s="310" t="s">
        <v>2673</v>
      </c>
      <c r="B10" s="311" t="s">
        <v>4694</v>
      </c>
      <c r="C10" s="341">
        <f>SUBTOTAL(9,C11:C17)</f>
        <v>1</v>
      </c>
      <c r="D10" s="540">
        <f>SUBTOTAL(9,D11:D17)</f>
        <v>4859.5599999999995</v>
      </c>
      <c r="F10" s="321">
        <f>'Parte B'!$G$5*G9+'Parte B'!$G$5*$G$161</f>
        <v>4859.5844400974211</v>
      </c>
      <c r="H10" s="329"/>
    </row>
    <row r="11" spans="1:12" ht="28.5" outlineLevel="1" x14ac:dyDescent="0.2">
      <c r="A11" s="312"/>
      <c r="B11" s="313" t="s">
        <v>4695</v>
      </c>
      <c r="C11" s="339">
        <f>ROUND(1/COUNTA($B$11:$B$17),4)</f>
        <v>0.1429</v>
      </c>
      <c r="D11" s="541">
        <f>ROUND($F$10*C11,2)</f>
        <v>694.43</v>
      </c>
    </row>
    <row r="12" spans="1:12" ht="14.25" outlineLevel="1" x14ac:dyDescent="0.2">
      <c r="A12" s="312"/>
      <c r="B12" s="313" t="s">
        <v>4696</v>
      </c>
      <c r="C12" s="339">
        <f>ROUND(1/COUNTA($B$11:$B$17),4)</f>
        <v>0.1429</v>
      </c>
      <c r="D12" s="541">
        <f t="shared" ref="D12:D17" si="0">ROUND($F$10*C12,2)</f>
        <v>694.43</v>
      </c>
    </row>
    <row r="13" spans="1:12" ht="14.25" outlineLevel="1" x14ac:dyDescent="0.2">
      <c r="A13" s="312"/>
      <c r="B13" s="313" t="s">
        <v>4697</v>
      </c>
      <c r="C13" s="339">
        <f t="shared" ref="C13:C16" si="1">ROUND(1/COUNTA($B$11:$B$17),4)</f>
        <v>0.1429</v>
      </c>
      <c r="D13" s="541">
        <f t="shared" si="0"/>
        <v>694.43</v>
      </c>
    </row>
    <row r="14" spans="1:12" ht="14.25" outlineLevel="1" x14ac:dyDescent="0.2">
      <c r="A14" s="312"/>
      <c r="B14" s="313" t="s">
        <v>4698</v>
      </c>
      <c r="C14" s="339">
        <f t="shared" si="1"/>
        <v>0.1429</v>
      </c>
      <c r="D14" s="541">
        <f t="shared" si="0"/>
        <v>694.43</v>
      </c>
      <c r="H14" s="329"/>
    </row>
    <row r="15" spans="1:12" ht="14.25" outlineLevel="1" x14ac:dyDescent="0.2">
      <c r="A15" s="312"/>
      <c r="B15" s="313" t="s">
        <v>4699</v>
      </c>
      <c r="C15" s="339">
        <f t="shared" si="1"/>
        <v>0.1429</v>
      </c>
      <c r="D15" s="541">
        <f t="shared" si="0"/>
        <v>694.43</v>
      </c>
    </row>
    <row r="16" spans="1:12" ht="14.25" outlineLevel="1" x14ac:dyDescent="0.2">
      <c r="A16" s="312"/>
      <c r="B16" s="313" t="s">
        <v>4700</v>
      </c>
      <c r="C16" s="339">
        <f t="shared" si="1"/>
        <v>0.1429</v>
      </c>
      <c r="D16" s="541">
        <f t="shared" si="0"/>
        <v>694.43</v>
      </c>
    </row>
    <row r="17" spans="1:11" ht="14.25" outlineLevel="1" x14ac:dyDescent="0.2">
      <c r="A17" s="312"/>
      <c r="B17" s="313" t="s">
        <v>4701</v>
      </c>
      <c r="C17" s="339">
        <f>1-SUM(C11:C16)</f>
        <v>0.14259999999999995</v>
      </c>
      <c r="D17" s="541">
        <f t="shared" si="0"/>
        <v>692.98</v>
      </c>
      <c r="I17" s="15"/>
    </row>
    <row r="18" spans="1:11" ht="15" x14ac:dyDescent="0.2">
      <c r="A18" s="310" t="s">
        <v>2681</v>
      </c>
      <c r="B18" s="311" t="s">
        <v>4702</v>
      </c>
      <c r="C18" s="341">
        <f>SUBTOTAL(9,C19:C21)</f>
        <v>1</v>
      </c>
      <c r="D18" s="540">
        <f>SUBTOTAL(9,D19:D21)</f>
        <v>1456160.34</v>
      </c>
      <c r="F18" s="321">
        <f>SUM('Parte B'!$G$13,'Parte A'!$F$5)*49%</f>
        <v>1456160.3378624874</v>
      </c>
      <c r="G18"/>
      <c r="H18" s="348"/>
      <c r="I18" s="331"/>
    </row>
    <row r="19" spans="1:11" ht="57" outlineLevel="2" x14ac:dyDescent="0.2">
      <c r="A19" s="312"/>
      <c r="B19" s="314" t="s">
        <v>4703</v>
      </c>
      <c r="C19" s="339">
        <v>0.65</v>
      </c>
      <c r="D19" s="541">
        <f>ROUND($F$18*C19,2)</f>
        <v>946504.22</v>
      </c>
      <c r="I19" s="331"/>
    </row>
    <row r="20" spans="1:11" ht="71.25" outlineLevel="2" x14ac:dyDescent="0.2">
      <c r="A20" s="312"/>
      <c r="B20" s="314" t="s">
        <v>4704</v>
      </c>
      <c r="C20" s="339">
        <v>0.17499999999999999</v>
      </c>
      <c r="D20" s="541">
        <f t="shared" ref="D20:D21" si="2">ROUND($F$18*C20,2)</f>
        <v>254828.06</v>
      </c>
      <c r="I20" s="331"/>
    </row>
    <row r="21" spans="1:11" ht="57" outlineLevel="2" x14ac:dyDescent="0.2">
      <c r="A21" s="312"/>
      <c r="B21" s="314" t="s">
        <v>4705</v>
      </c>
      <c r="C21" s="339">
        <v>0.17499999999999999</v>
      </c>
      <c r="D21" s="541">
        <f t="shared" si="2"/>
        <v>254828.06</v>
      </c>
      <c r="I21" s="331"/>
    </row>
    <row r="22" spans="1:11" ht="15" x14ac:dyDescent="0.2">
      <c r="A22" s="310" t="s">
        <v>2685</v>
      </c>
      <c r="B22" s="311" t="s">
        <v>4706</v>
      </c>
      <c r="C22" s="341">
        <f>SUBTOTAL(9,C23:C25)</f>
        <v>1</v>
      </c>
      <c r="D22" s="540">
        <f>SUBTOTAL(9,D23:D25)</f>
        <v>713221.4</v>
      </c>
      <c r="F22" s="321">
        <f>SUM('Parte B'!$G$13,'Parte A'!$F$5)*24%</f>
        <v>713221.38997346314</v>
      </c>
      <c r="H22" s="348"/>
      <c r="I22" s="331"/>
    </row>
    <row r="23" spans="1:11" ht="28.5" outlineLevel="1" x14ac:dyDescent="0.2">
      <c r="A23" s="312"/>
      <c r="B23" s="314" t="s">
        <v>4707</v>
      </c>
      <c r="C23" s="339">
        <v>0.45</v>
      </c>
      <c r="D23" s="541">
        <f>ROUND($F$22*C23,2)</f>
        <v>320949.63</v>
      </c>
      <c r="I23" s="331"/>
    </row>
    <row r="24" spans="1:11" ht="57" outlineLevel="1" x14ac:dyDescent="0.2">
      <c r="A24" s="312"/>
      <c r="B24" s="314" t="s">
        <v>4708</v>
      </c>
      <c r="C24" s="339">
        <v>0.28000000000000003</v>
      </c>
      <c r="D24" s="541">
        <f t="shared" ref="D24:D25" si="3">ROUND($F$22*C24,2)</f>
        <v>199701.99</v>
      </c>
      <c r="I24" s="331"/>
      <c r="J24" s="349"/>
    </row>
    <row r="25" spans="1:11" ht="28.5" outlineLevel="1" x14ac:dyDescent="0.2">
      <c r="A25" s="312"/>
      <c r="B25" s="314" t="s">
        <v>4709</v>
      </c>
      <c r="C25" s="339">
        <v>0.27</v>
      </c>
      <c r="D25" s="541">
        <f t="shared" si="3"/>
        <v>192569.78</v>
      </c>
      <c r="I25" s="331"/>
      <c r="J25" s="349"/>
      <c r="K25" s="348"/>
    </row>
    <row r="26" spans="1:11" ht="15" x14ac:dyDescent="0.2">
      <c r="A26" s="310" t="s">
        <v>2689</v>
      </c>
      <c r="B26" s="311" t="s">
        <v>4710</v>
      </c>
      <c r="C26" s="341">
        <f>SUBTOTAL(9,C27:C31)</f>
        <v>1</v>
      </c>
      <c r="D26" s="540">
        <f>SUBTOTAL(9,D27:D31)</f>
        <v>802374.07000000007</v>
      </c>
      <c r="F26" s="321">
        <f>SUM('Parte B'!$G$13,'Parte A'!$F$5)*27%</f>
        <v>802374.06372014619</v>
      </c>
      <c r="H26" s="348"/>
      <c r="I26" s="331"/>
      <c r="J26" s="349"/>
      <c r="K26" s="348"/>
    </row>
    <row r="27" spans="1:11" ht="71.25" outlineLevel="1" x14ac:dyDescent="0.2">
      <c r="A27" s="312"/>
      <c r="B27" s="314" t="s">
        <v>4711</v>
      </c>
      <c r="C27" s="339">
        <v>0.3</v>
      </c>
      <c r="D27" s="541">
        <f>ROUND($F$26*C27,2)</f>
        <v>240712.22</v>
      </c>
      <c r="I27" s="326"/>
      <c r="J27" s="349"/>
      <c r="K27" s="348"/>
    </row>
    <row r="28" spans="1:11" ht="57" outlineLevel="1" x14ac:dyDescent="0.2">
      <c r="A28" s="312"/>
      <c r="B28" s="314" t="s">
        <v>4712</v>
      </c>
      <c r="C28" s="339">
        <v>0.28000000000000003</v>
      </c>
      <c r="D28" s="541">
        <f t="shared" ref="D28:D30" si="4">ROUND($F$26*C28,2)</f>
        <v>224664.74</v>
      </c>
      <c r="J28" s="349"/>
      <c r="K28" s="348"/>
    </row>
    <row r="29" spans="1:11" ht="28.5" outlineLevel="1" x14ac:dyDescent="0.2">
      <c r="A29" s="312"/>
      <c r="B29" s="314" t="s">
        <v>4713</v>
      </c>
      <c r="C29" s="339">
        <v>0.2</v>
      </c>
      <c r="D29" s="541">
        <f t="shared" si="4"/>
        <v>160474.81</v>
      </c>
      <c r="J29" s="349"/>
      <c r="K29" s="348"/>
    </row>
    <row r="30" spans="1:11" ht="28.5" outlineLevel="1" x14ac:dyDescent="0.2">
      <c r="A30" s="312"/>
      <c r="B30" s="314" t="s">
        <v>4714</v>
      </c>
      <c r="C30" s="339">
        <v>0.12</v>
      </c>
      <c r="D30" s="541">
        <f t="shared" si="4"/>
        <v>96284.89</v>
      </c>
      <c r="J30" s="349"/>
    </row>
    <row r="31" spans="1:11" ht="28.5" outlineLevel="1" x14ac:dyDescent="0.2">
      <c r="A31" s="312"/>
      <c r="B31" s="314" t="s">
        <v>4715</v>
      </c>
      <c r="C31" s="339">
        <v>0.1</v>
      </c>
      <c r="D31" s="541">
        <f>ROUND($F$26*C31,2)</f>
        <v>80237.41</v>
      </c>
    </row>
    <row r="32" spans="1:11" ht="15" x14ac:dyDescent="0.2">
      <c r="A32" s="315">
        <v>2</v>
      </c>
      <c r="B32" s="316" t="s">
        <v>4716</v>
      </c>
      <c r="C32" s="340"/>
      <c r="D32" s="542">
        <f>SUBTOTAL(9,D33:D71)</f>
        <v>13008409.710000001</v>
      </c>
      <c r="F32" s="323">
        <f>SUM(F33,F42,F45:F47,F49:F51,F52:F54,F59,F62,F65,F67,F69)</f>
        <v>13008409.684380932</v>
      </c>
      <c r="G32" s="322">
        <f>SUM(F42,F45:F47,F49:F51,F52:F54,F59,F62,F65,F67,F69)/($F$7-'Parte B'!$G$5)</f>
        <v>0.50253775305616077</v>
      </c>
      <c r="H32" s="329"/>
      <c r="I32" s="361"/>
    </row>
    <row r="33" spans="1:11" ht="15" x14ac:dyDescent="0.2">
      <c r="A33" s="310" t="s">
        <v>2707</v>
      </c>
      <c r="B33" s="311" t="s">
        <v>4694</v>
      </c>
      <c r="C33" s="341">
        <f>SUBTOTAL(9,C34:C41)</f>
        <v>1</v>
      </c>
      <c r="D33" s="540">
        <f>SUBTOTAL(9,D34:D41)</f>
        <v>20793.28</v>
      </c>
      <c r="F33" s="321">
        <f>'Parte B'!$G$5*G32+'Parte B'!$G$5*$G$161</f>
        <v>20793.261529566604</v>
      </c>
      <c r="G33" s="325"/>
      <c r="H33" s="349"/>
    </row>
    <row r="34" spans="1:11" ht="14.25" outlineLevel="1" x14ac:dyDescent="0.2">
      <c r="A34" s="312"/>
      <c r="B34" s="313" t="s">
        <v>4717</v>
      </c>
      <c r="C34" s="339">
        <f>ROUND(1/COUNTA($B$34:$B$41),4)</f>
        <v>0.125</v>
      </c>
      <c r="D34" s="541">
        <f>ROUND($F$33*C34,2)</f>
        <v>2599.16</v>
      </c>
      <c r="F34" s="324"/>
      <c r="G34" s="325"/>
    </row>
    <row r="35" spans="1:11" ht="14.25" outlineLevel="1" x14ac:dyDescent="0.2">
      <c r="A35" s="312"/>
      <c r="B35" s="313" t="s">
        <v>4718</v>
      </c>
      <c r="C35" s="339">
        <f t="shared" ref="C35:C41" si="5">ROUND(1/COUNTA($B$34:$B$41),4)</f>
        <v>0.125</v>
      </c>
      <c r="D35" s="541">
        <f t="shared" ref="D35:D41" si="6">ROUND($F$33*C35,2)</f>
        <v>2599.16</v>
      </c>
      <c r="F35" s="324"/>
      <c r="G35" s="325"/>
    </row>
    <row r="36" spans="1:11" ht="14.25" outlineLevel="1" x14ac:dyDescent="0.2">
      <c r="A36" s="312"/>
      <c r="B36" s="313" t="s">
        <v>4719</v>
      </c>
      <c r="C36" s="339">
        <f t="shared" si="5"/>
        <v>0.125</v>
      </c>
      <c r="D36" s="541">
        <f t="shared" si="6"/>
        <v>2599.16</v>
      </c>
      <c r="F36" s="324"/>
      <c r="G36" s="325"/>
    </row>
    <row r="37" spans="1:11" ht="14.25" outlineLevel="1" x14ac:dyDescent="0.2">
      <c r="A37" s="312"/>
      <c r="B37" s="313" t="s">
        <v>4720</v>
      </c>
      <c r="C37" s="339">
        <f t="shared" si="5"/>
        <v>0.125</v>
      </c>
      <c r="D37" s="541">
        <f t="shared" si="6"/>
        <v>2599.16</v>
      </c>
      <c r="F37" s="351"/>
      <c r="G37" s="325"/>
      <c r="I37" s="349"/>
    </row>
    <row r="38" spans="1:11" ht="14.25" outlineLevel="1" x14ac:dyDescent="0.2">
      <c r="A38" s="312"/>
      <c r="B38" s="313" t="s">
        <v>4721</v>
      </c>
      <c r="C38" s="339">
        <f t="shared" si="5"/>
        <v>0.125</v>
      </c>
      <c r="D38" s="541">
        <f t="shared" si="6"/>
        <v>2599.16</v>
      </c>
      <c r="F38" s="352"/>
      <c r="G38" s="325"/>
    </row>
    <row r="39" spans="1:11" ht="14.25" outlineLevel="1" x14ac:dyDescent="0.2">
      <c r="A39" s="312"/>
      <c r="B39" s="313" t="s">
        <v>4722</v>
      </c>
      <c r="C39" s="339">
        <f t="shared" si="5"/>
        <v>0.125</v>
      </c>
      <c r="D39" s="541">
        <f t="shared" si="6"/>
        <v>2599.16</v>
      </c>
      <c r="F39" s="350"/>
      <c r="G39" s="325"/>
    </row>
    <row r="40" spans="1:11" ht="14.25" outlineLevel="1" x14ac:dyDescent="0.2">
      <c r="A40" s="312"/>
      <c r="B40" s="313" t="s">
        <v>4723</v>
      </c>
      <c r="C40" s="339">
        <f t="shared" si="5"/>
        <v>0.125</v>
      </c>
      <c r="D40" s="541">
        <f t="shared" si="6"/>
        <v>2599.16</v>
      </c>
      <c r="F40" s="350"/>
      <c r="G40" s="325"/>
    </row>
    <row r="41" spans="1:11" ht="14.25" outlineLevel="1" x14ac:dyDescent="0.2">
      <c r="A41" s="312"/>
      <c r="B41" s="313" t="s">
        <v>4724</v>
      </c>
      <c r="C41" s="339">
        <f t="shared" si="5"/>
        <v>0.125</v>
      </c>
      <c r="D41" s="541">
        <f t="shared" si="6"/>
        <v>2599.16</v>
      </c>
      <c r="F41" s="324"/>
      <c r="G41" s="325"/>
    </row>
    <row r="42" spans="1:11" ht="15" x14ac:dyDescent="0.2">
      <c r="A42" s="310" t="s">
        <v>2708</v>
      </c>
      <c r="B42" s="311" t="s">
        <v>4717</v>
      </c>
      <c r="C42" s="341">
        <f>SUBTOTAL(9,C43)</f>
        <v>1</v>
      </c>
      <c r="D42" s="540">
        <f>SUBTOTAL(9,D43)</f>
        <v>137263.12</v>
      </c>
      <c r="F42" s="323">
        <f>'Parte B'!$G$216</f>
        <v>137263.12427766054</v>
      </c>
      <c r="G42" s="325"/>
      <c r="H42" s="349"/>
    </row>
    <row r="43" spans="1:11" ht="14.25" outlineLevel="1" x14ac:dyDescent="0.2">
      <c r="A43" s="312"/>
      <c r="B43" s="313" t="s">
        <v>4725</v>
      </c>
      <c r="C43" s="342">
        <v>1</v>
      </c>
      <c r="D43" s="541">
        <f>ROUND($F$42*C43,2)</f>
        <v>137263.12</v>
      </c>
      <c r="G43" s="325"/>
    </row>
    <row r="44" spans="1:11" ht="15" x14ac:dyDescent="0.2">
      <c r="A44" s="310" t="s">
        <v>2709</v>
      </c>
      <c r="B44" s="311" t="s">
        <v>4718</v>
      </c>
      <c r="C44" s="341">
        <f>SUBTOTAL(9,C45:C47)</f>
        <v>1</v>
      </c>
      <c r="D44" s="540">
        <f>SUBTOTAL(9,D45:D47)</f>
        <v>6753693.9000000004</v>
      </c>
      <c r="F44" s="330">
        <f>SUM(F45:F47)</f>
        <v>6753693.8965806747</v>
      </c>
      <c r="G44" s="325"/>
      <c r="H44" s="349"/>
    </row>
    <row r="45" spans="1:11" ht="14.25" outlineLevel="1" x14ac:dyDescent="0.2">
      <c r="A45" s="312"/>
      <c r="B45" s="313" t="s">
        <v>4726</v>
      </c>
      <c r="C45" s="342">
        <v>0.315</v>
      </c>
      <c r="D45" s="541">
        <f>ROUND($F$44*C45,2)</f>
        <v>2127413.58</v>
      </c>
      <c r="F45" s="359">
        <f>('Parte A'!$F$12+'Parte A'!$F$17+'Parte A'!$F$19)</f>
        <v>2137747.129395979</v>
      </c>
      <c r="G45" s="358"/>
      <c r="H45" s="349"/>
      <c r="K45" s="331"/>
    </row>
    <row r="46" spans="1:11" ht="28.5" outlineLevel="1" x14ac:dyDescent="0.2">
      <c r="A46" s="312"/>
      <c r="B46" s="313" t="s">
        <v>4727</v>
      </c>
      <c r="C46" s="342">
        <v>0.115</v>
      </c>
      <c r="D46" s="541">
        <f t="shared" ref="D46:D47" si="7">ROUND($F$44*C46,2)</f>
        <v>776674.8</v>
      </c>
      <c r="F46" s="359">
        <f>(('Parte A'!$F$14*29%)+'Parte A'!$F$20)</f>
        <v>783453.80605648621</v>
      </c>
      <c r="G46" s="358"/>
      <c r="H46" s="349"/>
      <c r="K46" s="331"/>
    </row>
    <row r="47" spans="1:11" ht="28.5" outlineLevel="1" x14ac:dyDescent="0.2">
      <c r="A47" s="312"/>
      <c r="B47" s="313" t="s">
        <v>4728</v>
      </c>
      <c r="C47" s="342">
        <v>0.56999999999999995</v>
      </c>
      <c r="D47" s="541">
        <f t="shared" si="7"/>
        <v>3849605.52</v>
      </c>
      <c r="F47" s="359">
        <f>('Parte A'!$F$15+'Parte A'!$F$18)</f>
        <v>3832492.9611282097</v>
      </c>
      <c r="G47" s="358"/>
      <c r="H47" s="349"/>
      <c r="K47" s="331"/>
    </row>
    <row r="48" spans="1:11" ht="15" x14ac:dyDescent="0.2">
      <c r="A48" s="310" t="s">
        <v>2710</v>
      </c>
      <c r="B48" s="311" t="s">
        <v>4729</v>
      </c>
      <c r="C48" s="341">
        <f>SUBTOTAL(9,C49:C51)</f>
        <v>1</v>
      </c>
      <c r="D48" s="540">
        <f>SUBTOTAL(9,D49:D51)</f>
        <v>1733703.72</v>
      </c>
      <c r="F48" s="330">
        <f>SUM(F49:F51)</f>
        <v>1733703.7114453509</v>
      </c>
      <c r="G48" s="325"/>
    </row>
    <row r="49" spans="1:9" ht="14.25" outlineLevel="1" x14ac:dyDescent="0.2">
      <c r="A49" s="312"/>
      <c r="B49" s="313" t="s">
        <v>4730</v>
      </c>
      <c r="C49" s="342">
        <v>0.314</v>
      </c>
      <c r="D49" s="541">
        <f>ROUND($F$48*C49,2)</f>
        <v>544382.97</v>
      </c>
      <c r="F49" s="359">
        <f>'Parte A'!$F$13</f>
        <v>544144.00973914505</v>
      </c>
      <c r="G49" s="325"/>
      <c r="H49" s="349"/>
    </row>
    <row r="50" spans="1:9" ht="14.25" outlineLevel="1" x14ac:dyDescent="0.2">
      <c r="A50" s="312"/>
      <c r="B50" s="313" t="s">
        <v>4731</v>
      </c>
      <c r="C50" s="342">
        <v>0.41199999999999998</v>
      </c>
      <c r="D50" s="541">
        <f t="shared" ref="D50:D51" si="8">ROUND($F$48*C50,2)</f>
        <v>714285.93</v>
      </c>
      <c r="F50" s="359">
        <f>(('Parte A'!$F$14*70%)*60%)</f>
        <v>713735.82102372346</v>
      </c>
      <c r="G50" s="325"/>
      <c r="H50" s="349"/>
    </row>
    <row r="51" spans="1:9" ht="14.25" outlineLevel="1" x14ac:dyDescent="0.2">
      <c r="A51" s="312"/>
      <c r="B51" s="313" t="s">
        <v>4732</v>
      </c>
      <c r="C51" s="342">
        <v>0.27400000000000002</v>
      </c>
      <c r="D51" s="541">
        <f t="shared" si="8"/>
        <v>475034.82</v>
      </c>
      <c r="F51" s="359">
        <f>(('Parte A'!$F$14*70%)*40%)</f>
        <v>475823.88068248233</v>
      </c>
      <c r="G51" s="325"/>
      <c r="H51" s="349"/>
    </row>
    <row r="52" spans="1:9" ht="15" x14ac:dyDescent="0.2">
      <c r="A52" s="310" t="s">
        <v>4733</v>
      </c>
      <c r="B52" s="311" t="s">
        <v>4734</v>
      </c>
      <c r="C52" s="341">
        <f>SUBTOTAL(9,C53)</f>
        <v>1</v>
      </c>
      <c r="D52" s="540">
        <f>SUBTOTAL(9,D53)</f>
        <v>16993.71</v>
      </c>
      <c r="F52" s="330">
        <f>('Parte A'!$F$14*1%)</f>
        <v>16993.710024374366</v>
      </c>
      <c r="G52" s="325"/>
    </row>
    <row r="53" spans="1:9" ht="14.25" outlineLevel="1" x14ac:dyDescent="0.2">
      <c r="A53" s="312"/>
      <c r="B53" s="313" t="s">
        <v>4735</v>
      </c>
      <c r="C53" s="342">
        <v>1</v>
      </c>
      <c r="D53" s="541">
        <f>ROUND($F$52*C53,2)</f>
        <v>16993.71</v>
      </c>
      <c r="H53" s="349"/>
    </row>
    <row r="54" spans="1:9" ht="15" x14ac:dyDescent="0.2">
      <c r="A54" s="310" t="s">
        <v>4736</v>
      </c>
      <c r="B54" s="311" t="s">
        <v>4737</v>
      </c>
      <c r="C54" s="341">
        <f>SUBTOTAL(9,C55:C58)</f>
        <v>1</v>
      </c>
      <c r="D54" s="540">
        <f>SUBTOTAL(9,D55:D58)</f>
        <v>1905666.78</v>
      </c>
      <c r="F54" s="323">
        <f>'Parte A'!$F$21</f>
        <v>1905666.7779541328</v>
      </c>
      <c r="G54" s="325"/>
      <c r="H54" s="349"/>
    </row>
    <row r="55" spans="1:9" ht="14.25" outlineLevel="1" x14ac:dyDescent="0.2">
      <c r="A55" s="312"/>
      <c r="B55" s="313" t="s">
        <v>4738</v>
      </c>
      <c r="C55" s="342">
        <v>0.1</v>
      </c>
      <c r="D55" s="541">
        <f>ROUND($F$54*C55,2)</f>
        <v>190566.68</v>
      </c>
      <c r="G55" s="325"/>
      <c r="H55" s="349"/>
      <c r="I55" s="332"/>
    </row>
    <row r="56" spans="1:9" ht="14.25" outlineLevel="1" x14ac:dyDescent="0.2">
      <c r="A56" s="312"/>
      <c r="B56" s="313" t="s">
        <v>4739</v>
      </c>
      <c r="C56" s="342">
        <v>0.2</v>
      </c>
      <c r="D56" s="541">
        <f t="shared" ref="D56:D58" si="9">ROUND($F$54*C56,2)</f>
        <v>381133.36</v>
      </c>
      <c r="G56" s="325"/>
      <c r="H56" s="349"/>
      <c r="I56" s="332"/>
    </row>
    <row r="57" spans="1:9" ht="28.5" outlineLevel="1" x14ac:dyDescent="0.2">
      <c r="A57" s="312"/>
      <c r="B57" s="313" t="s">
        <v>4740</v>
      </c>
      <c r="C57" s="343">
        <v>0.4</v>
      </c>
      <c r="D57" s="541">
        <f t="shared" si="9"/>
        <v>762266.71</v>
      </c>
      <c r="G57" s="325"/>
      <c r="H57" s="349"/>
      <c r="I57" s="332"/>
    </row>
    <row r="58" spans="1:9" ht="14.25" outlineLevel="1" x14ac:dyDescent="0.2">
      <c r="A58" s="312"/>
      <c r="B58" s="313" t="s">
        <v>4741</v>
      </c>
      <c r="C58" s="342">
        <v>0.3</v>
      </c>
      <c r="D58" s="541">
        <f t="shared" si="9"/>
        <v>571700.03</v>
      </c>
      <c r="G58" s="325"/>
      <c r="H58" s="349"/>
      <c r="I58" s="332"/>
    </row>
    <row r="59" spans="1:9" ht="15" x14ac:dyDescent="0.2">
      <c r="A59" s="310" t="s">
        <v>4742</v>
      </c>
      <c r="B59" s="311" t="s">
        <v>4721</v>
      </c>
      <c r="C59" s="341">
        <f>SUBTOTAL(9,C60:C61)</f>
        <v>1</v>
      </c>
      <c r="D59" s="540">
        <f>SUBTOTAL(9,D60:D61)</f>
        <v>1624302</v>
      </c>
      <c r="F59" s="323">
        <f>'Parte A'!$F$43</f>
        <v>1624302.0050885663</v>
      </c>
      <c r="G59" s="325"/>
      <c r="H59" s="349"/>
      <c r="I59" s="349"/>
    </row>
    <row r="60" spans="1:9" ht="28.5" outlineLevel="1" x14ac:dyDescent="0.2">
      <c r="A60" s="312"/>
      <c r="B60" s="313" t="s">
        <v>4743</v>
      </c>
      <c r="C60" s="342">
        <v>0.6</v>
      </c>
      <c r="D60" s="541">
        <f>ROUND($F$59*C60,2)</f>
        <v>974581.2</v>
      </c>
      <c r="G60" s="325"/>
      <c r="H60" s="349"/>
      <c r="I60" s="332"/>
    </row>
    <row r="61" spans="1:9" ht="28.5" outlineLevel="1" x14ac:dyDescent="0.2">
      <c r="A61" s="312"/>
      <c r="B61" s="313" t="s">
        <v>4744</v>
      </c>
      <c r="C61" s="343">
        <v>0.4</v>
      </c>
      <c r="D61" s="541">
        <f>ROUND($F$59*C61,2)</f>
        <v>649720.80000000005</v>
      </c>
      <c r="G61" s="325"/>
      <c r="H61" s="349"/>
      <c r="I61" s="332"/>
    </row>
    <row r="62" spans="1:9" ht="15" x14ac:dyDescent="0.2">
      <c r="A62" s="310" t="s">
        <v>4745</v>
      </c>
      <c r="B62" s="311" t="s">
        <v>4746</v>
      </c>
      <c r="C62" s="341">
        <f>SUBTOTAL(9,C63:C64)</f>
        <v>1</v>
      </c>
      <c r="D62" s="540">
        <f>SUBTOTAL(9,D63:D64)</f>
        <v>236840.44</v>
      </c>
      <c r="F62" s="323">
        <f>'Parte A'!$F$49</f>
        <v>236840.44138063357</v>
      </c>
      <c r="G62" s="325"/>
      <c r="H62" s="349"/>
      <c r="I62" s="349"/>
    </row>
    <row r="63" spans="1:9" ht="28.5" outlineLevel="1" x14ac:dyDescent="0.2">
      <c r="A63" s="312"/>
      <c r="B63" s="313" t="s">
        <v>4747</v>
      </c>
      <c r="C63" s="343">
        <v>0.3</v>
      </c>
      <c r="D63" s="541">
        <f>ROUND($F$62*C63,2)</f>
        <v>71052.13</v>
      </c>
      <c r="G63" s="325"/>
      <c r="H63" s="349"/>
      <c r="I63" s="332"/>
    </row>
    <row r="64" spans="1:9" ht="28.5" outlineLevel="1" x14ac:dyDescent="0.2">
      <c r="A64" s="312"/>
      <c r="B64" s="313" t="s">
        <v>4748</v>
      </c>
      <c r="C64" s="342">
        <v>0.7</v>
      </c>
      <c r="D64" s="541">
        <f>ROUND($F$62*C64,2)</f>
        <v>165788.31</v>
      </c>
      <c r="G64" s="325"/>
      <c r="H64" s="349"/>
      <c r="I64" s="332"/>
    </row>
    <row r="65" spans="1:9" ht="15" x14ac:dyDescent="0.2">
      <c r="A65" s="310" t="s">
        <v>4749</v>
      </c>
      <c r="B65" s="311" t="s">
        <v>4723</v>
      </c>
      <c r="C65" s="341">
        <f>SUBTOTAL(9,C66)</f>
        <v>1</v>
      </c>
      <c r="D65" s="540">
        <f>SUBTOTAL(9,D66)</f>
        <v>291084.25</v>
      </c>
      <c r="F65" s="323">
        <f>'Parte B'!$G$129*85%</f>
        <v>291084.25260235305</v>
      </c>
      <c r="G65" s="325"/>
      <c r="H65" s="349"/>
      <c r="I65" s="349"/>
    </row>
    <row r="66" spans="1:9" ht="14.25" outlineLevel="1" x14ac:dyDescent="0.2">
      <c r="A66" s="312"/>
      <c r="B66" s="313" t="s">
        <v>4750</v>
      </c>
      <c r="C66" s="342">
        <v>1</v>
      </c>
      <c r="D66" s="541">
        <f>ROUND($F$65*C66,2)</f>
        <v>291084.25</v>
      </c>
      <c r="G66" s="325"/>
      <c r="H66" s="349"/>
      <c r="I66" s="349"/>
    </row>
    <row r="67" spans="1:9" ht="15" x14ac:dyDescent="0.2">
      <c r="A67" s="310" t="s">
        <v>4751</v>
      </c>
      <c r="B67" s="311" t="s">
        <v>4752</v>
      </c>
      <c r="C67" s="341">
        <f>SUBTOTAL(9,C68)</f>
        <v>1</v>
      </c>
      <c r="D67" s="540">
        <f>SUBTOTAL(9,D68)</f>
        <v>201195.59</v>
      </c>
      <c r="F67" s="323">
        <f>'Parte B'!$G$111*85%</f>
        <v>201195.59008262539</v>
      </c>
      <c r="G67" s="325"/>
      <c r="H67" s="349"/>
      <c r="I67" s="349"/>
    </row>
    <row r="68" spans="1:9" ht="14.25" outlineLevel="1" x14ac:dyDescent="0.2">
      <c r="A68" s="312"/>
      <c r="B68" s="313" t="s">
        <v>4753</v>
      </c>
      <c r="C68" s="342">
        <v>1</v>
      </c>
      <c r="D68" s="541">
        <f>ROUND($F$67*C68,2)</f>
        <v>201195.59</v>
      </c>
      <c r="G68" s="325"/>
      <c r="H68" s="349"/>
      <c r="I68" s="349"/>
    </row>
    <row r="69" spans="1:9" ht="15" x14ac:dyDescent="0.2">
      <c r="A69" s="310" t="s">
        <v>4754</v>
      </c>
      <c r="B69" s="311" t="s">
        <v>4755</v>
      </c>
      <c r="C69" s="341">
        <f>SUBTOTAL(9,C70:C71)</f>
        <v>1</v>
      </c>
      <c r="D69" s="540">
        <f>SUBTOTAL(9,D70:D71)</f>
        <v>86872.92</v>
      </c>
      <c r="F69" s="323">
        <f>('Parte B'!$G$129+'Parte B'!$G$111)*15%</f>
        <v>86872.913414996205</v>
      </c>
      <c r="G69" s="325"/>
      <c r="H69" s="349"/>
      <c r="I69" s="349"/>
    </row>
    <row r="70" spans="1:9" ht="42.75" outlineLevel="1" x14ac:dyDescent="0.2">
      <c r="A70" s="312"/>
      <c r="B70" s="313" t="s">
        <v>4756</v>
      </c>
      <c r="C70" s="343">
        <v>0.6</v>
      </c>
      <c r="D70" s="541">
        <f>ROUND($F$69*C70,2)</f>
        <v>52123.75</v>
      </c>
      <c r="G70" s="325"/>
      <c r="H70" s="349"/>
      <c r="I70" s="332"/>
    </row>
    <row r="71" spans="1:9" ht="14.25" outlineLevel="1" x14ac:dyDescent="0.2">
      <c r="A71" s="312"/>
      <c r="B71" s="313" t="s">
        <v>4755</v>
      </c>
      <c r="C71" s="342">
        <v>0.4</v>
      </c>
      <c r="D71" s="541">
        <f>ROUND($F$69*C71,2)</f>
        <v>34749.17</v>
      </c>
      <c r="G71" s="325"/>
      <c r="H71" s="349"/>
      <c r="I71" s="332"/>
    </row>
    <row r="72" spans="1:9" ht="15" x14ac:dyDescent="0.2">
      <c r="A72" s="315">
        <v>3</v>
      </c>
      <c r="B72" s="316" t="s">
        <v>4757</v>
      </c>
      <c r="C72" s="340"/>
      <c r="D72" s="542">
        <f>SUBTOTAL(9,D73:D81)</f>
        <v>1015269.96</v>
      </c>
      <c r="F72" s="321">
        <f>SUM(F73,F75,F78,F80)</f>
        <v>1015269.9618403909</v>
      </c>
      <c r="G72" s="322">
        <f>SUM(F75,F78,F80)/($F$7-'Parte B'!$G$5)</f>
        <v>3.9216964047094384E-2</v>
      </c>
      <c r="H72" s="329"/>
      <c r="I72" s="361"/>
    </row>
    <row r="73" spans="1:9" ht="15" x14ac:dyDescent="0.2">
      <c r="A73" s="310" t="s">
        <v>2724</v>
      </c>
      <c r="B73" s="311" t="s">
        <v>4694</v>
      </c>
      <c r="C73" s="341">
        <f>SUBTOTAL(9,C74)</f>
        <v>1</v>
      </c>
      <c r="D73" s="540">
        <f>SUBTOTAL(9,D74)</f>
        <v>1744.34</v>
      </c>
      <c r="F73" s="321">
        <f>'Parte B'!$G$5*G72+'Parte B'!$G$5*$G$161</f>
        <v>1744.3446804515024</v>
      </c>
      <c r="G73" s="325"/>
      <c r="H73" s="349"/>
      <c r="I73" s="349"/>
    </row>
    <row r="74" spans="1:9" ht="14.25" outlineLevel="1" x14ac:dyDescent="0.2">
      <c r="A74" s="312"/>
      <c r="B74" s="313" t="s">
        <v>4758</v>
      </c>
      <c r="C74" s="344">
        <v>1</v>
      </c>
      <c r="D74" s="541">
        <f>ROUND($F$73*C74,2)</f>
        <v>1744.34</v>
      </c>
      <c r="G74" s="325"/>
      <c r="H74" s="349"/>
      <c r="I74" s="349"/>
    </row>
    <row r="75" spans="1:9" ht="15" x14ac:dyDescent="0.2">
      <c r="A75" s="310" t="s">
        <v>4759</v>
      </c>
      <c r="B75" s="311" t="s">
        <v>4760</v>
      </c>
      <c r="C75" s="341">
        <f>SUBTOTAL(9,C76:C77)</f>
        <v>1</v>
      </c>
      <c r="D75" s="540">
        <f>SUBTOTAL(9,D76:D77)</f>
        <v>189799.4</v>
      </c>
      <c r="F75" s="323">
        <f>'Parte B'!$G$61</f>
        <v>189799.39445737234</v>
      </c>
      <c r="G75" s="325"/>
      <c r="H75" s="349"/>
      <c r="I75" s="349"/>
    </row>
    <row r="76" spans="1:9" ht="14.25" outlineLevel="1" x14ac:dyDescent="0.2">
      <c r="A76" s="312"/>
      <c r="B76" s="313" t="s">
        <v>4761</v>
      </c>
      <c r="C76" s="344">
        <v>0.5</v>
      </c>
      <c r="D76" s="541">
        <f>ROUND($F$75*C76,2)</f>
        <v>94899.7</v>
      </c>
      <c r="G76" s="325"/>
      <c r="H76" s="349"/>
      <c r="I76" s="332"/>
    </row>
    <row r="77" spans="1:9" ht="14.25" outlineLevel="1" x14ac:dyDescent="0.2">
      <c r="A77" s="312"/>
      <c r="B77" s="313" t="s">
        <v>4762</v>
      </c>
      <c r="C77" s="344">
        <v>0.5</v>
      </c>
      <c r="D77" s="541">
        <f>ROUND($F$75*C77,2)</f>
        <v>94899.7</v>
      </c>
      <c r="G77" s="325"/>
      <c r="H77" s="349"/>
      <c r="I77" s="332"/>
    </row>
    <row r="78" spans="1:9" ht="15" x14ac:dyDescent="0.2">
      <c r="A78" s="310" t="s">
        <v>4763</v>
      </c>
      <c r="B78" s="311" t="s">
        <v>4764</v>
      </c>
      <c r="C78" s="341">
        <f>SUBTOTAL(9,C79)</f>
        <v>1</v>
      </c>
      <c r="D78" s="540">
        <f>SUBTOTAL(9,D79)</f>
        <v>436574.9</v>
      </c>
      <c r="F78" s="323">
        <f>'Parte B'!$G$73*53%</f>
        <v>436574.89803236059</v>
      </c>
      <c r="G78" s="325"/>
      <c r="H78" s="349"/>
      <c r="I78" s="349"/>
    </row>
    <row r="79" spans="1:9" ht="14.25" outlineLevel="1" x14ac:dyDescent="0.2">
      <c r="A79" s="312"/>
      <c r="B79" s="313" t="s">
        <v>4765</v>
      </c>
      <c r="C79" s="344">
        <v>1</v>
      </c>
      <c r="D79" s="541">
        <f>ROUND($F$78*C79,2)</f>
        <v>436574.9</v>
      </c>
      <c r="G79" s="325"/>
      <c r="H79" s="349"/>
      <c r="I79" s="349"/>
    </row>
    <row r="80" spans="1:9" ht="15" x14ac:dyDescent="0.2">
      <c r="A80" s="310" t="s">
        <v>4766</v>
      </c>
      <c r="B80" s="311" t="s">
        <v>4755</v>
      </c>
      <c r="C80" s="341">
        <f>SUBTOTAL(9,C81)</f>
        <v>1</v>
      </c>
      <c r="D80" s="540">
        <f>SUBTOTAL(9,D81)</f>
        <v>387151.32</v>
      </c>
      <c r="F80" s="323">
        <f>'Parte B'!$G$73*47%</f>
        <v>387151.32467020652</v>
      </c>
      <c r="G80" s="325"/>
      <c r="H80" s="349"/>
      <c r="I80" s="349"/>
    </row>
    <row r="81" spans="1:9" ht="14.25" outlineLevel="1" x14ac:dyDescent="0.2">
      <c r="A81" s="312"/>
      <c r="B81" s="313" t="s">
        <v>4755</v>
      </c>
      <c r="C81" s="344">
        <v>1</v>
      </c>
      <c r="D81" s="541">
        <f>ROUND($F$80*C81,2)</f>
        <v>387151.32</v>
      </c>
      <c r="G81" s="325"/>
      <c r="H81" s="349"/>
      <c r="I81" s="349"/>
    </row>
    <row r="82" spans="1:9" ht="15" x14ac:dyDescent="0.2">
      <c r="A82" s="315">
        <v>4</v>
      </c>
      <c r="B82" s="316" t="s">
        <v>4767</v>
      </c>
      <c r="C82" s="340"/>
      <c r="D82" s="542">
        <f>SUBTOTAL(9,D83:D90)</f>
        <v>693634.32000000007</v>
      </c>
      <c r="F82" s="323">
        <f>SUM(F83,F85,F87,F89)</f>
        <v>693634.31050497794</v>
      </c>
      <c r="G82" s="322">
        <f>SUM(F85,F87,F89)/($F$7-'Parte B'!$G$5)</f>
        <v>2.6791486882837591E-2</v>
      </c>
      <c r="H82" s="329"/>
      <c r="I82" s="361"/>
    </row>
    <row r="83" spans="1:9" ht="15" x14ac:dyDescent="0.2">
      <c r="A83" s="310" t="s">
        <v>4768</v>
      </c>
      <c r="B83" s="311" t="s">
        <v>4694</v>
      </c>
      <c r="C83" s="341">
        <f>SUBTOTAL(9,C84)</f>
        <v>1</v>
      </c>
      <c r="D83" s="540">
        <f>SUBTOTAL(9,D84)</f>
        <v>1233.49</v>
      </c>
      <c r="F83" s="321">
        <f>'Parte B'!$G$5*G82+'Parte B'!$G$5*$G$161</f>
        <v>1233.4850623913369</v>
      </c>
      <c r="G83" s="325"/>
      <c r="H83" s="349"/>
      <c r="I83" s="349"/>
    </row>
    <row r="84" spans="1:9" ht="14.25" outlineLevel="1" x14ac:dyDescent="0.2">
      <c r="A84" s="312"/>
      <c r="B84" s="313" t="s">
        <v>4758</v>
      </c>
      <c r="C84" s="344">
        <v>1</v>
      </c>
      <c r="D84" s="541">
        <f>ROUND($F$83*C84,2)</f>
        <v>1233.49</v>
      </c>
      <c r="G84" s="325"/>
      <c r="H84" s="349"/>
      <c r="I84" s="349"/>
    </row>
    <row r="85" spans="1:9" ht="15" x14ac:dyDescent="0.2">
      <c r="A85" s="310" t="s">
        <v>4771</v>
      </c>
      <c r="B85" s="311" t="s">
        <v>4772</v>
      </c>
      <c r="C85" s="341">
        <f>SUBTOTAL(9,C86)</f>
        <v>1</v>
      </c>
      <c r="D85" s="540">
        <f>SUBTOTAL(9,D86)</f>
        <v>429288.51</v>
      </c>
      <c r="F85" s="323">
        <f>SUM(EVTEA!$B$14,EVTEA!$B$16:$B$17,EVTEA!$B$20)*$J$4*62%</f>
        <v>429288.51177440368</v>
      </c>
      <c r="G85" s="325"/>
      <c r="H85" s="349"/>
      <c r="I85" s="349"/>
    </row>
    <row r="86" spans="1:9" ht="28.5" outlineLevel="1" x14ac:dyDescent="0.2">
      <c r="A86" s="312"/>
      <c r="B86" s="313" t="s">
        <v>4773</v>
      </c>
      <c r="C86" s="345">
        <v>1</v>
      </c>
      <c r="D86" s="541">
        <f>ROUND($F$85*C86,2)</f>
        <v>429288.51</v>
      </c>
      <c r="H86" s="349"/>
      <c r="I86" s="349"/>
    </row>
    <row r="87" spans="1:9" ht="15" x14ac:dyDescent="0.2">
      <c r="A87" s="310" t="s">
        <v>4774</v>
      </c>
      <c r="B87" s="311" t="s">
        <v>4775</v>
      </c>
      <c r="C87" s="341">
        <f>SUBTOTAL(9,C88)</f>
        <v>1</v>
      </c>
      <c r="D87" s="540">
        <f>SUBTOTAL(9,D88)</f>
        <v>214644.26</v>
      </c>
      <c r="F87" s="323">
        <f>SUM(EVTEA!$B$14,EVTEA!$B$16:$B$17,EVTEA!$B$20)*$J$4*31%</f>
        <v>214644.25588720184</v>
      </c>
      <c r="G87" s="325"/>
      <c r="H87" s="349"/>
      <c r="I87" s="349"/>
    </row>
    <row r="88" spans="1:9" ht="14.25" outlineLevel="1" x14ac:dyDescent="0.2">
      <c r="A88" s="312"/>
      <c r="B88" s="313" t="s">
        <v>4775</v>
      </c>
      <c r="C88" s="345">
        <v>1</v>
      </c>
      <c r="D88" s="541">
        <f>ROUND($F$87*C88,2)</f>
        <v>214644.26</v>
      </c>
      <c r="G88" s="325"/>
      <c r="H88" s="349"/>
      <c r="I88" s="349"/>
    </row>
    <row r="89" spans="1:9" ht="15" x14ac:dyDescent="0.2">
      <c r="A89" s="310" t="s">
        <v>4776</v>
      </c>
      <c r="B89" s="311" t="s">
        <v>4755</v>
      </c>
      <c r="C89" s="341">
        <f>SUBTOTAL(9,C90)</f>
        <v>1</v>
      </c>
      <c r="D89" s="540">
        <f>SUBTOTAL(9,D90)</f>
        <v>48468.06</v>
      </c>
      <c r="F89" s="323">
        <f>SUM(EVTEA!$B$14,EVTEA!$B$16:$B$17,EVTEA!$B$20)*$J$4*7%</f>
        <v>48468.057780981064</v>
      </c>
      <c r="G89" s="325"/>
      <c r="H89" s="349"/>
      <c r="I89" s="349"/>
    </row>
    <row r="90" spans="1:9" ht="14.25" outlineLevel="1" x14ac:dyDescent="0.2">
      <c r="A90" s="312"/>
      <c r="B90" s="313" t="s">
        <v>4755</v>
      </c>
      <c r="C90" s="345">
        <v>1</v>
      </c>
      <c r="D90" s="541">
        <f>ROUND($F$89*C90,2)</f>
        <v>48468.06</v>
      </c>
      <c r="G90" s="325"/>
      <c r="H90" s="349"/>
      <c r="I90" s="349"/>
    </row>
    <row r="91" spans="1:9" ht="15" x14ac:dyDescent="0.2">
      <c r="A91" s="315">
        <v>5</v>
      </c>
      <c r="B91" s="316" t="s">
        <v>4777</v>
      </c>
      <c r="C91" s="340"/>
      <c r="D91" s="542">
        <f>SUBTOTAL(9,D92:D97)</f>
        <v>520258.73</v>
      </c>
      <c r="F91" s="323">
        <f>SUM(F92,F94,F96)</f>
        <v>520258.72862805729</v>
      </c>
      <c r="G91" s="322">
        <f>SUM(F94,F96)/($F$7-'Parte B'!$G$5)</f>
        <v>2.0093615162128192E-2</v>
      </c>
      <c r="H91" s="329"/>
      <c r="I91" s="361"/>
    </row>
    <row r="92" spans="1:9" ht="15" x14ac:dyDescent="0.2">
      <c r="A92" s="310" t="s">
        <v>4778</v>
      </c>
      <c r="B92" s="311" t="s">
        <v>4694</v>
      </c>
      <c r="C92" s="341">
        <f>SUBTOTAL(9,C93)</f>
        <v>1</v>
      </c>
      <c r="D92" s="540">
        <f>SUBTOTAL(9,D93)</f>
        <v>958.11</v>
      </c>
      <c r="F92" s="321">
        <f>'Parte B'!$G$5*G91+'Parte B'!$G$5*$G$161</f>
        <v>958.10954611737111</v>
      </c>
      <c r="G92" s="325"/>
      <c r="H92" s="349"/>
      <c r="I92" s="349"/>
    </row>
    <row r="93" spans="1:9" ht="14.25" outlineLevel="1" x14ac:dyDescent="0.2">
      <c r="A93" s="312"/>
      <c r="B93" s="313" t="s">
        <v>4758</v>
      </c>
      <c r="C93" s="344">
        <v>1</v>
      </c>
      <c r="D93" s="541">
        <f>ROUND($F$92*C93,2)</f>
        <v>958.11</v>
      </c>
      <c r="G93" s="325"/>
      <c r="H93" s="349"/>
      <c r="I93" s="349"/>
    </row>
    <row r="94" spans="1:9" ht="15" x14ac:dyDescent="0.2">
      <c r="A94" s="310" t="s">
        <v>4779</v>
      </c>
      <c r="B94" s="311" t="s">
        <v>4775</v>
      </c>
      <c r="C94" s="341">
        <f>SUBTOTAL(9,C95)</f>
        <v>1</v>
      </c>
      <c r="D94" s="540">
        <f>SUBTOTAL(9,D95)</f>
        <v>405054.48</v>
      </c>
      <c r="F94" s="323">
        <f>SUM(EVTEA!$B$14,EVTEA!$B$16:$B$17,EVTEA!$B$20)*$J$5*78%</f>
        <v>405054.48288391315</v>
      </c>
      <c r="G94" s="325"/>
      <c r="H94" s="349"/>
      <c r="I94" s="349"/>
    </row>
    <row r="95" spans="1:9" ht="14.25" outlineLevel="1" x14ac:dyDescent="0.2">
      <c r="A95" s="312"/>
      <c r="B95" s="313" t="s">
        <v>4775</v>
      </c>
      <c r="C95" s="344">
        <v>1</v>
      </c>
      <c r="D95" s="541">
        <f>ROUND($F$94*C95,2)</f>
        <v>405054.48</v>
      </c>
      <c r="G95" s="325"/>
      <c r="H95" s="349"/>
      <c r="I95" s="349"/>
    </row>
    <row r="96" spans="1:9" ht="15" x14ac:dyDescent="0.2">
      <c r="A96" s="310" t="s">
        <v>4780</v>
      </c>
      <c r="B96" s="311" t="s">
        <v>4755</v>
      </c>
      <c r="C96" s="341">
        <f>SUBTOTAL(9,C97)</f>
        <v>1</v>
      </c>
      <c r="D96" s="540">
        <f>SUBTOTAL(9,D97)</f>
        <v>114246.14</v>
      </c>
      <c r="F96" s="323">
        <f>SUM(EVTEA!$B$14,EVTEA!$B$16:$B$17,EVTEA!$B$20)*$J$5*22%</f>
        <v>114246.13619802678</v>
      </c>
      <c r="G96" s="325"/>
      <c r="H96" s="349"/>
      <c r="I96" s="349"/>
    </row>
    <row r="97" spans="1:9" ht="14.25" outlineLevel="1" x14ac:dyDescent="0.2">
      <c r="A97" s="312"/>
      <c r="B97" s="313" t="s">
        <v>4755</v>
      </c>
      <c r="C97" s="344">
        <v>1</v>
      </c>
      <c r="D97" s="541">
        <f>ROUND($F$96*C97,2)</f>
        <v>114246.14</v>
      </c>
      <c r="G97" s="325"/>
      <c r="H97" s="349"/>
      <c r="I97" s="349"/>
    </row>
    <row r="98" spans="1:9" ht="15" x14ac:dyDescent="0.2">
      <c r="A98" s="315">
        <v>6</v>
      </c>
      <c r="B98" s="316" t="s">
        <v>4781</v>
      </c>
      <c r="C98" s="340"/>
      <c r="D98" s="542">
        <f>SUBTOTAL(9,D99:D104)</f>
        <v>346883.14</v>
      </c>
      <c r="F98" s="323">
        <f>SUM(F99,F101,F103)</f>
        <v>346883.14675113669</v>
      </c>
      <c r="G98" s="322">
        <f>SUM(F101,F103)/($F$7-'Parte B'!$G$5)</f>
        <v>1.3395743441418795E-2</v>
      </c>
      <c r="H98" s="329"/>
      <c r="I98" s="361"/>
    </row>
    <row r="99" spans="1:9" ht="15" x14ac:dyDescent="0.2">
      <c r="A99" s="310" t="s">
        <v>4782</v>
      </c>
      <c r="B99" s="311" t="s">
        <v>4694</v>
      </c>
      <c r="C99" s="341">
        <f>SUBTOTAL(9,C100)</f>
        <v>1</v>
      </c>
      <c r="D99" s="540">
        <f>SUBTOTAL(9,D100)</f>
        <v>682.73</v>
      </c>
      <c r="F99" s="321">
        <f>'Parte B'!$G$5*G98+'Parte B'!$G$5*$G$161</f>
        <v>682.73402984340544</v>
      </c>
      <c r="G99" s="325"/>
      <c r="H99" s="349"/>
      <c r="I99" s="349"/>
    </row>
    <row r="100" spans="1:9" ht="14.25" outlineLevel="1" x14ac:dyDescent="0.2">
      <c r="A100" s="312"/>
      <c r="B100" s="313" t="s">
        <v>4758</v>
      </c>
      <c r="C100" s="344">
        <v>1</v>
      </c>
      <c r="D100" s="541">
        <f>ROUND($F$99*C100,2)</f>
        <v>682.73</v>
      </c>
      <c r="G100" s="325"/>
      <c r="H100" s="349"/>
      <c r="I100" s="349"/>
    </row>
    <row r="101" spans="1:9" ht="15" x14ac:dyDescent="0.2">
      <c r="A101" s="310" t="s">
        <v>4783</v>
      </c>
      <c r="B101" s="311" t="s">
        <v>4775</v>
      </c>
      <c r="C101" s="341">
        <f>SUBTOTAL(9,C102)</f>
        <v>1</v>
      </c>
      <c r="D101" s="540">
        <f>SUBTOTAL(9,D102)</f>
        <v>270036.32</v>
      </c>
      <c r="F101" s="323">
        <f>SUM(EVTEA!$B$14,EVTEA!$B$16:$B$17,EVTEA!$B$20)*$J$6*78%</f>
        <v>270036.32192260877</v>
      </c>
      <c r="G101" s="325"/>
      <c r="H101" s="349"/>
      <c r="I101" s="349"/>
    </row>
    <row r="102" spans="1:9" ht="14.25" outlineLevel="1" x14ac:dyDescent="0.2">
      <c r="A102" s="312"/>
      <c r="B102" s="313" t="s">
        <v>4775</v>
      </c>
      <c r="C102" s="344">
        <v>1</v>
      </c>
      <c r="D102" s="541">
        <f>ROUND($F$101*C102,2)</f>
        <v>270036.32</v>
      </c>
      <c r="G102" s="325"/>
      <c r="H102" s="349"/>
      <c r="I102" s="349"/>
    </row>
    <row r="103" spans="1:9" ht="15" x14ac:dyDescent="0.2">
      <c r="A103" s="310" t="s">
        <v>4784</v>
      </c>
      <c r="B103" s="311" t="s">
        <v>4755</v>
      </c>
      <c r="C103" s="341">
        <f>SUBTOTAL(9,C104)</f>
        <v>1</v>
      </c>
      <c r="D103" s="540">
        <f>SUBTOTAL(9,D104)</f>
        <v>76164.09</v>
      </c>
      <c r="F103" s="323">
        <f>SUM(EVTEA!$B$14,EVTEA!$B$16:$B$17,EVTEA!$B$20)*$J$6*22%</f>
        <v>76164.090798684527</v>
      </c>
      <c r="G103" s="325"/>
      <c r="H103" s="349"/>
      <c r="I103" s="349"/>
    </row>
    <row r="104" spans="1:9" ht="14.25" outlineLevel="1" x14ac:dyDescent="0.2">
      <c r="A104" s="312"/>
      <c r="B104" s="313" t="s">
        <v>4755</v>
      </c>
      <c r="C104" s="344">
        <v>1</v>
      </c>
      <c r="D104" s="541">
        <f>ROUND($F$103*C104,2)</f>
        <v>76164.09</v>
      </c>
      <c r="G104" s="325"/>
      <c r="H104" s="349"/>
      <c r="I104" s="349"/>
    </row>
    <row r="105" spans="1:9" ht="15" x14ac:dyDescent="0.2">
      <c r="A105" s="315">
        <v>7</v>
      </c>
      <c r="B105" s="316" t="s">
        <v>4785</v>
      </c>
      <c r="C105" s="340"/>
      <c r="D105" s="542">
        <f>SUBTOTAL(9,D106:D129)</f>
        <v>1907263.3900000001</v>
      </c>
      <c r="F105" s="323">
        <f>SUM(F106,F115,F118,F122,F126,F128)</f>
        <v>1907263.3836434223</v>
      </c>
      <c r="G105" s="322">
        <f>SUM(F115,F118,F122,F126,F128)/($F$7-'Parte B'!$G$5)</f>
        <v>7.3676588927803377E-2</v>
      </c>
      <c r="H105" s="329"/>
      <c r="I105" s="361"/>
    </row>
    <row r="106" spans="1:9" ht="15" x14ac:dyDescent="0.2">
      <c r="A106" s="310" t="s">
        <v>4786</v>
      </c>
      <c r="B106" s="311" t="s">
        <v>4694</v>
      </c>
      <c r="C106" s="341">
        <f>SUBTOTAL(9,C107:C114)</f>
        <v>1</v>
      </c>
      <c r="D106" s="540">
        <f>SUBTOTAL(9,D107:D114)</f>
        <v>3161.1199999999994</v>
      </c>
      <c r="F106" s="321">
        <f>'Parte B'!$G$5*G105+'Parte B'!$G$5*$G$161</f>
        <v>3161.1136763090972</v>
      </c>
      <c r="G106" s="325"/>
      <c r="H106" s="349"/>
      <c r="I106" s="349"/>
    </row>
    <row r="107" spans="1:9" ht="14.25" outlineLevel="1" x14ac:dyDescent="0.2">
      <c r="A107" s="312"/>
      <c r="B107" s="313" t="s">
        <v>4787</v>
      </c>
      <c r="C107" s="344">
        <f>1/COUNTA($B$107:$B$114)</f>
        <v>0.125</v>
      </c>
      <c r="D107" s="541">
        <f>ROUND($F$106*C107,2)</f>
        <v>395.14</v>
      </c>
      <c r="G107" s="325"/>
      <c r="H107" s="349"/>
      <c r="I107" s="349"/>
    </row>
    <row r="108" spans="1:9" ht="14.25" outlineLevel="1" x14ac:dyDescent="0.2">
      <c r="A108" s="312"/>
      <c r="B108" s="313" t="s">
        <v>4769</v>
      </c>
      <c r="C108" s="344">
        <f t="shared" ref="C108:C114" si="10">1/COUNTA($B$107:$B$114)</f>
        <v>0.125</v>
      </c>
      <c r="D108" s="541">
        <f t="shared" ref="D108:D114" si="11">ROUND($F$106*C108,2)</f>
        <v>395.14</v>
      </c>
      <c r="G108" s="325"/>
      <c r="H108" s="349"/>
      <c r="I108" s="349"/>
    </row>
    <row r="109" spans="1:9" ht="14.25" outlineLevel="1" x14ac:dyDescent="0.2">
      <c r="A109" s="312"/>
      <c r="B109" s="313" t="s">
        <v>4788</v>
      </c>
      <c r="C109" s="344">
        <f t="shared" si="10"/>
        <v>0.125</v>
      </c>
      <c r="D109" s="541">
        <f t="shared" si="11"/>
        <v>395.14</v>
      </c>
      <c r="G109" s="325"/>
      <c r="H109" s="349"/>
      <c r="I109" s="349"/>
    </row>
    <row r="110" spans="1:9" ht="14.25" outlineLevel="1" x14ac:dyDescent="0.2">
      <c r="A110" s="312"/>
      <c r="B110" s="313" t="s">
        <v>4789</v>
      </c>
      <c r="C110" s="344">
        <f t="shared" si="10"/>
        <v>0.125</v>
      </c>
      <c r="D110" s="541">
        <f t="shared" si="11"/>
        <v>395.14</v>
      </c>
      <c r="G110" s="325"/>
      <c r="H110" s="349"/>
      <c r="I110" s="349"/>
    </row>
    <row r="111" spans="1:9" ht="14.25" outlineLevel="1" x14ac:dyDescent="0.2">
      <c r="A111" s="312"/>
      <c r="B111" s="313" t="s">
        <v>4790</v>
      </c>
      <c r="C111" s="344">
        <f t="shared" si="10"/>
        <v>0.125</v>
      </c>
      <c r="D111" s="541">
        <f t="shared" si="11"/>
        <v>395.14</v>
      </c>
      <c r="G111" s="325"/>
      <c r="H111" s="349"/>
      <c r="I111" s="349"/>
    </row>
    <row r="112" spans="1:9" ht="14.25" outlineLevel="1" x14ac:dyDescent="0.2">
      <c r="A112" s="312"/>
      <c r="B112" s="313" t="s">
        <v>4770</v>
      </c>
      <c r="C112" s="344">
        <f t="shared" si="10"/>
        <v>0.125</v>
      </c>
      <c r="D112" s="541">
        <f t="shared" si="11"/>
        <v>395.14</v>
      </c>
      <c r="G112" s="325"/>
      <c r="H112" s="349"/>
      <c r="I112" s="349"/>
    </row>
    <row r="113" spans="1:9" ht="14.25" outlineLevel="1" x14ac:dyDescent="0.2">
      <c r="A113" s="312"/>
      <c r="B113" s="313" t="s">
        <v>4791</v>
      </c>
      <c r="C113" s="344">
        <f t="shared" si="10"/>
        <v>0.125</v>
      </c>
      <c r="D113" s="541">
        <f t="shared" si="11"/>
        <v>395.14</v>
      </c>
      <c r="G113" s="325"/>
      <c r="H113" s="349"/>
      <c r="I113" s="349"/>
    </row>
    <row r="114" spans="1:9" ht="14.25" outlineLevel="1" x14ac:dyDescent="0.2">
      <c r="A114" s="312"/>
      <c r="B114" s="313" t="s">
        <v>4792</v>
      </c>
      <c r="C114" s="344">
        <f t="shared" si="10"/>
        <v>0.125</v>
      </c>
      <c r="D114" s="541">
        <f t="shared" si="11"/>
        <v>395.14</v>
      </c>
      <c r="G114" s="325"/>
      <c r="H114" s="349"/>
      <c r="I114" s="349"/>
    </row>
    <row r="115" spans="1:9" ht="15" x14ac:dyDescent="0.2">
      <c r="A115" s="310" t="s">
        <v>4793</v>
      </c>
      <c r="B115" s="311" t="s">
        <v>4794</v>
      </c>
      <c r="C115" s="341">
        <f>SUBTOTAL(9,C116:C117)</f>
        <v>1</v>
      </c>
      <c r="D115" s="540">
        <f>SUBTOTAL(9,D116:D117)</f>
        <v>437943.52</v>
      </c>
      <c r="F115" s="323">
        <f>SUM(EVTEA!$B$14,EVTEA!$B$16:$B$17,EVTEA!$B$20)*$J$7*23%</f>
        <v>437943.52209243603</v>
      </c>
      <c r="G115" s="325"/>
      <c r="H115" s="349"/>
      <c r="I115" s="349"/>
    </row>
    <row r="116" spans="1:9" ht="28.5" outlineLevel="1" x14ac:dyDescent="0.2">
      <c r="A116" s="312"/>
      <c r="B116" s="313" t="s">
        <v>4795</v>
      </c>
      <c r="C116" s="345">
        <v>0.8</v>
      </c>
      <c r="D116" s="541">
        <f>ROUND($F$115*C116,2)</f>
        <v>350354.82</v>
      </c>
      <c r="G116" s="325"/>
      <c r="H116" s="349"/>
      <c r="I116" s="332"/>
    </row>
    <row r="117" spans="1:9" ht="14.25" outlineLevel="1" x14ac:dyDescent="0.2">
      <c r="A117" s="312"/>
      <c r="B117" s="313" t="s">
        <v>4796</v>
      </c>
      <c r="C117" s="344">
        <v>0.2</v>
      </c>
      <c r="D117" s="541">
        <f>ROUND($F$115*C117,2)</f>
        <v>87588.7</v>
      </c>
      <c r="G117" s="325"/>
      <c r="H117" s="349"/>
      <c r="I117" s="332"/>
    </row>
    <row r="118" spans="1:9" ht="30" x14ac:dyDescent="0.2">
      <c r="A118" s="310" t="s">
        <v>4797</v>
      </c>
      <c r="B118" s="311" t="s">
        <v>4798</v>
      </c>
      <c r="C118" s="341">
        <f>SUBTOTAL(9,C119:C121)</f>
        <v>1</v>
      </c>
      <c r="D118" s="540">
        <f>SUBTOTAL(9,D119:D121)</f>
        <v>780681.94</v>
      </c>
      <c r="F118" s="323">
        <f>SUM(EVTEA!$B$14,EVTEA!$B$16:$B$17,EVTEA!$B$20)*$J$7*41%</f>
        <v>780681.93068651634</v>
      </c>
      <c r="G118" s="325"/>
      <c r="H118" s="349"/>
      <c r="I118" s="349"/>
    </row>
    <row r="119" spans="1:9" ht="14.25" outlineLevel="1" x14ac:dyDescent="0.2">
      <c r="A119" s="312"/>
      <c r="B119" s="313" t="s">
        <v>4799</v>
      </c>
      <c r="C119" s="344">
        <v>0.35</v>
      </c>
      <c r="D119" s="541">
        <f>ROUND($F$118*C119,2)</f>
        <v>273238.68</v>
      </c>
      <c r="G119" s="325"/>
      <c r="H119" s="349"/>
      <c r="I119" s="332"/>
    </row>
    <row r="120" spans="1:9" ht="14.25" outlineLevel="1" x14ac:dyDescent="0.2">
      <c r="A120" s="312"/>
      <c r="B120" s="313" t="s">
        <v>4800</v>
      </c>
      <c r="C120" s="344">
        <v>0.35</v>
      </c>
      <c r="D120" s="541">
        <f>ROUND($F$118*C120,2)</f>
        <v>273238.68</v>
      </c>
      <c r="G120" s="325"/>
      <c r="H120" s="349"/>
      <c r="I120" s="332"/>
    </row>
    <row r="121" spans="1:9" ht="14.25" outlineLevel="1" x14ac:dyDescent="0.2">
      <c r="A121" s="312"/>
      <c r="B121" s="313" t="s">
        <v>4801</v>
      </c>
      <c r="C121" s="344">
        <v>0.3</v>
      </c>
      <c r="D121" s="541">
        <f>ROUND($F$118*C121,2)</f>
        <v>234204.58</v>
      </c>
      <c r="G121" s="325"/>
      <c r="H121" s="349"/>
      <c r="I121" s="332"/>
    </row>
    <row r="122" spans="1:9" ht="15" x14ac:dyDescent="0.2">
      <c r="A122" s="310" t="s">
        <v>4802</v>
      </c>
      <c r="B122" s="311" t="s">
        <v>4803</v>
      </c>
      <c r="C122" s="341">
        <f>SUBTOTAL(9,C123:C125)</f>
        <v>1</v>
      </c>
      <c r="D122" s="540">
        <f>SUBTOTAL(9,D123:D125)</f>
        <v>399861.47</v>
      </c>
      <c r="F122" s="323">
        <f>SUM(EVTEA!$B$14,EVTEA!$B$16:$B$17,EVTEA!$B$20)*$J$7*21%</f>
        <v>399861.47669309378</v>
      </c>
      <c r="G122" s="325"/>
      <c r="H122" s="349"/>
      <c r="I122" s="349"/>
    </row>
    <row r="123" spans="1:9" ht="14.25" outlineLevel="1" x14ac:dyDescent="0.2">
      <c r="A123" s="312"/>
      <c r="B123" s="313" t="s">
        <v>4804</v>
      </c>
      <c r="C123" s="344">
        <v>0.3</v>
      </c>
      <c r="D123" s="541">
        <f>ROUND($F$122*C123,2)</f>
        <v>119958.44</v>
      </c>
      <c r="G123" s="325"/>
      <c r="H123" s="349"/>
      <c r="I123" s="332"/>
    </row>
    <row r="124" spans="1:9" ht="28.5" outlineLevel="1" x14ac:dyDescent="0.2">
      <c r="A124" s="312"/>
      <c r="B124" s="313" t="s">
        <v>4805</v>
      </c>
      <c r="C124" s="345">
        <v>0.3</v>
      </c>
      <c r="D124" s="541">
        <f t="shared" ref="D124:D125" si="12">ROUND($F$122*C124,2)</f>
        <v>119958.44</v>
      </c>
      <c r="G124" s="325"/>
      <c r="H124" s="349"/>
      <c r="I124" s="332"/>
    </row>
    <row r="125" spans="1:9" ht="28.5" outlineLevel="1" x14ac:dyDescent="0.2">
      <c r="A125" s="312"/>
      <c r="B125" s="313" t="s">
        <v>4806</v>
      </c>
      <c r="C125" s="345">
        <v>0.4</v>
      </c>
      <c r="D125" s="541">
        <f t="shared" si="12"/>
        <v>159944.59</v>
      </c>
      <c r="G125" s="325"/>
      <c r="H125" s="349"/>
      <c r="I125" s="332"/>
    </row>
    <row r="126" spans="1:9" ht="15" x14ac:dyDescent="0.2">
      <c r="A126" s="310" t="s">
        <v>4807</v>
      </c>
      <c r="B126" s="311" t="s">
        <v>4775</v>
      </c>
      <c r="C126" s="341">
        <f>SUBTOTAL(9,C127)</f>
        <v>1</v>
      </c>
      <c r="D126" s="540">
        <f>SUBTOTAL(9,D127)</f>
        <v>190410.23</v>
      </c>
      <c r="F126" s="323">
        <f>SUM(EVTEA!$B$14,EVTEA!$B$16:$B$17,EVTEA!$B$20)*$J$7*10%</f>
        <v>190410.22699671134</v>
      </c>
      <c r="G126" s="325"/>
      <c r="H126" s="349"/>
      <c r="I126" s="349"/>
    </row>
    <row r="127" spans="1:9" ht="14.25" outlineLevel="1" x14ac:dyDescent="0.2">
      <c r="A127" s="312"/>
      <c r="B127" s="313" t="s">
        <v>4775</v>
      </c>
      <c r="C127" s="345">
        <v>1</v>
      </c>
      <c r="D127" s="541">
        <f>ROUND($F$126*C127,2)</f>
        <v>190410.23</v>
      </c>
      <c r="G127" s="325"/>
      <c r="H127" s="349"/>
      <c r="I127" s="349"/>
    </row>
    <row r="128" spans="1:9" ht="15" x14ac:dyDescent="0.2">
      <c r="A128" s="310" t="s">
        <v>4808</v>
      </c>
      <c r="B128" s="311" t="s">
        <v>4755</v>
      </c>
      <c r="C128" s="341">
        <f>SUBTOTAL(9,C129)</f>
        <v>1</v>
      </c>
      <c r="D128" s="540">
        <f>SUBTOTAL(9,D129)</f>
        <v>95205.11</v>
      </c>
      <c r="F128" s="323">
        <f>SUM(EVTEA!$B$14,EVTEA!$B$16:$B$17,EVTEA!$B$20)*$J$7*5%</f>
        <v>95205.113498355669</v>
      </c>
      <c r="G128" s="325"/>
      <c r="H128" s="349"/>
      <c r="I128" s="349"/>
    </row>
    <row r="129" spans="1:9" ht="14.25" outlineLevel="1" x14ac:dyDescent="0.2">
      <c r="A129" s="312"/>
      <c r="B129" s="313" t="s">
        <v>4755</v>
      </c>
      <c r="C129" s="345">
        <v>1</v>
      </c>
      <c r="D129" s="541">
        <f>ROUND($F$128*C129,2)</f>
        <v>95205.11</v>
      </c>
      <c r="G129" s="325"/>
      <c r="H129" s="349"/>
      <c r="I129" s="349"/>
    </row>
    <row r="130" spans="1:9" ht="15" x14ac:dyDescent="0.2">
      <c r="A130" s="315">
        <v>8</v>
      </c>
      <c r="B130" s="316" t="s">
        <v>4809</v>
      </c>
      <c r="C130" s="340"/>
      <c r="D130" s="542">
        <f>SUBTOTAL(9,D131:D136)</f>
        <v>851975.2699999999</v>
      </c>
      <c r="F130" s="323">
        <f>SUM(F131,F133,F135)</f>
        <v>851975.269779086</v>
      </c>
      <c r="G130" s="322">
        <f>SUM(F133,F135)/($F$7-'Parte B'!$G$5)</f>
        <v>3.2908538787556965E-2</v>
      </c>
      <c r="H130" s="329"/>
      <c r="I130" s="361"/>
    </row>
    <row r="131" spans="1:9" ht="15" x14ac:dyDescent="0.2">
      <c r="A131" s="310" t="s">
        <v>4810</v>
      </c>
      <c r="B131" s="311" t="s">
        <v>4694</v>
      </c>
      <c r="C131" s="341">
        <f>SUBTOTAL(9,C132)</f>
        <v>1</v>
      </c>
      <c r="D131" s="540">
        <f>SUBTOTAL(9,D132)</f>
        <v>1484.98</v>
      </c>
      <c r="F131" s="321">
        <f>'Parte B'!$G$5*G130+'Parte B'!$G$5*$G$161</f>
        <v>1484.9808205331983</v>
      </c>
      <c r="G131" s="325"/>
      <c r="H131" s="349"/>
      <c r="I131" s="349"/>
    </row>
    <row r="132" spans="1:9" ht="14.25" outlineLevel="1" x14ac:dyDescent="0.2">
      <c r="A132" s="312"/>
      <c r="B132" s="313" t="s">
        <v>4758</v>
      </c>
      <c r="C132" s="345">
        <v>1</v>
      </c>
      <c r="D132" s="541">
        <f>ROUND($F$131*C132,2)</f>
        <v>1484.98</v>
      </c>
      <c r="G132" s="325"/>
      <c r="H132" s="349"/>
      <c r="I132" s="349"/>
    </row>
    <row r="133" spans="1:9" ht="15" x14ac:dyDescent="0.2">
      <c r="A133" s="310" t="s">
        <v>4811</v>
      </c>
      <c r="B133" s="311" t="s">
        <v>4775</v>
      </c>
      <c r="C133" s="341">
        <f>SUBTOTAL(9,C134)</f>
        <v>1</v>
      </c>
      <c r="D133" s="540">
        <f>SUBTOTAL(9,D134)</f>
        <v>705906.94</v>
      </c>
      <c r="F133" s="323">
        <f>'Parte B'!$G$161*83%</f>
        <v>705906.93983559881</v>
      </c>
      <c r="G133" s="325"/>
      <c r="H133" s="349"/>
      <c r="I133" s="349"/>
    </row>
    <row r="134" spans="1:9" ht="14.25" outlineLevel="1" x14ac:dyDescent="0.2">
      <c r="A134" s="312"/>
      <c r="B134" s="313" t="s">
        <v>4775</v>
      </c>
      <c r="C134" s="345">
        <v>1</v>
      </c>
      <c r="D134" s="541">
        <f>ROUND($F$133*C134,2)</f>
        <v>705906.94</v>
      </c>
      <c r="G134" s="325"/>
      <c r="H134" s="349"/>
      <c r="I134" s="349"/>
    </row>
    <row r="135" spans="1:9" ht="15" x14ac:dyDescent="0.2">
      <c r="A135" s="310" t="s">
        <v>4812</v>
      </c>
      <c r="B135" s="311" t="s">
        <v>4755</v>
      </c>
      <c r="C135" s="341">
        <f>SUBTOTAL(9,C136)</f>
        <v>1</v>
      </c>
      <c r="D135" s="540">
        <f>SUBTOTAL(9,D136)</f>
        <v>144583.35</v>
      </c>
      <c r="F135" s="323">
        <f>'Parte B'!$G$161*17%</f>
        <v>144583.34912295398</v>
      </c>
      <c r="G135" s="325"/>
      <c r="H135" s="349"/>
      <c r="I135" s="349"/>
    </row>
    <row r="136" spans="1:9" ht="14.25" outlineLevel="1" x14ac:dyDescent="0.2">
      <c r="A136" s="312"/>
      <c r="B136" s="313" t="s">
        <v>4755</v>
      </c>
      <c r="C136" s="345">
        <v>1</v>
      </c>
      <c r="D136" s="541">
        <f>ROUND($F$135*C136,2)</f>
        <v>144583.35</v>
      </c>
      <c r="G136" s="325"/>
      <c r="H136" s="349"/>
      <c r="I136" s="349"/>
    </row>
    <row r="137" spans="1:9" ht="15" x14ac:dyDescent="0.2">
      <c r="A137" s="315">
        <v>9</v>
      </c>
      <c r="B137" s="316" t="s">
        <v>4813</v>
      </c>
      <c r="C137" s="340"/>
      <c r="D137" s="542">
        <f>SUBTOTAL(9,D138:D148)</f>
        <v>2028808.8</v>
      </c>
      <c r="F137" s="323">
        <f>SUM(F138,F141,F145,F147)</f>
        <v>2028808.801866842</v>
      </c>
      <c r="G137" s="322">
        <f>SUM(F141,F145,F147)/($F$7-'Parte B'!$G$5)</f>
        <v>7.8372149921383E-2</v>
      </c>
      <c r="H137" s="329"/>
      <c r="I137" s="361"/>
    </row>
    <row r="138" spans="1:9" ht="15" x14ac:dyDescent="0.2">
      <c r="A138" s="310" t="s">
        <v>4814</v>
      </c>
      <c r="B138" s="311" t="s">
        <v>4694</v>
      </c>
      <c r="C138" s="341">
        <f>SUBTOTAL(9,C139:C140)</f>
        <v>1</v>
      </c>
      <c r="D138" s="540">
        <f>SUBTOTAL(9,D139:D140)</f>
        <v>3354.17</v>
      </c>
      <c r="F138" s="321">
        <f>'Parte B'!$G$5*G137+'Parte B'!$G$5*$G$161</f>
        <v>3354.1664230203965</v>
      </c>
      <c r="G138" s="325"/>
      <c r="H138" s="349"/>
      <c r="I138" s="349"/>
    </row>
    <row r="139" spans="1:9" ht="14.25" outlineLevel="1" x14ac:dyDescent="0.2">
      <c r="A139" s="312"/>
      <c r="B139" s="313" t="s">
        <v>4815</v>
      </c>
      <c r="C139" s="345">
        <v>0.4</v>
      </c>
      <c r="D139" s="541">
        <f>ROUND($F$138*C139,2)</f>
        <v>1341.67</v>
      </c>
      <c r="F139" s="324"/>
      <c r="G139" s="325"/>
      <c r="H139" s="349"/>
      <c r="I139" s="349"/>
    </row>
    <row r="140" spans="1:9" ht="14.25" outlineLevel="1" x14ac:dyDescent="0.2">
      <c r="A140" s="312"/>
      <c r="B140" s="313" t="s">
        <v>4816</v>
      </c>
      <c r="C140" s="345">
        <v>0.6</v>
      </c>
      <c r="D140" s="541">
        <f>ROUND($F$138*C140,2)</f>
        <v>2012.5</v>
      </c>
      <c r="F140" s="324"/>
      <c r="G140" s="325"/>
      <c r="H140" s="349"/>
      <c r="I140" s="349"/>
    </row>
    <row r="141" spans="1:9" ht="15" x14ac:dyDescent="0.2">
      <c r="A141" s="310" t="s">
        <v>4817</v>
      </c>
      <c r="B141" s="311" t="s">
        <v>4818</v>
      </c>
      <c r="C141" s="341">
        <f>SUBTOTAL(9,C142:C144)</f>
        <v>1</v>
      </c>
      <c r="D141" s="540">
        <f>SUBTOTAL(9,D142:D144)</f>
        <v>859007.11</v>
      </c>
      <c r="F141" s="323">
        <f>'Parte B'!$G$177</f>
        <v>859007.1163601866</v>
      </c>
      <c r="G141" s="325"/>
      <c r="H141" s="349"/>
      <c r="I141" s="349"/>
    </row>
    <row r="142" spans="1:9" ht="14.25" outlineLevel="1" x14ac:dyDescent="0.2">
      <c r="A142" s="312"/>
      <c r="B142" s="313" t="s">
        <v>4819</v>
      </c>
      <c r="C142" s="344">
        <v>0.3</v>
      </c>
      <c r="D142" s="541">
        <f>ROUND($F$141*C142,2)</f>
        <v>257702.13</v>
      </c>
      <c r="G142" s="325"/>
      <c r="H142" s="349"/>
      <c r="I142" s="349"/>
    </row>
    <row r="143" spans="1:9" ht="14.25" outlineLevel="1" x14ac:dyDescent="0.2">
      <c r="A143" s="312"/>
      <c r="B143" s="313" t="s">
        <v>4820</v>
      </c>
      <c r="C143" s="344">
        <v>0.4</v>
      </c>
      <c r="D143" s="541">
        <f t="shared" ref="D143:D144" si="13">ROUND($F$141*C143,2)</f>
        <v>343602.85</v>
      </c>
      <c r="G143" s="325"/>
      <c r="H143" s="349"/>
      <c r="I143" s="349"/>
    </row>
    <row r="144" spans="1:9" ht="28.5" outlineLevel="1" x14ac:dyDescent="0.2">
      <c r="A144" s="312"/>
      <c r="B144" s="313" t="s">
        <v>4821</v>
      </c>
      <c r="C144" s="344">
        <v>0.3</v>
      </c>
      <c r="D144" s="541">
        <f t="shared" si="13"/>
        <v>257702.13</v>
      </c>
      <c r="G144" s="325"/>
      <c r="H144" s="349"/>
      <c r="I144" s="349"/>
    </row>
    <row r="145" spans="1:9" ht="15" x14ac:dyDescent="0.2">
      <c r="A145" s="310" t="s">
        <v>4822</v>
      </c>
      <c r="B145" s="311" t="s">
        <v>4823</v>
      </c>
      <c r="C145" s="341">
        <f>SUBTOTAL(9,C146)</f>
        <v>1</v>
      </c>
      <c r="D145" s="540">
        <f>SUBTOTAL(9,D146)</f>
        <v>956486.97</v>
      </c>
      <c r="F145" s="323">
        <f>SUM('Parte B'!$G$187,'Parte B'!$G$170)*82%</f>
        <v>956486.96564858058</v>
      </c>
      <c r="G145" s="325"/>
      <c r="H145" s="349"/>
      <c r="I145" s="349"/>
    </row>
    <row r="146" spans="1:9" ht="14.25" outlineLevel="1" x14ac:dyDescent="0.2">
      <c r="A146" s="312"/>
      <c r="B146" s="313" t="s">
        <v>4824</v>
      </c>
      <c r="C146" s="344">
        <v>1</v>
      </c>
      <c r="D146" s="541">
        <f>ROUND($F$145*C146,2)</f>
        <v>956486.97</v>
      </c>
      <c r="G146" s="325"/>
      <c r="H146" s="349"/>
      <c r="I146" s="349"/>
    </row>
    <row r="147" spans="1:9" ht="15" x14ac:dyDescent="0.2">
      <c r="A147" s="310" t="s">
        <v>4825</v>
      </c>
      <c r="B147" s="311" t="s">
        <v>4755</v>
      </c>
      <c r="C147" s="341">
        <f>SUBTOTAL(9,C148)</f>
        <v>1</v>
      </c>
      <c r="D147" s="540">
        <f>SUBTOTAL(9,D148)</f>
        <v>209960.55</v>
      </c>
      <c r="F147" s="323">
        <f>SUM('Parte B'!$G$187,'Parte B'!$G$170)*18%</f>
        <v>209960.55343505429</v>
      </c>
      <c r="G147" s="325"/>
      <c r="H147" s="349"/>
      <c r="I147" s="349"/>
    </row>
    <row r="148" spans="1:9" ht="14.25" outlineLevel="1" x14ac:dyDescent="0.2">
      <c r="A148" s="312"/>
      <c r="B148" s="313" t="s">
        <v>4755</v>
      </c>
      <c r="C148" s="344">
        <v>1</v>
      </c>
      <c r="D148" s="541">
        <f>ROUND($F$147*C148,2)</f>
        <v>209960.55</v>
      </c>
      <c r="G148" s="325"/>
      <c r="H148" s="349"/>
      <c r="I148" s="349"/>
    </row>
    <row r="149" spans="1:9" ht="15" x14ac:dyDescent="0.2">
      <c r="A149" s="315">
        <v>10</v>
      </c>
      <c r="B149" s="316" t="s">
        <v>4826</v>
      </c>
      <c r="C149" s="340"/>
      <c r="D149" s="542">
        <f>SUBTOTAL(9,D150:D159)</f>
        <v>743433.04999999993</v>
      </c>
      <c r="F149" s="323">
        <f>SUM(F150,F152)</f>
        <v>743433.06565899833</v>
      </c>
      <c r="G149" s="322">
        <f>SUM(F152)/($F$7-'Parte B'!$G$5)</f>
        <v>2.8715319929347154E-2</v>
      </c>
      <c r="H149" s="329"/>
      <c r="I149" s="361"/>
    </row>
    <row r="150" spans="1:9" ht="15" x14ac:dyDescent="0.2">
      <c r="A150" s="310" t="s">
        <v>4827</v>
      </c>
      <c r="B150" s="311" t="s">
        <v>4694</v>
      </c>
      <c r="C150" s="341">
        <f>SUBTOTAL(9,C151)</f>
        <v>1</v>
      </c>
      <c r="D150" s="540">
        <f>SUBTOTAL(9,D151)</f>
        <v>1312.58</v>
      </c>
      <c r="F150" s="321">
        <f>'Parte B'!$G$5*G149+'Parte B'!$G$5*$G$161</f>
        <v>1312.5813097514426</v>
      </c>
      <c r="G150" s="325"/>
      <c r="H150" s="349"/>
      <c r="I150" s="349"/>
    </row>
    <row r="151" spans="1:9" ht="14.25" outlineLevel="1" x14ac:dyDescent="0.2">
      <c r="A151" s="312"/>
      <c r="B151" s="313" t="s">
        <v>4828</v>
      </c>
      <c r="C151" s="344">
        <v>1</v>
      </c>
      <c r="D151" s="541">
        <f>ROUND($F$150*C151,2)</f>
        <v>1312.58</v>
      </c>
      <c r="G151" s="325"/>
      <c r="H151" s="349"/>
      <c r="I151" s="349"/>
    </row>
    <row r="152" spans="1:9" ht="15" x14ac:dyDescent="0.2">
      <c r="A152" s="310" t="s">
        <v>4829</v>
      </c>
      <c r="B152" s="311" t="s">
        <v>4830</v>
      </c>
      <c r="C152" s="341">
        <f>SUBTOTAL(9,C153:C159)</f>
        <v>0.99999999999999978</v>
      </c>
      <c r="D152" s="540">
        <f>SUBTOTAL(9,D153:D159)</f>
        <v>742120.47</v>
      </c>
      <c r="F152" s="323">
        <f>'Parte B'!$G$197</f>
        <v>742120.48434924684</v>
      </c>
      <c r="G152" s="325"/>
      <c r="H152" s="349"/>
      <c r="I152" s="349"/>
    </row>
    <row r="153" spans="1:9" ht="14.25" outlineLevel="1" x14ac:dyDescent="0.2">
      <c r="A153" s="312"/>
      <c r="B153" s="491" t="s">
        <v>4831</v>
      </c>
      <c r="C153" s="344">
        <v>0.14285714285714285</v>
      </c>
      <c r="D153" s="541">
        <f>ROUND($F$152*C153,2)</f>
        <v>106017.21</v>
      </c>
      <c r="G153" s="325"/>
      <c r="H153" s="349"/>
      <c r="I153" s="349"/>
    </row>
    <row r="154" spans="1:9" ht="14.25" outlineLevel="1" x14ac:dyDescent="0.2">
      <c r="A154" s="312"/>
      <c r="B154" s="492" t="s">
        <v>4832</v>
      </c>
      <c r="C154" s="344">
        <v>0.14285714285714285</v>
      </c>
      <c r="D154" s="541">
        <f t="shared" ref="D154:D159" si="14">ROUND($F$152*C154,2)</f>
        <v>106017.21</v>
      </c>
      <c r="G154" s="325"/>
      <c r="H154" s="349"/>
      <c r="I154" s="349"/>
    </row>
    <row r="155" spans="1:9" ht="14.25" outlineLevel="1" x14ac:dyDescent="0.2">
      <c r="A155" s="312"/>
      <c r="B155" s="492" t="s">
        <v>4833</v>
      </c>
      <c r="C155" s="344">
        <v>0.14285714285714285</v>
      </c>
      <c r="D155" s="541">
        <f t="shared" si="14"/>
        <v>106017.21</v>
      </c>
      <c r="G155" s="325"/>
      <c r="H155" s="349"/>
      <c r="I155" s="349"/>
    </row>
    <row r="156" spans="1:9" s="108" customFormat="1" ht="14.25" outlineLevel="1" x14ac:dyDescent="0.2">
      <c r="A156" s="312"/>
      <c r="B156" s="492" t="s">
        <v>5148</v>
      </c>
      <c r="C156" s="344">
        <v>0.14285714285714285</v>
      </c>
      <c r="D156" s="541">
        <f t="shared" si="14"/>
        <v>106017.21</v>
      </c>
      <c r="F156" s="328"/>
      <c r="G156" s="325"/>
      <c r="H156" s="349"/>
      <c r="I156" s="349"/>
    </row>
    <row r="157" spans="1:9" ht="14.25" outlineLevel="1" x14ac:dyDescent="0.2">
      <c r="A157" s="312"/>
      <c r="B157" s="493" t="s">
        <v>4834</v>
      </c>
      <c r="C157" s="344">
        <v>0.14285714285714285</v>
      </c>
      <c r="D157" s="541">
        <f t="shared" si="14"/>
        <v>106017.21</v>
      </c>
      <c r="G157" s="325"/>
      <c r="H157" s="349"/>
      <c r="I157" s="349"/>
    </row>
    <row r="158" spans="1:9" ht="14.25" outlineLevel="1" x14ac:dyDescent="0.2">
      <c r="A158" s="312"/>
      <c r="B158" s="491" t="s">
        <v>4835</v>
      </c>
      <c r="C158" s="344">
        <v>0.14285714285714285</v>
      </c>
      <c r="D158" s="541">
        <f t="shared" si="14"/>
        <v>106017.21</v>
      </c>
      <c r="G158" s="325"/>
      <c r="H158" s="349"/>
      <c r="I158" s="349"/>
    </row>
    <row r="159" spans="1:9" ht="14.25" outlineLevel="1" x14ac:dyDescent="0.2">
      <c r="A159" s="312"/>
      <c r="B159" s="491" t="s">
        <v>4836</v>
      </c>
      <c r="C159" s="344">
        <v>0.14285714285714285</v>
      </c>
      <c r="D159" s="541">
        <f t="shared" si="14"/>
        <v>106017.21</v>
      </c>
      <c r="G159" s="325"/>
      <c r="H159" s="349"/>
      <c r="I159" s="349"/>
    </row>
    <row r="160" spans="1:9" ht="15" x14ac:dyDescent="0.2">
      <c r="A160" s="315">
        <v>11</v>
      </c>
      <c r="B160" s="316" t="s">
        <v>4837</v>
      </c>
      <c r="C160" s="340"/>
      <c r="D160" s="542">
        <f>SUBTOTAL(9,D161:D167)</f>
        <v>912605.2</v>
      </c>
      <c r="F160" s="323">
        <f>SUM(F161,F164,F166)</f>
        <v>912605.18780962634</v>
      </c>
      <c r="G160" s="322">
        <f>SUM(F161,F164,F166)/($F$7-'Parte B'!$G$5)</f>
        <v>3.5311988403223707E-2</v>
      </c>
      <c r="H160" s="329"/>
      <c r="I160" s="361"/>
    </row>
    <row r="161" spans="1:9" ht="15" x14ac:dyDescent="0.2">
      <c r="A161" s="310" t="s">
        <v>4838</v>
      </c>
      <c r="B161" s="311" t="s">
        <v>4840</v>
      </c>
      <c r="C161" s="341">
        <f>SUBTOTAL(9,C162:C163)</f>
        <v>1</v>
      </c>
      <c r="D161" s="540">
        <f>SUBTOTAL(9,D162:D163)</f>
        <v>319411.82</v>
      </c>
      <c r="F161" s="323">
        <f>'Parte B'!$G$208*35%</f>
        <v>319411.81573336921</v>
      </c>
      <c r="G161" s="360">
        <f>G160/11</f>
        <v>3.2101807639294279E-3</v>
      </c>
      <c r="H161" s="349"/>
      <c r="I161" s="349"/>
    </row>
    <row r="162" spans="1:9" ht="14.25" outlineLevel="1" x14ac:dyDescent="0.2">
      <c r="A162" s="312"/>
      <c r="B162" s="313" t="s">
        <v>4841</v>
      </c>
      <c r="C162" s="346">
        <v>0.5</v>
      </c>
      <c r="D162" s="541">
        <f>ROUND($F$161*C162,2)</f>
        <v>159705.91</v>
      </c>
      <c r="G162" s="325"/>
      <c r="H162" s="349"/>
      <c r="I162" s="349"/>
    </row>
    <row r="163" spans="1:9" ht="14.25" outlineLevel="1" x14ac:dyDescent="0.2">
      <c r="A163" s="312"/>
      <c r="B163" s="313" t="s">
        <v>4842</v>
      </c>
      <c r="C163" s="346">
        <v>0.5</v>
      </c>
      <c r="D163" s="541">
        <f>ROUND($F$161*C163,2)</f>
        <v>159705.91</v>
      </c>
      <c r="G163" s="325"/>
      <c r="H163" s="349"/>
      <c r="I163" s="349"/>
    </row>
    <row r="164" spans="1:9" ht="15" x14ac:dyDescent="0.2">
      <c r="A164" s="310" t="s">
        <v>4839</v>
      </c>
      <c r="B164" s="311" t="s">
        <v>4844</v>
      </c>
      <c r="C164" s="341">
        <f>SUBTOTAL(9,C165)</f>
        <v>1</v>
      </c>
      <c r="D164" s="540">
        <f>SUBTOTAL(9,D165)</f>
        <v>319411.82</v>
      </c>
      <c r="F164" s="323">
        <f>'Parte B'!$G$208*35%</f>
        <v>319411.81573336921</v>
      </c>
      <c r="G164" s="325"/>
      <c r="H164" s="349"/>
      <c r="I164" s="349"/>
    </row>
    <row r="165" spans="1:9" ht="14.25" outlineLevel="1" x14ac:dyDescent="0.2">
      <c r="A165" s="312"/>
      <c r="B165" s="313" t="s">
        <v>4845</v>
      </c>
      <c r="C165" s="346">
        <v>1</v>
      </c>
      <c r="D165" s="541">
        <f>ROUND($F$164*C165,2)</f>
        <v>319411.82</v>
      </c>
      <c r="G165" s="325"/>
      <c r="H165" s="349"/>
      <c r="I165" s="349"/>
    </row>
    <row r="166" spans="1:9" ht="15" x14ac:dyDescent="0.2">
      <c r="A166" s="310" t="s">
        <v>4843</v>
      </c>
      <c r="B166" s="311" t="s">
        <v>4846</v>
      </c>
      <c r="C166" s="341">
        <f>SUBTOTAL(9,C167)</f>
        <v>1</v>
      </c>
      <c r="D166" s="540">
        <f>SUBTOTAL(9,D167)</f>
        <v>273781.56</v>
      </c>
      <c r="F166" s="323">
        <f>'Parte B'!$G$208*30%</f>
        <v>273781.55634288787</v>
      </c>
      <c r="G166" s="325"/>
      <c r="H166" s="349"/>
      <c r="I166" s="349"/>
    </row>
    <row r="167" spans="1:9" ht="14.25" outlineLevel="1" x14ac:dyDescent="0.2">
      <c r="A167" s="312"/>
      <c r="B167" s="313" t="s">
        <v>4847</v>
      </c>
      <c r="C167" s="346">
        <v>1</v>
      </c>
      <c r="D167" s="541">
        <f>ROUND($F$166*C167,2)</f>
        <v>273781.56</v>
      </c>
      <c r="G167" s="325"/>
      <c r="H167" s="349"/>
      <c r="I167" s="349"/>
    </row>
    <row r="168" spans="1:9" ht="15" x14ac:dyDescent="0.2">
      <c r="A168" s="315">
        <v>12</v>
      </c>
      <c r="B168" s="316" t="s">
        <v>4848</v>
      </c>
      <c r="C168" s="340"/>
      <c r="D168" s="542">
        <f>SUBTOTAL(9,D169:D180)</f>
        <v>880018.12</v>
      </c>
      <c r="F168" s="323">
        <f>SUM(F169,F171,F173)</f>
        <v>880018.12178047735</v>
      </c>
      <c r="G168" s="322">
        <f>SUM(F171,F173)/($F$7-'Parte B'!$G$5)</f>
        <v>3.3991894490561884E-2</v>
      </c>
      <c r="H168" s="329"/>
      <c r="I168" s="361"/>
    </row>
    <row r="169" spans="1:9" ht="15" x14ac:dyDescent="0.2">
      <c r="A169" s="310" t="s">
        <v>4849</v>
      </c>
      <c r="B169" s="311" t="s">
        <v>4694</v>
      </c>
      <c r="C169" s="341">
        <f>SUBTOTAL(9,C170)</f>
        <v>1</v>
      </c>
      <c r="D169" s="540">
        <f>SUBTOTAL(9,D170)</f>
        <v>1529.52</v>
      </c>
      <c r="F169" s="321">
        <f>'Parte B'!$G$5*G168+'Parte B'!$G$5*$G$161</f>
        <v>1529.5217804773711</v>
      </c>
      <c r="G169" s="325"/>
      <c r="H169" s="349"/>
      <c r="I169" s="349"/>
    </row>
    <row r="170" spans="1:9" ht="14.25" outlineLevel="1" x14ac:dyDescent="0.2">
      <c r="A170" s="312"/>
      <c r="B170" s="313" t="s">
        <v>4828</v>
      </c>
      <c r="C170" s="346">
        <v>1</v>
      </c>
      <c r="D170" s="541">
        <f>ROUND($F$169*C170,2)</f>
        <v>1529.52</v>
      </c>
      <c r="G170" s="325"/>
      <c r="H170" s="349"/>
      <c r="I170" s="349"/>
    </row>
    <row r="171" spans="1:9" ht="15" x14ac:dyDescent="0.2">
      <c r="A171" s="310" t="s">
        <v>4850</v>
      </c>
      <c r="B171" s="311" t="s">
        <v>4867</v>
      </c>
      <c r="C171" s="341">
        <f>SUBTOTAL(9,C172)</f>
        <v>1</v>
      </c>
      <c r="D171" s="540">
        <f>SUBTOTAL(9,D172)</f>
        <v>469780</v>
      </c>
      <c r="F171" s="323">
        <f>Comunicação!$B$6</f>
        <v>469780</v>
      </c>
      <c r="G171" s="325"/>
      <c r="H171" s="349"/>
      <c r="I171" s="349"/>
    </row>
    <row r="172" spans="1:9" s="108" customFormat="1" ht="14.25" outlineLevel="1" x14ac:dyDescent="0.2">
      <c r="A172" s="312"/>
      <c r="B172" s="313" t="s">
        <v>4867</v>
      </c>
      <c r="C172" s="346">
        <v>1</v>
      </c>
      <c r="D172" s="541">
        <f>ROUND($F$171*C172,2)</f>
        <v>469780</v>
      </c>
      <c r="F172" s="324"/>
      <c r="G172" s="325"/>
      <c r="H172" s="349"/>
      <c r="I172" s="349"/>
    </row>
    <row r="173" spans="1:9" s="108" customFormat="1" ht="15" x14ac:dyDescent="0.2">
      <c r="A173" s="310" t="s">
        <v>4868</v>
      </c>
      <c r="B173" s="311" t="s">
        <v>4869</v>
      </c>
      <c r="C173" s="341">
        <f>SUBTOTAL(9,C174:C175)</f>
        <v>1</v>
      </c>
      <c r="D173" s="540">
        <f>SUBTOTAL(9,D174:D175)</f>
        <v>408708.6</v>
      </c>
      <c r="F173" s="323">
        <f>SUM(F174:F175)</f>
        <v>408708.6</v>
      </c>
      <c r="G173" s="325"/>
      <c r="H173" s="349"/>
      <c r="I173" s="349"/>
    </row>
    <row r="174" spans="1:9" s="108" customFormat="1" ht="14.25" outlineLevel="1" x14ac:dyDescent="0.2">
      <c r="A174" s="312"/>
      <c r="B174" s="313" t="s">
        <v>4870</v>
      </c>
      <c r="C174" s="346">
        <v>0.2</v>
      </c>
      <c r="D174" s="541">
        <f>ROUND($F$173*C174,2)</f>
        <v>81741.72</v>
      </c>
      <c r="F174" s="324">
        <f>Comunicação!$B$8</f>
        <v>79862.600000000006</v>
      </c>
      <c r="G174" s="367"/>
      <c r="H174" s="349"/>
      <c r="I174" s="349"/>
    </row>
    <row r="175" spans="1:9" ht="15" outlineLevel="1" thickBot="1" x14ac:dyDescent="0.25">
      <c r="A175" s="317"/>
      <c r="B175" s="318" t="s">
        <v>4871</v>
      </c>
      <c r="C175" s="347">
        <v>0.8</v>
      </c>
      <c r="D175" s="543">
        <f>ROUND($F$173*C175,2)</f>
        <v>326966.88</v>
      </c>
      <c r="F175" s="327">
        <f>Comunicação!$B$9</f>
        <v>328846</v>
      </c>
      <c r="G175" s="325"/>
      <c r="H175" s="349"/>
      <c r="I175" s="349"/>
    </row>
  </sheetData>
  <mergeCells count="1">
    <mergeCell ref="I2:J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2">
    <tabColor theme="0" tint="-0.499984740745262"/>
  </sheetPr>
  <dimension ref="A1:G10"/>
  <sheetViews>
    <sheetView showGridLines="0" workbookViewId="0">
      <selection activeCell="G10" sqref="G10"/>
    </sheetView>
  </sheetViews>
  <sheetFormatPr defaultRowHeight="12.75" x14ac:dyDescent="0.2"/>
  <cols>
    <col min="1" max="1" width="9.140625" style="1"/>
    <col min="2" max="2" width="20.5703125" style="1" customWidth="1"/>
    <col min="3" max="3" width="11.7109375" style="1" customWidth="1"/>
    <col min="4" max="4" width="17.7109375" style="1" customWidth="1"/>
    <col min="5" max="5" width="15.7109375" style="1" customWidth="1"/>
    <col min="6" max="6" width="37" style="1" customWidth="1"/>
    <col min="7" max="16384" width="9.140625" style="1"/>
  </cols>
  <sheetData>
    <row r="1" spans="1:7" ht="15.75" x14ac:dyDescent="0.25">
      <c r="A1" s="147"/>
      <c r="B1" s="147"/>
      <c r="C1" s="105"/>
      <c r="D1" s="105"/>
      <c r="E1" s="105"/>
      <c r="F1" s="105"/>
    </row>
    <row r="2" spans="1:7" ht="36" customHeight="1" x14ac:dyDescent="0.25">
      <c r="B2" s="192"/>
      <c r="D2" s="199" t="s">
        <v>1900</v>
      </c>
      <c r="E2" s="194"/>
      <c r="F2" s="192"/>
    </row>
    <row r="3" spans="1:7" ht="36" customHeight="1" x14ac:dyDescent="0.25">
      <c r="B3" s="193"/>
      <c r="D3" s="195" t="s">
        <v>1910</v>
      </c>
      <c r="E3" s="193"/>
      <c r="F3" s="193"/>
    </row>
    <row r="4" spans="1:7" ht="5.0999999999999996" customHeight="1" x14ac:dyDescent="0.25">
      <c r="A4" s="698"/>
      <c r="B4" s="698"/>
      <c r="C4" s="698"/>
      <c r="D4" s="698"/>
      <c r="E4" s="698"/>
      <c r="F4" s="698"/>
    </row>
    <row r="5" spans="1:7" x14ac:dyDescent="0.2">
      <c r="A5" s="106" t="s">
        <v>2661</v>
      </c>
      <c r="B5" s="141">
        <f>TPU!B3</f>
        <v>44531</v>
      </c>
      <c r="C5" s="105"/>
      <c r="D5" s="105"/>
      <c r="E5" s="105"/>
      <c r="F5" s="105"/>
    </row>
    <row r="6" spans="1:7" ht="5.0999999999999996" customHeight="1" x14ac:dyDescent="0.2">
      <c r="A6" s="105"/>
      <c r="B6" s="105"/>
      <c r="C6" s="105"/>
      <c r="D6" s="105"/>
    </row>
    <row r="7" spans="1:7" ht="39.950000000000003" customHeight="1" x14ac:dyDescent="0.2">
      <c r="C7" s="12" t="s">
        <v>1529</v>
      </c>
      <c r="D7" s="13" t="s">
        <v>1</v>
      </c>
      <c r="E7" s="12" t="s">
        <v>1865</v>
      </c>
    </row>
    <row r="8" spans="1:7" ht="30" customHeight="1" x14ac:dyDescent="0.2">
      <c r="C8" s="10">
        <v>1</v>
      </c>
      <c r="D8" s="11" t="s">
        <v>1527</v>
      </c>
      <c r="E8" s="8">
        <f>EVTEA!B28</f>
        <v>25006686.438640144</v>
      </c>
    </row>
    <row r="9" spans="1:7" ht="30" customHeight="1" x14ac:dyDescent="0.2">
      <c r="C9" s="10">
        <v>2</v>
      </c>
      <c r="D9" s="11" t="s">
        <v>1528</v>
      </c>
      <c r="E9" s="8">
        <f>Comunicação!B11</f>
        <v>878488.6</v>
      </c>
    </row>
    <row r="10" spans="1:7" ht="30" customHeight="1" x14ac:dyDescent="0.2">
      <c r="C10" s="699" t="s">
        <v>1526</v>
      </c>
      <c r="D10" s="700"/>
      <c r="E10" s="103">
        <f>SUM(E8:E9)</f>
        <v>25885175.038640145</v>
      </c>
      <c r="F10" s="355"/>
      <c r="G10" s="356"/>
    </row>
  </sheetData>
  <mergeCells count="2">
    <mergeCell ref="A4:F4"/>
    <mergeCell ref="C10:D10"/>
  </mergeCell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3">
    <tabColor theme="5" tint="0.39997558519241921"/>
  </sheetPr>
  <dimension ref="A1:AR135"/>
  <sheetViews>
    <sheetView showGridLines="0" workbookViewId="0">
      <selection activeCell="A16" sqref="A16"/>
    </sheetView>
  </sheetViews>
  <sheetFormatPr defaultRowHeight="12.75" x14ac:dyDescent="0.2"/>
  <cols>
    <col min="1" max="1" width="6.5703125" style="1" bestFit="1" customWidth="1"/>
    <col min="2" max="2" width="10.7109375" style="1" customWidth="1"/>
    <col min="3" max="3" width="5" style="1" bestFit="1" customWidth="1"/>
    <col min="4" max="4" width="3.5703125" style="1" bestFit="1" customWidth="1"/>
    <col min="5" max="5" width="9.28515625" style="34" bestFit="1" customWidth="1"/>
    <col min="6" max="6" width="11.85546875" style="35" bestFit="1" customWidth="1"/>
    <col min="7" max="7" width="13.140625" style="35" bestFit="1" customWidth="1"/>
    <col min="8" max="8" width="10.28515625" style="35" bestFit="1" customWidth="1"/>
    <col min="9" max="9" width="9.85546875" style="35" bestFit="1" customWidth="1"/>
    <col min="10" max="10" width="11.5703125" style="1" bestFit="1" customWidth="1"/>
    <col min="11" max="11" width="11.28515625" style="1" customWidth="1"/>
    <col min="12" max="13" width="12.7109375" style="1" bestFit="1" customWidth="1"/>
    <col min="14" max="15" width="10.42578125" style="1" bestFit="1" customWidth="1"/>
    <col min="16" max="16" width="17" style="1" customWidth="1"/>
    <col min="17" max="17" width="10.140625" style="1" bestFit="1" customWidth="1"/>
    <col min="18" max="18" width="10.28515625" style="1" bestFit="1" customWidth="1"/>
    <col min="19" max="19" width="11.7109375" style="1" bestFit="1" customWidth="1"/>
    <col min="20" max="20" width="16.5703125" style="1" bestFit="1" customWidth="1"/>
    <col min="21" max="21" width="17.42578125" style="1" bestFit="1" customWidth="1"/>
    <col min="22" max="25" width="9.140625" style="1"/>
    <col min="26" max="28" width="9.140625" style="363"/>
    <col min="29" max="29" width="13.42578125" style="363" bestFit="1" customWidth="1"/>
    <col min="30" max="30" width="10.28515625" style="363" bestFit="1" customWidth="1"/>
    <col min="31" max="31" width="9.140625" style="363"/>
    <col min="32" max="32" width="10.42578125" style="363" bestFit="1" customWidth="1"/>
    <col min="33" max="33" width="11.42578125" style="363" bestFit="1" customWidth="1"/>
    <col min="34" max="34" width="14.140625" style="363" customWidth="1"/>
    <col min="35" max="35" width="11.28515625" style="1" bestFit="1" customWidth="1"/>
    <col min="36" max="37" width="13.42578125" style="1" bestFit="1" customWidth="1"/>
    <col min="38" max="38" width="9.42578125" style="1" customWidth="1"/>
    <col min="39" max="39" width="11.28515625" style="1" bestFit="1" customWidth="1"/>
    <col min="40" max="41" width="15.42578125" style="1" bestFit="1" customWidth="1"/>
    <col min="42" max="43" width="13.140625" style="1" bestFit="1" customWidth="1"/>
    <col min="44" max="44" width="17" style="1" customWidth="1"/>
    <col min="45" max="16384" width="9.140625" style="1"/>
  </cols>
  <sheetData>
    <row r="1" spans="1:44" s="3" customFormat="1" ht="63.75" x14ac:dyDescent="0.2">
      <c r="A1" s="202" t="s">
        <v>1854</v>
      </c>
      <c r="B1" s="203" t="s">
        <v>5019</v>
      </c>
      <c r="C1" s="203" t="s">
        <v>1855</v>
      </c>
      <c r="D1" s="203" t="s">
        <v>1902</v>
      </c>
      <c r="E1" s="203" t="s">
        <v>1852</v>
      </c>
      <c r="F1" s="204" t="s">
        <v>2743</v>
      </c>
      <c r="G1" s="204" t="s">
        <v>2744</v>
      </c>
      <c r="H1" s="204" t="s">
        <v>2745</v>
      </c>
      <c r="I1" s="204" t="s">
        <v>5042</v>
      </c>
      <c r="J1" s="204" t="s">
        <v>5043</v>
      </c>
      <c r="K1" s="204" t="s">
        <v>5044</v>
      </c>
      <c r="L1" s="204" t="s">
        <v>2741</v>
      </c>
      <c r="M1" s="204" t="s">
        <v>2742</v>
      </c>
      <c r="N1" s="204" t="s">
        <v>2739</v>
      </c>
      <c r="O1" s="204" t="s">
        <v>2740</v>
      </c>
      <c r="P1" s="204" t="s">
        <v>4990</v>
      </c>
      <c r="Q1" s="204" t="s">
        <v>4994</v>
      </c>
      <c r="R1" s="204" t="s">
        <v>4995</v>
      </c>
      <c r="S1" s="204" t="s">
        <v>2738</v>
      </c>
      <c r="T1" s="204" t="s">
        <v>2747</v>
      </c>
      <c r="U1" s="205" t="s">
        <v>4996</v>
      </c>
      <c r="Z1" s="368" t="s">
        <v>1855</v>
      </c>
      <c r="AA1" s="368" t="s">
        <v>4872</v>
      </c>
      <c r="AB1" s="368" t="s">
        <v>4873</v>
      </c>
      <c r="AC1" s="368" t="s">
        <v>4874</v>
      </c>
      <c r="AD1" s="368" t="s">
        <v>4875</v>
      </c>
      <c r="AE1" s="368" t="s">
        <v>4876</v>
      </c>
      <c r="AF1" s="368" t="s">
        <v>4877</v>
      </c>
      <c r="AG1" s="368" t="s">
        <v>4878</v>
      </c>
      <c r="AH1" s="368" t="s">
        <v>5016</v>
      </c>
      <c r="AI1" s="368" t="s">
        <v>2743</v>
      </c>
      <c r="AJ1" s="368" t="s">
        <v>2744</v>
      </c>
      <c r="AK1" s="368" t="s">
        <v>2745</v>
      </c>
      <c r="AL1" s="368" t="s">
        <v>2746</v>
      </c>
      <c r="AM1" s="368" t="s">
        <v>2748</v>
      </c>
      <c r="AN1" s="368" t="s">
        <v>2741</v>
      </c>
      <c r="AO1" s="368" t="s">
        <v>2742</v>
      </c>
      <c r="AP1" s="368" t="s">
        <v>2739</v>
      </c>
      <c r="AQ1" s="368" t="s">
        <v>2740</v>
      </c>
      <c r="AR1" s="368" t="s">
        <v>2738</v>
      </c>
    </row>
    <row r="2" spans="1:44" x14ac:dyDescent="0.2">
      <c r="A2" s="206" t="s">
        <v>1853</v>
      </c>
      <c r="B2" s="208" t="s">
        <v>5017</v>
      </c>
      <c r="C2" s="207">
        <v>1</v>
      </c>
      <c r="D2" s="208" t="s">
        <v>1719</v>
      </c>
      <c r="E2" s="208" t="s">
        <v>4991</v>
      </c>
      <c r="F2" s="209">
        <f t="shared" ref="F2:F13" si="0">SUMIFS(AI$2:AI$132,$AH$2:$AH$132,$B2,$AA$2:$AA$132,$E2,$AB$2:$AB$132,$D2)</f>
        <v>2.4999999999999996</v>
      </c>
      <c r="G2" s="209">
        <f t="shared" ref="G2:G13" si="1">SUMIFS(AJ$2:AJ$132,$AH$2:$AH$132,$B2,$AA$2:$AA$132,$E2,$AB$2:$AB$132,$D2)</f>
        <v>192.20000000000002</v>
      </c>
      <c r="H2" s="209">
        <f t="shared" ref="H2:H13" si="2">SUMIFS(AK$2:AK$132,$AH$2:$AH$132,$B2,$AA$2:$AA$132,$E2,$AB$2:$AB$132,$D2)</f>
        <v>0</v>
      </c>
      <c r="I2" s="210">
        <f>IF(B2="sim",SUM(F2:H2),0)</f>
        <v>194.70000000000002</v>
      </c>
      <c r="J2" s="210">
        <f>IF(B2="sim",I2-H2,0)</f>
        <v>194.70000000000002</v>
      </c>
      <c r="K2" s="210">
        <f>IF(B2="não",SUM(F2:H2),0)</f>
        <v>0</v>
      </c>
      <c r="L2" s="209">
        <f>IF($B2="sim",SUMIFS(AN$2:AN$132,$AH$2:$AH$132,$B2,$AA$2:$AA$132,$E2,$AB$2:$AB$132,$D2),0)</f>
        <v>0</v>
      </c>
      <c r="M2" s="209">
        <f>IF($B2="sim",SUMIFS(AO$2:AO$132,$AH$2:$AH$132,$B2,$AA$2:$AA$132,$E2,$AB$2:$AB$132,$D2),0)</f>
        <v>26.05</v>
      </c>
      <c r="N2" s="209">
        <f>IF($B2="sim",IF(SUMIFS(AP$2:AP$132,$AA$2:$AA$132,$E2,$AB$2:$AB$132,$D2)&gt;0,SUMIFS(AP$2:AP$132,$AA$2:$AA$132,$E2,$AB$2:$AB$132,$D2),$F2*0.1),K2*0.1)</f>
        <v>0.24999999999999997</v>
      </c>
      <c r="O2" s="209">
        <f>IF($B2="sim",IF(SUMIFS(AQ$2:AQ$132,$AA$2:$AA$132,$E2,$AB$2:$AB$132,$D2)&gt;0,SUMIFS(AQ$2:AQ$132,$AA$2:$AA$132,$E2,$AB$2:$AB$132,$D2),$G2*0.1),K2*0.1)</f>
        <v>19.220000000000002</v>
      </c>
      <c r="P2" s="209">
        <f>IF($B2="sim",G2*5%+F2*10%,K2*10%)</f>
        <v>9.8600000000000012</v>
      </c>
      <c r="Q2" s="209">
        <f>IF($B2="sim",F2,0)</f>
        <v>2.4999999999999996</v>
      </c>
      <c r="R2" s="209">
        <f>IF($B2="sim",G2,0)</f>
        <v>192.20000000000002</v>
      </c>
      <c r="S2" s="210">
        <f>IF($B2="sim",SUM(L2*2,SUM(M2:P2),SUM(G2:H2)*2,F2*4),0)</f>
        <v>449.78000000000003</v>
      </c>
      <c r="T2" s="210">
        <f>IF($B2="sim",SUM(L2*2,SUM(M2:P2),SUM(G2)*2,F2*4),0)</f>
        <v>449.78000000000003</v>
      </c>
      <c r="U2" s="211">
        <f>IF($B2="sim",SUM(L2*2,SUM(M2:P2),SUM(G2)*2,F2*4,SUM(Q2:R2)*2),0)</f>
        <v>839.18000000000006</v>
      </c>
      <c r="Z2" s="433">
        <v>1</v>
      </c>
      <c r="AA2" s="433" t="s">
        <v>4991</v>
      </c>
      <c r="AB2" s="433" t="s">
        <v>1719</v>
      </c>
      <c r="AC2" s="434" t="s">
        <v>4879</v>
      </c>
      <c r="AD2" s="371">
        <v>0</v>
      </c>
      <c r="AE2" s="371">
        <v>9.3000000000000007</v>
      </c>
      <c r="AF2" s="371">
        <f>ABS(AE2-AD2)</f>
        <v>9.3000000000000007</v>
      </c>
      <c r="AG2" s="371" t="s">
        <v>4880</v>
      </c>
      <c r="AH2" s="371" t="s">
        <v>5017</v>
      </c>
      <c r="AI2" s="435">
        <v>1</v>
      </c>
      <c r="AJ2" s="436">
        <f>4.5+1.5+2</f>
        <v>8</v>
      </c>
      <c r="AK2" s="435"/>
      <c r="AL2" s="435"/>
      <c r="AM2" s="435"/>
      <c r="AN2" s="435"/>
      <c r="AO2" s="435">
        <v>1.5</v>
      </c>
      <c r="AP2" s="435"/>
      <c r="AQ2" s="435"/>
      <c r="AR2" s="435"/>
    </row>
    <row r="3" spans="1:44" x14ac:dyDescent="0.2">
      <c r="A3" s="206" t="s">
        <v>1853</v>
      </c>
      <c r="B3" s="208" t="s">
        <v>5018</v>
      </c>
      <c r="C3" s="207">
        <v>1</v>
      </c>
      <c r="D3" s="208" t="s">
        <v>1719</v>
      </c>
      <c r="E3" s="207" t="s">
        <v>4991</v>
      </c>
      <c r="F3" s="209">
        <f t="shared" si="0"/>
        <v>5.6000000000000005</v>
      </c>
      <c r="G3" s="209">
        <f t="shared" si="1"/>
        <v>7</v>
      </c>
      <c r="H3" s="209">
        <f t="shared" si="2"/>
        <v>0</v>
      </c>
      <c r="I3" s="210">
        <f t="shared" ref="I3:I13" si="3">IF(B3="sim",SUM(F3:H3),0)</f>
        <v>0</v>
      </c>
      <c r="J3" s="210">
        <f t="shared" ref="J3:J13" si="4">IF(B3="sim",I3-H3,0)</f>
        <v>0</v>
      </c>
      <c r="K3" s="210">
        <f t="shared" ref="K3:K13" si="5">IF(B3="não",SUM(F3:H3),0)</f>
        <v>12.600000000000001</v>
      </c>
      <c r="L3" s="209">
        <f t="shared" ref="L3:L13" si="6">IF($B3="sim",SUMIFS(AN$2:AN$132,$AH$2:$AH$132,$B3,$AA$2:$AA$132,$E3,$AB$2:$AB$132,$D3),0)</f>
        <v>0</v>
      </c>
      <c r="M3" s="209">
        <f t="shared" ref="M3:M13" si="7">IF($B3="sim",SUMIFS(AO$2:AO$132,$AH$2:$AH$132,$B3,$AA$2:$AA$132,$E3,$AB$2:$AB$132,$D3),0)</f>
        <v>0</v>
      </c>
      <c r="N3" s="209">
        <f t="shared" ref="N3:N13" si="8">IF($B3="sim",IF(SUMIFS(AP$2:AP$132,$AA$2:$AA$132,$E3,$AB$2:$AB$132,$D3)&gt;0,SUMIFS(AP$2:AP$132,$AA$2:$AA$132,$E3,$AB$2:$AB$132,$D3),$F3*0.1),K3*0.1)</f>
        <v>1.2600000000000002</v>
      </c>
      <c r="O3" s="209">
        <f t="shared" ref="O3:O13" si="9">IF($B3="sim",IF(SUMIFS(AQ$2:AQ$132,$AA$2:$AA$132,$E3,$AB$2:$AB$132,$D3)&gt;0,SUMIFS(AQ$2:AQ$132,$AA$2:$AA$132,$E3,$AB$2:$AB$132,$D3),$G3*0.1),K3*0.1)</f>
        <v>1.2600000000000002</v>
      </c>
      <c r="P3" s="209">
        <f t="shared" ref="P3:P13" si="10">IF($B3="sim",G3*5%+F3*10%,K3*10%)</f>
        <v>1.2600000000000002</v>
      </c>
      <c r="Q3" s="209">
        <f t="shared" ref="Q3:Q13" si="11">IF($B3="sim",F3,0)</f>
        <v>0</v>
      </c>
      <c r="R3" s="209">
        <f t="shared" ref="R3:R13" si="12">IF($B3="sim",G3,0)</f>
        <v>0</v>
      </c>
      <c r="S3" s="210">
        <f t="shared" ref="S3:S13" si="13">IF($B3="sim",SUM(L3*2,SUM(M3:P3),SUM(G3:H3)*2,F3*4),0)</f>
        <v>0</v>
      </c>
      <c r="T3" s="210">
        <f t="shared" ref="T3:T13" si="14">IF($B3="sim",SUM(L3*2,SUM(M3:P3),SUM(G3)*2,F3*4),0)</f>
        <v>0</v>
      </c>
      <c r="U3" s="211">
        <f t="shared" ref="U3:U13" si="15">IF($B3="sim",SUM(L3*2,SUM(M3:P3),SUM(G3)*2,F3*4,SUM(Q3:R3)*2),0)</f>
        <v>0</v>
      </c>
      <c r="Z3" s="433">
        <v>1</v>
      </c>
      <c r="AA3" s="433" t="s">
        <v>4991</v>
      </c>
      <c r="AB3" s="433" t="s">
        <v>1719</v>
      </c>
      <c r="AC3" s="434" t="s">
        <v>4881</v>
      </c>
      <c r="AD3" s="371">
        <v>9.3000000000000007</v>
      </c>
      <c r="AE3" s="371">
        <v>12.6</v>
      </c>
      <c r="AF3" s="371">
        <f t="shared" ref="AF3:AF80" si="16">ABS(AE3-AD3)</f>
        <v>3.2999999999999989</v>
      </c>
      <c r="AG3" s="371" t="s">
        <v>4882</v>
      </c>
      <c r="AH3" s="371" t="s">
        <v>5017</v>
      </c>
      <c r="AI3" s="435">
        <f>0.4</f>
        <v>0.4</v>
      </c>
      <c r="AJ3" s="435">
        <f>0.7+2.2+1.4</f>
        <v>4.3000000000000007</v>
      </c>
      <c r="AK3" s="435"/>
      <c r="AL3" s="435"/>
      <c r="AM3" s="435"/>
      <c r="AN3" s="435"/>
      <c r="AO3" s="435">
        <f>2.2+1.4</f>
        <v>3.6</v>
      </c>
      <c r="AP3" s="435"/>
      <c r="AQ3" s="435"/>
      <c r="AR3" s="435"/>
    </row>
    <row r="4" spans="1:44" x14ac:dyDescent="0.2">
      <c r="A4" s="206" t="s">
        <v>1853</v>
      </c>
      <c r="B4" s="208" t="s">
        <v>5017</v>
      </c>
      <c r="C4" s="207">
        <v>2</v>
      </c>
      <c r="D4" s="208" t="s">
        <v>4903</v>
      </c>
      <c r="E4" s="207" t="s">
        <v>4992</v>
      </c>
      <c r="F4" s="209">
        <f t="shared" si="0"/>
        <v>396.24000000000007</v>
      </c>
      <c r="G4" s="209">
        <f t="shared" si="1"/>
        <v>464.11999999999995</v>
      </c>
      <c r="H4" s="209">
        <f t="shared" si="2"/>
        <v>38.1</v>
      </c>
      <c r="I4" s="210">
        <f t="shared" si="3"/>
        <v>898.46</v>
      </c>
      <c r="J4" s="210">
        <f t="shared" si="4"/>
        <v>860.36</v>
      </c>
      <c r="K4" s="210">
        <f t="shared" si="5"/>
        <v>0</v>
      </c>
      <c r="L4" s="209">
        <f t="shared" si="6"/>
        <v>0</v>
      </c>
      <c r="M4" s="209">
        <f t="shared" si="7"/>
        <v>13.399999999999999</v>
      </c>
      <c r="N4" s="209">
        <f t="shared" si="8"/>
        <v>43.499999999999993</v>
      </c>
      <c r="O4" s="209">
        <f t="shared" si="9"/>
        <v>1.2</v>
      </c>
      <c r="P4" s="209">
        <f t="shared" si="10"/>
        <v>62.830000000000013</v>
      </c>
      <c r="Q4" s="209">
        <f t="shared" si="11"/>
        <v>396.24000000000007</v>
      </c>
      <c r="R4" s="209">
        <f t="shared" si="12"/>
        <v>464.11999999999995</v>
      </c>
      <c r="S4" s="210">
        <f t="shared" si="13"/>
        <v>2710.33</v>
      </c>
      <c r="T4" s="210">
        <f t="shared" si="14"/>
        <v>2634.13</v>
      </c>
      <c r="U4" s="211">
        <f t="shared" si="15"/>
        <v>4354.8500000000004</v>
      </c>
      <c r="Z4" s="433">
        <v>1</v>
      </c>
      <c r="AA4" s="433" t="s">
        <v>4991</v>
      </c>
      <c r="AB4" s="433" t="s">
        <v>1719</v>
      </c>
      <c r="AC4" s="434" t="s">
        <v>4883</v>
      </c>
      <c r="AD4" s="371">
        <v>105.3</v>
      </c>
      <c r="AE4" s="371">
        <v>107.4</v>
      </c>
      <c r="AF4" s="371">
        <f t="shared" si="16"/>
        <v>2.1000000000000085</v>
      </c>
      <c r="AG4" s="371" t="s">
        <v>4882</v>
      </c>
      <c r="AH4" s="371" t="s">
        <v>5017</v>
      </c>
      <c r="AI4" s="435"/>
      <c r="AJ4" s="435">
        <v>2.1</v>
      </c>
      <c r="AK4" s="435"/>
      <c r="AL4" s="435"/>
      <c r="AM4" s="435"/>
      <c r="AN4" s="435"/>
      <c r="AO4" s="435"/>
      <c r="AP4" s="435"/>
      <c r="AQ4" s="435"/>
      <c r="AR4" s="435"/>
    </row>
    <row r="5" spans="1:44" x14ac:dyDescent="0.2">
      <c r="A5" s="206" t="s">
        <v>1853</v>
      </c>
      <c r="B5" s="208" t="s">
        <v>5018</v>
      </c>
      <c r="C5" s="207">
        <v>2</v>
      </c>
      <c r="D5" s="208" t="s">
        <v>4903</v>
      </c>
      <c r="E5" s="207" t="s">
        <v>4992</v>
      </c>
      <c r="F5" s="209">
        <f t="shared" si="0"/>
        <v>34.200000000000003</v>
      </c>
      <c r="G5" s="209">
        <f t="shared" si="1"/>
        <v>9.7000000000000011</v>
      </c>
      <c r="H5" s="209">
        <f t="shared" si="2"/>
        <v>0</v>
      </c>
      <c r="I5" s="210">
        <f t="shared" si="3"/>
        <v>0</v>
      </c>
      <c r="J5" s="210">
        <f t="shared" si="4"/>
        <v>0</v>
      </c>
      <c r="K5" s="210">
        <f t="shared" si="5"/>
        <v>43.900000000000006</v>
      </c>
      <c r="L5" s="209">
        <f t="shared" si="6"/>
        <v>0</v>
      </c>
      <c r="M5" s="209">
        <f t="shared" si="7"/>
        <v>0</v>
      </c>
      <c r="N5" s="209">
        <f t="shared" si="8"/>
        <v>4.3900000000000006</v>
      </c>
      <c r="O5" s="209">
        <f t="shared" si="9"/>
        <v>4.3900000000000006</v>
      </c>
      <c r="P5" s="209">
        <f t="shared" si="10"/>
        <v>4.3900000000000006</v>
      </c>
      <c r="Q5" s="209">
        <f t="shared" si="11"/>
        <v>0</v>
      </c>
      <c r="R5" s="209">
        <f t="shared" si="12"/>
        <v>0</v>
      </c>
      <c r="S5" s="210">
        <f t="shared" si="13"/>
        <v>0</v>
      </c>
      <c r="T5" s="210">
        <f t="shared" si="14"/>
        <v>0</v>
      </c>
      <c r="U5" s="211">
        <f t="shared" si="15"/>
        <v>0</v>
      </c>
      <c r="Z5" s="433">
        <v>1</v>
      </c>
      <c r="AA5" s="433" t="s">
        <v>4991</v>
      </c>
      <c r="AB5" s="433" t="s">
        <v>1719</v>
      </c>
      <c r="AC5" s="434" t="s">
        <v>4884</v>
      </c>
      <c r="AD5" s="371">
        <v>107.4</v>
      </c>
      <c r="AE5" s="371">
        <v>127.8</v>
      </c>
      <c r="AF5" s="371">
        <f t="shared" si="16"/>
        <v>20.399999999999991</v>
      </c>
      <c r="AG5" s="371" t="s">
        <v>4882</v>
      </c>
      <c r="AH5" s="371" t="s">
        <v>5017</v>
      </c>
      <c r="AI5" s="435"/>
      <c r="AJ5" s="435">
        <v>20.3</v>
      </c>
      <c r="AK5" s="435"/>
      <c r="AL5" s="435"/>
      <c r="AM5" s="435"/>
      <c r="AN5" s="435"/>
      <c r="AO5" s="435"/>
      <c r="AP5" s="435"/>
      <c r="AQ5" s="435"/>
      <c r="AR5" s="435"/>
    </row>
    <row r="6" spans="1:44" x14ac:dyDescent="0.2">
      <c r="A6" s="206" t="s">
        <v>1853</v>
      </c>
      <c r="B6" s="208" t="s">
        <v>5017</v>
      </c>
      <c r="C6" s="207">
        <v>2</v>
      </c>
      <c r="D6" s="208" t="s">
        <v>4903</v>
      </c>
      <c r="E6" s="207" t="s">
        <v>4993</v>
      </c>
      <c r="F6" s="209">
        <f t="shared" si="0"/>
        <v>0.7</v>
      </c>
      <c r="G6" s="209">
        <f t="shared" si="1"/>
        <v>462.59999999999997</v>
      </c>
      <c r="H6" s="209">
        <f t="shared" si="2"/>
        <v>0</v>
      </c>
      <c r="I6" s="210">
        <f t="shared" si="3"/>
        <v>463.29999999999995</v>
      </c>
      <c r="J6" s="210">
        <f t="shared" si="4"/>
        <v>463.29999999999995</v>
      </c>
      <c r="K6" s="210">
        <f t="shared" si="5"/>
        <v>0</v>
      </c>
      <c r="L6" s="209">
        <f t="shared" si="6"/>
        <v>0</v>
      </c>
      <c r="M6" s="209">
        <f t="shared" si="7"/>
        <v>0</v>
      </c>
      <c r="N6" s="209">
        <f t="shared" si="8"/>
        <v>6.9999999999999993E-2</v>
      </c>
      <c r="O6" s="209">
        <f t="shared" si="9"/>
        <v>25.800000000000022</v>
      </c>
      <c r="P6" s="209">
        <f t="shared" si="10"/>
        <v>23.2</v>
      </c>
      <c r="Q6" s="209">
        <f t="shared" si="11"/>
        <v>0.7</v>
      </c>
      <c r="R6" s="209">
        <f t="shared" si="12"/>
        <v>462.59999999999997</v>
      </c>
      <c r="S6" s="210">
        <f t="shared" si="13"/>
        <v>977.06999999999994</v>
      </c>
      <c r="T6" s="210">
        <f t="shared" si="14"/>
        <v>977.06999999999994</v>
      </c>
      <c r="U6" s="211">
        <f t="shared" si="15"/>
        <v>1903.6699999999998</v>
      </c>
      <c r="Z6" s="433">
        <v>1</v>
      </c>
      <c r="AA6" s="433" t="s">
        <v>4991</v>
      </c>
      <c r="AB6" s="433" t="s">
        <v>1719</v>
      </c>
      <c r="AC6" s="434" t="s">
        <v>4885</v>
      </c>
      <c r="AD6" s="371">
        <v>127.8</v>
      </c>
      <c r="AE6" s="371">
        <v>135.5</v>
      </c>
      <c r="AF6" s="371">
        <f t="shared" si="16"/>
        <v>7.7000000000000028</v>
      </c>
      <c r="AG6" s="371" t="s">
        <v>4882</v>
      </c>
      <c r="AH6" s="371" t="s">
        <v>5017</v>
      </c>
      <c r="AI6" s="435"/>
      <c r="AJ6" s="435">
        <v>7.7</v>
      </c>
      <c r="AK6" s="435"/>
      <c r="AL6" s="435"/>
      <c r="AM6" s="435"/>
      <c r="AN6" s="435"/>
      <c r="AO6" s="435"/>
      <c r="AP6" s="435"/>
      <c r="AQ6" s="435"/>
      <c r="AR6" s="435"/>
    </row>
    <row r="7" spans="1:44" x14ac:dyDescent="0.2">
      <c r="A7" s="206" t="s">
        <v>1853</v>
      </c>
      <c r="B7" s="208" t="s">
        <v>5018</v>
      </c>
      <c r="C7" s="207">
        <v>2</v>
      </c>
      <c r="D7" s="208" t="s">
        <v>4903</v>
      </c>
      <c r="E7" s="207" t="s">
        <v>4993</v>
      </c>
      <c r="F7" s="209">
        <f t="shared" si="0"/>
        <v>4</v>
      </c>
      <c r="G7" s="209">
        <f t="shared" si="1"/>
        <v>2.7</v>
      </c>
      <c r="H7" s="209">
        <f t="shared" si="2"/>
        <v>0</v>
      </c>
      <c r="I7" s="210">
        <f t="shared" si="3"/>
        <v>0</v>
      </c>
      <c r="J7" s="210">
        <f t="shared" si="4"/>
        <v>0</v>
      </c>
      <c r="K7" s="210">
        <f t="shared" si="5"/>
        <v>6.7</v>
      </c>
      <c r="L7" s="209">
        <f t="shared" si="6"/>
        <v>0</v>
      </c>
      <c r="M7" s="209">
        <f t="shared" si="7"/>
        <v>0</v>
      </c>
      <c r="N7" s="209">
        <f t="shared" si="8"/>
        <v>0.67</v>
      </c>
      <c r="O7" s="209">
        <f t="shared" si="9"/>
        <v>0.67</v>
      </c>
      <c r="P7" s="209">
        <f t="shared" si="10"/>
        <v>0.67</v>
      </c>
      <c r="Q7" s="209">
        <f t="shared" si="11"/>
        <v>0</v>
      </c>
      <c r="R7" s="209">
        <f t="shared" si="12"/>
        <v>0</v>
      </c>
      <c r="S7" s="210">
        <f t="shared" si="13"/>
        <v>0</v>
      </c>
      <c r="T7" s="210">
        <f t="shared" si="14"/>
        <v>0</v>
      </c>
      <c r="U7" s="211">
        <f t="shared" si="15"/>
        <v>0</v>
      </c>
      <c r="Z7" s="433">
        <v>1</v>
      </c>
      <c r="AA7" s="433" t="s">
        <v>4991</v>
      </c>
      <c r="AB7" s="433" t="s">
        <v>1719</v>
      </c>
      <c r="AC7" s="434" t="s">
        <v>4886</v>
      </c>
      <c r="AD7" s="371">
        <v>135.5</v>
      </c>
      <c r="AE7" s="371">
        <v>168.9</v>
      </c>
      <c r="AF7" s="371">
        <f t="shared" si="16"/>
        <v>33.400000000000006</v>
      </c>
      <c r="AG7" s="371" t="s">
        <v>4882</v>
      </c>
      <c r="AH7" s="371" t="s">
        <v>5017</v>
      </c>
      <c r="AI7" s="435"/>
      <c r="AJ7" s="435">
        <f>3.3+2.5+12.8+1.6+13.6</f>
        <v>33.800000000000004</v>
      </c>
      <c r="AK7" s="435"/>
      <c r="AL7" s="435"/>
      <c r="AM7" s="435"/>
      <c r="AN7" s="435"/>
      <c r="AO7" s="435">
        <f>2.5+1.6</f>
        <v>4.0999999999999996</v>
      </c>
      <c r="AP7" s="435"/>
      <c r="AQ7" s="435"/>
      <c r="AR7" s="435"/>
    </row>
    <row r="8" spans="1:44" x14ac:dyDescent="0.2">
      <c r="A8" s="206" t="s">
        <v>1853</v>
      </c>
      <c r="B8" s="208" t="s">
        <v>5017</v>
      </c>
      <c r="C8" s="207">
        <v>2</v>
      </c>
      <c r="D8" s="208" t="s">
        <v>5040</v>
      </c>
      <c r="E8" s="207" t="s">
        <v>4993</v>
      </c>
      <c r="F8" s="209">
        <f t="shared" si="0"/>
        <v>0</v>
      </c>
      <c r="G8" s="209">
        <f t="shared" si="1"/>
        <v>0</v>
      </c>
      <c r="H8" s="209">
        <f t="shared" si="2"/>
        <v>6.3</v>
      </c>
      <c r="I8" s="210">
        <f t="shared" si="3"/>
        <v>6.3</v>
      </c>
      <c r="J8" s="210">
        <f t="shared" si="4"/>
        <v>0</v>
      </c>
      <c r="K8" s="210">
        <f t="shared" si="5"/>
        <v>0</v>
      </c>
      <c r="L8" s="209">
        <f t="shared" si="6"/>
        <v>0</v>
      </c>
      <c r="M8" s="209">
        <f t="shared" si="7"/>
        <v>0</v>
      </c>
      <c r="N8" s="209">
        <f t="shared" si="8"/>
        <v>0</v>
      </c>
      <c r="O8" s="209">
        <f t="shared" si="9"/>
        <v>0</v>
      </c>
      <c r="P8" s="209">
        <f t="shared" si="10"/>
        <v>0</v>
      </c>
      <c r="Q8" s="209">
        <f t="shared" si="11"/>
        <v>0</v>
      </c>
      <c r="R8" s="209">
        <f t="shared" si="12"/>
        <v>0</v>
      </c>
      <c r="S8" s="210">
        <f t="shared" si="13"/>
        <v>12.6</v>
      </c>
      <c r="T8" s="210">
        <f t="shared" si="14"/>
        <v>0</v>
      </c>
      <c r="U8" s="211">
        <f t="shared" si="15"/>
        <v>0</v>
      </c>
      <c r="Z8" s="433">
        <v>1</v>
      </c>
      <c r="AA8" s="433" t="s">
        <v>4991</v>
      </c>
      <c r="AB8" s="433" t="s">
        <v>1719</v>
      </c>
      <c r="AC8" s="434" t="s">
        <v>4887</v>
      </c>
      <c r="AD8" s="371">
        <v>168.9</v>
      </c>
      <c r="AE8" s="371">
        <v>169.7</v>
      </c>
      <c r="AF8" s="371">
        <f t="shared" si="16"/>
        <v>0.79999999999998295</v>
      </c>
      <c r="AG8" s="371" t="s">
        <v>4888</v>
      </c>
      <c r="AH8" s="371" t="s">
        <v>5017</v>
      </c>
      <c r="AI8" s="435">
        <v>0.7</v>
      </c>
      <c r="AJ8" s="435"/>
      <c r="AK8" s="435"/>
      <c r="AL8" s="435"/>
      <c r="AM8" s="435"/>
      <c r="AN8" s="435"/>
      <c r="AO8" s="435"/>
      <c r="AP8" s="435"/>
      <c r="AQ8" s="435"/>
      <c r="AR8" s="435"/>
    </row>
    <row r="9" spans="1:44" x14ac:dyDescent="0.2">
      <c r="A9" s="206"/>
      <c r="B9" s="208"/>
      <c r="C9" s="207"/>
      <c r="D9" s="208"/>
      <c r="E9" s="207"/>
      <c r="F9" s="209">
        <f t="shared" si="0"/>
        <v>0</v>
      </c>
      <c r="G9" s="209">
        <f t="shared" si="1"/>
        <v>0</v>
      </c>
      <c r="H9" s="209">
        <f t="shared" si="2"/>
        <v>0</v>
      </c>
      <c r="I9" s="210">
        <f t="shared" si="3"/>
        <v>0</v>
      </c>
      <c r="J9" s="210">
        <f t="shared" si="4"/>
        <v>0</v>
      </c>
      <c r="K9" s="210">
        <f t="shared" si="5"/>
        <v>0</v>
      </c>
      <c r="L9" s="209">
        <f t="shared" si="6"/>
        <v>0</v>
      </c>
      <c r="M9" s="209">
        <f t="shared" si="7"/>
        <v>0</v>
      </c>
      <c r="N9" s="209">
        <f t="shared" si="8"/>
        <v>0</v>
      </c>
      <c r="O9" s="209">
        <f t="shared" si="9"/>
        <v>0</v>
      </c>
      <c r="P9" s="209">
        <f t="shared" si="10"/>
        <v>0</v>
      </c>
      <c r="Q9" s="209">
        <f t="shared" si="11"/>
        <v>0</v>
      </c>
      <c r="R9" s="209">
        <f t="shared" si="12"/>
        <v>0</v>
      </c>
      <c r="S9" s="210">
        <f t="shared" si="13"/>
        <v>0</v>
      </c>
      <c r="T9" s="210">
        <f t="shared" si="14"/>
        <v>0</v>
      </c>
      <c r="U9" s="211">
        <f t="shared" si="15"/>
        <v>0</v>
      </c>
      <c r="Z9" s="433">
        <v>1</v>
      </c>
      <c r="AA9" s="433" t="s">
        <v>4991</v>
      </c>
      <c r="AB9" s="433" t="s">
        <v>1719</v>
      </c>
      <c r="AC9" s="434" t="s">
        <v>4889</v>
      </c>
      <c r="AD9" s="371">
        <v>169.7</v>
      </c>
      <c r="AE9" s="371">
        <v>177.9</v>
      </c>
      <c r="AF9" s="371">
        <f t="shared" si="16"/>
        <v>8.2000000000000171</v>
      </c>
      <c r="AG9" s="371" t="s">
        <v>4882</v>
      </c>
      <c r="AH9" s="371" t="s">
        <v>5017</v>
      </c>
      <c r="AI9" s="435"/>
      <c r="AJ9" s="435">
        <v>8.1999999999999993</v>
      </c>
      <c r="AK9" s="435"/>
      <c r="AL9" s="435"/>
      <c r="AM9" s="435"/>
      <c r="AN9" s="435"/>
      <c r="AO9" s="435"/>
      <c r="AP9" s="435"/>
      <c r="AQ9" s="435"/>
      <c r="AR9" s="435"/>
    </row>
    <row r="10" spans="1:44" x14ac:dyDescent="0.2">
      <c r="A10" s="206"/>
      <c r="B10" s="208"/>
      <c r="C10" s="207"/>
      <c r="D10" s="208"/>
      <c r="E10" s="207"/>
      <c r="F10" s="209">
        <f t="shared" si="0"/>
        <v>0</v>
      </c>
      <c r="G10" s="209">
        <f t="shared" si="1"/>
        <v>0</v>
      </c>
      <c r="H10" s="209">
        <f t="shared" si="2"/>
        <v>0</v>
      </c>
      <c r="I10" s="210">
        <f t="shared" si="3"/>
        <v>0</v>
      </c>
      <c r="J10" s="210">
        <f t="shared" si="4"/>
        <v>0</v>
      </c>
      <c r="K10" s="210">
        <f t="shared" si="5"/>
        <v>0</v>
      </c>
      <c r="L10" s="209">
        <f t="shared" si="6"/>
        <v>0</v>
      </c>
      <c r="M10" s="209">
        <f t="shared" si="7"/>
        <v>0</v>
      </c>
      <c r="N10" s="209">
        <f t="shared" si="8"/>
        <v>0</v>
      </c>
      <c r="O10" s="209">
        <f t="shared" si="9"/>
        <v>0</v>
      </c>
      <c r="P10" s="209">
        <f t="shared" si="10"/>
        <v>0</v>
      </c>
      <c r="Q10" s="209">
        <f t="shared" si="11"/>
        <v>0</v>
      </c>
      <c r="R10" s="209">
        <f t="shared" si="12"/>
        <v>0</v>
      </c>
      <c r="S10" s="210">
        <f t="shared" si="13"/>
        <v>0</v>
      </c>
      <c r="T10" s="210">
        <f t="shared" si="14"/>
        <v>0</v>
      </c>
      <c r="U10" s="211">
        <f t="shared" si="15"/>
        <v>0</v>
      </c>
      <c r="Z10" s="433">
        <v>1</v>
      </c>
      <c r="AA10" s="433" t="s">
        <v>4991</v>
      </c>
      <c r="AB10" s="433" t="s">
        <v>1719</v>
      </c>
      <c r="AC10" s="434" t="s">
        <v>4890</v>
      </c>
      <c r="AD10" s="371">
        <v>177.9</v>
      </c>
      <c r="AE10" s="371">
        <v>178.5</v>
      </c>
      <c r="AF10" s="371">
        <f t="shared" si="16"/>
        <v>0.59999999999999432</v>
      </c>
      <c r="AG10" s="371" t="s">
        <v>4882</v>
      </c>
      <c r="AH10" s="371" t="s">
        <v>5017</v>
      </c>
      <c r="AI10" s="435"/>
      <c r="AJ10" s="435">
        <v>0.55000000000000004</v>
      </c>
      <c r="AK10" s="435"/>
      <c r="AL10" s="435"/>
      <c r="AM10" s="435"/>
      <c r="AN10" s="435"/>
      <c r="AO10" s="435"/>
      <c r="AP10" s="435"/>
      <c r="AQ10" s="435"/>
      <c r="AR10" s="435"/>
    </row>
    <row r="11" spans="1:44" x14ac:dyDescent="0.2">
      <c r="A11" s="206"/>
      <c r="B11" s="208"/>
      <c r="C11" s="207"/>
      <c r="D11" s="208"/>
      <c r="E11" s="207"/>
      <c r="F11" s="209">
        <f t="shared" si="0"/>
        <v>0</v>
      </c>
      <c r="G11" s="209">
        <f t="shared" si="1"/>
        <v>0</v>
      </c>
      <c r="H11" s="209">
        <f t="shared" si="2"/>
        <v>0</v>
      </c>
      <c r="I11" s="210">
        <f t="shared" si="3"/>
        <v>0</v>
      </c>
      <c r="J11" s="210">
        <f t="shared" si="4"/>
        <v>0</v>
      </c>
      <c r="K11" s="210">
        <f t="shared" si="5"/>
        <v>0</v>
      </c>
      <c r="L11" s="209">
        <f t="shared" si="6"/>
        <v>0</v>
      </c>
      <c r="M11" s="209">
        <f t="shared" si="7"/>
        <v>0</v>
      </c>
      <c r="N11" s="209">
        <f t="shared" si="8"/>
        <v>0</v>
      </c>
      <c r="O11" s="209">
        <f t="shared" si="9"/>
        <v>0</v>
      </c>
      <c r="P11" s="209">
        <f t="shared" si="10"/>
        <v>0</v>
      </c>
      <c r="Q11" s="209">
        <f t="shared" si="11"/>
        <v>0</v>
      </c>
      <c r="R11" s="209">
        <f t="shared" si="12"/>
        <v>0</v>
      </c>
      <c r="S11" s="210">
        <f t="shared" si="13"/>
        <v>0</v>
      </c>
      <c r="T11" s="210">
        <f t="shared" si="14"/>
        <v>0</v>
      </c>
      <c r="U11" s="211">
        <f t="shared" si="15"/>
        <v>0</v>
      </c>
      <c r="Z11" s="433">
        <v>1</v>
      </c>
      <c r="AA11" s="433" t="s">
        <v>4991</v>
      </c>
      <c r="AB11" s="433" t="s">
        <v>1719</v>
      </c>
      <c r="AC11" s="434" t="s">
        <v>4891</v>
      </c>
      <c r="AD11" s="371">
        <v>178.5</v>
      </c>
      <c r="AE11" s="371">
        <v>185.3</v>
      </c>
      <c r="AF11" s="371">
        <f t="shared" si="16"/>
        <v>6.8000000000000114</v>
      </c>
      <c r="AG11" s="371" t="s">
        <v>4882</v>
      </c>
      <c r="AH11" s="371" t="s">
        <v>5017</v>
      </c>
      <c r="AI11" s="435"/>
      <c r="AJ11" s="435">
        <f>2.1+1.4+3.2</f>
        <v>6.7</v>
      </c>
      <c r="AK11" s="435"/>
      <c r="AL11" s="435"/>
      <c r="AM11" s="435"/>
      <c r="AN11" s="435"/>
      <c r="AO11" s="435">
        <f>1.4</f>
        <v>1.4</v>
      </c>
      <c r="AP11" s="435"/>
      <c r="AQ11" s="435"/>
      <c r="AR11" s="435"/>
    </row>
    <row r="12" spans="1:44" x14ac:dyDescent="0.2">
      <c r="A12" s="206"/>
      <c r="B12" s="208"/>
      <c r="C12" s="207"/>
      <c r="D12" s="208"/>
      <c r="E12" s="207"/>
      <c r="F12" s="209">
        <f t="shared" si="0"/>
        <v>0</v>
      </c>
      <c r="G12" s="209">
        <f t="shared" si="1"/>
        <v>0</v>
      </c>
      <c r="H12" s="209">
        <f t="shared" si="2"/>
        <v>0</v>
      </c>
      <c r="I12" s="210">
        <f t="shared" si="3"/>
        <v>0</v>
      </c>
      <c r="J12" s="210">
        <f t="shared" si="4"/>
        <v>0</v>
      </c>
      <c r="K12" s="210">
        <f t="shared" si="5"/>
        <v>0</v>
      </c>
      <c r="L12" s="209">
        <f t="shared" si="6"/>
        <v>0</v>
      </c>
      <c r="M12" s="209">
        <f t="shared" si="7"/>
        <v>0</v>
      </c>
      <c r="N12" s="209">
        <f t="shared" si="8"/>
        <v>0</v>
      </c>
      <c r="O12" s="209">
        <f t="shared" si="9"/>
        <v>0</v>
      </c>
      <c r="P12" s="209">
        <f t="shared" si="10"/>
        <v>0</v>
      </c>
      <c r="Q12" s="209">
        <f t="shared" si="11"/>
        <v>0</v>
      </c>
      <c r="R12" s="209">
        <f t="shared" si="12"/>
        <v>0</v>
      </c>
      <c r="S12" s="210">
        <f t="shared" si="13"/>
        <v>0</v>
      </c>
      <c r="T12" s="210">
        <f t="shared" si="14"/>
        <v>0</v>
      </c>
      <c r="U12" s="211">
        <f t="shared" si="15"/>
        <v>0</v>
      </c>
      <c r="Z12" s="433">
        <v>1</v>
      </c>
      <c r="AA12" s="433" t="s">
        <v>4991</v>
      </c>
      <c r="AB12" s="433" t="s">
        <v>1719</v>
      </c>
      <c r="AC12" s="434" t="s">
        <v>4892</v>
      </c>
      <c r="AD12" s="371">
        <v>185.3</v>
      </c>
      <c r="AE12" s="371">
        <v>204.7</v>
      </c>
      <c r="AF12" s="371">
        <f t="shared" si="16"/>
        <v>19.399999999999977</v>
      </c>
      <c r="AG12" s="371" t="s">
        <v>4882</v>
      </c>
      <c r="AH12" s="371" t="s">
        <v>5017</v>
      </c>
      <c r="AI12" s="435"/>
      <c r="AJ12" s="435">
        <v>19.100000000000001</v>
      </c>
      <c r="AK12" s="435"/>
      <c r="AL12" s="435"/>
      <c r="AM12" s="435"/>
      <c r="AN12" s="435"/>
      <c r="AO12" s="435"/>
      <c r="AP12" s="435"/>
      <c r="AQ12" s="435"/>
      <c r="AR12" s="435"/>
    </row>
    <row r="13" spans="1:44" x14ac:dyDescent="0.2">
      <c r="A13" s="206"/>
      <c r="B13" s="208"/>
      <c r="C13" s="207"/>
      <c r="D13" s="208"/>
      <c r="E13" s="207"/>
      <c r="F13" s="209">
        <f t="shared" si="0"/>
        <v>0</v>
      </c>
      <c r="G13" s="209">
        <f t="shared" si="1"/>
        <v>0</v>
      </c>
      <c r="H13" s="209">
        <f t="shared" si="2"/>
        <v>0</v>
      </c>
      <c r="I13" s="210">
        <f t="shared" si="3"/>
        <v>0</v>
      </c>
      <c r="J13" s="210">
        <f t="shared" si="4"/>
        <v>0</v>
      </c>
      <c r="K13" s="210">
        <f t="shared" si="5"/>
        <v>0</v>
      </c>
      <c r="L13" s="209">
        <f t="shared" si="6"/>
        <v>0</v>
      </c>
      <c r="M13" s="209">
        <f t="shared" si="7"/>
        <v>0</v>
      </c>
      <c r="N13" s="209">
        <f t="shared" si="8"/>
        <v>0</v>
      </c>
      <c r="O13" s="209">
        <f t="shared" si="9"/>
        <v>0</v>
      </c>
      <c r="P13" s="209">
        <f t="shared" si="10"/>
        <v>0</v>
      </c>
      <c r="Q13" s="209">
        <f t="shared" si="11"/>
        <v>0</v>
      </c>
      <c r="R13" s="209">
        <f t="shared" si="12"/>
        <v>0</v>
      </c>
      <c r="S13" s="210">
        <f t="shared" si="13"/>
        <v>0</v>
      </c>
      <c r="T13" s="210">
        <f t="shared" si="14"/>
        <v>0</v>
      </c>
      <c r="U13" s="211">
        <f t="shared" si="15"/>
        <v>0</v>
      </c>
      <c r="Z13" s="433">
        <v>1</v>
      </c>
      <c r="AA13" s="433" t="s">
        <v>4991</v>
      </c>
      <c r="AB13" s="433" t="s">
        <v>1719</v>
      </c>
      <c r="AC13" s="434" t="s">
        <v>4893</v>
      </c>
      <c r="AD13" s="371">
        <v>204.7</v>
      </c>
      <c r="AE13" s="371">
        <v>208.3</v>
      </c>
      <c r="AF13" s="371">
        <f t="shared" si="16"/>
        <v>3.6000000000000227</v>
      </c>
      <c r="AG13" s="371" t="s">
        <v>4882</v>
      </c>
      <c r="AH13" s="371" t="s">
        <v>5017</v>
      </c>
      <c r="AI13" s="435"/>
      <c r="AJ13" s="435">
        <v>2.2999999999999998</v>
      </c>
      <c r="AK13" s="435"/>
      <c r="AL13" s="435"/>
      <c r="AM13" s="435"/>
      <c r="AN13" s="435"/>
      <c r="AO13" s="435"/>
      <c r="AP13" s="435"/>
      <c r="AQ13" s="435"/>
      <c r="AR13" s="435"/>
    </row>
    <row r="14" spans="1:44" x14ac:dyDescent="0.2">
      <c r="A14" s="148" t="s">
        <v>2497</v>
      </c>
      <c r="B14" s="428" t="s">
        <v>2497</v>
      </c>
      <c r="C14" s="149"/>
      <c r="D14" s="149"/>
      <c r="E14" s="212"/>
      <c r="F14" s="213">
        <f t="shared" ref="F14:O14" si="17">SUM(F2:F13)</f>
        <v>443.24000000000007</v>
      </c>
      <c r="G14" s="213">
        <f t="shared" si="17"/>
        <v>1138.32</v>
      </c>
      <c r="H14" s="213">
        <f t="shared" si="17"/>
        <v>44.4</v>
      </c>
      <c r="I14" s="210">
        <f>SUM(I2:I13)</f>
        <v>1562.76</v>
      </c>
      <c r="J14" s="210">
        <f>SUM(J2:J13)</f>
        <v>1518.36</v>
      </c>
      <c r="K14" s="210">
        <f>SUM(K2:K13)</f>
        <v>63.20000000000001</v>
      </c>
      <c r="L14" s="213">
        <f t="shared" si="17"/>
        <v>0</v>
      </c>
      <c r="M14" s="213">
        <f t="shared" si="17"/>
        <v>39.450000000000003</v>
      </c>
      <c r="N14" s="213">
        <f t="shared" si="17"/>
        <v>50.139999999999993</v>
      </c>
      <c r="O14" s="213">
        <f t="shared" si="17"/>
        <v>52.540000000000028</v>
      </c>
      <c r="P14" s="213">
        <f t="shared" ref="P14:R14" si="18">SUM(P2:P13)</f>
        <v>102.21000000000002</v>
      </c>
      <c r="Q14" s="213">
        <f t="shared" si="18"/>
        <v>399.44000000000005</v>
      </c>
      <c r="R14" s="213">
        <f t="shared" si="18"/>
        <v>1118.9199999999998</v>
      </c>
      <c r="S14" s="210">
        <f>SUM(S2:S13)</f>
        <v>4149.7800000000007</v>
      </c>
      <c r="T14" s="210">
        <f>SUM(T2:T13)</f>
        <v>4060.9800000000005</v>
      </c>
      <c r="U14" s="211">
        <f>SUM(U2:U13)</f>
        <v>7097.7000000000007</v>
      </c>
      <c r="Z14" s="433">
        <v>1</v>
      </c>
      <c r="AA14" s="433" t="s">
        <v>4991</v>
      </c>
      <c r="AB14" s="433" t="s">
        <v>1719</v>
      </c>
      <c r="AC14" s="434" t="s">
        <v>4894</v>
      </c>
      <c r="AD14" s="371">
        <v>208.3</v>
      </c>
      <c r="AE14" s="371">
        <v>221.8</v>
      </c>
      <c r="AF14" s="371">
        <f t="shared" si="16"/>
        <v>13.5</v>
      </c>
      <c r="AG14" s="371" t="s">
        <v>4882</v>
      </c>
      <c r="AH14" s="371" t="s">
        <v>5017</v>
      </c>
      <c r="AI14" s="435"/>
      <c r="AJ14" s="435">
        <f>3.2+10.5</f>
        <v>13.7</v>
      </c>
      <c r="AK14" s="435"/>
      <c r="AL14" s="435"/>
      <c r="AM14" s="435"/>
      <c r="AN14" s="435"/>
      <c r="AO14" s="435">
        <f>3.2</f>
        <v>3.2</v>
      </c>
      <c r="AP14" s="435"/>
      <c r="AQ14" s="435"/>
      <c r="AR14" s="435"/>
    </row>
    <row r="15" spans="1:44" customFormat="1" ht="13.5" thickBot="1" x14ac:dyDescent="0.25">
      <c r="A15" s="108"/>
      <c r="J15" s="219"/>
      <c r="K15" s="219"/>
      <c r="P15" s="108"/>
      <c r="Q15" s="108"/>
      <c r="R15" s="108"/>
      <c r="Z15" s="433">
        <v>1</v>
      </c>
      <c r="AA15" s="433" t="s">
        <v>4991</v>
      </c>
      <c r="AB15" s="433" t="s">
        <v>1719</v>
      </c>
      <c r="AC15" s="434" t="s">
        <v>4895</v>
      </c>
      <c r="AD15" s="371">
        <v>221.8</v>
      </c>
      <c r="AE15" s="371">
        <v>238.2</v>
      </c>
      <c r="AF15" s="371">
        <f t="shared" si="16"/>
        <v>16.399999999999977</v>
      </c>
      <c r="AG15" s="371" t="s">
        <v>4882</v>
      </c>
      <c r="AH15" s="371" t="s">
        <v>5017</v>
      </c>
      <c r="AI15" s="437"/>
      <c r="AJ15" s="435">
        <f>3.4+1.9+11.2</f>
        <v>16.5</v>
      </c>
      <c r="AK15" s="437"/>
      <c r="AL15" s="437"/>
      <c r="AM15" s="437"/>
      <c r="AN15" s="437"/>
      <c r="AO15" s="435">
        <f>1.9</f>
        <v>1.9</v>
      </c>
      <c r="AP15" s="437"/>
      <c r="AQ15" s="437"/>
      <c r="AR15" s="437"/>
    </row>
    <row r="16" spans="1:44" x14ac:dyDescent="0.2">
      <c r="C16" s="119">
        <v>1</v>
      </c>
      <c r="D16" s="220" t="s">
        <v>1719</v>
      </c>
      <c r="E16" s="123">
        <f>SUMIFS($J$2:$J$13,$C$2:$C$13,$C16,$D$2:$D$13,$D16)</f>
        <v>194.70000000000002</v>
      </c>
      <c r="F16" s="120">
        <f>ROUND((E16*22/$J$14),0)</f>
        <v>3</v>
      </c>
      <c r="Z16" s="433">
        <v>1</v>
      </c>
      <c r="AA16" s="433" t="s">
        <v>4991</v>
      </c>
      <c r="AB16" s="433" t="s">
        <v>1719</v>
      </c>
      <c r="AC16" s="434" t="s">
        <v>4896</v>
      </c>
      <c r="AD16" s="371">
        <v>238.2</v>
      </c>
      <c r="AE16" s="371">
        <v>242.7</v>
      </c>
      <c r="AF16" s="371">
        <f t="shared" si="16"/>
        <v>4.5</v>
      </c>
      <c r="AG16" s="371" t="s">
        <v>4882</v>
      </c>
      <c r="AH16" s="371" t="s">
        <v>5017</v>
      </c>
      <c r="AI16" s="435"/>
      <c r="AJ16" s="435">
        <v>4.5</v>
      </c>
      <c r="AK16" s="435"/>
      <c r="AL16" s="435"/>
      <c r="AM16" s="435"/>
      <c r="AN16" s="435"/>
      <c r="AO16" s="435"/>
      <c r="AP16" s="435"/>
      <c r="AQ16" s="435"/>
      <c r="AR16" s="435"/>
    </row>
    <row r="17" spans="3:44" x14ac:dyDescent="0.2">
      <c r="C17" s="438">
        <v>2</v>
      </c>
      <c r="D17" s="439" t="s">
        <v>4903</v>
      </c>
      <c r="E17" s="440">
        <f>SUMIFS($J$2:$J$13,$C$2:$C$13,$C17,$D$2:$D$13,$D17)</f>
        <v>1323.6599999999999</v>
      </c>
      <c r="F17" s="441">
        <f>ROUND((E17*22/$J$14),0)</f>
        <v>19</v>
      </c>
      <c r="Z17" s="433">
        <v>1</v>
      </c>
      <c r="AA17" s="433" t="s">
        <v>4991</v>
      </c>
      <c r="AB17" s="433" t="s">
        <v>1719</v>
      </c>
      <c r="AC17" s="434" t="s">
        <v>4897</v>
      </c>
      <c r="AD17" s="371">
        <v>242.7</v>
      </c>
      <c r="AE17" s="371">
        <v>259.7</v>
      </c>
      <c r="AF17" s="371">
        <f t="shared" si="16"/>
        <v>17</v>
      </c>
      <c r="AG17" s="371" t="s">
        <v>4882</v>
      </c>
      <c r="AH17" s="371" t="s">
        <v>5017</v>
      </c>
      <c r="AI17" s="435"/>
      <c r="AJ17" s="435">
        <f>3.1+8.7+5.2</f>
        <v>17</v>
      </c>
      <c r="AK17" s="435"/>
      <c r="AL17" s="435"/>
      <c r="AM17" s="435"/>
      <c r="AN17" s="435"/>
      <c r="AO17" s="435">
        <f>3.1+5.2</f>
        <v>8.3000000000000007</v>
      </c>
      <c r="AP17" s="435"/>
      <c r="AQ17" s="435"/>
      <c r="AR17" s="435"/>
    </row>
    <row r="18" spans="3:44" ht="13.5" thickBot="1" x14ac:dyDescent="0.25">
      <c r="C18" s="121">
        <v>2</v>
      </c>
      <c r="D18" s="442" t="s">
        <v>5040</v>
      </c>
      <c r="E18" s="124">
        <f>SUMIFS($J$2:$J$13,$C$2:$C$13,$C18,$D$2:$D$13,$D18)</f>
        <v>0</v>
      </c>
      <c r="F18" s="122">
        <f>ROUND((E18*22/SUMIFS($J$2:$J$13,$C$2:$C$13,$C18)),0)</f>
        <v>0</v>
      </c>
      <c r="Z18" s="433">
        <v>1</v>
      </c>
      <c r="AA18" s="433" t="s">
        <v>4991</v>
      </c>
      <c r="AB18" s="433" t="s">
        <v>1719</v>
      </c>
      <c r="AC18" s="434" t="s">
        <v>4898</v>
      </c>
      <c r="AD18" s="371">
        <v>259.7</v>
      </c>
      <c r="AE18" s="371">
        <v>272.3</v>
      </c>
      <c r="AF18" s="371">
        <f t="shared" si="16"/>
        <v>12.600000000000023</v>
      </c>
      <c r="AG18" s="371" t="s">
        <v>4882</v>
      </c>
      <c r="AH18" s="371" t="s">
        <v>5017</v>
      </c>
      <c r="AI18" s="435">
        <f>0.4</f>
        <v>0.4</v>
      </c>
      <c r="AJ18" s="435">
        <f>1.1+0.3+0.45+9.8+0.55</f>
        <v>12.200000000000001</v>
      </c>
      <c r="AK18" s="435"/>
      <c r="AL18" s="435"/>
      <c r="AM18" s="435"/>
      <c r="AN18" s="435"/>
      <c r="AO18" s="435">
        <f>0.3+0.45+0.55</f>
        <v>1.3</v>
      </c>
      <c r="AP18" s="435"/>
      <c r="AQ18" s="435"/>
      <c r="AR18" s="435"/>
    </row>
    <row r="19" spans="3:44" x14ac:dyDescent="0.2">
      <c r="Z19" s="433">
        <v>1</v>
      </c>
      <c r="AA19" s="433" t="s">
        <v>4991</v>
      </c>
      <c r="AB19" s="433" t="s">
        <v>1719</v>
      </c>
      <c r="AC19" s="434" t="s">
        <v>5014</v>
      </c>
      <c r="AD19" s="371">
        <v>272.3</v>
      </c>
      <c r="AE19" s="371">
        <v>282.89999999999998</v>
      </c>
      <c r="AF19" s="371">
        <f t="shared" ref="AF19" si="19">ABS(AE19-AD19)</f>
        <v>10.599999999999966</v>
      </c>
      <c r="AG19" s="371" t="s">
        <v>4882</v>
      </c>
      <c r="AH19" s="371" t="s">
        <v>5017</v>
      </c>
      <c r="AI19" s="435"/>
      <c r="AJ19" s="435">
        <f>9+0.75+5.5</f>
        <v>15.25</v>
      </c>
      <c r="AK19" s="435"/>
      <c r="AL19" s="435"/>
      <c r="AM19" s="435"/>
      <c r="AN19" s="435"/>
      <c r="AO19" s="435">
        <f>0.75</f>
        <v>0.75</v>
      </c>
      <c r="AP19" s="435"/>
      <c r="AQ19" s="435"/>
      <c r="AR19" s="435"/>
    </row>
    <row r="20" spans="3:44" x14ac:dyDescent="0.2">
      <c r="Z20" s="429">
        <v>1</v>
      </c>
      <c r="AA20" s="429" t="s">
        <v>4991</v>
      </c>
      <c r="AB20" s="429" t="s">
        <v>1719</v>
      </c>
      <c r="AC20" s="430" t="s">
        <v>5015</v>
      </c>
      <c r="AD20" s="431">
        <v>282.89999999999998</v>
      </c>
      <c r="AE20" s="431">
        <v>288.60000000000002</v>
      </c>
      <c r="AF20" s="431">
        <f t="shared" si="16"/>
        <v>5.7000000000000455</v>
      </c>
      <c r="AG20" s="431" t="s">
        <v>4882</v>
      </c>
      <c r="AH20" s="431" t="s">
        <v>5018</v>
      </c>
      <c r="AI20" s="432"/>
      <c r="AJ20" s="432">
        <f>2.5+1</f>
        <v>3.5</v>
      </c>
      <c r="AK20" s="432"/>
      <c r="AL20" s="432"/>
      <c r="AM20" s="432"/>
      <c r="AN20" s="432"/>
      <c r="AO20" s="432">
        <f>2.5</f>
        <v>2.5</v>
      </c>
      <c r="AP20" s="432"/>
      <c r="AQ20" s="432"/>
      <c r="AR20" s="432"/>
    </row>
    <row r="21" spans="3:44" x14ac:dyDescent="0.2">
      <c r="Z21" s="429">
        <v>1</v>
      </c>
      <c r="AA21" s="429" t="s">
        <v>4991</v>
      </c>
      <c r="AB21" s="429" t="s">
        <v>1719</v>
      </c>
      <c r="AC21" s="430" t="s">
        <v>4899</v>
      </c>
      <c r="AD21" s="431">
        <v>288.60000000000002</v>
      </c>
      <c r="AE21" s="431">
        <v>290.2</v>
      </c>
      <c r="AF21" s="431">
        <f t="shared" si="16"/>
        <v>1.5999999999999659</v>
      </c>
      <c r="AG21" s="431" t="s">
        <v>4882</v>
      </c>
      <c r="AH21" s="431" t="s">
        <v>5018</v>
      </c>
      <c r="AI21" s="432">
        <f>1+0.45</f>
        <v>1.45</v>
      </c>
      <c r="AJ21" s="432"/>
      <c r="AK21" s="432"/>
      <c r="AL21" s="432"/>
      <c r="AM21" s="432"/>
      <c r="AN21" s="432">
        <v>1</v>
      </c>
      <c r="AO21" s="432"/>
      <c r="AP21" s="432"/>
      <c r="AQ21" s="432"/>
      <c r="AR21" s="432"/>
    </row>
    <row r="22" spans="3:44" x14ac:dyDescent="0.2">
      <c r="Z22" s="429">
        <v>1</v>
      </c>
      <c r="AA22" s="429" t="s">
        <v>4991</v>
      </c>
      <c r="AB22" s="429" t="s">
        <v>1719</v>
      </c>
      <c r="AC22" s="430" t="s">
        <v>4900</v>
      </c>
      <c r="AD22" s="431">
        <v>290.2</v>
      </c>
      <c r="AE22" s="431">
        <v>291.10000000000002</v>
      </c>
      <c r="AF22" s="431">
        <f t="shared" si="16"/>
        <v>0.90000000000003411</v>
      </c>
      <c r="AG22" s="431" t="s">
        <v>4882</v>
      </c>
      <c r="AH22" s="431" t="s">
        <v>5018</v>
      </c>
      <c r="AI22" s="432">
        <f>0.65</f>
        <v>0.65</v>
      </c>
      <c r="AJ22" s="432"/>
      <c r="AK22" s="432"/>
      <c r="AL22" s="432"/>
      <c r="AM22" s="432"/>
      <c r="AN22" s="432"/>
      <c r="AO22" s="432"/>
      <c r="AP22" s="432"/>
      <c r="AQ22" s="432"/>
      <c r="AR22" s="432"/>
    </row>
    <row r="23" spans="3:44" x14ac:dyDescent="0.2">
      <c r="Z23" s="429">
        <v>1</v>
      </c>
      <c r="AA23" s="429" t="s">
        <v>4991</v>
      </c>
      <c r="AB23" s="429" t="s">
        <v>1719</v>
      </c>
      <c r="AC23" s="430" t="s">
        <v>4901</v>
      </c>
      <c r="AD23" s="431">
        <v>291.10000000000002</v>
      </c>
      <c r="AE23" s="431">
        <v>294.5</v>
      </c>
      <c r="AF23" s="431">
        <f t="shared" si="16"/>
        <v>3.3999999999999773</v>
      </c>
      <c r="AG23" s="431" t="s">
        <v>4888</v>
      </c>
      <c r="AH23" s="431" t="s">
        <v>5018</v>
      </c>
      <c r="AI23" s="432">
        <f>0.1+0.55+2.7</f>
        <v>3.35</v>
      </c>
      <c r="AJ23" s="432"/>
      <c r="AK23" s="432"/>
      <c r="AL23" s="432"/>
      <c r="AM23" s="432"/>
      <c r="AN23" s="432">
        <v>0.55000000000000004</v>
      </c>
      <c r="AO23" s="432"/>
      <c r="AP23" s="432"/>
      <c r="AQ23" s="432"/>
      <c r="AR23" s="432"/>
    </row>
    <row r="24" spans="3:44" x14ac:dyDescent="0.2">
      <c r="Z24" s="429">
        <v>1</v>
      </c>
      <c r="AA24" s="429" t="s">
        <v>4991</v>
      </c>
      <c r="AB24" s="429" t="s">
        <v>1719</v>
      </c>
      <c r="AC24" s="430" t="s">
        <v>4902</v>
      </c>
      <c r="AD24" s="431">
        <v>294.5</v>
      </c>
      <c r="AE24" s="431">
        <v>298.2</v>
      </c>
      <c r="AF24" s="431">
        <f t="shared" si="16"/>
        <v>3.6999999999999886</v>
      </c>
      <c r="AG24" s="431" t="s">
        <v>4882</v>
      </c>
      <c r="AH24" s="431" t="s">
        <v>5018</v>
      </c>
      <c r="AI24" s="432">
        <v>0.15</v>
      </c>
      <c r="AJ24" s="432">
        <f>1.2+0.55+1.3+0.45</f>
        <v>3.5</v>
      </c>
      <c r="AK24" s="432"/>
      <c r="AL24" s="432"/>
      <c r="AM24" s="432"/>
      <c r="AN24" s="432"/>
      <c r="AO24" s="432">
        <f>0.55+1.3</f>
        <v>1.85</v>
      </c>
      <c r="AP24" s="432"/>
      <c r="AQ24" s="432"/>
      <c r="AR24" s="432"/>
    </row>
    <row r="25" spans="3:44" x14ac:dyDescent="0.2">
      <c r="S25" s="35"/>
      <c r="Z25" s="369">
        <v>2</v>
      </c>
      <c r="AA25" s="369" t="s">
        <v>4992</v>
      </c>
      <c r="AB25" s="369" t="s">
        <v>4903</v>
      </c>
      <c r="AC25" s="369" t="s">
        <v>4904</v>
      </c>
      <c r="AD25" s="371">
        <v>0</v>
      </c>
      <c r="AE25" s="371">
        <v>14</v>
      </c>
      <c r="AF25" s="371">
        <f t="shared" si="16"/>
        <v>14</v>
      </c>
      <c r="AG25" s="371" t="s">
        <v>4888</v>
      </c>
      <c r="AH25" s="371" t="s">
        <v>5017</v>
      </c>
      <c r="AI25" s="372">
        <v>14</v>
      </c>
      <c r="AJ25" s="372"/>
      <c r="AK25" s="372"/>
      <c r="AL25" s="372"/>
      <c r="AM25" s="372"/>
      <c r="AN25" s="372"/>
      <c r="AO25" s="372"/>
      <c r="AP25" s="372"/>
      <c r="AQ25" s="372"/>
      <c r="AR25" s="372"/>
    </row>
    <row r="26" spans="3:44" x14ac:dyDescent="0.2">
      <c r="Z26" s="369">
        <v>2</v>
      </c>
      <c r="AA26" s="369" t="s">
        <v>4992</v>
      </c>
      <c r="AB26" s="369" t="s">
        <v>4903</v>
      </c>
      <c r="AC26" s="370" t="s">
        <v>4905</v>
      </c>
      <c r="AD26" s="371">
        <v>14</v>
      </c>
      <c r="AE26" s="371">
        <v>48</v>
      </c>
      <c r="AF26" s="371">
        <f t="shared" si="16"/>
        <v>34</v>
      </c>
      <c r="AG26" s="371" t="s">
        <v>4888</v>
      </c>
      <c r="AH26" s="371" t="s">
        <v>5017</v>
      </c>
      <c r="AI26" s="372">
        <v>34</v>
      </c>
      <c r="AJ26" s="372"/>
      <c r="AK26" s="372"/>
      <c r="AL26" s="372"/>
      <c r="AM26" s="372"/>
      <c r="AN26" s="372"/>
      <c r="AO26" s="372"/>
      <c r="AP26" s="372"/>
      <c r="AQ26" s="372"/>
      <c r="AR26" s="372"/>
    </row>
    <row r="27" spans="3:44" x14ac:dyDescent="0.2">
      <c r="Z27" s="369">
        <v>2</v>
      </c>
      <c r="AA27" s="369" t="s">
        <v>4992</v>
      </c>
      <c r="AB27" s="369" t="s">
        <v>4903</v>
      </c>
      <c r="AC27" s="370" t="s">
        <v>4906</v>
      </c>
      <c r="AD27" s="371">
        <v>48</v>
      </c>
      <c r="AE27" s="371">
        <v>77.3</v>
      </c>
      <c r="AF27" s="371">
        <f t="shared" si="16"/>
        <v>29.299999999999997</v>
      </c>
      <c r="AG27" s="371" t="s">
        <v>4888</v>
      </c>
      <c r="AH27" s="371" t="s">
        <v>5017</v>
      </c>
      <c r="AI27" s="435">
        <v>29.299999999999997</v>
      </c>
      <c r="AJ27" s="435"/>
      <c r="AK27" s="435"/>
      <c r="AL27" s="435"/>
      <c r="AM27" s="435"/>
      <c r="AN27" s="435"/>
      <c r="AO27" s="435"/>
      <c r="AP27" s="435"/>
      <c r="AQ27" s="435"/>
      <c r="AR27" s="435"/>
    </row>
    <row r="28" spans="3:44" x14ac:dyDescent="0.2">
      <c r="Z28" s="369">
        <v>2</v>
      </c>
      <c r="AA28" s="369" t="s">
        <v>4992</v>
      </c>
      <c r="AB28" s="369" t="s">
        <v>4903</v>
      </c>
      <c r="AC28" s="370" t="s">
        <v>4907</v>
      </c>
      <c r="AD28" s="371">
        <v>77.3</v>
      </c>
      <c r="AE28" s="371">
        <v>102.9</v>
      </c>
      <c r="AF28" s="371">
        <f t="shared" si="16"/>
        <v>25.600000000000009</v>
      </c>
      <c r="AG28" s="371" t="s">
        <v>4888</v>
      </c>
      <c r="AH28" s="371" t="s">
        <v>5017</v>
      </c>
      <c r="AI28" s="435">
        <v>25.600000000000009</v>
      </c>
      <c r="AJ28" s="435"/>
      <c r="AK28" s="435"/>
      <c r="AL28" s="435"/>
      <c r="AM28" s="435"/>
      <c r="AN28" s="435"/>
      <c r="AO28" s="435"/>
      <c r="AP28" s="435"/>
      <c r="AQ28" s="435"/>
      <c r="AR28" s="435"/>
    </row>
    <row r="29" spans="3:44" x14ac:dyDescent="0.2">
      <c r="Z29" s="369">
        <v>2</v>
      </c>
      <c r="AA29" s="369" t="s">
        <v>4992</v>
      </c>
      <c r="AB29" s="369" t="s">
        <v>4903</v>
      </c>
      <c r="AC29" s="370" t="s">
        <v>4908</v>
      </c>
      <c r="AD29" s="371">
        <v>102.9</v>
      </c>
      <c r="AE29" s="371">
        <v>118.5</v>
      </c>
      <c r="AF29" s="371">
        <f t="shared" si="16"/>
        <v>15.599999999999994</v>
      </c>
      <c r="AG29" s="371" t="s">
        <v>4888</v>
      </c>
      <c r="AH29" s="371" t="s">
        <v>5017</v>
      </c>
      <c r="AI29" s="435">
        <v>15.599999999999994</v>
      </c>
      <c r="AJ29" s="435"/>
      <c r="AK29" s="435"/>
      <c r="AL29" s="435"/>
      <c r="AM29" s="435"/>
      <c r="AN29" s="435"/>
      <c r="AO29" s="435"/>
      <c r="AP29" s="435"/>
      <c r="AQ29" s="435"/>
      <c r="AR29" s="435"/>
    </row>
    <row r="30" spans="3:44" x14ac:dyDescent="0.2">
      <c r="Z30" s="369">
        <v>2</v>
      </c>
      <c r="AA30" s="369" t="s">
        <v>4992</v>
      </c>
      <c r="AB30" s="369" t="s">
        <v>4903</v>
      </c>
      <c r="AC30" s="370" t="s">
        <v>4909</v>
      </c>
      <c r="AD30" s="371">
        <v>118.5</v>
      </c>
      <c r="AE30" s="371">
        <v>120.7</v>
      </c>
      <c r="AF30" s="371">
        <f t="shared" si="16"/>
        <v>2.2000000000000028</v>
      </c>
      <c r="AG30" s="371" t="s">
        <v>4882</v>
      </c>
      <c r="AH30" s="371" t="s">
        <v>5017</v>
      </c>
      <c r="AI30" s="435">
        <v>2.2000000000000028</v>
      </c>
      <c r="AJ30" s="435"/>
      <c r="AK30" s="435"/>
      <c r="AL30" s="435"/>
      <c r="AM30" s="435"/>
      <c r="AN30" s="435"/>
      <c r="AO30" s="435"/>
      <c r="AP30" s="435">
        <v>1.9</v>
      </c>
      <c r="AQ30" s="435"/>
      <c r="AR30" s="435"/>
    </row>
    <row r="31" spans="3:44" x14ac:dyDescent="0.2">
      <c r="Z31" s="369">
        <v>2</v>
      </c>
      <c r="AA31" s="369" t="s">
        <v>4992</v>
      </c>
      <c r="AB31" s="369" t="s">
        <v>4903</v>
      </c>
      <c r="AC31" s="370" t="s">
        <v>4910</v>
      </c>
      <c r="AD31" s="371">
        <v>120.7</v>
      </c>
      <c r="AE31" s="371">
        <v>123.1</v>
      </c>
      <c r="AF31" s="371">
        <f t="shared" si="16"/>
        <v>2.3999999999999915</v>
      </c>
      <c r="AG31" s="371" t="s">
        <v>4888</v>
      </c>
      <c r="AH31" s="371" t="s">
        <v>5017</v>
      </c>
      <c r="AI31" s="435">
        <v>2.3999999999999915</v>
      </c>
      <c r="AJ31" s="435"/>
      <c r="AK31" s="435"/>
      <c r="AL31" s="435"/>
      <c r="AM31" s="435"/>
      <c r="AN31" s="435"/>
      <c r="AO31" s="435"/>
      <c r="AP31" s="435">
        <v>0.4</v>
      </c>
      <c r="AQ31" s="435"/>
      <c r="AR31" s="435"/>
    </row>
    <row r="32" spans="3:44" x14ac:dyDescent="0.2">
      <c r="Z32" s="369">
        <v>2</v>
      </c>
      <c r="AA32" s="369" t="s">
        <v>4992</v>
      </c>
      <c r="AB32" s="369" t="s">
        <v>4903</v>
      </c>
      <c r="AC32" s="370" t="s">
        <v>4911</v>
      </c>
      <c r="AD32" s="371">
        <v>123.1</v>
      </c>
      <c r="AE32" s="371">
        <v>126</v>
      </c>
      <c r="AF32" s="371">
        <f t="shared" si="16"/>
        <v>2.9000000000000057</v>
      </c>
      <c r="AG32" s="371" t="s">
        <v>4888</v>
      </c>
      <c r="AH32" s="371" t="s">
        <v>5017</v>
      </c>
      <c r="AI32" s="435">
        <v>2.9000000000000057</v>
      </c>
      <c r="AJ32" s="435"/>
      <c r="AK32" s="435"/>
      <c r="AL32" s="435"/>
      <c r="AM32" s="435"/>
      <c r="AN32" s="435"/>
      <c r="AO32" s="435"/>
      <c r="AP32" s="435">
        <v>2.9</v>
      </c>
      <c r="AQ32" s="435"/>
      <c r="AR32" s="435"/>
    </row>
    <row r="33" spans="26:44" x14ac:dyDescent="0.2">
      <c r="Z33" s="369">
        <v>2</v>
      </c>
      <c r="AA33" s="369" t="s">
        <v>4992</v>
      </c>
      <c r="AB33" s="369" t="s">
        <v>4903</v>
      </c>
      <c r="AC33" s="370" t="s">
        <v>4912</v>
      </c>
      <c r="AD33" s="371">
        <v>126</v>
      </c>
      <c r="AE33" s="371">
        <v>128.9</v>
      </c>
      <c r="AF33" s="371">
        <f t="shared" si="16"/>
        <v>2.9000000000000057</v>
      </c>
      <c r="AG33" s="371" t="s">
        <v>4882</v>
      </c>
      <c r="AH33" s="371" t="s">
        <v>5017</v>
      </c>
      <c r="AI33" s="435">
        <v>4</v>
      </c>
      <c r="AJ33" s="435"/>
      <c r="AK33" s="435"/>
      <c r="AL33" s="435"/>
      <c r="AM33" s="435"/>
      <c r="AN33" s="435"/>
      <c r="AO33" s="435"/>
      <c r="AP33" s="435"/>
      <c r="AQ33" s="435"/>
      <c r="AR33" s="435"/>
    </row>
    <row r="34" spans="26:44" x14ac:dyDescent="0.2">
      <c r="Z34" s="369">
        <v>2</v>
      </c>
      <c r="AA34" s="369" t="s">
        <v>4992</v>
      </c>
      <c r="AB34" s="369" t="s">
        <v>4903</v>
      </c>
      <c r="AC34" s="370" t="s">
        <v>4913</v>
      </c>
      <c r="AD34" s="371">
        <v>128.9</v>
      </c>
      <c r="AE34" s="371">
        <v>135</v>
      </c>
      <c r="AF34" s="371">
        <f t="shared" si="16"/>
        <v>6.0999999999999943</v>
      </c>
      <c r="AG34" s="371" t="s">
        <v>4882</v>
      </c>
      <c r="AH34" s="371" t="s">
        <v>5017</v>
      </c>
      <c r="AI34" s="435">
        <v>6</v>
      </c>
      <c r="AJ34" s="435"/>
      <c r="AK34" s="435"/>
      <c r="AL34" s="435"/>
      <c r="AM34" s="435"/>
      <c r="AN34" s="435"/>
      <c r="AO34" s="435"/>
      <c r="AP34" s="435"/>
      <c r="AQ34" s="435"/>
      <c r="AR34" s="435"/>
    </row>
    <row r="35" spans="26:44" x14ac:dyDescent="0.2">
      <c r="Z35" s="369">
        <v>2</v>
      </c>
      <c r="AA35" s="369" t="s">
        <v>4992</v>
      </c>
      <c r="AB35" s="369" t="s">
        <v>4903</v>
      </c>
      <c r="AC35" s="370" t="s">
        <v>4914</v>
      </c>
      <c r="AD35" s="371">
        <v>135</v>
      </c>
      <c r="AE35" s="371">
        <v>157.80000000000001</v>
      </c>
      <c r="AF35" s="371">
        <f t="shared" si="16"/>
        <v>22.800000000000011</v>
      </c>
      <c r="AG35" s="371" t="s">
        <v>4882</v>
      </c>
      <c r="AH35" s="371" t="s">
        <v>5017</v>
      </c>
      <c r="AI35" s="435">
        <v>22.6</v>
      </c>
      <c r="AJ35" s="435"/>
      <c r="AK35" s="435"/>
      <c r="AL35" s="435"/>
      <c r="AM35" s="435"/>
      <c r="AN35" s="435"/>
      <c r="AO35" s="435"/>
      <c r="AP35" s="435">
        <v>2</v>
      </c>
      <c r="AQ35" s="435"/>
      <c r="AR35" s="435"/>
    </row>
    <row r="36" spans="26:44" x14ac:dyDescent="0.2">
      <c r="Z36" s="369">
        <v>2</v>
      </c>
      <c r="AA36" s="369" t="s">
        <v>4992</v>
      </c>
      <c r="AB36" s="369" t="s">
        <v>4903</v>
      </c>
      <c r="AC36" s="370" t="s">
        <v>4915</v>
      </c>
      <c r="AD36" s="371">
        <v>157.80000000000001</v>
      </c>
      <c r="AE36" s="371">
        <v>159.80000000000001</v>
      </c>
      <c r="AF36" s="371">
        <f t="shared" si="16"/>
        <v>2</v>
      </c>
      <c r="AG36" s="371" t="s">
        <v>4882</v>
      </c>
      <c r="AH36" s="371" t="s">
        <v>5017</v>
      </c>
      <c r="AI36" s="435">
        <v>2</v>
      </c>
      <c r="AJ36" s="435"/>
      <c r="AK36" s="435"/>
      <c r="AL36" s="435"/>
      <c r="AM36" s="435"/>
      <c r="AN36" s="435"/>
      <c r="AO36" s="435"/>
      <c r="AP36" s="435"/>
      <c r="AQ36" s="435"/>
      <c r="AR36" s="435"/>
    </row>
    <row r="37" spans="26:44" x14ac:dyDescent="0.2">
      <c r="Z37" s="369">
        <v>2</v>
      </c>
      <c r="AA37" s="369" t="s">
        <v>4992</v>
      </c>
      <c r="AB37" s="369" t="s">
        <v>4903</v>
      </c>
      <c r="AC37" s="370" t="s">
        <v>5020</v>
      </c>
      <c r="AD37" s="371">
        <v>159.80000000000001</v>
      </c>
      <c r="AE37" s="371">
        <v>160.9</v>
      </c>
      <c r="AF37" s="371">
        <f t="shared" si="16"/>
        <v>1.0999999999999943</v>
      </c>
      <c r="AG37" s="371" t="s">
        <v>4882</v>
      </c>
      <c r="AH37" s="371" t="s">
        <v>5017</v>
      </c>
      <c r="AI37" s="435">
        <v>1.1000000000000001</v>
      </c>
      <c r="AJ37" s="435"/>
      <c r="AK37" s="435"/>
      <c r="AL37" s="435"/>
      <c r="AM37" s="435"/>
      <c r="AN37" s="435"/>
      <c r="AO37" s="435"/>
      <c r="AP37" s="435"/>
      <c r="AQ37" s="435"/>
      <c r="AR37" s="435"/>
    </row>
    <row r="38" spans="26:44" x14ac:dyDescent="0.2">
      <c r="Z38" s="429">
        <v>2</v>
      </c>
      <c r="AA38" s="429" t="s">
        <v>4992</v>
      </c>
      <c r="AB38" s="429" t="s">
        <v>4903</v>
      </c>
      <c r="AC38" s="430" t="s">
        <v>5021</v>
      </c>
      <c r="AD38" s="431">
        <v>160.9</v>
      </c>
      <c r="AE38" s="431">
        <v>161.80000000000001</v>
      </c>
      <c r="AF38" s="431">
        <f t="shared" ref="AF38" si="20">ABS(AE38-AD38)</f>
        <v>0.90000000000000568</v>
      </c>
      <c r="AG38" s="431" t="s">
        <v>4882</v>
      </c>
      <c r="AH38" s="431" t="s">
        <v>5018</v>
      </c>
      <c r="AI38" s="432"/>
      <c r="AJ38" s="432">
        <v>0.9</v>
      </c>
      <c r="AK38" s="432"/>
      <c r="AL38" s="432"/>
      <c r="AM38" s="432"/>
      <c r="AN38" s="432"/>
      <c r="AO38" s="432"/>
      <c r="AP38" s="432"/>
      <c r="AQ38" s="432"/>
      <c r="AR38" s="432"/>
    </row>
    <row r="39" spans="26:44" x14ac:dyDescent="0.2">
      <c r="Z39" s="429">
        <v>2</v>
      </c>
      <c r="AA39" s="429" t="s">
        <v>4992</v>
      </c>
      <c r="AB39" s="429" t="s">
        <v>4903</v>
      </c>
      <c r="AC39" s="430" t="s">
        <v>5023</v>
      </c>
      <c r="AD39" s="431">
        <v>161.80000000000001</v>
      </c>
      <c r="AE39" s="431">
        <v>162.5</v>
      </c>
      <c r="AF39" s="431">
        <f>ABS(AE39-AD39)</f>
        <v>0.69999999999998863</v>
      </c>
      <c r="AG39" s="431" t="s">
        <v>4882</v>
      </c>
      <c r="AH39" s="431" t="s">
        <v>5018</v>
      </c>
      <c r="AI39" s="432"/>
      <c r="AJ39" s="432">
        <v>0.7</v>
      </c>
      <c r="AK39" s="432"/>
      <c r="AL39" s="432"/>
      <c r="AM39" s="432"/>
      <c r="AN39" s="432"/>
      <c r="AO39" s="432"/>
      <c r="AP39" s="432"/>
      <c r="AQ39" s="432"/>
      <c r="AR39" s="432"/>
    </row>
    <row r="40" spans="26:44" ht="25.5" x14ac:dyDescent="0.2">
      <c r="Z40" s="369">
        <v>2</v>
      </c>
      <c r="AA40" s="369" t="s">
        <v>4992</v>
      </c>
      <c r="AB40" s="369" t="s">
        <v>4903</v>
      </c>
      <c r="AC40" s="370" t="s">
        <v>5022</v>
      </c>
      <c r="AD40" s="371">
        <v>0</v>
      </c>
      <c r="AE40" s="371">
        <v>1.9</v>
      </c>
      <c r="AF40" s="371">
        <f t="shared" ref="AF40" si="21">ABS(AE40-AD40)</f>
        <v>1.9</v>
      </c>
      <c r="AG40" s="371" t="s">
        <v>4882</v>
      </c>
      <c r="AH40" s="371" t="s">
        <v>5017</v>
      </c>
      <c r="AI40" s="435">
        <v>1.9</v>
      </c>
      <c r="AJ40" s="435"/>
      <c r="AK40" s="435"/>
      <c r="AL40" s="435"/>
      <c r="AM40" s="435"/>
      <c r="AN40" s="435"/>
      <c r="AO40" s="435"/>
      <c r="AP40" s="435"/>
      <c r="AQ40" s="435"/>
      <c r="AR40" s="435"/>
    </row>
    <row r="41" spans="26:44" x14ac:dyDescent="0.2">
      <c r="Z41" s="369">
        <v>2</v>
      </c>
      <c r="AA41" s="369" t="s">
        <v>4992</v>
      </c>
      <c r="AB41" s="369" t="s">
        <v>4903</v>
      </c>
      <c r="AC41" s="370" t="s">
        <v>5024</v>
      </c>
      <c r="AD41" s="371">
        <v>162.5</v>
      </c>
      <c r="AE41" s="371">
        <v>174.8</v>
      </c>
      <c r="AF41" s="371">
        <f t="shared" si="16"/>
        <v>12.300000000000011</v>
      </c>
      <c r="AG41" s="371" t="s">
        <v>4882</v>
      </c>
      <c r="AH41" s="371" t="s">
        <v>5017</v>
      </c>
      <c r="AI41" s="435">
        <v>12.3</v>
      </c>
      <c r="AJ41" s="435"/>
      <c r="AK41" s="435"/>
      <c r="AL41" s="435"/>
      <c r="AM41" s="435"/>
      <c r="AN41" s="435"/>
      <c r="AO41" s="435"/>
      <c r="AP41" s="435"/>
      <c r="AQ41" s="435"/>
      <c r="AR41" s="435"/>
    </row>
    <row r="42" spans="26:44" x14ac:dyDescent="0.2">
      <c r="Z42" s="369">
        <v>2</v>
      </c>
      <c r="AA42" s="369" t="s">
        <v>4992</v>
      </c>
      <c r="AB42" s="369" t="s">
        <v>4903</v>
      </c>
      <c r="AC42" s="370" t="s">
        <v>5025</v>
      </c>
      <c r="AD42" s="371">
        <v>174.8</v>
      </c>
      <c r="AE42" s="371">
        <v>177.7</v>
      </c>
      <c r="AF42" s="371">
        <f t="shared" ref="AF42:AF43" si="22">ABS(AE42-AD42)</f>
        <v>2.8999999999999773</v>
      </c>
      <c r="AG42" s="371" t="s">
        <v>4882</v>
      </c>
      <c r="AH42" s="371" t="s">
        <v>5017</v>
      </c>
      <c r="AI42" s="435"/>
      <c r="AJ42" s="435">
        <v>2.6</v>
      </c>
      <c r="AK42" s="435"/>
      <c r="AL42" s="435"/>
      <c r="AM42" s="435"/>
      <c r="AN42" s="435"/>
      <c r="AO42" s="435"/>
      <c r="AP42" s="435"/>
      <c r="AQ42" s="435"/>
      <c r="AR42" s="435"/>
    </row>
    <row r="43" spans="26:44" ht="25.5" x14ac:dyDescent="0.2">
      <c r="Z43" s="369">
        <v>2</v>
      </c>
      <c r="AA43" s="369" t="s">
        <v>4992</v>
      </c>
      <c r="AB43" s="369" t="s">
        <v>4903</v>
      </c>
      <c r="AC43" s="370" t="s">
        <v>5026</v>
      </c>
      <c r="AD43" s="371">
        <v>0</v>
      </c>
      <c r="AE43" s="371">
        <v>7.2</v>
      </c>
      <c r="AF43" s="371">
        <f t="shared" si="22"/>
        <v>7.2</v>
      </c>
      <c r="AG43" s="371" t="s">
        <v>4888</v>
      </c>
      <c r="AH43" s="371" t="s">
        <v>5017</v>
      </c>
      <c r="AI43" s="435">
        <v>7.2</v>
      </c>
      <c r="AJ43" s="435"/>
      <c r="AK43" s="435"/>
      <c r="AL43" s="435"/>
      <c r="AM43" s="435"/>
      <c r="AN43" s="435"/>
      <c r="AO43" s="435"/>
      <c r="AP43" s="435"/>
      <c r="AQ43" s="435"/>
      <c r="AR43" s="435"/>
    </row>
    <row r="44" spans="26:44" x14ac:dyDescent="0.2">
      <c r="Z44" s="429">
        <v>2</v>
      </c>
      <c r="AA44" s="429" t="s">
        <v>4992</v>
      </c>
      <c r="AB44" s="429" t="s">
        <v>4903</v>
      </c>
      <c r="AC44" s="430" t="s">
        <v>4916</v>
      </c>
      <c r="AD44" s="431">
        <v>177.7</v>
      </c>
      <c r="AE44" s="431">
        <v>180.1</v>
      </c>
      <c r="AF44" s="431">
        <f t="shared" si="16"/>
        <v>2.4000000000000057</v>
      </c>
      <c r="AG44" s="431" t="s">
        <v>4882</v>
      </c>
      <c r="AH44" s="431" t="s">
        <v>5018</v>
      </c>
      <c r="AI44" s="432"/>
      <c r="AJ44" s="432">
        <v>2.4</v>
      </c>
      <c r="AK44" s="432"/>
      <c r="AL44" s="432"/>
      <c r="AM44" s="432"/>
      <c r="AN44" s="432"/>
      <c r="AO44" s="432"/>
      <c r="AP44" s="432"/>
      <c r="AQ44" s="432"/>
      <c r="AR44" s="432"/>
    </row>
    <row r="45" spans="26:44" x14ac:dyDescent="0.2">
      <c r="Z45" s="369">
        <v>2</v>
      </c>
      <c r="AA45" s="369" t="s">
        <v>4992</v>
      </c>
      <c r="AB45" s="369" t="s">
        <v>4903</v>
      </c>
      <c r="AC45" s="370" t="s">
        <v>5027</v>
      </c>
      <c r="AD45" s="371">
        <v>180.1</v>
      </c>
      <c r="AE45" s="371">
        <v>181.4</v>
      </c>
      <c r="AF45" s="371">
        <f t="shared" ref="AF45" si="23">ABS(AE45-AD45)</f>
        <v>1.3000000000000114</v>
      </c>
      <c r="AG45" s="371" t="s">
        <v>4882</v>
      </c>
      <c r="AH45" s="371" t="s">
        <v>5017</v>
      </c>
      <c r="AI45" s="435"/>
      <c r="AJ45" s="435">
        <v>1.3</v>
      </c>
      <c r="AK45" s="435"/>
      <c r="AL45" s="435"/>
      <c r="AM45" s="435"/>
      <c r="AN45" s="435"/>
      <c r="AO45" s="435"/>
      <c r="AP45" s="435"/>
      <c r="AQ45" s="435"/>
      <c r="AR45" s="435"/>
    </row>
    <row r="46" spans="26:44" x14ac:dyDescent="0.2">
      <c r="Z46" s="369">
        <v>2</v>
      </c>
      <c r="AA46" s="369" t="s">
        <v>4992</v>
      </c>
      <c r="AB46" s="369" t="s">
        <v>4903</v>
      </c>
      <c r="AC46" s="370" t="s">
        <v>5028</v>
      </c>
      <c r="AD46" s="371">
        <v>181.4</v>
      </c>
      <c r="AE46" s="371">
        <v>182.5</v>
      </c>
      <c r="AF46" s="371">
        <f t="shared" si="16"/>
        <v>1.0999999999999943</v>
      </c>
      <c r="AG46" s="371" t="s">
        <v>4888</v>
      </c>
      <c r="AH46" s="371" t="s">
        <v>5017</v>
      </c>
      <c r="AI46" s="435">
        <v>1.1000000000000001</v>
      </c>
      <c r="AJ46" s="435"/>
      <c r="AK46" s="435"/>
      <c r="AL46" s="435"/>
      <c r="AM46" s="435"/>
      <c r="AN46" s="435"/>
      <c r="AO46" s="435"/>
      <c r="AP46" s="435"/>
      <c r="AQ46" s="435"/>
      <c r="AR46" s="435"/>
    </row>
    <row r="47" spans="26:44" x14ac:dyDescent="0.2">
      <c r="Z47" s="369">
        <v>2</v>
      </c>
      <c r="AA47" s="369" t="s">
        <v>4992</v>
      </c>
      <c r="AB47" s="369" t="s">
        <v>4903</v>
      </c>
      <c r="AC47" s="370" t="s">
        <v>5030</v>
      </c>
      <c r="AD47" s="371">
        <v>182.5</v>
      </c>
      <c r="AE47" s="371">
        <v>183.8</v>
      </c>
      <c r="AF47" s="371">
        <f t="shared" si="16"/>
        <v>1.3000000000000114</v>
      </c>
      <c r="AG47" s="371" t="s">
        <v>4888</v>
      </c>
      <c r="AH47" s="371" t="s">
        <v>5017</v>
      </c>
      <c r="AI47" s="435">
        <v>1.3</v>
      </c>
      <c r="AJ47" s="435"/>
      <c r="AK47" s="435"/>
      <c r="AL47" s="435"/>
      <c r="AM47" s="435"/>
      <c r="AN47" s="435"/>
      <c r="AO47" s="435"/>
      <c r="AP47" s="435"/>
      <c r="AQ47" s="435"/>
      <c r="AR47" s="435"/>
    </row>
    <row r="48" spans="26:44" x14ac:dyDescent="0.2">
      <c r="Z48" s="429">
        <v>2</v>
      </c>
      <c r="AA48" s="429" t="s">
        <v>4992</v>
      </c>
      <c r="AB48" s="429" t="s">
        <v>4903</v>
      </c>
      <c r="AC48" s="430" t="s">
        <v>5031</v>
      </c>
      <c r="AD48" s="431">
        <v>183.8</v>
      </c>
      <c r="AE48" s="431">
        <v>186.2</v>
      </c>
      <c r="AF48" s="431">
        <f t="shared" si="16"/>
        <v>2.3999999999999773</v>
      </c>
      <c r="AG48" s="431" t="s">
        <v>4882</v>
      </c>
      <c r="AH48" s="431" t="s">
        <v>5018</v>
      </c>
      <c r="AI48" s="432"/>
      <c r="AJ48" s="432">
        <v>2.4</v>
      </c>
      <c r="AK48" s="432"/>
      <c r="AL48" s="432"/>
      <c r="AM48" s="432"/>
      <c r="AN48" s="432"/>
      <c r="AO48" s="432"/>
      <c r="AP48" s="432"/>
      <c r="AQ48" s="432"/>
      <c r="AR48" s="432"/>
    </row>
    <row r="49" spans="26:44" ht="25.5" x14ac:dyDescent="0.2">
      <c r="Z49" s="369">
        <v>2</v>
      </c>
      <c r="AA49" s="369" t="s">
        <v>4992</v>
      </c>
      <c r="AB49" s="369" t="s">
        <v>4903</v>
      </c>
      <c r="AC49" s="370" t="s">
        <v>5029</v>
      </c>
      <c r="AD49" s="371">
        <v>0</v>
      </c>
      <c r="AE49" s="371">
        <v>2.4</v>
      </c>
      <c r="AF49" s="371">
        <f t="shared" si="16"/>
        <v>2.4</v>
      </c>
      <c r="AG49" s="371" t="s">
        <v>4888</v>
      </c>
      <c r="AH49" s="371" t="s">
        <v>5017</v>
      </c>
      <c r="AI49" s="435">
        <v>2.4</v>
      </c>
      <c r="AJ49" s="435"/>
      <c r="AK49" s="435"/>
      <c r="AL49" s="435"/>
      <c r="AM49" s="435"/>
      <c r="AN49" s="435"/>
      <c r="AO49" s="435"/>
      <c r="AP49" s="435"/>
      <c r="AQ49" s="435"/>
      <c r="AR49" s="435"/>
    </row>
    <row r="50" spans="26:44" x14ac:dyDescent="0.2">
      <c r="Z50" s="369">
        <v>2</v>
      </c>
      <c r="AA50" s="369" t="s">
        <v>4992</v>
      </c>
      <c r="AB50" s="369" t="s">
        <v>4903</v>
      </c>
      <c r="AC50" s="370" t="s">
        <v>5032</v>
      </c>
      <c r="AD50" s="371">
        <v>186.2</v>
      </c>
      <c r="AE50" s="371">
        <v>189.6</v>
      </c>
      <c r="AF50" s="371">
        <f t="shared" ref="AF50" si="24">ABS(AE50-AD50)</f>
        <v>3.4000000000000057</v>
      </c>
      <c r="AG50" s="371" t="s">
        <v>4888</v>
      </c>
      <c r="AH50" s="371" t="s">
        <v>5017</v>
      </c>
      <c r="AI50" s="435">
        <v>3.4</v>
      </c>
      <c r="AJ50" s="435"/>
      <c r="AK50" s="435"/>
      <c r="AL50" s="435"/>
      <c r="AM50" s="435"/>
      <c r="AN50" s="435"/>
      <c r="AO50" s="435"/>
      <c r="AP50" s="435"/>
      <c r="AQ50" s="435"/>
      <c r="AR50" s="435"/>
    </row>
    <row r="51" spans="26:44" x14ac:dyDescent="0.2">
      <c r="Z51" s="369">
        <v>2</v>
      </c>
      <c r="AA51" s="369" t="s">
        <v>4992</v>
      </c>
      <c r="AB51" s="369" t="s">
        <v>4903</v>
      </c>
      <c r="AC51" s="370" t="s">
        <v>4917</v>
      </c>
      <c r="AD51" s="371">
        <v>189.6</v>
      </c>
      <c r="AE51" s="371">
        <v>191.2</v>
      </c>
      <c r="AF51" s="371">
        <f t="shared" si="16"/>
        <v>1.5999999999999943</v>
      </c>
      <c r="AG51" s="371" t="s">
        <v>4888</v>
      </c>
      <c r="AH51" s="371" t="s">
        <v>5017</v>
      </c>
      <c r="AI51" s="435">
        <f>0.24+0.7</f>
        <v>0.94</v>
      </c>
      <c r="AJ51" s="435">
        <v>0.6</v>
      </c>
      <c r="AK51" s="435"/>
      <c r="AL51" s="435"/>
      <c r="AM51" s="435"/>
      <c r="AN51" s="435"/>
      <c r="AO51" s="435">
        <v>0.6</v>
      </c>
      <c r="AP51" s="435"/>
      <c r="AQ51" s="435"/>
      <c r="AR51" s="435"/>
    </row>
    <row r="52" spans="26:44" x14ac:dyDescent="0.2">
      <c r="Z52" s="369">
        <v>2</v>
      </c>
      <c r="AA52" s="369" t="s">
        <v>4992</v>
      </c>
      <c r="AB52" s="369" t="s">
        <v>4903</v>
      </c>
      <c r="AC52" s="370" t="s">
        <v>4918</v>
      </c>
      <c r="AD52" s="371">
        <v>191.2</v>
      </c>
      <c r="AE52" s="371">
        <v>194.2</v>
      </c>
      <c r="AF52" s="371">
        <f t="shared" si="16"/>
        <v>3</v>
      </c>
      <c r="AG52" s="371" t="s">
        <v>4888</v>
      </c>
      <c r="AH52" s="371" t="s">
        <v>5017</v>
      </c>
      <c r="AI52" s="435">
        <v>3</v>
      </c>
      <c r="AJ52" s="435"/>
      <c r="AK52" s="435"/>
      <c r="AL52" s="435"/>
      <c r="AM52" s="435"/>
      <c r="AN52" s="435"/>
      <c r="AO52" s="435"/>
      <c r="AP52" s="435"/>
      <c r="AQ52" s="435"/>
      <c r="AR52" s="435"/>
    </row>
    <row r="53" spans="26:44" x14ac:dyDescent="0.2">
      <c r="Z53" s="369">
        <v>2</v>
      </c>
      <c r="AA53" s="369" t="s">
        <v>4992</v>
      </c>
      <c r="AB53" s="369" t="s">
        <v>4903</v>
      </c>
      <c r="AC53" s="370" t="s">
        <v>4919</v>
      </c>
      <c r="AD53" s="371">
        <v>194.2</v>
      </c>
      <c r="AE53" s="371">
        <v>217.6</v>
      </c>
      <c r="AF53" s="371">
        <f t="shared" si="16"/>
        <v>23.400000000000006</v>
      </c>
      <c r="AG53" s="371" t="s">
        <v>4882</v>
      </c>
      <c r="AH53" s="371" t="s">
        <v>5017</v>
      </c>
      <c r="AI53" s="435">
        <f>1+20</f>
        <v>21</v>
      </c>
      <c r="AJ53" s="435">
        <v>1.8</v>
      </c>
      <c r="AK53" s="435"/>
      <c r="AL53" s="435"/>
      <c r="AM53" s="435"/>
      <c r="AN53" s="435"/>
      <c r="AO53" s="435">
        <v>1.8</v>
      </c>
      <c r="AP53" s="435"/>
      <c r="AQ53" s="435"/>
      <c r="AR53" s="435"/>
    </row>
    <row r="54" spans="26:44" x14ac:dyDescent="0.2">
      <c r="Z54" s="369">
        <v>2</v>
      </c>
      <c r="AA54" s="369" t="s">
        <v>4992</v>
      </c>
      <c r="AB54" s="369" t="s">
        <v>4903</v>
      </c>
      <c r="AC54" s="370" t="s">
        <v>4920</v>
      </c>
      <c r="AD54" s="371">
        <v>217.6</v>
      </c>
      <c r="AE54" s="371">
        <v>226.5</v>
      </c>
      <c r="AF54" s="371">
        <f t="shared" si="16"/>
        <v>8.9000000000000057</v>
      </c>
      <c r="AG54" s="371" t="s">
        <v>4882</v>
      </c>
      <c r="AH54" s="371" t="s">
        <v>5017</v>
      </c>
      <c r="AI54" s="435">
        <v>8.6</v>
      </c>
      <c r="AJ54" s="435"/>
      <c r="AK54" s="435"/>
      <c r="AL54" s="435"/>
      <c r="AM54" s="435"/>
      <c r="AN54" s="435"/>
      <c r="AO54" s="435"/>
      <c r="AP54" s="435"/>
      <c r="AQ54" s="435"/>
      <c r="AR54" s="435"/>
    </row>
    <row r="55" spans="26:44" x14ac:dyDescent="0.2">
      <c r="Z55" s="369">
        <v>2</v>
      </c>
      <c r="AA55" s="369" t="s">
        <v>4992</v>
      </c>
      <c r="AB55" s="369" t="s">
        <v>4903</v>
      </c>
      <c r="AC55" s="370" t="s">
        <v>4921</v>
      </c>
      <c r="AD55" s="371">
        <v>226.5</v>
      </c>
      <c r="AE55" s="371">
        <v>232.7</v>
      </c>
      <c r="AF55" s="371">
        <f t="shared" si="16"/>
        <v>6.1999999999999886</v>
      </c>
      <c r="AG55" s="371" t="s">
        <v>4882</v>
      </c>
      <c r="AH55" s="371" t="s">
        <v>5017</v>
      </c>
      <c r="AI55" s="435">
        <v>6</v>
      </c>
      <c r="AJ55" s="435"/>
      <c r="AK55" s="435"/>
      <c r="AL55" s="435"/>
      <c r="AM55" s="435"/>
      <c r="AN55" s="435"/>
      <c r="AO55" s="435"/>
      <c r="AP55" s="435"/>
      <c r="AQ55" s="435"/>
      <c r="AR55" s="435"/>
    </row>
    <row r="56" spans="26:44" x14ac:dyDescent="0.2">
      <c r="Z56" s="369">
        <v>2</v>
      </c>
      <c r="AA56" s="369" t="s">
        <v>4992</v>
      </c>
      <c r="AB56" s="369" t="s">
        <v>4903</v>
      </c>
      <c r="AC56" s="370" t="s">
        <v>5033</v>
      </c>
      <c r="AD56" s="371">
        <v>232.7</v>
      </c>
      <c r="AE56" s="371">
        <v>248</v>
      </c>
      <c r="AF56" s="371">
        <f t="shared" ref="AF56" si="25">ABS(AE56-AD56)</f>
        <v>15.300000000000011</v>
      </c>
      <c r="AG56" s="371" t="s">
        <v>4882</v>
      </c>
      <c r="AH56" s="371" t="s">
        <v>5017</v>
      </c>
      <c r="AI56" s="435">
        <v>15.2</v>
      </c>
      <c r="AJ56" s="435"/>
      <c r="AK56" s="435"/>
      <c r="AL56" s="435"/>
      <c r="AM56" s="435"/>
      <c r="AN56" s="435"/>
      <c r="AO56" s="435"/>
      <c r="AP56" s="435"/>
      <c r="AQ56" s="435"/>
      <c r="AR56" s="435"/>
    </row>
    <row r="57" spans="26:44" x14ac:dyDescent="0.2">
      <c r="Z57" s="429">
        <v>2</v>
      </c>
      <c r="AA57" s="429" t="s">
        <v>4992</v>
      </c>
      <c r="AB57" s="429" t="s">
        <v>4903</v>
      </c>
      <c r="AC57" s="430" t="s">
        <v>5034</v>
      </c>
      <c r="AD57" s="431">
        <v>248</v>
      </c>
      <c r="AE57" s="431">
        <v>249.6</v>
      </c>
      <c r="AF57" s="431">
        <f t="shared" si="16"/>
        <v>1.5999999999999943</v>
      </c>
      <c r="AG57" s="431" t="s">
        <v>4882</v>
      </c>
      <c r="AH57" s="431" t="s">
        <v>5018</v>
      </c>
      <c r="AI57" s="432"/>
      <c r="AJ57" s="432">
        <v>1.2</v>
      </c>
      <c r="AK57" s="432"/>
      <c r="AL57" s="432"/>
      <c r="AM57" s="432"/>
      <c r="AN57" s="432"/>
      <c r="AO57" s="432"/>
      <c r="AP57" s="432"/>
      <c r="AQ57" s="432"/>
      <c r="AR57" s="432"/>
    </row>
    <row r="58" spans="26:44" x14ac:dyDescent="0.2">
      <c r="Z58" s="429">
        <v>2</v>
      </c>
      <c r="AA58" s="429" t="s">
        <v>4992</v>
      </c>
      <c r="AB58" s="429" t="s">
        <v>4903</v>
      </c>
      <c r="AC58" s="430" t="s">
        <v>5036</v>
      </c>
      <c r="AD58" s="431">
        <v>249.6</v>
      </c>
      <c r="AE58" s="431">
        <v>251.8</v>
      </c>
      <c r="AF58" s="431">
        <f t="shared" si="16"/>
        <v>2.2000000000000171</v>
      </c>
      <c r="AG58" s="431" t="s">
        <v>4882</v>
      </c>
      <c r="AH58" s="431" t="s">
        <v>5018</v>
      </c>
      <c r="AI58" s="432"/>
      <c r="AJ58" s="432">
        <v>2.1</v>
      </c>
      <c r="AK58" s="432"/>
      <c r="AL58" s="432"/>
      <c r="AM58" s="432"/>
      <c r="AN58" s="432"/>
      <c r="AO58" s="432"/>
      <c r="AP58" s="432"/>
      <c r="AQ58" s="432"/>
      <c r="AR58" s="432"/>
    </row>
    <row r="59" spans="26:44" ht="25.5" x14ac:dyDescent="0.2">
      <c r="Z59" s="369">
        <v>2</v>
      </c>
      <c r="AA59" s="369" t="s">
        <v>4992</v>
      </c>
      <c r="AB59" s="369" t="s">
        <v>4903</v>
      </c>
      <c r="AC59" s="370" t="s">
        <v>5035</v>
      </c>
      <c r="AD59" s="371">
        <v>0</v>
      </c>
      <c r="AE59" s="371">
        <v>3.4</v>
      </c>
      <c r="AF59" s="371">
        <f t="shared" ref="AF59:AF60" si="26">ABS(AE59-AD59)</f>
        <v>3.4</v>
      </c>
      <c r="AG59" s="371" t="s">
        <v>4888</v>
      </c>
      <c r="AH59" s="371" t="s">
        <v>5017</v>
      </c>
      <c r="AI59" s="435">
        <v>3.4</v>
      </c>
      <c r="AJ59" s="435"/>
      <c r="AK59" s="435"/>
      <c r="AL59" s="435"/>
      <c r="AM59" s="435"/>
      <c r="AN59" s="435"/>
      <c r="AO59" s="435"/>
      <c r="AP59" s="435"/>
      <c r="AQ59" s="435"/>
      <c r="AR59" s="435"/>
    </row>
    <row r="60" spans="26:44" x14ac:dyDescent="0.2">
      <c r="Z60" s="369">
        <v>2</v>
      </c>
      <c r="AA60" s="369" t="s">
        <v>4992</v>
      </c>
      <c r="AB60" s="369" t="s">
        <v>4903</v>
      </c>
      <c r="AC60" s="370" t="s">
        <v>5037</v>
      </c>
      <c r="AD60" s="371">
        <v>251.8</v>
      </c>
      <c r="AE60" s="371">
        <v>262.3</v>
      </c>
      <c r="AF60" s="371">
        <f t="shared" si="26"/>
        <v>10.5</v>
      </c>
      <c r="AG60" s="371" t="s">
        <v>4888</v>
      </c>
      <c r="AH60" s="371" t="s">
        <v>5017</v>
      </c>
      <c r="AI60" s="435">
        <v>10.199999999999999</v>
      </c>
      <c r="AJ60" s="435"/>
      <c r="AK60" s="435"/>
      <c r="AL60" s="435"/>
      <c r="AM60" s="435"/>
      <c r="AN60" s="435"/>
      <c r="AO60" s="435"/>
      <c r="AP60" s="435"/>
      <c r="AQ60" s="435"/>
      <c r="AR60" s="435"/>
    </row>
    <row r="61" spans="26:44" x14ac:dyDescent="0.2">
      <c r="Z61" s="369">
        <v>2</v>
      </c>
      <c r="AA61" s="369" t="s">
        <v>4992</v>
      </c>
      <c r="AB61" s="369" t="s">
        <v>4903</v>
      </c>
      <c r="AC61" s="370" t="s">
        <v>4922</v>
      </c>
      <c r="AD61" s="371">
        <v>262.3</v>
      </c>
      <c r="AE61" s="371">
        <v>266</v>
      </c>
      <c r="AF61" s="371">
        <f t="shared" si="16"/>
        <v>3.6999999999999886</v>
      </c>
      <c r="AG61" s="371" t="s">
        <v>4882</v>
      </c>
      <c r="AH61" s="371" t="s">
        <v>5017</v>
      </c>
      <c r="AI61" s="435">
        <v>3.6</v>
      </c>
      <c r="AJ61" s="435"/>
      <c r="AK61" s="435"/>
      <c r="AL61" s="435"/>
      <c r="AM61" s="435"/>
      <c r="AN61" s="435"/>
      <c r="AO61" s="435"/>
      <c r="AP61" s="435"/>
      <c r="AQ61" s="435"/>
      <c r="AR61" s="435"/>
    </row>
    <row r="62" spans="26:44" x14ac:dyDescent="0.2">
      <c r="Z62" s="369">
        <v>2</v>
      </c>
      <c r="AA62" s="369" t="s">
        <v>4992</v>
      </c>
      <c r="AB62" s="369" t="s">
        <v>4903</v>
      </c>
      <c r="AC62" s="370" t="s">
        <v>4923</v>
      </c>
      <c r="AD62" s="371">
        <v>266</v>
      </c>
      <c r="AE62" s="371">
        <v>274</v>
      </c>
      <c r="AF62" s="371">
        <f t="shared" si="16"/>
        <v>8</v>
      </c>
      <c r="AG62" s="371" t="s">
        <v>4888</v>
      </c>
      <c r="AH62" s="371" t="s">
        <v>5017</v>
      </c>
      <c r="AI62" s="435"/>
      <c r="AJ62" s="435">
        <v>7.7</v>
      </c>
      <c r="AK62" s="435"/>
      <c r="AL62" s="435"/>
      <c r="AM62" s="435"/>
      <c r="AN62" s="435"/>
      <c r="AO62" s="435"/>
      <c r="AP62" s="435"/>
      <c r="AQ62" s="435"/>
      <c r="AR62" s="435"/>
    </row>
    <row r="63" spans="26:44" x14ac:dyDescent="0.2">
      <c r="Z63" s="369">
        <v>2</v>
      </c>
      <c r="AA63" s="369" t="s">
        <v>4992</v>
      </c>
      <c r="AB63" s="369" t="s">
        <v>4903</v>
      </c>
      <c r="AC63" s="370" t="s">
        <v>4924</v>
      </c>
      <c r="AD63" s="371">
        <v>274</v>
      </c>
      <c r="AE63" s="371">
        <v>275</v>
      </c>
      <c r="AF63" s="371">
        <f t="shared" si="16"/>
        <v>1</v>
      </c>
      <c r="AG63" s="371" t="s">
        <v>4888</v>
      </c>
      <c r="AH63" s="371" t="s">
        <v>5017</v>
      </c>
      <c r="AI63" s="435">
        <v>1</v>
      </c>
      <c r="AJ63" s="435"/>
      <c r="AK63" s="435"/>
      <c r="AL63" s="435"/>
      <c r="AM63" s="435"/>
      <c r="AN63" s="435"/>
      <c r="AO63" s="435"/>
      <c r="AP63" s="435"/>
      <c r="AQ63" s="435"/>
      <c r="AR63" s="435"/>
    </row>
    <row r="64" spans="26:44" x14ac:dyDescent="0.2">
      <c r="Z64" s="369">
        <v>2</v>
      </c>
      <c r="AA64" s="369" t="s">
        <v>4992</v>
      </c>
      <c r="AB64" s="369" t="s">
        <v>4903</v>
      </c>
      <c r="AC64" s="370" t="s">
        <v>4925</v>
      </c>
      <c r="AD64" s="371">
        <v>275</v>
      </c>
      <c r="AE64" s="371">
        <v>283.2</v>
      </c>
      <c r="AF64" s="371">
        <f t="shared" si="16"/>
        <v>8.1999999999999886</v>
      </c>
      <c r="AG64" s="371" t="s">
        <v>4888</v>
      </c>
      <c r="AH64" s="371" t="s">
        <v>5017</v>
      </c>
      <c r="AI64" s="435"/>
      <c r="AJ64" s="435">
        <v>8.1</v>
      </c>
      <c r="AK64" s="435"/>
      <c r="AL64" s="435"/>
      <c r="AM64" s="435"/>
      <c r="AN64" s="435"/>
      <c r="AO64" s="435"/>
      <c r="AP64" s="435"/>
      <c r="AQ64" s="435"/>
      <c r="AR64" s="435"/>
    </row>
    <row r="65" spans="26:44" x14ac:dyDescent="0.2">
      <c r="Z65" s="369">
        <v>2</v>
      </c>
      <c r="AA65" s="369" t="s">
        <v>4992</v>
      </c>
      <c r="AB65" s="369" t="s">
        <v>4903</v>
      </c>
      <c r="AC65" s="370" t="s">
        <v>5038</v>
      </c>
      <c r="AD65" s="371">
        <v>283.2</v>
      </c>
      <c r="AE65" s="371">
        <v>319.5</v>
      </c>
      <c r="AF65" s="371">
        <f t="shared" ref="AF65" si="27">ABS(AE65-AD65)</f>
        <v>36.300000000000011</v>
      </c>
      <c r="AG65" s="371" t="s">
        <v>4882</v>
      </c>
      <c r="AH65" s="371" t="s">
        <v>5017</v>
      </c>
      <c r="AI65" s="435">
        <v>35.5</v>
      </c>
      <c r="AJ65" s="435"/>
      <c r="AK65" s="435"/>
      <c r="AL65" s="435"/>
      <c r="AM65" s="435"/>
      <c r="AN65" s="435"/>
      <c r="AO65" s="435"/>
      <c r="AP65" s="435"/>
      <c r="AQ65" s="435"/>
      <c r="AR65" s="435"/>
    </row>
    <row r="66" spans="26:44" x14ac:dyDescent="0.2">
      <c r="Z66" s="369">
        <v>2</v>
      </c>
      <c r="AA66" s="369" t="s">
        <v>4992</v>
      </c>
      <c r="AB66" s="369" t="s">
        <v>4903</v>
      </c>
      <c r="AC66" s="370" t="s">
        <v>5039</v>
      </c>
      <c r="AD66" s="371">
        <v>319.5</v>
      </c>
      <c r="AE66" s="371">
        <v>322.5</v>
      </c>
      <c r="AF66" s="371">
        <f t="shared" si="16"/>
        <v>3</v>
      </c>
      <c r="AG66" s="371" t="s">
        <v>4882</v>
      </c>
      <c r="AH66" s="371" t="s">
        <v>5017</v>
      </c>
      <c r="AI66" s="435">
        <v>2.6</v>
      </c>
      <c r="AJ66" s="435"/>
      <c r="AK66" s="435"/>
      <c r="AL66" s="435"/>
      <c r="AM66" s="435"/>
      <c r="AN66" s="435"/>
      <c r="AO66" s="435"/>
      <c r="AP66" s="435"/>
      <c r="AQ66" s="435"/>
      <c r="AR66" s="435"/>
    </row>
    <row r="67" spans="26:44" x14ac:dyDescent="0.2">
      <c r="Z67" s="369">
        <v>2</v>
      </c>
      <c r="AA67" s="369" t="s">
        <v>4992</v>
      </c>
      <c r="AB67" s="369" t="s">
        <v>4903</v>
      </c>
      <c r="AC67" s="370" t="s">
        <v>4926</v>
      </c>
      <c r="AD67" s="371">
        <v>322.5</v>
      </c>
      <c r="AE67" s="371">
        <v>327.2</v>
      </c>
      <c r="AF67" s="371">
        <f t="shared" si="16"/>
        <v>4.6999999999999886</v>
      </c>
      <c r="AG67" s="371" t="s">
        <v>4888</v>
      </c>
      <c r="AH67" s="371" t="s">
        <v>5017</v>
      </c>
      <c r="AI67" s="435">
        <v>4.5999999999999996</v>
      </c>
      <c r="AJ67" s="435"/>
      <c r="AK67" s="435"/>
      <c r="AL67" s="435"/>
      <c r="AM67" s="435"/>
      <c r="AN67" s="435"/>
      <c r="AO67" s="435"/>
      <c r="AP67" s="435">
        <v>4.5999999999999996</v>
      </c>
      <c r="AQ67" s="435"/>
      <c r="AR67" s="435"/>
    </row>
    <row r="68" spans="26:44" x14ac:dyDescent="0.2">
      <c r="Z68" s="429">
        <v>2</v>
      </c>
      <c r="AA68" s="429" t="s">
        <v>4992</v>
      </c>
      <c r="AB68" s="429" t="s">
        <v>4903</v>
      </c>
      <c r="AC68" s="430" t="s">
        <v>4927</v>
      </c>
      <c r="AD68" s="431">
        <v>327.2</v>
      </c>
      <c r="AE68" s="431">
        <v>330.3</v>
      </c>
      <c r="AF68" s="431">
        <f t="shared" si="16"/>
        <v>3.1000000000000227</v>
      </c>
      <c r="AG68" s="431" t="s">
        <v>4888</v>
      </c>
      <c r="AH68" s="431" t="s">
        <v>5018</v>
      </c>
      <c r="AI68" s="432">
        <v>3.1</v>
      </c>
      <c r="AJ68" s="432"/>
      <c r="AK68" s="432"/>
      <c r="AL68" s="432"/>
      <c r="AM68" s="432"/>
      <c r="AN68" s="432"/>
      <c r="AO68" s="432"/>
      <c r="AP68" s="432"/>
      <c r="AQ68" s="432"/>
      <c r="AR68" s="432"/>
    </row>
    <row r="69" spans="26:44" x14ac:dyDescent="0.2">
      <c r="Z69" s="429">
        <v>2</v>
      </c>
      <c r="AA69" s="429" t="s">
        <v>4992</v>
      </c>
      <c r="AB69" s="429" t="s">
        <v>4903</v>
      </c>
      <c r="AC69" s="430" t="s">
        <v>4928</v>
      </c>
      <c r="AD69" s="431">
        <v>330.3</v>
      </c>
      <c r="AE69" s="431">
        <v>332.9</v>
      </c>
      <c r="AF69" s="431">
        <f t="shared" si="16"/>
        <v>2.5999999999999659</v>
      </c>
      <c r="AG69" s="431" t="s">
        <v>4888</v>
      </c>
      <c r="AH69" s="431" t="s">
        <v>5018</v>
      </c>
      <c r="AI69" s="432">
        <v>2.6</v>
      </c>
      <c r="AJ69" s="432"/>
      <c r="AK69" s="432"/>
      <c r="AL69" s="432"/>
      <c r="AM69" s="432"/>
      <c r="AN69" s="432"/>
      <c r="AO69" s="432"/>
      <c r="AP69" s="432"/>
      <c r="AQ69" s="432"/>
      <c r="AR69" s="432"/>
    </row>
    <row r="70" spans="26:44" x14ac:dyDescent="0.2">
      <c r="Z70" s="429">
        <v>2</v>
      </c>
      <c r="AA70" s="429" t="s">
        <v>4992</v>
      </c>
      <c r="AB70" s="429" t="s">
        <v>4903</v>
      </c>
      <c r="AC70" s="430" t="s">
        <v>4929</v>
      </c>
      <c r="AD70" s="431">
        <v>332.9</v>
      </c>
      <c r="AE70" s="431">
        <v>337.7</v>
      </c>
      <c r="AF70" s="431">
        <f t="shared" si="16"/>
        <v>4.8000000000000114</v>
      </c>
      <c r="AG70" s="431" t="s">
        <v>4888</v>
      </c>
      <c r="AH70" s="431" t="s">
        <v>5018</v>
      </c>
      <c r="AI70" s="432">
        <v>4.8</v>
      </c>
      <c r="AJ70" s="432"/>
      <c r="AK70" s="432"/>
      <c r="AL70" s="432"/>
      <c r="AM70" s="432"/>
      <c r="AN70" s="432"/>
      <c r="AO70" s="432"/>
      <c r="AP70" s="432"/>
      <c r="AQ70" s="432"/>
      <c r="AR70" s="432"/>
    </row>
    <row r="71" spans="26:44" x14ac:dyDescent="0.2">
      <c r="Z71" s="429">
        <v>2</v>
      </c>
      <c r="AA71" s="429" t="s">
        <v>4992</v>
      </c>
      <c r="AB71" s="429" t="s">
        <v>4903</v>
      </c>
      <c r="AC71" s="430" t="s">
        <v>4930</v>
      </c>
      <c r="AD71" s="431">
        <v>337.7</v>
      </c>
      <c r="AE71" s="431">
        <v>341.4</v>
      </c>
      <c r="AF71" s="431">
        <f t="shared" si="16"/>
        <v>3.6999999999999886</v>
      </c>
      <c r="AG71" s="431" t="s">
        <v>4888</v>
      </c>
      <c r="AH71" s="431" t="s">
        <v>5018</v>
      </c>
      <c r="AI71" s="432">
        <v>3.7</v>
      </c>
      <c r="AJ71" s="432"/>
      <c r="AK71" s="432"/>
      <c r="AL71" s="432"/>
      <c r="AM71" s="432"/>
      <c r="AN71" s="432"/>
      <c r="AO71" s="432"/>
      <c r="AP71" s="432"/>
      <c r="AQ71" s="432"/>
      <c r="AR71" s="432"/>
    </row>
    <row r="72" spans="26:44" x14ac:dyDescent="0.2">
      <c r="Z72" s="429">
        <v>2</v>
      </c>
      <c r="AA72" s="429" t="s">
        <v>4992</v>
      </c>
      <c r="AB72" s="429" t="s">
        <v>4903</v>
      </c>
      <c r="AC72" s="430" t="s">
        <v>4931</v>
      </c>
      <c r="AD72" s="431">
        <v>341.4</v>
      </c>
      <c r="AE72" s="431">
        <v>350.3</v>
      </c>
      <c r="AF72" s="431">
        <f t="shared" si="16"/>
        <v>8.9000000000000341</v>
      </c>
      <c r="AG72" s="431" t="s">
        <v>4888</v>
      </c>
      <c r="AH72" s="431" t="s">
        <v>5018</v>
      </c>
      <c r="AI72" s="432">
        <v>8.9</v>
      </c>
      <c r="AJ72" s="432"/>
      <c r="AK72" s="432"/>
      <c r="AL72" s="432"/>
      <c r="AM72" s="432"/>
      <c r="AN72" s="432"/>
      <c r="AO72" s="432"/>
      <c r="AP72" s="432"/>
      <c r="AQ72" s="432"/>
      <c r="AR72" s="432"/>
    </row>
    <row r="73" spans="26:44" x14ac:dyDescent="0.2">
      <c r="Z73" s="429">
        <v>2</v>
      </c>
      <c r="AA73" s="429" t="s">
        <v>4992</v>
      </c>
      <c r="AB73" s="429" t="s">
        <v>4903</v>
      </c>
      <c r="AC73" s="430" t="s">
        <v>4932</v>
      </c>
      <c r="AD73" s="431">
        <v>350.3</v>
      </c>
      <c r="AE73" s="431">
        <v>350.9</v>
      </c>
      <c r="AF73" s="431">
        <f t="shared" si="16"/>
        <v>0.59999999999996589</v>
      </c>
      <c r="AG73" s="431" t="s">
        <v>4888</v>
      </c>
      <c r="AH73" s="431" t="s">
        <v>5018</v>
      </c>
      <c r="AI73" s="432">
        <v>0.6</v>
      </c>
      <c r="AJ73" s="432"/>
      <c r="AK73" s="432"/>
      <c r="AL73" s="432"/>
      <c r="AM73" s="432"/>
      <c r="AN73" s="432"/>
      <c r="AO73" s="432"/>
      <c r="AP73" s="432"/>
      <c r="AQ73" s="432"/>
      <c r="AR73" s="432"/>
    </row>
    <row r="74" spans="26:44" x14ac:dyDescent="0.2">
      <c r="Z74" s="429">
        <v>2</v>
      </c>
      <c r="AA74" s="429" t="s">
        <v>4992</v>
      </c>
      <c r="AB74" s="429" t="s">
        <v>4903</v>
      </c>
      <c r="AC74" s="430" t="s">
        <v>4933</v>
      </c>
      <c r="AD74" s="431">
        <v>350.9</v>
      </c>
      <c r="AE74" s="431">
        <v>352.3</v>
      </c>
      <c r="AF74" s="431">
        <f t="shared" si="16"/>
        <v>1.4000000000000341</v>
      </c>
      <c r="AG74" s="431" t="s">
        <v>4888</v>
      </c>
      <c r="AH74" s="431" t="s">
        <v>5018</v>
      </c>
      <c r="AI74" s="432">
        <v>1.4</v>
      </c>
      <c r="AJ74" s="432"/>
      <c r="AK74" s="432"/>
      <c r="AL74" s="432"/>
      <c r="AM74" s="432"/>
      <c r="AN74" s="432"/>
      <c r="AO74" s="432"/>
      <c r="AP74" s="432"/>
      <c r="AQ74" s="432"/>
      <c r="AR74" s="432"/>
    </row>
    <row r="75" spans="26:44" x14ac:dyDescent="0.2">
      <c r="Z75" s="429">
        <v>2</v>
      </c>
      <c r="AA75" s="429" t="s">
        <v>4992</v>
      </c>
      <c r="AB75" s="429" t="s">
        <v>4903</v>
      </c>
      <c r="AC75" s="430" t="s">
        <v>4934</v>
      </c>
      <c r="AD75" s="431">
        <v>352.3</v>
      </c>
      <c r="AE75" s="431">
        <v>355.7</v>
      </c>
      <c r="AF75" s="431">
        <f t="shared" si="16"/>
        <v>3.3999999999999773</v>
      </c>
      <c r="AG75" s="431" t="s">
        <v>4888</v>
      </c>
      <c r="AH75" s="431" t="s">
        <v>5018</v>
      </c>
      <c r="AI75" s="432">
        <v>3.4</v>
      </c>
      <c r="AJ75" s="432"/>
      <c r="AK75" s="432"/>
      <c r="AL75" s="432"/>
      <c r="AM75" s="432"/>
      <c r="AN75" s="432"/>
      <c r="AO75" s="432"/>
      <c r="AP75" s="432"/>
      <c r="AQ75" s="432"/>
      <c r="AR75" s="432"/>
    </row>
    <row r="76" spans="26:44" x14ac:dyDescent="0.2">
      <c r="Z76" s="429">
        <v>2</v>
      </c>
      <c r="AA76" s="429" t="s">
        <v>4992</v>
      </c>
      <c r="AB76" s="429" t="s">
        <v>4903</v>
      </c>
      <c r="AC76" s="430" t="s">
        <v>4935</v>
      </c>
      <c r="AD76" s="431">
        <v>355.7</v>
      </c>
      <c r="AE76" s="431">
        <v>361.4</v>
      </c>
      <c r="AF76" s="431">
        <f t="shared" si="16"/>
        <v>5.6999999999999886</v>
      </c>
      <c r="AG76" s="431" t="s">
        <v>4888</v>
      </c>
      <c r="AH76" s="431" t="s">
        <v>5018</v>
      </c>
      <c r="AI76" s="432">
        <v>5.7</v>
      </c>
      <c r="AJ76" s="432"/>
      <c r="AK76" s="432"/>
      <c r="AL76" s="432"/>
      <c r="AM76" s="432"/>
      <c r="AN76" s="432"/>
      <c r="AO76" s="432"/>
      <c r="AP76" s="432"/>
      <c r="AQ76" s="432"/>
      <c r="AR76" s="432"/>
    </row>
    <row r="77" spans="26:44" x14ac:dyDescent="0.2">
      <c r="Z77" s="369">
        <v>2</v>
      </c>
      <c r="AA77" s="369" t="s">
        <v>4992</v>
      </c>
      <c r="AB77" s="369" t="s">
        <v>4903</v>
      </c>
      <c r="AC77" s="370" t="s">
        <v>4936</v>
      </c>
      <c r="AD77" s="371">
        <v>361.4</v>
      </c>
      <c r="AE77" s="371">
        <v>410.7</v>
      </c>
      <c r="AF77" s="371">
        <f t="shared" si="16"/>
        <v>49.300000000000011</v>
      </c>
      <c r="AG77" s="371" t="s">
        <v>4882</v>
      </c>
      <c r="AH77" s="371" t="s">
        <v>5017</v>
      </c>
      <c r="AI77" s="435">
        <v>5</v>
      </c>
      <c r="AJ77" s="435">
        <f>33.7+3.4+6.5</f>
        <v>43.6</v>
      </c>
      <c r="AK77" s="435"/>
      <c r="AL77" s="435"/>
      <c r="AM77" s="435"/>
      <c r="AN77" s="435"/>
      <c r="AO77" s="435">
        <v>3.4</v>
      </c>
      <c r="AP77" s="435"/>
      <c r="AQ77" s="435"/>
      <c r="AR77" s="435"/>
    </row>
    <row r="78" spans="26:44" x14ac:dyDescent="0.2">
      <c r="Z78" s="369">
        <v>2</v>
      </c>
      <c r="AA78" s="369" t="s">
        <v>4992</v>
      </c>
      <c r="AB78" s="369" t="s">
        <v>4903</v>
      </c>
      <c r="AC78" s="370" t="s">
        <v>4937</v>
      </c>
      <c r="AD78" s="371">
        <v>410.7</v>
      </c>
      <c r="AE78" s="371">
        <v>419.1</v>
      </c>
      <c r="AF78" s="371">
        <f t="shared" si="16"/>
        <v>8.4000000000000341</v>
      </c>
      <c r="AG78" s="371" t="s">
        <v>4882</v>
      </c>
      <c r="AH78" s="371" t="s">
        <v>5017</v>
      </c>
      <c r="AI78" s="435"/>
      <c r="AJ78" s="435">
        <f>2.3+1.4+4.6</f>
        <v>8.2999999999999989</v>
      </c>
      <c r="AK78" s="435"/>
      <c r="AL78" s="435"/>
      <c r="AM78" s="435"/>
      <c r="AN78" s="435"/>
      <c r="AO78" s="435">
        <f>1.4</f>
        <v>1.4</v>
      </c>
      <c r="AP78" s="435"/>
      <c r="AQ78" s="435"/>
      <c r="AR78" s="435"/>
    </row>
    <row r="79" spans="26:44" x14ac:dyDescent="0.2">
      <c r="Z79" s="369">
        <v>2</v>
      </c>
      <c r="AA79" s="369" t="s">
        <v>4992</v>
      </c>
      <c r="AB79" s="369" t="s">
        <v>4903</v>
      </c>
      <c r="AC79" s="370" t="s">
        <v>4938</v>
      </c>
      <c r="AD79" s="371">
        <v>419.1</v>
      </c>
      <c r="AE79" s="371">
        <v>421.7</v>
      </c>
      <c r="AF79" s="371">
        <f t="shared" si="16"/>
        <v>2.5999999999999659</v>
      </c>
      <c r="AG79" s="371" t="s">
        <v>4882</v>
      </c>
      <c r="AH79" s="371" t="s">
        <v>5017</v>
      </c>
      <c r="AI79" s="435"/>
      <c r="AJ79" s="435">
        <v>2.6</v>
      </c>
      <c r="AK79" s="435"/>
      <c r="AL79" s="435"/>
      <c r="AM79" s="435"/>
      <c r="AN79" s="435"/>
      <c r="AO79" s="435"/>
      <c r="AP79" s="435"/>
      <c r="AQ79" s="435"/>
      <c r="AR79" s="435"/>
    </row>
    <row r="80" spans="26:44" x14ac:dyDescent="0.2">
      <c r="Z80" s="369">
        <v>2</v>
      </c>
      <c r="AA80" s="369" t="s">
        <v>4992</v>
      </c>
      <c r="AB80" s="369" t="s">
        <v>4903</v>
      </c>
      <c r="AC80" s="370" t="s">
        <v>4939</v>
      </c>
      <c r="AD80" s="371">
        <v>421.7</v>
      </c>
      <c r="AE80" s="371">
        <v>430.5</v>
      </c>
      <c r="AF80" s="371">
        <f t="shared" si="16"/>
        <v>8.8000000000000114</v>
      </c>
      <c r="AG80" s="371" t="s">
        <v>4882</v>
      </c>
      <c r="AH80" s="371" t="s">
        <v>5017</v>
      </c>
      <c r="AI80" s="435"/>
      <c r="AJ80" s="435">
        <v>8.8000000000000007</v>
      </c>
      <c r="AK80" s="435"/>
      <c r="AL80" s="435"/>
      <c r="AM80" s="435"/>
      <c r="AN80" s="435"/>
      <c r="AO80" s="435"/>
      <c r="AP80" s="435"/>
      <c r="AQ80" s="435"/>
      <c r="AR80" s="435"/>
    </row>
    <row r="81" spans="26:44" x14ac:dyDescent="0.2">
      <c r="Z81" s="369">
        <v>2</v>
      </c>
      <c r="AA81" s="369" t="s">
        <v>4992</v>
      </c>
      <c r="AB81" s="369" t="s">
        <v>4903</v>
      </c>
      <c r="AC81" s="370" t="s">
        <v>4940</v>
      </c>
      <c r="AD81" s="371">
        <v>430.5</v>
      </c>
      <c r="AE81" s="371">
        <v>471.6</v>
      </c>
      <c r="AF81" s="371">
        <f t="shared" ref="AF81:AF131" si="28">ABS(AE81-AD81)</f>
        <v>41.100000000000023</v>
      </c>
      <c r="AG81" s="371" t="s">
        <v>4882</v>
      </c>
      <c r="AH81" s="371" t="s">
        <v>5017</v>
      </c>
      <c r="AI81" s="435"/>
      <c r="AJ81" s="435">
        <v>40.9</v>
      </c>
      <c r="AK81" s="435"/>
      <c r="AL81" s="435"/>
      <c r="AM81" s="435"/>
      <c r="AN81" s="435"/>
      <c r="AO81" s="435"/>
      <c r="AP81" s="435"/>
      <c r="AQ81" s="435"/>
      <c r="AR81" s="435"/>
    </row>
    <row r="82" spans="26:44" x14ac:dyDescent="0.2">
      <c r="Z82" s="369">
        <v>2</v>
      </c>
      <c r="AA82" s="369" t="s">
        <v>4992</v>
      </c>
      <c r="AB82" s="369" t="s">
        <v>4903</v>
      </c>
      <c r="AC82" s="370" t="s">
        <v>4941</v>
      </c>
      <c r="AD82" s="371">
        <v>471.6</v>
      </c>
      <c r="AE82" s="371">
        <v>474</v>
      </c>
      <c r="AF82" s="371">
        <f t="shared" si="28"/>
        <v>2.3999999999999773</v>
      </c>
      <c r="AG82" s="371" t="s">
        <v>4888</v>
      </c>
      <c r="AH82" s="371" t="s">
        <v>5017</v>
      </c>
      <c r="AI82" s="435">
        <f>1.1+0.85+0.3</f>
        <v>2.25</v>
      </c>
      <c r="AJ82" s="435">
        <v>0.12</v>
      </c>
      <c r="AK82" s="435"/>
      <c r="AL82" s="435"/>
      <c r="AM82" s="435"/>
      <c r="AN82" s="435"/>
      <c r="AO82" s="435"/>
      <c r="AP82" s="435">
        <f>0.85</f>
        <v>0.85</v>
      </c>
      <c r="AQ82" s="435"/>
      <c r="AR82" s="435"/>
    </row>
    <row r="83" spans="26:44" x14ac:dyDescent="0.2">
      <c r="Z83" s="369">
        <v>2</v>
      </c>
      <c r="AA83" s="369" t="s">
        <v>4992</v>
      </c>
      <c r="AB83" s="369" t="s">
        <v>4903</v>
      </c>
      <c r="AC83" s="370" t="s">
        <v>4942</v>
      </c>
      <c r="AD83" s="371">
        <v>474</v>
      </c>
      <c r="AE83" s="371">
        <v>491.2</v>
      </c>
      <c r="AF83" s="371">
        <f t="shared" si="28"/>
        <v>17.199999999999989</v>
      </c>
      <c r="AG83" s="371" t="s">
        <v>4888</v>
      </c>
      <c r="AH83" s="371" t="s">
        <v>5017</v>
      </c>
      <c r="AI83" s="435">
        <f>16.2+0.6</f>
        <v>16.8</v>
      </c>
      <c r="AJ83" s="435"/>
      <c r="AK83" s="435"/>
      <c r="AL83" s="435"/>
      <c r="AM83" s="435"/>
      <c r="AN83" s="435"/>
      <c r="AO83" s="435"/>
      <c r="AP83" s="435">
        <v>0.6</v>
      </c>
      <c r="AQ83" s="435"/>
      <c r="AR83" s="435"/>
    </row>
    <row r="84" spans="26:44" x14ac:dyDescent="0.2">
      <c r="Z84" s="369">
        <v>2</v>
      </c>
      <c r="AA84" s="369" t="s">
        <v>4992</v>
      </c>
      <c r="AB84" s="369" t="s">
        <v>4903</v>
      </c>
      <c r="AC84" s="370" t="s">
        <v>4943</v>
      </c>
      <c r="AD84" s="371">
        <v>491.2</v>
      </c>
      <c r="AE84" s="371">
        <v>513.9</v>
      </c>
      <c r="AF84" s="371">
        <f t="shared" si="28"/>
        <v>22.699999999999989</v>
      </c>
      <c r="AG84" s="371" t="s">
        <v>4888</v>
      </c>
      <c r="AH84" s="371" t="s">
        <v>5017</v>
      </c>
      <c r="AI84" s="435">
        <f>0.65+21.7</f>
        <v>22.349999999999998</v>
      </c>
      <c r="AJ84" s="435"/>
      <c r="AK84" s="435"/>
      <c r="AL84" s="435"/>
      <c r="AM84" s="435"/>
      <c r="AN84" s="435"/>
      <c r="AO84" s="435"/>
      <c r="AP84" s="435">
        <f>0.65</f>
        <v>0.65</v>
      </c>
      <c r="AQ84" s="435"/>
      <c r="AR84" s="435"/>
    </row>
    <row r="85" spans="26:44" x14ac:dyDescent="0.2">
      <c r="Z85" s="369">
        <v>2</v>
      </c>
      <c r="AA85" s="369" t="s">
        <v>4992</v>
      </c>
      <c r="AB85" s="369" t="s">
        <v>4903</v>
      </c>
      <c r="AC85" s="370" t="s">
        <v>4944</v>
      </c>
      <c r="AD85" s="371">
        <v>513.9</v>
      </c>
      <c r="AE85" s="371">
        <v>517.4</v>
      </c>
      <c r="AF85" s="371">
        <f t="shared" si="28"/>
        <v>3.5</v>
      </c>
      <c r="AG85" s="371" t="s">
        <v>4888</v>
      </c>
      <c r="AH85" s="371" t="s">
        <v>5017</v>
      </c>
      <c r="AI85" s="435">
        <v>3.5</v>
      </c>
      <c r="AJ85" s="435"/>
      <c r="AK85" s="435"/>
      <c r="AL85" s="435"/>
      <c r="AM85" s="435"/>
      <c r="AN85" s="435"/>
      <c r="AO85" s="435"/>
      <c r="AP85" s="435"/>
      <c r="AQ85" s="435"/>
      <c r="AR85" s="435"/>
    </row>
    <row r="86" spans="26:44" x14ac:dyDescent="0.2">
      <c r="Z86" s="369">
        <v>2</v>
      </c>
      <c r="AA86" s="369" t="s">
        <v>4992</v>
      </c>
      <c r="AB86" s="369" t="s">
        <v>4903</v>
      </c>
      <c r="AC86" s="370" t="s">
        <v>4945</v>
      </c>
      <c r="AD86" s="371">
        <v>517.4</v>
      </c>
      <c r="AE86" s="371">
        <v>605.29999999999995</v>
      </c>
      <c r="AF86" s="371">
        <f t="shared" si="28"/>
        <v>87.899999999999977</v>
      </c>
      <c r="AG86" s="371" t="s">
        <v>4882</v>
      </c>
      <c r="AH86" s="371" t="s">
        <v>5017</v>
      </c>
      <c r="AI86" s="435">
        <v>0.4</v>
      </c>
      <c r="AJ86" s="435">
        <f>24+0.85+7.2+0.65+21.1+3+13.8+1.7+14.3</f>
        <v>86.600000000000009</v>
      </c>
      <c r="AK86" s="435"/>
      <c r="AL86" s="435"/>
      <c r="AM86" s="435"/>
      <c r="AN86" s="435"/>
      <c r="AO86" s="435">
        <f>0.85+0.65+3+1.7</f>
        <v>6.2</v>
      </c>
      <c r="AP86" s="435"/>
      <c r="AQ86" s="435"/>
      <c r="AR86" s="435"/>
    </row>
    <row r="87" spans="26:44" x14ac:dyDescent="0.2">
      <c r="Z87" s="369">
        <v>2</v>
      </c>
      <c r="AA87" s="369" t="s">
        <v>4992</v>
      </c>
      <c r="AB87" s="369" t="s">
        <v>4903</v>
      </c>
      <c r="AC87" s="370" t="s">
        <v>4946</v>
      </c>
      <c r="AD87" s="371">
        <v>605.29999999999995</v>
      </c>
      <c r="AE87" s="371">
        <v>613.20000000000005</v>
      </c>
      <c r="AF87" s="371">
        <f t="shared" si="28"/>
        <v>7.9000000000000909</v>
      </c>
      <c r="AG87" s="371" t="s">
        <v>4888</v>
      </c>
      <c r="AH87" s="371" t="s">
        <v>5017</v>
      </c>
      <c r="AI87" s="435">
        <v>7.9</v>
      </c>
      <c r="AJ87" s="435"/>
      <c r="AK87" s="435"/>
      <c r="AL87" s="435"/>
      <c r="AM87" s="435"/>
      <c r="AN87" s="435"/>
      <c r="AO87" s="435"/>
      <c r="AP87" s="435">
        <v>7.9</v>
      </c>
      <c r="AQ87" s="435"/>
      <c r="AR87" s="435"/>
    </row>
    <row r="88" spans="26:44" x14ac:dyDescent="0.2">
      <c r="Z88" s="369">
        <v>2</v>
      </c>
      <c r="AA88" s="369" t="s">
        <v>4992</v>
      </c>
      <c r="AB88" s="369" t="s">
        <v>4903</v>
      </c>
      <c r="AC88" s="370" t="s">
        <v>4947</v>
      </c>
      <c r="AD88" s="371">
        <v>613.20000000000005</v>
      </c>
      <c r="AE88" s="371">
        <v>656.3</v>
      </c>
      <c r="AF88" s="371">
        <f t="shared" si="28"/>
        <v>43.099999999999909</v>
      </c>
      <c r="AG88" s="371" t="s">
        <v>4882</v>
      </c>
      <c r="AH88" s="371" t="s">
        <v>5017</v>
      </c>
      <c r="AI88" s="435"/>
      <c r="AJ88" s="435">
        <v>42.9</v>
      </c>
      <c r="AK88" s="435"/>
      <c r="AL88" s="435"/>
      <c r="AM88" s="435"/>
      <c r="AN88" s="435"/>
      <c r="AO88" s="435"/>
      <c r="AP88" s="435"/>
      <c r="AQ88" s="435"/>
      <c r="AR88" s="435"/>
    </row>
    <row r="89" spans="26:44" x14ac:dyDescent="0.2">
      <c r="Z89" s="369">
        <v>2</v>
      </c>
      <c r="AA89" s="369" t="s">
        <v>4992</v>
      </c>
      <c r="AB89" s="369" t="s">
        <v>4903</v>
      </c>
      <c r="AC89" s="370" t="s">
        <v>4948</v>
      </c>
      <c r="AD89" s="371">
        <v>656.3</v>
      </c>
      <c r="AE89" s="371">
        <v>671.9</v>
      </c>
      <c r="AF89" s="371">
        <f t="shared" si="28"/>
        <v>15.600000000000023</v>
      </c>
      <c r="AG89" s="371" t="s">
        <v>4882</v>
      </c>
      <c r="AH89" s="371" t="s">
        <v>5017</v>
      </c>
      <c r="AI89" s="435"/>
      <c r="AJ89" s="435">
        <v>15.6</v>
      </c>
      <c r="AK89" s="435"/>
      <c r="AL89" s="435"/>
      <c r="AM89" s="435"/>
      <c r="AN89" s="435"/>
      <c r="AO89" s="435"/>
      <c r="AP89" s="435"/>
      <c r="AQ89" s="435"/>
      <c r="AR89" s="435"/>
    </row>
    <row r="90" spans="26:44" x14ac:dyDescent="0.2">
      <c r="Z90" s="369">
        <v>2</v>
      </c>
      <c r="AA90" s="369" t="s">
        <v>4992</v>
      </c>
      <c r="AB90" s="369" t="s">
        <v>4903</v>
      </c>
      <c r="AC90" s="370" t="s">
        <v>4949</v>
      </c>
      <c r="AD90" s="371">
        <v>671.9</v>
      </c>
      <c r="AE90" s="371">
        <v>702.3</v>
      </c>
      <c r="AF90" s="371">
        <f t="shared" si="28"/>
        <v>30.399999999999977</v>
      </c>
      <c r="AG90" s="371" t="s">
        <v>4882</v>
      </c>
      <c r="AH90" s="371" t="s">
        <v>5017</v>
      </c>
      <c r="AI90" s="435"/>
      <c r="AJ90" s="435">
        <v>30.3</v>
      </c>
      <c r="AK90" s="435"/>
      <c r="AL90" s="435"/>
      <c r="AM90" s="435"/>
      <c r="AN90" s="435"/>
      <c r="AO90" s="435"/>
      <c r="AP90" s="435"/>
      <c r="AQ90" s="435"/>
      <c r="AR90" s="435"/>
    </row>
    <row r="91" spans="26:44" x14ac:dyDescent="0.2">
      <c r="Z91" s="369">
        <v>2</v>
      </c>
      <c r="AA91" s="369" t="s">
        <v>4992</v>
      </c>
      <c r="AB91" s="369" t="s">
        <v>4903</v>
      </c>
      <c r="AC91" s="370" t="s">
        <v>4950</v>
      </c>
      <c r="AD91" s="371">
        <v>702.3</v>
      </c>
      <c r="AE91" s="371">
        <v>759.7</v>
      </c>
      <c r="AF91" s="371">
        <f t="shared" si="28"/>
        <v>57.400000000000091</v>
      </c>
      <c r="AG91" s="371" t="s">
        <v>4882</v>
      </c>
      <c r="AH91" s="371" t="s">
        <v>5017</v>
      </c>
      <c r="AI91" s="435">
        <v>1</v>
      </c>
      <c r="AJ91" s="435">
        <v>56.1</v>
      </c>
      <c r="AK91" s="435"/>
      <c r="AL91" s="435"/>
      <c r="AM91" s="435"/>
      <c r="AN91" s="435"/>
      <c r="AO91" s="435"/>
      <c r="AP91" s="435"/>
      <c r="AQ91" s="435"/>
      <c r="AR91" s="435"/>
    </row>
    <row r="92" spans="26:44" x14ac:dyDescent="0.2">
      <c r="Z92" s="369">
        <v>2</v>
      </c>
      <c r="AA92" s="369" t="s">
        <v>4992</v>
      </c>
      <c r="AB92" s="369" t="s">
        <v>4903</v>
      </c>
      <c r="AC92" s="370" t="s">
        <v>4951</v>
      </c>
      <c r="AD92" s="371">
        <v>759.7</v>
      </c>
      <c r="AE92" s="371">
        <v>764.5</v>
      </c>
      <c r="AF92" s="371">
        <f t="shared" si="28"/>
        <v>4.7999999999999545</v>
      </c>
      <c r="AG92" s="371" t="s">
        <v>4888</v>
      </c>
      <c r="AH92" s="371" t="s">
        <v>5017</v>
      </c>
      <c r="AI92" s="435">
        <f>3.4+1.3</f>
        <v>4.7</v>
      </c>
      <c r="AJ92" s="435"/>
      <c r="AK92" s="435"/>
      <c r="AL92" s="435"/>
      <c r="AM92" s="435"/>
      <c r="AN92" s="435"/>
      <c r="AO92" s="435"/>
      <c r="AP92" s="435">
        <v>1.3</v>
      </c>
      <c r="AQ92" s="435"/>
      <c r="AR92" s="435"/>
    </row>
    <row r="93" spans="26:44" x14ac:dyDescent="0.2">
      <c r="Z93" s="369">
        <v>2</v>
      </c>
      <c r="AA93" s="369" t="s">
        <v>4992</v>
      </c>
      <c r="AB93" s="369" t="s">
        <v>4903</v>
      </c>
      <c r="AC93" s="370" t="s">
        <v>4952</v>
      </c>
      <c r="AD93" s="371">
        <v>764.5</v>
      </c>
      <c r="AE93" s="371">
        <v>769.5</v>
      </c>
      <c r="AF93" s="371">
        <f t="shared" si="28"/>
        <v>5</v>
      </c>
      <c r="AG93" s="371" t="s">
        <v>4888</v>
      </c>
      <c r="AH93" s="371" t="s">
        <v>5017</v>
      </c>
      <c r="AI93" s="435">
        <f>3.5+1.5</f>
        <v>5</v>
      </c>
      <c r="AJ93" s="435"/>
      <c r="AK93" s="435"/>
      <c r="AL93" s="435"/>
      <c r="AM93" s="435"/>
      <c r="AN93" s="435"/>
      <c r="AO93" s="435"/>
      <c r="AP93" s="435">
        <v>3.5</v>
      </c>
      <c r="AQ93" s="435"/>
      <c r="AR93" s="435"/>
    </row>
    <row r="94" spans="26:44" x14ac:dyDescent="0.2">
      <c r="Z94" s="369">
        <v>2</v>
      </c>
      <c r="AA94" s="369" t="s">
        <v>4992</v>
      </c>
      <c r="AB94" s="369" t="s">
        <v>4903</v>
      </c>
      <c r="AC94" s="370" t="s">
        <v>4953</v>
      </c>
      <c r="AD94" s="371">
        <v>769.5</v>
      </c>
      <c r="AE94" s="371">
        <v>800.4</v>
      </c>
      <c r="AF94" s="371">
        <f t="shared" si="28"/>
        <v>30.899999999999977</v>
      </c>
      <c r="AG94" s="371" t="s">
        <v>4882</v>
      </c>
      <c r="AH94" s="371" t="s">
        <v>5017</v>
      </c>
      <c r="AI94" s="435">
        <f>3.5</f>
        <v>3.5</v>
      </c>
      <c r="AJ94" s="435">
        <v>27.2</v>
      </c>
      <c r="AK94" s="435"/>
      <c r="AL94" s="435"/>
      <c r="AM94" s="435"/>
      <c r="AN94" s="435"/>
      <c r="AO94" s="435"/>
      <c r="AP94" s="435"/>
      <c r="AQ94" s="435"/>
      <c r="AR94" s="435"/>
    </row>
    <row r="95" spans="26:44" x14ac:dyDescent="0.2">
      <c r="Z95" s="369">
        <v>2</v>
      </c>
      <c r="AA95" s="369" t="s">
        <v>4992</v>
      </c>
      <c r="AB95" s="369" t="s">
        <v>4903</v>
      </c>
      <c r="AC95" s="370" t="s">
        <v>4954</v>
      </c>
      <c r="AD95" s="371">
        <v>800.4</v>
      </c>
      <c r="AE95" s="371">
        <v>836.3</v>
      </c>
      <c r="AF95" s="371">
        <f t="shared" si="28"/>
        <v>35.899999999999977</v>
      </c>
      <c r="AG95" s="371" t="s">
        <v>4882</v>
      </c>
      <c r="AH95" s="371" t="s">
        <v>5017</v>
      </c>
      <c r="AI95" s="435"/>
      <c r="AJ95" s="435">
        <f>35+0.9</f>
        <v>35.9</v>
      </c>
      <c r="AK95" s="435"/>
      <c r="AL95" s="435"/>
      <c r="AM95" s="435"/>
      <c r="AN95" s="435"/>
      <c r="AO95" s="435"/>
      <c r="AP95" s="435"/>
      <c r="AQ95" s="435">
        <v>0.9</v>
      </c>
      <c r="AR95" s="435"/>
    </row>
    <row r="96" spans="26:44" x14ac:dyDescent="0.2">
      <c r="Z96" s="369">
        <v>2</v>
      </c>
      <c r="AA96" s="369" t="s">
        <v>4992</v>
      </c>
      <c r="AB96" s="369" t="s">
        <v>4903</v>
      </c>
      <c r="AC96" s="370" t="s">
        <v>4955</v>
      </c>
      <c r="AD96" s="371">
        <v>836.3</v>
      </c>
      <c r="AE96" s="371">
        <v>845.7</v>
      </c>
      <c r="AF96" s="371">
        <f t="shared" si="28"/>
        <v>9.4000000000000909</v>
      </c>
      <c r="AG96" s="371" t="s">
        <v>4888</v>
      </c>
      <c r="AH96" s="371" t="s">
        <v>5017</v>
      </c>
      <c r="AI96" s="435">
        <v>9.1</v>
      </c>
      <c r="AJ96" s="435">
        <v>0.3</v>
      </c>
      <c r="AK96" s="435"/>
      <c r="AL96" s="435"/>
      <c r="AM96" s="435"/>
      <c r="AN96" s="435"/>
      <c r="AO96" s="435"/>
      <c r="AP96" s="435">
        <v>9.1</v>
      </c>
      <c r="AQ96" s="435">
        <v>0.3</v>
      </c>
      <c r="AR96" s="435"/>
    </row>
    <row r="97" spans="26:44" x14ac:dyDescent="0.2">
      <c r="Z97" s="369">
        <v>2</v>
      </c>
      <c r="AA97" s="369" t="s">
        <v>4992</v>
      </c>
      <c r="AB97" s="369" t="s">
        <v>4903</v>
      </c>
      <c r="AC97" s="370" t="s">
        <v>4956</v>
      </c>
      <c r="AD97" s="371">
        <v>845.7</v>
      </c>
      <c r="AE97" s="371">
        <v>853.5</v>
      </c>
      <c r="AF97" s="371">
        <f t="shared" si="28"/>
        <v>7.7999999999999545</v>
      </c>
      <c r="AG97" s="371" t="s">
        <v>4888</v>
      </c>
      <c r="AH97" s="371" t="s">
        <v>5017</v>
      </c>
      <c r="AI97" s="435">
        <v>7.8</v>
      </c>
      <c r="AJ97" s="435"/>
      <c r="AK97" s="435"/>
      <c r="AL97" s="435"/>
      <c r="AM97" s="435"/>
      <c r="AN97" s="435"/>
      <c r="AO97" s="435"/>
      <c r="AP97" s="435">
        <v>7.8</v>
      </c>
      <c r="AQ97" s="435"/>
      <c r="AR97" s="435"/>
    </row>
    <row r="98" spans="26:44" x14ac:dyDescent="0.2">
      <c r="Z98" s="369">
        <v>2</v>
      </c>
      <c r="AA98" s="369" t="s">
        <v>4992</v>
      </c>
      <c r="AB98" s="369" t="s">
        <v>4903</v>
      </c>
      <c r="AC98" s="370" t="s">
        <v>4957</v>
      </c>
      <c r="AD98" s="371">
        <v>853.5</v>
      </c>
      <c r="AE98" s="371">
        <v>858.9</v>
      </c>
      <c r="AF98" s="371">
        <f t="shared" si="28"/>
        <v>5.3999999999999773</v>
      </c>
      <c r="AG98" s="371" t="s">
        <v>4882</v>
      </c>
      <c r="AH98" s="371" t="s">
        <v>5017</v>
      </c>
      <c r="AI98" s="435"/>
      <c r="AJ98" s="435">
        <v>5.4</v>
      </c>
      <c r="AK98" s="435"/>
      <c r="AL98" s="435"/>
      <c r="AM98" s="435"/>
      <c r="AN98" s="435"/>
      <c r="AO98" s="435"/>
      <c r="AP98" s="435"/>
      <c r="AQ98" s="435"/>
      <c r="AR98" s="435"/>
    </row>
    <row r="99" spans="26:44" x14ac:dyDescent="0.2">
      <c r="Z99" s="369">
        <v>2</v>
      </c>
      <c r="AA99" s="369" t="s">
        <v>4992</v>
      </c>
      <c r="AB99" s="369" t="s">
        <v>4903</v>
      </c>
      <c r="AC99" s="370" t="s">
        <v>4958</v>
      </c>
      <c r="AD99" s="371">
        <v>858.9</v>
      </c>
      <c r="AE99" s="371">
        <v>868.6</v>
      </c>
      <c r="AF99" s="371">
        <f t="shared" si="28"/>
        <v>9.7000000000000455</v>
      </c>
      <c r="AG99" s="371" t="s">
        <v>4882</v>
      </c>
      <c r="AH99" s="371" t="s">
        <v>5017</v>
      </c>
      <c r="AI99" s="435"/>
      <c r="AJ99" s="435">
        <v>9.6999999999999993</v>
      </c>
      <c r="AK99" s="435"/>
      <c r="AL99" s="435"/>
      <c r="AM99" s="435"/>
      <c r="AN99" s="435"/>
      <c r="AO99" s="435"/>
      <c r="AP99" s="435"/>
      <c r="AQ99" s="435"/>
      <c r="AR99" s="435"/>
    </row>
    <row r="100" spans="26:44" x14ac:dyDescent="0.2">
      <c r="Z100" s="369">
        <v>2</v>
      </c>
      <c r="AA100" s="369" t="s">
        <v>4992</v>
      </c>
      <c r="AB100" s="369" t="s">
        <v>4903</v>
      </c>
      <c r="AC100" s="369" t="s">
        <v>4959</v>
      </c>
      <c r="AD100" s="371">
        <v>0</v>
      </c>
      <c r="AE100" s="371">
        <v>7.6</v>
      </c>
      <c r="AF100" s="371">
        <f t="shared" si="28"/>
        <v>7.6</v>
      </c>
      <c r="AG100" s="371" t="s">
        <v>4882</v>
      </c>
      <c r="AH100" s="371" t="s">
        <v>5017</v>
      </c>
      <c r="AI100" s="435"/>
      <c r="AJ100" s="435">
        <v>7.6</v>
      </c>
      <c r="AK100" s="435"/>
      <c r="AL100" s="435"/>
      <c r="AM100" s="435"/>
      <c r="AN100" s="435"/>
      <c r="AO100" s="435"/>
      <c r="AP100" s="435"/>
      <c r="AQ100" s="435"/>
      <c r="AR100" s="435"/>
    </row>
    <row r="101" spans="26:44" x14ac:dyDescent="0.2">
      <c r="Z101" s="369">
        <v>2</v>
      </c>
      <c r="AA101" s="369" t="s">
        <v>4992</v>
      </c>
      <c r="AB101" s="369" t="s">
        <v>4903</v>
      </c>
      <c r="AC101" s="369" t="s">
        <v>4960</v>
      </c>
      <c r="AD101" s="371">
        <v>0</v>
      </c>
      <c r="AE101" s="371">
        <v>10.5</v>
      </c>
      <c r="AF101" s="371">
        <f t="shared" si="28"/>
        <v>10.5</v>
      </c>
      <c r="AG101" s="371" t="s">
        <v>4882</v>
      </c>
      <c r="AH101" s="371" t="s">
        <v>5017</v>
      </c>
      <c r="AI101" s="435"/>
      <c r="AJ101" s="435">
        <v>10.4</v>
      </c>
      <c r="AK101" s="435"/>
      <c r="AL101" s="435"/>
      <c r="AM101" s="435"/>
      <c r="AN101" s="435"/>
      <c r="AO101" s="435"/>
      <c r="AP101" s="435"/>
      <c r="AQ101" s="435"/>
      <c r="AR101" s="435"/>
    </row>
    <row r="102" spans="26:44" x14ac:dyDescent="0.2">
      <c r="Z102" s="369">
        <v>2</v>
      </c>
      <c r="AA102" s="369" t="s">
        <v>4992</v>
      </c>
      <c r="AB102" s="369" t="s">
        <v>4903</v>
      </c>
      <c r="AC102" s="369" t="s">
        <v>4961</v>
      </c>
      <c r="AD102" s="371">
        <v>0</v>
      </c>
      <c r="AE102" s="371">
        <v>16.600000000000001</v>
      </c>
      <c r="AF102" s="371">
        <f t="shared" si="28"/>
        <v>16.600000000000001</v>
      </c>
      <c r="AG102" s="371" t="s">
        <v>4880</v>
      </c>
      <c r="AH102" s="371" t="s">
        <v>5017</v>
      </c>
      <c r="AI102" s="435"/>
      <c r="AJ102" s="435"/>
      <c r="AK102" s="435">
        <v>16.600000000000001</v>
      </c>
      <c r="AL102" s="435"/>
      <c r="AM102" s="435"/>
      <c r="AN102" s="435"/>
      <c r="AO102" s="435"/>
      <c r="AP102" s="435"/>
      <c r="AQ102" s="435"/>
      <c r="AR102" s="435"/>
    </row>
    <row r="103" spans="26:44" x14ac:dyDescent="0.2">
      <c r="Z103" s="369">
        <v>2</v>
      </c>
      <c r="AA103" s="369" t="s">
        <v>4992</v>
      </c>
      <c r="AB103" s="369" t="s">
        <v>4903</v>
      </c>
      <c r="AC103" s="369" t="s">
        <v>4962</v>
      </c>
      <c r="AD103" s="371">
        <v>16.600000000000001</v>
      </c>
      <c r="AE103" s="371">
        <v>29.2</v>
      </c>
      <c r="AF103" s="371">
        <f t="shared" si="28"/>
        <v>12.599999999999998</v>
      </c>
      <c r="AG103" s="371" t="s">
        <v>4880</v>
      </c>
      <c r="AH103" s="371" t="s">
        <v>5017</v>
      </c>
      <c r="AI103" s="435"/>
      <c r="AJ103" s="435"/>
      <c r="AK103" s="435">
        <v>12.6</v>
      </c>
      <c r="AL103" s="435"/>
      <c r="AM103" s="435"/>
      <c r="AN103" s="435"/>
      <c r="AO103" s="435"/>
      <c r="AP103" s="435"/>
      <c r="AQ103" s="435"/>
      <c r="AR103" s="435"/>
    </row>
    <row r="104" spans="26:44" x14ac:dyDescent="0.2">
      <c r="Z104" s="369">
        <v>2</v>
      </c>
      <c r="AA104" s="369" t="s">
        <v>4992</v>
      </c>
      <c r="AB104" s="369" t="s">
        <v>4903</v>
      </c>
      <c r="AC104" s="369" t="s">
        <v>4963</v>
      </c>
      <c r="AD104" s="371">
        <v>29.2</v>
      </c>
      <c r="AE104" s="371">
        <v>34.1</v>
      </c>
      <c r="AF104" s="371">
        <f t="shared" si="28"/>
        <v>4.9000000000000021</v>
      </c>
      <c r="AG104" s="371" t="s">
        <v>4882</v>
      </c>
      <c r="AH104" s="371" t="s">
        <v>5017</v>
      </c>
      <c r="AI104" s="435"/>
      <c r="AJ104" s="435">
        <v>4.9000000000000004</v>
      </c>
      <c r="AK104" s="435"/>
      <c r="AL104" s="435"/>
      <c r="AM104" s="435"/>
      <c r="AN104" s="435"/>
      <c r="AO104" s="435"/>
      <c r="AP104" s="435"/>
      <c r="AQ104" s="435"/>
      <c r="AR104" s="435"/>
    </row>
    <row r="105" spans="26:44" x14ac:dyDescent="0.2">
      <c r="Z105" s="369">
        <v>2</v>
      </c>
      <c r="AA105" s="369" t="s">
        <v>4992</v>
      </c>
      <c r="AB105" s="369" t="s">
        <v>4903</v>
      </c>
      <c r="AC105" s="369" t="s">
        <v>4964</v>
      </c>
      <c r="AD105" s="371">
        <v>34.1</v>
      </c>
      <c r="AE105" s="371">
        <v>38.799999999999997</v>
      </c>
      <c r="AF105" s="371">
        <f t="shared" si="28"/>
        <v>4.6999999999999957</v>
      </c>
      <c r="AG105" s="371" t="s">
        <v>4882</v>
      </c>
      <c r="AH105" s="371" t="s">
        <v>5017</v>
      </c>
      <c r="AI105" s="435"/>
      <c r="AJ105" s="435">
        <v>4.8</v>
      </c>
      <c r="AK105" s="435"/>
      <c r="AL105" s="435"/>
      <c r="AM105" s="435"/>
      <c r="AN105" s="435"/>
      <c r="AO105" s="435"/>
      <c r="AP105" s="435"/>
      <c r="AQ105" s="435"/>
      <c r="AR105" s="435"/>
    </row>
    <row r="106" spans="26:44" x14ac:dyDescent="0.2">
      <c r="Z106" s="369">
        <v>2</v>
      </c>
      <c r="AA106" s="369" t="s">
        <v>4992</v>
      </c>
      <c r="AB106" s="369" t="s">
        <v>4903</v>
      </c>
      <c r="AC106" s="369" t="s">
        <v>4965</v>
      </c>
      <c r="AD106" s="371">
        <v>38.799999999999997</v>
      </c>
      <c r="AE106" s="371">
        <v>39.700000000000003</v>
      </c>
      <c r="AF106" s="371">
        <f t="shared" si="28"/>
        <v>0.90000000000000568</v>
      </c>
      <c r="AG106" s="371" t="s">
        <v>4880</v>
      </c>
      <c r="AH106" s="371" t="s">
        <v>5017</v>
      </c>
      <c r="AI106" s="435"/>
      <c r="AJ106" s="435"/>
      <c r="AK106" s="435">
        <v>0.9</v>
      </c>
      <c r="AL106" s="435"/>
      <c r="AM106" s="435"/>
      <c r="AN106" s="435"/>
      <c r="AO106" s="435"/>
      <c r="AP106" s="435"/>
      <c r="AQ106" s="435"/>
      <c r="AR106" s="435"/>
    </row>
    <row r="107" spans="26:44" x14ac:dyDescent="0.2">
      <c r="Z107" s="369">
        <v>2</v>
      </c>
      <c r="AA107" s="369" t="s">
        <v>4992</v>
      </c>
      <c r="AB107" s="369" t="s">
        <v>4903</v>
      </c>
      <c r="AC107" s="369" t="s">
        <v>4966</v>
      </c>
      <c r="AD107" s="371">
        <v>39.700000000000003</v>
      </c>
      <c r="AE107" s="371">
        <v>47.7</v>
      </c>
      <c r="AF107" s="371">
        <f t="shared" si="28"/>
        <v>8</v>
      </c>
      <c r="AG107" s="371" t="s">
        <v>4967</v>
      </c>
      <c r="AH107" s="371" t="s">
        <v>5017</v>
      </c>
      <c r="AI107" s="435"/>
      <c r="AJ107" s="435"/>
      <c r="AK107" s="435">
        <v>8</v>
      </c>
      <c r="AL107" s="435"/>
      <c r="AM107" s="435"/>
      <c r="AN107" s="435"/>
      <c r="AO107" s="435"/>
      <c r="AP107" s="435"/>
      <c r="AQ107" s="435"/>
      <c r="AR107" s="435"/>
    </row>
    <row r="108" spans="26:44" x14ac:dyDescent="0.2">
      <c r="Z108" s="429">
        <v>2</v>
      </c>
      <c r="AA108" s="429" t="s">
        <v>4993</v>
      </c>
      <c r="AB108" s="429" t="s">
        <v>4903</v>
      </c>
      <c r="AC108" s="430" t="s">
        <v>4968</v>
      </c>
      <c r="AD108" s="431">
        <v>0</v>
      </c>
      <c r="AE108" s="431">
        <v>2.7</v>
      </c>
      <c r="AF108" s="431">
        <f t="shared" si="28"/>
        <v>2.7</v>
      </c>
      <c r="AG108" s="431" t="s">
        <v>4882</v>
      </c>
      <c r="AH108" s="431" t="s">
        <v>5018</v>
      </c>
      <c r="AI108" s="432"/>
      <c r="AJ108" s="432">
        <v>2.7</v>
      </c>
      <c r="AK108" s="432"/>
      <c r="AL108" s="432"/>
      <c r="AM108" s="432"/>
      <c r="AN108" s="432"/>
      <c r="AO108" s="432"/>
      <c r="AP108" s="432"/>
      <c r="AQ108" s="432"/>
      <c r="AR108" s="432"/>
    </row>
    <row r="109" spans="26:44" x14ac:dyDescent="0.2">
      <c r="Z109" s="429">
        <v>2</v>
      </c>
      <c r="AA109" s="429" t="s">
        <v>4993</v>
      </c>
      <c r="AB109" s="429" t="s">
        <v>4903</v>
      </c>
      <c r="AC109" s="430" t="s">
        <v>4969</v>
      </c>
      <c r="AD109" s="431">
        <v>2.7</v>
      </c>
      <c r="AE109" s="431">
        <v>6.7</v>
      </c>
      <c r="AF109" s="431">
        <f t="shared" si="28"/>
        <v>4</v>
      </c>
      <c r="AG109" s="431" t="s">
        <v>4888</v>
      </c>
      <c r="AH109" s="431" t="s">
        <v>5018</v>
      </c>
      <c r="AI109" s="432">
        <v>4</v>
      </c>
      <c r="AJ109" s="432"/>
      <c r="AK109" s="432"/>
      <c r="AL109" s="432"/>
      <c r="AM109" s="432"/>
      <c r="AN109" s="432"/>
      <c r="AO109" s="432"/>
      <c r="AP109" s="432"/>
      <c r="AQ109" s="432"/>
      <c r="AR109" s="432"/>
    </row>
    <row r="110" spans="26:44" x14ac:dyDescent="0.2">
      <c r="Z110" s="433">
        <v>2</v>
      </c>
      <c r="AA110" s="369" t="s">
        <v>4993</v>
      </c>
      <c r="AB110" s="433" t="s">
        <v>5040</v>
      </c>
      <c r="AC110" s="434" t="s">
        <v>5041</v>
      </c>
      <c r="AD110" s="371">
        <v>8.3000000000000007</v>
      </c>
      <c r="AE110" s="371">
        <v>14.6</v>
      </c>
      <c r="AF110" s="371">
        <f t="shared" si="28"/>
        <v>6.2999999999999989</v>
      </c>
      <c r="AG110" s="371" t="s">
        <v>4967</v>
      </c>
      <c r="AH110" s="371" t="s">
        <v>5017</v>
      </c>
      <c r="AI110" s="435"/>
      <c r="AJ110" s="435"/>
      <c r="AK110" s="435">
        <v>6.3</v>
      </c>
      <c r="AL110" s="435"/>
      <c r="AM110" s="435"/>
      <c r="AN110" s="435"/>
      <c r="AO110" s="435"/>
      <c r="AP110" s="435"/>
      <c r="AQ110" s="435"/>
      <c r="AR110" s="435"/>
    </row>
    <row r="111" spans="26:44" x14ac:dyDescent="0.2">
      <c r="Z111" s="433">
        <v>2</v>
      </c>
      <c r="AA111" s="369" t="s">
        <v>4993</v>
      </c>
      <c r="AB111" s="433" t="s">
        <v>4903</v>
      </c>
      <c r="AC111" s="434" t="s">
        <v>5041</v>
      </c>
      <c r="AD111" s="371">
        <v>0</v>
      </c>
      <c r="AE111" s="371">
        <v>10.199999999999999</v>
      </c>
      <c r="AF111" s="371">
        <f t="shared" si="28"/>
        <v>10.199999999999999</v>
      </c>
      <c r="AG111" s="371" t="s">
        <v>4880</v>
      </c>
      <c r="AH111" s="371" t="s">
        <v>5017</v>
      </c>
      <c r="AI111" s="435"/>
      <c r="AJ111" s="435">
        <v>10.199999999999999</v>
      </c>
      <c r="AK111" s="435"/>
      <c r="AL111" s="435"/>
      <c r="AM111" s="435"/>
      <c r="AN111" s="435"/>
      <c r="AO111" s="435"/>
      <c r="AP111" s="435"/>
      <c r="AQ111" s="435"/>
      <c r="AR111" s="435"/>
    </row>
    <row r="112" spans="26:44" x14ac:dyDescent="0.2">
      <c r="Z112" s="369">
        <v>2</v>
      </c>
      <c r="AA112" s="369" t="s">
        <v>4993</v>
      </c>
      <c r="AB112" s="369" t="s">
        <v>4903</v>
      </c>
      <c r="AC112" s="370" t="s">
        <v>4970</v>
      </c>
      <c r="AD112" s="371">
        <v>6.7</v>
      </c>
      <c r="AE112" s="371">
        <v>65.7</v>
      </c>
      <c r="AF112" s="371">
        <f t="shared" si="28"/>
        <v>59</v>
      </c>
      <c r="AG112" s="371" t="s">
        <v>4882</v>
      </c>
      <c r="AH112" s="371" t="s">
        <v>5017</v>
      </c>
      <c r="AI112" s="435"/>
      <c r="AJ112" s="435">
        <v>59</v>
      </c>
      <c r="AK112" s="435"/>
      <c r="AL112" s="435"/>
      <c r="AM112" s="435"/>
      <c r="AN112" s="435"/>
      <c r="AO112" s="435"/>
      <c r="AP112" s="435"/>
      <c r="AQ112" s="435">
        <v>1.7</v>
      </c>
      <c r="AR112" s="435"/>
    </row>
    <row r="113" spans="26:44" x14ac:dyDescent="0.2">
      <c r="Z113" s="369">
        <v>2</v>
      </c>
      <c r="AA113" s="369" t="s">
        <v>4993</v>
      </c>
      <c r="AB113" s="369" t="s">
        <v>4903</v>
      </c>
      <c r="AC113" s="370" t="s">
        <v>4971</v>
      </c>
      <c r="AD113" s="371">
        <v>65.7</v>
      </c>
      <c r="AE113" s="371">
        <v>112.2</v>
      </c>
      <c r="AF113" s="371">
        <f t="shared" si="28"/>
        <v>46.5</v>
      </c>
      <c r="AG113" s="371" t="s">
        <v>4882</v>
      </c>
      <c r="AH113" s="371" t="s">
        <v>5017</v>
      </c>
      <c r="AI113" s="435"/>
      <c r="AJ113" s="435">
        <v>46.5</v>
      </c>
      <c r="AK113" s="435"/>
      <c r="AL113" s="435"/>
      <c r="AM113" s="435"/>
      <c r="AN113" s="435"/>
      <c r="AO113" s="435"/>
      <c r="AP113" s="435"/>
      <c r="AQ113" s="435"/>
      <c r="AR113" s="435"/>
    </row>
    <row r="114" spans="26:44" x14ac:dyDescent="0.2">
      <c r="Z114" s="369">
        <v>2</v>
      </c>
      <c r="AA114" s="369" t="s">
        <v>4993</v>
      </c>
      <c r="AB114" s="369" t="s">
        <v>4903</v>
      </c>
      <c r="AC114" s="370" t="s">
        <v>4972</v>
      </c>
      <c r="AD114" s="371">
        <v>112.2</v>
      </c>
      <c r="AE114" s="371">
        <v>135.69999999999999</v>
      </c>
      <c r="AF114" s="371">
        <f t="shared" si="28"/>
        <v>23.499999999999986</v>
      </c>
      <c r="AG114" s="371" t="s">
        <v>4882</v>
      </c>
      <c r="AH114" s="371" t="s">
        <v>5017</v>
      </c>
      <c r="AI114" s="435"/>
      <c r="AJ114" s="435">
        <v>23.499999999999986</v>
      </c>
      <c r="AK114" s="435"/>
      <c r="AL114" s="435"/>
      <c r="AM114" s="435"/>
      <c r="AN114" s="435"/>
      <c r="AO114" s="435"/>
      <c r="AP114" s="435"/>
      <c r="AQ114" s="435"/>
      <c r="AR114" s="435"/>
    </row>
    <row r="115" spans="26:44" x14ac:dyDescent="0.2">
      <c r="Z115" s="369">
        <v>2</v>
      </c>
      <c r="AA115" s="369" t="s">
        <v>4993</v>
      </c>
      <c r="AB115" s="369" t="s">
        <v>4903</v>
      </c>
      <c r="AC115" s="370" t="s">
        <v>4973</v>
      </c>
      <c r="AD115" s="371">
        <v>135.69999999999999</v>
      </c>
      <c r="AE115" s="371">
        <v>161.4</v>
      </c>
      <c r="AF115" s="371">
        <f t="shared" si="28"/>
        <v>25.700000000000017</v>
      </c>
      <c r="AG115" s="371" t="s">
        <v>4882</v>
      </c>
      <c r="AH115" s="371" t="s">
        <v>5017</v>
      </c>
      <c r="AI115" s="435"/>
      <c r="AJ115" s="435">
        <v>25.700000000000017</v>
      </c>
      <c r="AK115" s="435"/>
      <c r="AL115" s="435"/>
      <c r="AM115" s="435"/>
      <c r="AN115" s="435"/>
      <c r="AO115" s="435"/>
      <c r="AP115" s="435"/>
      <c r="AQ115" s="435"/>
      <c r="AR115" s="435"/>
    </row>
    <row r="116" spans="26:44" x14ac:dyDescent="0.2">
      <c r="Z116" s="369">
        <v>2</v>
      </c>
      <c r="AA116" s="369" t="s">
        <v>4993</v>
      </c>
      <c r="AB116" s="369" t="s">
        <v>4903</v>
      </c>
      <c r="AC116" s="370" t="s">
        <v>4974</v>
      </c>
      <c r="AD116" s="371">
        <v>161.4</v>
      </c>
      <c r="AE116" s="371">
        <v>193.3</v>
      </c>
      <c r="AF116" s="371">
        <f t="shared" si="28"/>
        <v>31.900000000000006</v>
      </c>
      <c r="AG116" s="371" t="s">
        <v>4882</v>
      </c>
      <c r="AH116" s="371" t="s">
        <v>5017</v>
      </c>
      <c r="AI116" s="435"/>
      <c r="AJ116" s="435">
        <v>31.900000000000006</v>
      </c>
      <c r="AK116" s="435"/>
      <c r="AL116" s="435"/>
      <c r="AM116" s="435"/>
      <c r="AN116" s="435"/>
      <c r="AO116" s="435"/>
      <c r="AP116" s="435"/>
      <c r="AQ116" s="435"/>
      <c r="AR116" s="435"/>
    </row>
    <row r="117" spans="26:44" x14ac:dyDescent="0.2">
      <c r="Z117" s="369">
        <v>2</v>
      </c>
      <c r="AA117" s="369" t="s">
        <v>4993</v>
      </c>
      <c r="AB117" s="369" t="s">
        <v>4903</v>
      </c>
      <c r="AC117" s="370" t="s">
        <v>4975</v>
      </c>
      <c r="AD117" s="371">
        <v>193.3</v>
      </c>
      <c r="AE117" s="371">
        <v>209.3</v>
      </c>
      <c r="AF117" s="371">
        <f t="shared" si="28"/>
        <v>16</v>
      </c>
      <c r="AG117" s="371" t="s">
        <v>4882</v>
      </c>
      <c r="AH117" s="371" t="s">
        <v>5017</v>
      </c>
      <c r="AI117" s="435"/>
      <c r="AJ117" s="435">
        <v>16</v>
      </c>
      <c r="AK117" s="435"/>
      <c r="AL117" s="435"/>
      <c r="AM117" s="435"/>
      <c r="AN117" s="435"/>
      <c r="AO117" s="435"/>
      <c r="AP117" s="435"/>
      <c r="AQ117" s="435"/>
      <c r="AR117" s="435"/>
    </row>
    <row r="118" spans="26:44" x14ac:dyDescent="0.2">
      <c r="Z118" s="369">
        <v>2</v>
      </c>
      <c r="AA118" s="369" t="s">
        <v>4993</v>
      </c>
      <c r="AB118" s="369" t="s">
        <v>4903</v>
      </c>
      <c r="AC118" s="370" t="s">
        <v>4976</v>
      </c>
      <c r="AD118" s="371">
        <v>209.3</v>
      </c>
      <c r="AE118" s="371">
        <v>225</v>
      </c>
      <c r="AF118" s="371">
        <f t="shared" si="28"/>
        <v>15.699999999999989</v>
      </c>
      <c r="AG118" s="371" t="s">
        <v>4882</v>
      </c>
      <c r="AH118" s="371" t="s">
        <v>5017</v>
      </c>
      <c r="AI118" s="435"/>
      <c r="AJ118" s="435">
        <v>15.699999999999989</v>
      </c>
      <c r="AK118" s="435"/>
      <c r="AL118" s="435"/>
      <c r="AM118" s="435"/>
      <c r="AN118" s="435"/>
      <c r="AO118" s="435"/>
      <c r="AP118" s="435"/>
      <c r="AQ118" s="435"/>
      <c r="AR118" s="435"/>
    </row>
    <row r="119" spans="26:44" x14ac:dyDescent="0.2">
      <c r="Z119" s="369">
        <v>2</v>
      </c>
      <c r="AA119" s="369" t="s">
        <v>4993</v>
      </c>
      <c r="AB119" s="369" t="s">
        <v>4903</v>
      </c>
      <c r="AC119" s="370" t="s">
        <v>4977</v>
      </c>
      <c r="AD119" s="371">
        <v>225</v>
      </c>
      <c r="AE119" s="371">
        <v>256.8</v>
      </c>
      <c r="AF119" s="371">
        <f t="shared" si="28"/>
        <v>31.800000000000011</v>
      </c>
      <c r="AG119" s="371" t="s">
        <v>4882</v>
      </c>
      <c r="AH119" s="371" t="s">
        <v>5017</v>
      </c>
      <c r="AI119" s="435"/>
      <c r="AJ119" s="435">
        <v>31.800000000000011</v>
      </c>
      <c r="AK119" s="435"/>
      <c r="AL119" s="435"/>
      <c r="AM119" s="435"/>
      <c r="AN119" s="435"/>
      <c r="AO119" s="435"/>
      <c r="AP119" s="435"/>
      <c r="AQ119" s="435"/>
      <c r="AR119" s="435"/>
    </row>
    <row r="120" spans="26:44" x14ac:dyDescent="0.2">
      <c r="Z120" s="369">
        <v>2</v>
      </c>
      <c r="AA120" s="369" t="s">
        <v>4993</v>
      </c>
      <c r="AB120" s="369" t="s">
        <v>4903</v>
      </c>
      <c r="AC120" s="370" t="s">
        <v>4978</v>
      </c>
      <c r="AD120" s="371">
        <v>256.8</v>
      </c>
      <c r="AE120" s="371">
        <v>279.89999999999998</v>
      </c>
      <c r="AF120" s="371">
        <f t="shared" si="28"/>
        <v>23.099999999999966</v>
      </c>
      <c r="AG120" s="371" t="s">
        <v>4882</v>
      </c>
      <c r="AH120" s="371" t="s">
        <v>5017</v>
      </c>
      <c r="AI120" s="435">
        <v>0.7</v>
      </c>
      <c r="AJ120" s="435">
        <v>22.399999999999977</v>
      </c>
      <c r="AK120" s="435"/>
      <c r="AL120" s="435"/>
      <c r="AM120" s="435"/>
      <c r="AN120" s="435"/>
      <c r="AO120" s="435"/>
      <c r="AP120" s="435"/>
      <c r="AQ120" s="435">
        <v>1.5</v>
      </c>
      <c r="AR120" s="435"/>
    </row>
    <row r="121" spans="26:44" x14ac:dyDescent="0.2">
      <c r="Z121" s="369">
        <v>2</v>
      </c>
      <c r="AA121" s="369" t="s">
        <v>4993</v>
      </c>
      <c r="AB121" s="369" t="s">
        <v>4903</v>
      </c>
      <c r="AC121" s="370" t="s">
        <v>4979</v>
      </c>
      <c r="AD121" s="371">
        <v>279.89999999999998</v>
      </c>
      <c r="AE121" s="371">
        <v>290.89999999999998</v>
      </c>
      <c r="AF121" s="371">
        <f t="shared" si="28"/>
        <v>11</v>
      </c>
      <c r="AG121" s="371" t="s">
        <v>4882</v>
      </c>
      <c r="AH121" s="371" t="s">
        <v>5017</v>
      </c>
      <c r="AI121" s="435"/>
      <c r="AJ121" s="435">
        <v>11</v>
      </c>
      <c r="AK121" s="435"/>
      <c r="AL121" s="435"/>
      <c r="AM121" s="435"/>
      <c r="AN121" s="435"/>
      <c r="AO121" s="435"/>
      <c r="AP121" s="435"/>
      <c r="AQ121" s="435">
        <v>15.3</v>
      </c>
      <c r="AR121" s="435"/>
    </row>
    <row r="122" spans="26:44" x14ac:dyDescent="0.2">
      <c r="Z122" s="369">
        <v>2</v>
      </c>
      <c r="AA122" s="369" t="s">
        <v>4993</v>
      </c>
      <c r="AB122" s="369" t="s">
        <v>4903</v>
      </c>
      <c r="AC122" s="370" t="s">
        <v>4980</v>
      </c>
      <c r="AD122" s="371">
        <v>290.89999999999998</v>
      </c>
      <c r="AE122" s="371">
        <v>312.7</v>
      </c>
      <c r="AF122" s="371">
        <f t="shared" si="28"/>
        <v>21.800000000000011</v>
      </c>
      <c r="AG122" s="371" t="s">
        <v>4882</v>
      </c>
      <c r="AH122" s="371" t="s">
        <v>5017</v>
      </c>
      <c r="AI122" s="435"/>
      <c r="AJ122" s="435">
        <v>21.800000000000011</v>
      </c>
      <c r="AK122" s="435"/>
      <c r="AL122" s="435"/>
      <c r="AM122" s="435"/>
      <c r="AN122" s="435"/>
      <c r="AO122" s="435"/>
      <c r="AP122" s="435"/>
      <c r="AQ122" s="435"/>
      <c r="AR122" s="435"/>
    </row>
    <row r="123" spans="26:44" x14ac:dyDescent="0.2">
      <c r="Z123" s="369">
        <v>2</v>
      </c>
      <c r="AA123" s="369" t="s">
        <v>4993</v>
      </c>
      <c r="AB123" s="369" t="s">
        <v>4903</v>
      </c>
      <c r="AC123" s="370" t="s">
        <v>4981</v>
      </c>
      <c r="AD123" s="371">
        <v>312.7</v>
      </c>
      <c r="AE123" s="371">
        <v>348.1</v>
      </c>
      <c r="AF123" s="371">
        <f t="shared" si="28"/>
        <v>35.400000000000034</v>
      </c>
      <c r="AG123" s="371" t="s">
        <v>4882</v>
      </c>
      <c r="AH123" s="371" t="s">
        <v>5017</v>
      </c>
      <c r="AI123" s="435"/>
      <c r="AJ123" s="435">
        <v>35.400000000000034</v>
      </c>
      <c r="AK123" s="435"/>
      <c r="AL123" s="435"/>
      <c r="AM123" s="435"/>
      <c r="AN123" s="435"/>
      <c r="AO123" s="435"/>
      <c r="AP123" s="435"/>
      <c r="AQ123" s="435"/>
      <c r="AR123" s="435"/>
    </row>
    <row r="124" spans="26:44" x14ac:dyDescent="0.2">
      <c r="Z124" s="369">
        <v>2</v>
      </c>
      <c r="AA124" s="369" t="s">
        <v>4993</v>
      </c>
      <c r="AB124" s="369" t="s">
        <v>4903</v>
      </c>
      <c r="AC124" s="370" t="s">
        <v>4982</v>
      </c>
      <c r="AD124" s="371">
        <v>348.1</v>
      </c>
      <c r="AE124" s="371">
        <v>376.1</v>
      </c>
      <c r="AF124" s="371">
        <f t="shared" si="28"/>
        <v>28</v>
      </c>
      <c r="AG124" s="371" t="s">
        <v>4882</v>
      </c>
      <c r="AH124" s="371" t="s">
        <v>5017</v>
      </c>
      <c r="AI124" s="435"/>
      <c r="AJ124" s="435">
        <v>28</v>
      </c>
      <c r="AK124" s="435"/>
      <c r="AL124" s="435"/>
      <c r="AM124" s="435"/>
      <c r="AN124" s="435"/>
      <c r="AO124" s="435"/>
      <c r="AP124" s="435"/>
      <c r="AQ124" s="435"/>
      <c r="AR124" s="435"/>
    </row>
    <row r="125" spans="26:44" x14ac:dyDescent="0.2">
      <c r="Z125" s="369">
        <v>2</v>
      </c>
      <c r="AA125" s="369" t="s">
        <v>4993</v>
      </c>
      <c r="AB125" s="369" t="s">
        <v>4903</v>
      </c>
      <c r="AC125" s="370" t="s">
        <v>4983</v>
      </c>
      <c r="AD125" s="371">
        <v>376.1</v>
      </c>
      <c r="AE125" s="371">
        <v>387.7</v>
      </c>
      <c r="AF125" s="371">
        <f t="shared" si="28"/>
        <v>11.599999999999966</v>
      </c>
      <c r="AG125" s="371" t="s">
        <v>4882</v>
      </c>
      <c r="AH125" s="371" t="s">
        <v>5017</v>
      </c>
      <c r="AI125" s="435"/>
      <c r="AJ125" s="435">
        <v>11.599999999999966</v>
      </c>
      <c r="AK125" s="435"/>
      <c r="AL125" s="435"/>
      <c r="AM125" s="435"/>
      <c r="AN125" s="435"/>
      <c r="AO125" s="435"/>
      <c r="AP125" s="435"/>
      <c r="AQ125" s="435">
        <v>4.7</v>
      </c>
      <c r="AR125" s="435"/>
    </row>
    <row r="126" spans="26:44" x14ac:dyDescent="0.2">
      <c r="Z126" s="369">
        <v>2</v>
      </c>
      <c r="AA126" s="369" t="s">
        <v>4993</v>
      </c>
      <c r="AB126" s="369" t="s">
        <v>4903</v>
      </c>
      <c r="AC126" s="370" t="s">
        <v>4984</v>
      </c>
      <c r="AD126" s="371">
        <v>387.7</v>
      </c>
      <c r="AE126" s="371">
        <v>389</v>
      </c>
      <c r="AF126" s="371">
        <f t="shared" si="28"/>
        <v>1.3000000000000114</v>
      </c>
      <c r="AG126" s="371" t="s">
        <v>4882</v>
      </c>
      <c r="AH126" s="371" t="s">
        <v>5017</v>
      </c>
      <c r="AI126" s="435"/>
      <c r="AJ126" s="435">
        <v>1.3000000000000114</v>
      </c>
      <c r="AK126" s="435"/>
      <c r="AL126" s="435"/>
      <c r="AM126" s="435"/>
      <c r="AN126" s="435"/>
      <c r="AO126" s="435"/>
      <c r="AP126" s="435"/>
      <c r="AQ126" s="435">
        <v>2.6000000000000227</v>
      </c>
      <c r="AR126" s="435"/>
    </row>
    <row r="127" spans="26:44" x14ac:dyDescent="0.2">
      <c r="Z127" s="369">
        <v>2</v>
      </c>
      <c r="AA127" s="369" t="s">
        <v>4993</v>
      </c>
      <c r="AB127" s="369" t="s">
        <v>4903</v>
      </c>
      <c r="AC127" s="370" t="s">
        <v>4985</v>
      </c>
      <c r="AD127" s="371">
        <v>389</v>
      </c>
      <c r="AE127" s="371">
        <v>400</v>
      </c>
      <c r="AF127" s="371">
        <f t="shared" si="28"/>
        <v>11</v>
      </c>
      <c r="AG127" s="371" t="s">
        <v>4882</v>
      </c>
      <c r="AH127" s="371" t="s">
        <v>5017</v>
      </c>
      <c r="AI127" s="435"/>
      <c r="AJ127" s="435">
        <v>11</v>
      </c>
      <c r="AK127" s="435"/>
      <c r="AL127" s="435"/>
      <c r="AM127" s="435"/>
      <c r="AN127" s="435"/>
      <c r="AO127" s="435"/>
      <c r="AP127" s="435"/>
      <c r="AQ127" s="435"/>
      <c r="AR127" s="435"/>
    </row>
    <row r="128" spans="26:44" x14ac:dyDescent="0.2">
      <c r="Z128" s="369">
        <v>2</v>
      </c>
      <c r="AA128" s="369" t="s">
        <v>4993</v>
      </c>
      <c r="AB128" s="369" t="s">
        <v>4903</v>
      </c>
      <c r="AC128" s="370" t="s">
        <v>4986</v>
      </c>
      <c r="AD128" s="371">
        <v>400</v>
      </c>
      <c r="AE128" s="371">
        <v>406.4</v>
      </c>
      <c r="AF128" s="371">
        <f t="shared" si="28"/>
        <v>6.3999999999999773</v>
      </c>
      <c r="AG128" s="371" t="s">
        <v>4882</v>
      </c>
      <c r="AH128" s="371" t="s">
        <v>5017</v>
      </c>
      <c r="AI128" s="435"/>
      <c r="AJ128" s="435">
        <v>6.3999999999999773</v>
      </c>
      <c r="AK128" s="435"/>
      <c r="AL128" s="435"/>
      <c r="AM128" s="435"/>
      <c r="AN128" s="435"/>
      <c r="AO128" s="435"/>
      <c r="AP128" s="435"/>
      <c r="AQ128" s="435"/>
      <c r="AR128" s="435"/>
    </row>
    <row r="129" spans="26:44" x14ac:dyDescent="0.2">
      <c r="Z129" s="369">
        <v>2</v>
      </c>
      <c r="AA129" s="369" t="s">
        <v>4993</v>
      </c>
      <c r="AB129" s="369" t="s">
        <v>4903</v>
      </c>
      <c r="AC129" s="370" t="s">
        <v>4987</v>
      </c>
      <c r="AD129" s="371">
        <v>406.4</v>
      </c>
      <c r="AE129" s="371">
        <v>411.5</v>
      </c>
      <c r="AF129" s="371">
        <f t="shared" si="28"/>
        <v>5.1000000000000227</v>
      </c>
      <c r="AG129" s="371" t="s">
        <v>4882</v>
      </c>
      <c r="AH129" s="371" t="s">
        <v>5017</v>
      </c>
      <c r="AI129" s="435"/>
      <c r="AJ129" s="435">
        <v>5.1000000000000227</v>
      </c>
      <c r="AK129" s="435"/>
      <c r="AL129" s="435"/>
      <c r="AM129" s="435"/>
      <c r="AN129" s="435"/>
      <c r="AO129" s="435"/>
      <c r="AP129" s="435"/>
      <c r="AQ129" s="435"/>
      <c r="AR129" s="435"/>
    </row>
    <row r="130" spans="26:44" x14ac:dyDescent="0.2">
      <c r="Z130" s="369">
        <v>2</v>
      </c>
      <c r="AA130" s="369" t="s">
        <v>4993</v>
      </c>
      <c r="AB130" s="369" t="s">
        <v>4903</v>
      </c>
      <c r="AC130" s="370" t="s">
        <v>4988</v>
      </c>
      <c r="AD130" s="371">
        <v>411.5</v>
      </c>
      <c r="AE130" s="371">
        <v>431.7</v>
      </c>
      <c r="AF130" s="371">
        <f t="shared" si="28"/>
        <v>20.199999999999989</v>
      </c>
      <c r="AG130" s="371" t="s">
        <v>4882</v>
      </c>
      <c r="AH130" s="371" t="s">
        <v>5017</v>
      </c>
      <c r="AI130" s="435"/>
      <c r="AJ130" s="435">
        <v>20.199999999999989</v>
      </c>
      <c r="AK130" s="435"/>
      <c r="AL130" s="435"/>
      <c r="AM130" s="435"/>
      <c r="AN130" s="435"/>
      <c r="AO130" s="435"/>
      <c r="AP130" s="435"/>
      <c r="AQ130" s="435"/>
      <c r="AR130" s="435"/>
    </row>
    <row r="131" spans="26:44" x14ac:dyDescent="0.2">
      <c r="Z131" s="369">
        <v>2</v>
      </c>
      <c r="AA131" s="369" t="s">
        <v>4993</v>
      </c>
      <c r="AB131" s="369" t="s">
        <v>4903</v>
      </c>
      <c r="AC131" s="369" t="s">
        <v>4989</v>
      </c>
      <c r="AD131" s="371">
        <v>509.3</v>
      </c>
      <c r="AE131" s="371">
        <v>537.4</v>
      </c>
      <c r="AF131" s="371">
        <f t="shared" si="28"/>
        <v>28.099999999999966</v>
      </c>
      <c r="AG131" s="371" t="s">
        <v>4882</v>
      </c>
      <c r="AH131" s="371" t="s">
        <v>5017</v>
      </c>
      <c r="AI131" s="435"/>
      <c r="AJ131" s="435">
        <v>28.099999999999966</v>
      </c>
      <c r="AK131" s="435"/>
      <c r="AL131" s="435"/>
      <c r="AM131" s="435"/>
      <c r="AN131" s="435"/>
      <c r="AO131" s="435"/>
      <c r="AP131" s="435"/>
      <c r="AQ131" s="435"/>
      <c r="AR131" s="435"/>
    </row>
    <row r="132" spans="26:44" x14ac:dyDescent="0.2">
      <c r="Z132" s="369"/>
      <c r="AA132" s="369"/>
      <c r="AB132" s="369"/>
      <c r="AC132" s="369"/>
      <c r="AD132" s="371"/>
      <c r="AE132" s="371"/>
      <c r="AF132" s="371"/>
      <c r="AG132" s="371"/>
      <c r="AH132" s="371"/>
      <c r="AI132" s="435"/>
      <c r="AJ132" s="435"/>
      <c r="AK132" s="435"/>
      <c r="AL132" s="435"/>
      <c r="AM132" s="435"/>
      <c r="AN132" s="435"/>
      <c r="AO132" s="435"/>
      <c r="AP132" s="435"/>
      <c r="AQ132" s="435"/>
      <c r="AR132" s="435"/>
    </row>
    <row r="133" spans="26:44" x14ac:dyDescent="0.2">
      <c r="AI133" s="45"/>
      <c r="AJ133" s="45"/>
      <c r="AK133" s="45"/>
      <c r="AL133" s="45"/>
      <c r="AM133" s="45"/>
      <c r="AN133" s="45"/>
      <c r="AO133" s="45"/>
      <c r="AP133" s="45"/>
      <c r="AQ133" s="45"/>
      <c r="AR133" s="45"/>
    </row>
    <row r="134" spans="26:44" x14ac:dyDescent="0.2">
      <c r="AI134" s="45"/>
      <c r="AJ134" s="45"/>
      <c r="AK134" s="45"/>
      <c r="AL134" s="45"/>
      <c r="AM134" s="45"/>
      <c r="AN134" s="45"/>
      <c r="AO134" s="45"/>
      <c r="AP134" s="45"/>
      <c r="AQ134" s="45"/>
      <c r="AR134" s="45"/>
    </row>
    <row r="135" spans="26:44" x14ac:dyDescent="0.2">
      <c r="AI135" s="45"/>
      <c r="AJ135" s="45"/>
      <c r="AK135" s="45"/>
      <c r="AL135" s="45"/>
      <c r="AM135" s="45"/>
      <c r="AN135" s="45"/>
      <c r="AO135" s="45"/>
      <c r="AP135" s="45"/>
      <c r="AQ135" s="45"/>
      <c r="AR135" s="45"/>
    </row>
  </sheetData>
  <autoFilter ref="Z1:AR131" xr:uid="{00000000-0009-0000-0000-000002000000}"/>
  <conditionalFormatting sqref="Z2:AH2 Z3:AG18 Z20:AC20 AE20:AG20 Z21:AG37 Z39:AH39 Z44:AH44 Z46:AH47 Z51:AG55 Z57:AH58 Z61:AG64 Z66:AG67 Z68:AH132">
    <cfRule type="expression" dxfId="62" priority="61">
      <formula>INDIRECT(ADDRESS(ROW(),1))="Coinc"</formula>
    </cfRule>
    <cfRule type="expression" dxfId="61" priority="62">
      <formula>INDIRECT(ADDRESS(ROW(),1))="Removido"</formula>
    </cfRule>
    <cfRule type="expression" dxfId="60" priority="63">
      <formula>INDIRECT(ADDRESS(ROW(),1))="Novo Trecho"</formula>
    </cfRule>
  </conditionalFormatting>
  <conditionalFormatting sqref="Z19:AG19">
    <cfRule type="expression" dxfId="59" priority="55">
      <formula>INDIRECT(ADDRESS(ROW(),1))="Coinc"</formula>
    </cfRule>
    <cfRule type="expression" dxfId="58" priority="56">
      <formula>INDIRECT(ADDRESS(ROW(),1))="Removido"</formula>
    </cfRule>
    <cfRule type="expression" dxfId="57" priority="57">
      <formula>INDIRECT(ADDRESS(ROW(),1))="Novo Trecho"</formula>
    </cfRule>
  </conditionalFormatting>
  <conditionalFormatting sqref="AH3:AH24">
    <cfRule type="expression" dxfId="56" priority="52">
      <formula>INDIRECT(ADDRESS(ROW(),1))="Coinc"</formula>
    </cfRule>
    <cfRule type="expression" dxfId="55" priority="53">
      <formula>INDIRECT(ADDRESS(ROW(),1))="Removido"</formula>
    </cfRule>
    <cfRule type="expression" dxfId="54" priority="54">
      <formula>INDIRECT(ADDRESS(ROW(),1))="Novo Trecho"</formula>
    </cfRule>
  </conditionalFormatting>
  <conditionalFormatting sqref="AD20">
    <cfRule type="expression" dxfId="53" priority="49">
      <formula>INDIRECT(ADDRESS(ROW(),1))="Coinc"</formula>
    </cfRule>
    <cfRule type="expression" dxfId="52" priority="50">
      <formula>INDIRECT(ADDRESS(ROW(),1))="Removido"</formula>
    </cfRule>
    <cfRule type="expression" dxfId="51" priority="51">
      <formula>INDIRECT(ADDRESS(ROW(),1))="Novo Trecho"</formula>
    </cfRule>
  </conditionalFormatting>
  <conditionalFormatting sqref="Z38:AH38">
    <cfRule type="expression" dxfId="50" priority="46">
      <formula>INDIRECT(ADDRESS(ROW(),1))="Coinc"</formula>
    </cfRule>
    <cfRule type="expression" dxfId="49" priority="47">
      <formula>INDIRECT(ADDRESS(ROW(),1))="Removido"</formula>
    </cfRule>
    <cfRule type="expression" dxfId="48" priority="48">
      <formula>INDIRECT(ADDRESS(ROW(),1))="Novo Trecho"</formula>
    </cfRule>
  </conditionalFormatting>
  <conditionalFormatting sqref="Z40:AH40">
    <cfRule type="expression" dxfId="47" priority="43">
      <formula>INDIRECT(ADDRESS(ROW(),1))="Coinc"</formula>
    </cfRule>
    <cfRule type="expression" dxfId="46" priority="44">
      <formula>INDIRECT(ADDRESS(ROW(),1))="Removido"</formula>
    </cfRule>
    <cfRule type="expression" dxfId="45" priority="45">
      <formula>INDIRECT(ADDRESS(ROW(),1))="Novo Trecho"</formula>
    </cfRule>
  </conditionalFormatting>
  <conditionalFormatting sqref="Z42:AH42">
    <cfRule type="expression" dxfId="44" priority="40">
      <formula>INDIRECT(ADDRESS(ROW(),1))="Coinc"</formula>
    </cfRule>
    <cfRule type="expression" dxfId="43" priority="41">
      <formula>INDIRECT(ADDRESS(ROW(),1))="Removido"</formula>
    </cfRule>
    <cfRule type="expression" dxfId="42" priority="42">
      <formula>INDIRECT(ADDRESS(ROW(),1))="Novo Trecho"</formula>
    </cfRule>
  </conditionalFormatting>
  <conditionalFormatting sqref="Z41:AH41">
    <cfRule type="expression" dxfId="41" priority="37">
      <formula>INDIRECT(ADDRESS(ROW(),1))="Coinc"</formula>
    </cfRule>
    <cfRule type="expression" dxfId="40" priority="38">
      <formula>INDIRECT(ADDRESS(ROW(),1))="Removido"</formula>
    </cfRule>
    <cfRule type="expression" dxfId="39" priority="39">
      <formula>INDIRECT(ADDRESS(ROW(),1))="Novo Trecho"</formula>
    </cfRule>
  </conditionalFormatting>
  <conditionalFormatting sqref="AH25:AH37">
    <cfRule type="expression" dxfId="38" priority="34">
      <formula>INDIRECT(ADDRESS(ROW(),1))="Coinc"</formula>
    </cfRule>
    <cfRule type="expression" dxfId="37" priority="35">
      <formula>INDIRECT(ADDRESS(ROW(),1))="Removido"</formula>
    </cfRule>
    <cfRule type="expression" dxfId="36" priority="36">
      <formula>INDIRECT(ADDRESS(ROW(),1))="Novo Trecho"</formula>
    </cfRule>
  </conditionalFormatting>
  <conditionalFormatting sqref="Z43:AH43">
    <cfRule type="expression" dxfId="35" priority="31">
      <formula>INDIRECT(ADDRESS(ROW(),1))="Coinc"</formula>
    </cfRule>
    <cfRule type="expression" dxfId="34" priority="32">
      <formula>INDIRECT(ADDRESS(ROW(),1))="Removido"</formula>
    </cfRule>
    <cfRule type="expression" dxfId="33" priority="33">
      <formula>INDIRECT(ADDRESS(ROW(),1))="Novo Trecho"</formula>
    </cfRule>
  </conditionalFormatting>
  <conditionalFormatting sqref="Z45:AH45">
    <cfRule type="expression" dxfId="32" priority="28">
      <formula>INDIRECT(ADDRESS(ROW(),1))="Coinc"</formula>
    </cfRule>
    <cfRule type="expression" dxfId="31" priority="29">
      <formula>INDIRECT(ADDRESS(ROW(),1))="Removido"</formula>
    </cfRule>
    <cfRule type="expression" dxfId="30" priority="30">
      <formula>INDIRECT(ADDRESS(ROW(),1))="Novo Trecho"</formula>
    </cfRule>
  </conditionalFormatting>
  <conditionalFormatting sqref="Z50:AG50">
    <cfRule type="expression" dxfId="29" priority="25">
      <formula>INDIRECT(ADDRESS(ROW(),1))="Coinc"</formula>
    </cfRule>
    <cfRule type="expression" dxfId="28" priority="26">
      <formula>INDIRECT(ADDRESS(ROW(),1))="Removido"</formula>
    </cfRule>
    <cfRule type="expression" dxfId="27" priority="27">
      <formula>INDIRECT(ADDRESS(ROW(),1))="Novo Trecho"</formula>
    </cfRule>
  </conditionalFormatting>
  <conditionalFormatting sqref="Z48:AH48">
    <cfRule type="expression" dxfId="26" priority="22">
      <formula>INDIRECT(ADDRESS(ROW(),1))="Coinc"</formula>
    </cfRule>
    <cfRule type="expression" dxfId="25" priority="23">
      <formula>INDIRECT(ADDRESS(ROW(),1))="Removido"</formula>
    </cfRule>
    <cfRule type="expression" dxfId="24" priority="24">
      <formula>INDIRECT(ADDRESS(ROW(),1))="Novo Trecho"</formula>
    </cfRule>
  </conditionalFormatting>
  <conditionalFormatting sqref="Z49:AH49">
    <cfRule type="expression" dxfId="23" priority="19">
      <formula>INDIRECT(ADDRESS(ROW(),1))="Coinc"</formula>
    </cfRule>
    <cfRule type="expression" dxfId="22" priority="20">
      <formula>INDIRECT(ADDRESS(ROW(),1))="Removido"</formula>
    </cfRule>
    <cfRule type="expression" dxfId="21" priority="21">
      <formula>INDIRECT(ADDRESS(ROW(),1))="Novo Trecho"</formula>
    </cfRule>
  </conditionalFormatting>
  <conditionalFormatting sqref="Z56:AG56">
    <cfRule type="expression" dxfId="20" priority="16">
      <formula>INDIRECT(ADDRESS(ROW(),1))="Coinc"</formula>
    </cfRule>
    <cfRule type="expression" dxfId="19" priority="17">
      <formula>INDIRECT(ADDRESS(ROW(),1))="Removido"</formula>
    </cfRule>
    <cfRule type="expression" dxfId="18" priority="18">
      <formula>INDIRECT(ADDRESS(ROW(),1))="Novo Trecho"</formula>
    </cfRule>
  </conditionalFormatting>
  <conditionalFormatting sqref="Z59:AH59">
    <cfRule type="expression" dxfId="17" priority="13">
      <formula>INDIRECT(ADDRESS(ROW(),1))="Coinc"</formula>
    </cfRule>
    <cfRule type="expression" dxfId="16" priority="14">
      <formula>INDIRECT(ADDRESS(ROW(),1))="Removido"</formula>
    </cfRule>
    <cfRule type="expression" dxfId="15" priority="15">
      <formula>INDIRECT(ADDRESS(ROW(),1))="Novo Trecho"</formula>
    </cfRule>
  </conditionalFormatting>
  <conditionalFormatting sqref="Z60:AH60">
    <cfRule type="expression" dxfId="14" priority="10">
      <formula>INDIRECT(ADDRESS(ROW(),1))="Coinc"</formula>
    </cfRule>
    <cfRule type="expression" dxfId="13" priority="11">
      <formula>INDIRECT(ADDRESS(ROW(),1))="Removido"</formula>
    </cfRule>
    <cfRule type="expression" dxfId="12" priority="12">
      <formula>INDIRECT(ADDRESS(ROW(),1))="Novo Trecho"</formula>
    </cfRule>
  </conditionalFormatting>
  <conditionalFormatting sqref="AH50:AH56">
    <cfRule type="expression" dxfId="11" priority="7">
      <formula>INDIRECT(ADDRESS(ROW(),1))="Coinc"</formula>
    </cfRule>
    <cfRule type="expression" dxfId="10" priority="8">
      <formula>INDIRECT(ADDRESS(ROW(),1))="Removido"</formula>
    </cfRule>
    <cfRule type="expression" dxfId="9" priority="9">
      <formula>INDIRECT(ADDRESS(ROW(),1))="Novo Trecho"</formula>
    </cfRule>
  </conditionalFormatting>
  <conditionalFormatting sqref="Z65:AG65">
    <cfRule type="expression" dxfId="8" priority="4">
      <formula>INDIRECT(ADDRESS(ROW(),1))="Coinc"</formula>
    </cfRule>
    <cfRule type="expression" dxfId="7" priority="5">
      <formula>INDIRECT(ADDRESS(ROW(),1))="Removido"</formula>
    </cfRule>
    <cfRule type="expression" dxfId="6" priority="6">
      <formula>INDIRECT(ADDRESS(ROW(),1))="Novo Trecho"</formula>
    </cfRule>
  </conditionalFormatting>
  <conditionalFormatting sqref="AH61:AH67">
    <cfRule type="expression" dxfId="5" priority="1">
      <formula>INDIRECT(ADDRESS(ROW(),1))="Coinc"</formula>
    </cfRule>
    <cfRule type="expression" dxfId="4" priority="2">
      <formula>INDIRECT(ADDRESS(ROW(),1))="Removido"</formula>
    </cfRule>
    <cfRule type="expression" dxfId="3" priority="3">
      <formula>INDIRECT(ADDRESS(ROW(),1))="Novo Trecho"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5">
    <tabColor theme="4" tint="0.59999389629810485"/>
  </sheetPr>
  <dimension ref="A1:F11"/>
  <sheetViews>
    <sheetView showGridLines="0" workbookViewId="0">
      <selection activeCell="G10" sqref="G10"/>
    </sheetView>
  </sheetViews>
  <sheetFormatPr defaultRowHeight="12.75" x14ac:dyDescent="0.2"/>
  <cols>
    <col min="1" max="1" width="98.85546875" style="4" customWidth="1"/>
    <col min="2" max="2" width="17.140625" style="1" customWidth="1"/>
    <col min="3" max="3" width="11.5703125" style="1" customWidth="1"/>
    <col min="4" max="5" width="11.28515625" style="1" bestFit="1" customWidth="1"/>
    <col min="6" max="16384" width="9.140625" style="1"/>
  </cols>
  <sheetData>
    <row r="1" spans="1:6" ht="15.75" x14ac:dyDescent="0.25">
      <c r="A1" s="701" t="s">
        <v>1900</v>
      </c>
      <c r="B1" s="701"/>
    </row>
    <row r="2" spans="1:6" ht="15.75" x14ac:dyDescent="0.25">
      <c r="A2" s="702" t="s">
        <v>1901</v>
      </c>
      <c r="B2" s="702"/>
    </row>
    <row r="3" spans="1:6" x14ac:dyDescent="0.2">
      <c r="A3" s="104"/>
      <c r="B3" s="105"/>
    </row>
    <row r="4" spans="1:6" ht="25.5" x14ac:dyDescent="0.2">
      <c r="A4" s="100" t="s">
        <v>1</v>
      </c>
      <c r="B4" s="99" t="s">
        <v>1864</v>
      </c>
      <c r="C4" s="99" t="s">
        <v>2496</v>
      </c>
      <c r="D4" s="99" t="s">
        <v>4862</v>
      </c>
      <c r="E4" s="99" t="s">
        <v>5265</v>
      </c>
      <c r="F4" s="34"/>
    </row>
    <row r="5" spans="1:6" x14ac:dyDescent="0.2">
      <c r="A5" s="101" t="s">
        <v>1523</v>
      </c>
      <c r="B5" s="102">
        <f>SUM(B6:B7)</f>
        <v>878488.6</v>
      </c>
      <c r="C5" s="102"/>
      <c r="D5" s="102"/>
      <c r="E5" s="102"/>
    </row>
    <row r="6" spans="1:6" x14ac:dyDescent="0.2">
      <c r="A6" s="7" t="s">
        <v>4863</v>
      </c>
      <c r="B6" s="5">
        <f t="shared" ref="B6" si="0">C6*D6*E6</f>
        <v>469780</v>
      </c>
      <c r="C6" s="365">
        <v>1</v>
      </c>
      <c r="D6" s="5">
        <v>100000</v>
      </c>
      <c r="E6" s="365">
        <v>4.6978</v>
      </c>
    </row>
    <row r="7" spans="1:6" x14ac:dyDescent="0.2">
      <c r="A7" s="7" t="s">
        <v>4864</v>
      </c>
      <c r="B7" s="5">
        <f>SUM(B8:B9)</f>
        <v>408708.6</v>
      </c>
      <c r="C7" s="365"/>
      <c r="D7" s="5">
        <f>C8*D8+C9*D9</f>
        <v>87000</v>
      </c>
      <c r="E7" s="365">
        <f>E6</f>
        <v>4.6978</v>
      </c>
    </row>
    <row r="8" spans="1:6" x14ac:dyDescent="0.2">
      <c r="A8" s="364" t="s">
        <v>4865</v>
      </c>
      <c r="B8" s="5">
        <f>C8*D8*E8</f>
        <v>79862.600000000006</v>
      </c>
      <c r="C8" s="366">
        <v>2</v>
      </c>
      <c r="D8" s="5">
        <v>8500</v>
      </c>
      <c r="E8" s="365">
        <f t="shared" ref="E8" si="1">E7</f>
        <v>4.6978</v>
      </c>
    </row>
    <row r="9" spans="1:6" x14ac:dyDescent="0.2">
      <c r="A9" s="364" t="s">
        <v>4866</v>
      </c>
      <c r="B9" s="5">
        <f>C9*D9*E9</f>
        <v>328846</v>
      </c>
      <c r="C9" s="365">
        <v>2</v>
      </c>
      <c r="D9" s="5">
        <v>35000</v>
      </c>
      <c r="E9" s="365">
        <f>E8</f>
        <v>4.6978</v>
      </c>
    </row>
    <row r="10" spans="1:6" x14ac:dyDescent="0.2">
      <c r="A10" s="6"/>
      <c r="B10" s="5"/>
      <c r="C10" s="365"/>
      <c r="D10" s="5"/>
      <c r="E10" s="365"/>
    </row>
    <row r="11" spans="1:6" x14ac:dyDescent="0.2">
      <c r="A11" s="100" t="s">
        <v>1525</v>
      </c>
      <c r="B11" s="103">
        <f>SUM(B6:B7)</f>
        <v>878488.6</v>
      </c>
      <c r="C11" s="103"/>
      <c r="D11" s="103">
        <f>SUM(D6:D7)</f>
        <v>187000</v>
      </c>
      <c r="E11" s="103"/>
    </row>
  </sheetData>
  <mergeCells count="2">
    <mergeCell ref="A1:B1"/>
    <mergeCell ref="A2:B2"/>
  </mergeCells>
  <pageMargins left="0.511811024" right="0.511811024" top="0.78740157499999996" bottom="0.78740157499999996" header="0.31496062000000002" footer="0.31496062000000002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4">
    <tabColor theme="4" tint="0.59999389629810485"/>
  </sheetPr>
  <dimension ref="A1:F34"/>
  <sheetViews>
    <sheetView showGridLines="0" workbookViewId="0">
      <selection activeCell="A30" sqref="A30"/>
    </sheetView>
  </sheetViews>
  <sheetFormatPr defaultRowHeight="12.75" x14ac:dyDescent="0.2"/>
  <cols>
    <col min="1" max="1" width="94.42578125" style="47" bestFit="1" customWidth="1"/>
    <col min="2" max="2" width="15.28515625" style="45" customWidth="1"/>
    <col min="3" max="3" width="3.7109375" style="1" bestFit="1" customWidth="1"/>
    <col min="4" max="4" width="14.5703125" style="1" bestFit="1" customWidth="1"/>
    <col min="5" max="5" width="11.28515625" style="1" bestFit="1" customWidth="1"/>
    <col min="6" max="16384" width="9.140625" style="1"/>
  </cols>
  <sheetData>
    <row r="1" spans="1:5" ht="15" x14ac:dyDescent="0.25">
      <c r="A1" s="115" t="s">
        <v>1900</v>
      </c>
      <c r="B1" s="115"/>
    </row>
    <row r="2" spans="1:5" ht="15" x14ac:dyDescent="0.25">
      <c r="A2" s="114" t="s">
        <v>2716</v>
      </c>
      <c r="B2"/>
      <c r="D2" s="1" t="s">
        <v>5264</v>
      </c>
    </row>
    <row r="3" spans="1:5" ht="5.0999999999999996" customHeight="1" x14ac:dyDescent="0.2">
      <c r="A3" s="104"/>
      <c r="B3" s="105"/>
    </row>
    <row r="4" spans="1:5" ht="25.5" x14ac:dyDescent="0.2">
      <c r="A4" s="101" t="s">
        <v>1</v>
      </c>
      <c r="B4" s="116" t="s">
        <v>1866</v>
      </c>
      <c r="D4" s="116" t="s">
        <v>1866</v>
      </c>
    </row>
    <row r="5" spans="1:5" x14ac:dyDescent="0.2">
      <c r="A5" s="117" t="str">
        <f>'Parte A'!A2</f>
        <v>Parte A – Trabalhos Contratados</v>
      </c>
      <c r="B5" s="118">
        <f>SUM(B6:B10)</f>
        <v>13154856.331238884</v>
      </c>
      <c r="D5" s="118">
        <v>12926081.726169189</v>
      </c>
      <c r="E5" s="444">
        <f>B5/D5-1</f>
        <v>1.769868162031929E-2</v>
      </c>
    </row>
    <row r="6" spans="1:5" x14ac:dyDescent="0.2">
      <c r="A6" s="46" t="str">
        <f>'Parte A'!A5:E5</f>
        <v>A.1) Tráfego</v>
      </c>
      <c r="B6" s="8">
        <f>'Parte A'!F5</f>
        <v>883655.78876515245</v>
      </c>
      <c r="D6" s="443">
        <v>858268.03417730739</v>
      </c>
      <c r="E6" s="444">
        <f t="shared" ref="E6:E28" si="0">B6/D6-1</f>
        <v>2.9580216875000565E-2</v>
      </c>
    </row>
    <row r="7" spans="1:5" x14ac:dyDescent="0.2">
      <c r="A7" s="46" t="str">
        <f>'Parte A'!A10</f>
        <v>A.2) Levantamento topográfico</v>
      </c>
      <c r="B7" s="8">
        <f>'Parte A'!F10</f>
        <v>8504391.3180503994</v>
      </c>
      <c r="D7" s="443">
        <v>8326171.1721918937</v>
      </c>
      <c r="E7" s="444">
        <f t="shared" si="0"/>
        <v>2.140481407032957E-2</v>
      </c>
    </row>
    <row r="8" spans="1:5" x14ac:dyDescent="0.2">
      <c r="A8" s="46" t="str">
        <f>'Parte A'!A21</f>
        <v>A.3) Sondagens</v>
      </c>
      <c r="B8" s="8">
        <f>'Parte A'!F21</f>
        <v>1905666.7779541328</v>
      </c>
      <c r="D8" s="443">
        <v>1901008.1010887721</v>
      </c>
      <c r="E8" s="444">
        <f t="shared" si="0"/>
        <v>2.4506349355863932E-3</v>
      </c>
    </row>
    <row r="9" spans="1:5" x14ac:dyDescent="0.2">
      <c r="A9" s="48" t="str">
        <f>'Parte A'!A43:E43</f>
        <v>A.4) Levantamentos de Pavimento</v>
      </c>
      <c r="B9" s="8">
        <f>'Parte A'!F43</f>
        <v>1624302.0050885663</v>
      </c>
      <c r="D9" s="443">
        <v>1610598.4899911666</v>
      </c>
      <c r="E9" s="444">
        <f t="shared" si="0"/>
        <v>8.5083372315062356E-3</v>
      </c>
    </row>
    <row r="10" spans="1:5" x14ac:dyDescent="0.2">
      <c r="A10" s="48" t="str">
        <f>'Parte A'!A49:E49</f>
        <v>A.5) iRAP</v>
      </c>
      <c r="B10" s="8">
        <f>'Parte A'!F49</f>
        <v>236840.44138063357</v>
      </c>
      <c r="D10" s="443">
        <v>230035.92872005232</v>
      </c>
      <c r="E10" s="444">
        <f t="shared" si="0"/>
        <v>2.958021687500012E-2</v>
      </c>
    </row>
    <row r="11" spans="1:5" x14ac:dyDescent="0.2">
      <c r="A11" s="117" t="str">
        <f>'Parte B'!A2</f>
        <v>Parte B – Projeto de Modelagem da Concessão</v>
      </c>
      <c r="B11" s="118">
        <f>SUM(B12:B27)</f>
        <v>11851830.107401259</v>
      </c>
      <c r="D11" s="118">
        <v>11655067.369436422</v>
      </c>
      <c r="E11" s="444">
        <f t="shared" si="0"/>
        <v>1.6882162215622776E-2</v>
      </c>
    </row>
    <row r="12" spans="1:5" x14ac:dyDescent="0.2">
      <c r="A12" s="46" t="str">
        <f>'Parte B'!A5</f>
        <v>B.00) Planos de Trabalho</v>
      </c>
      <c r="B12" s="8">
        <f t="array" ref="B12">SUM(IF(($A12='Parte B'!$A$4:$A$207),('Parte B'!$G$4:$G$207)))</f>
        <v>41113.883298559151</v>
      </c>
      <c r="D12" s="443">
        <v>40272.503279500081</v>
      </c>
      <c r="E12" s="444">
        <f t="shared" si="0"/>
        <v>2.0892170849666547E-2</v>
      </c>
    </row>
    <row r="13" spans="1:5" x14ac:dyDescent="0.2">
      <c r="A13" s="46" t="str">
        <f>'Parte B'!A13</f>
        <v>B.01) Relatório de estudos de tráfego</v>
      </c>
      <c r="B13" s="8">
        <f t="array" ref="B13">SUM(IF(($A13='Parte B'!$A$4:$A$207),('Parte B'!$G$4:$G$207)))</f>
        <v>2088100.0027909444</v>
      </c>
      <c r="D13" s="443">
        <v>2038191.2527348499</v>
      </c>
      <c r="E13" s="444">
        <f t="shared" si="0"/>
        <v>2.4486784539540452E-2</v>
      </c>
    </row>
    <row r="14" spans="1:5" x14ac:dyDescent="0.2">
      <c r="A14" s="46" t="str">
        <f>'Parte B'!A41</f>
        <v>B.02) Relatório de estudos geológicos e hidrológicos</v>
      </c>
      <c r="B14" s="8">
        <f t="array" ref="B14">SUM(IF(($A14='Parte B'!$A$4:$A$207),('Parte B'!$G$4:$G$207)))</f>
        <v>977469.28473348264</v>
      </c>
      <c r="D14" s="443">
        <v>998349.9866300209</v>
      </c>
      <c r="E14" s="444">
        <f t="shared" si="0"/>
        <v>-2.0915212276430339E-2</v>
      </c>
    </row>
    <row r="15" spans="1:5" x14ac:dyDescent="0.2">
      <c r="A15" s="46" t="str">
        <f>'Parte B'!A60</f>
        <v>B.03) Relatório de estudos sócio-ambientais</v>
      </c>
      <c r="B15" s="8">
        <f t="array" ref="B15">SUM(IF(($A15='Parte B'!$A$4:$A$207),('Parte B'!$G$4:$G$207)))</f>
        <v>1013525.6171599395</v>
      </c>
      <c r="D15" s="443">
        <v>988625.82801433839</v>
      </c>
      <c r="E15" s="444">
        <f t="shared" si="0"/>
        <v>2.5186262021509753E-2</v>
      </c>
    </row>
    <row r="16" spans="1:5" x14ac:dyDescent="0.2">
      <c r="A16" s="46" t="str">
        <f>'Parte B'!A85</f>
        <v>B.04) Relatório de estudos de pavimentos</v>
      </c>
      <c r="B16" s="8">
        <f t="array" ref="B16">SUM(IF(($A16='Parte B'!$A$4:$A$207),('Parte B'!$G$4:$G$207)))</f>
        <v>326273.07002632786</v>
      </c>
      <c r="D16" s="443">
        <v>320188.42236244015</v>
      </c>
      <c r="E16" s="444">
        <f t="shared" si="0"/>
        <v>1.9003334408513206E-2</v>
      </c>
    </row>
    <row r="17" spans="1:6" x14ac:dyDescent="0.2">
      <c r="A17" s="46" t="str">
        <f>'Parte B'!A103</f>
        <v>B.05) Programa de manutenção de pavimentos com HDM-4</v>
      </c>
      <c r="B17" s="8">
        <f t="array" ref="B17">SUM(IF(($A17='Parte B'!$A$4:$A$207),('Parte B'!$G$4:$G$207)))</f>
        <v>737619.90575699892</v>
      </c>
      <c r="D17" s="443">
        <v>720049.89189875568</v>
      </c>
      <c r="E17" s="444">
        <f t="shared" si="0"/>
        <v>2.4401106167673436E-2</v>
      </c>
    </row>
    <row r="18" spans="1:6" x14ac:dyDescent="0.2">
      <c r="A18" s="46" t="str">
        <f>'Parte B'!A111</f>
        <v>B.06) Relatório de remanejamento de interferências</v>
      </c>
      <c r="B18" s="8">
        <f t="array" ref="B18">SUM(IF(($A18='Parte B'!$A$4:$A$207),('Parte B'!$G$4:$G$207)))</f>
        <v>236700.6942148534</v>
      </c>
      <c r="D18" s="443">
        <v>233206.77123064897</v>
      </c>
      <c r="E18" s="444">
        <f t="shared" si="0"/>
        <v>1.4982082062912516E-2</v>
      </c>
    </row>
    <row r="19" spans="1:6" x14ac:dyDescent="0.2">
      <c r="A19" s="46" t="str">
        <f>'Parte B'!A129</f>
        <v>B.07) Inventário de obras de arte especiais</v>
      </c>
      <c r="B19" s="8">
        <f t="array" ref="B19">SUM(IF(($A19='Parte B'!$A$4:$A$207),('Parte B'!$G$4:$G$207)))</f>
        <v>342452.06188512128</v>
      </c>
      <c r="D19" s="443">
        <v>332639.83673314383</v>
      </c>
      <c r="E19" s="444">
        <f t="shared" si="0"/>
        <v>2.9498045839438047E-2</v>
      </c>
    </row>
    <row r="20" spans="1:6" x14ac:dyDescent="0.2">
      <c r="A20" s="46" t="str">
        <f>'Parte B'!A149</f>
        <v>B.08) Funcionais geométricos em planta e perfil, inclusive modelagem BIM e quantitativos de terraplenagem</v>
      </c>
      <c r="B20" s="8">
        <f t="array" ref="B20">SUM(IF(($A20='Parte B'!$A$4:$A$207),('Parte B'!$G$4:$G$207)))</f>
        <v>1420641.8666961235</v>
      </c>
      <c r="D20" s="443">
        <v>1393357.273776344</v>
      </c>
      <c r="E20" s="444">
        <f t="shared" si="0"/>
        <v>1.958190726333342E-2</v>
      </c>
    </row>
    <row r="21" spans="1:6" x14ac:dyDescent="0.2">
      <c r="A21" s="46" t="str">
        <f>'Parte B'!A161</f>
        <v>B.09) Modelo Operacional</v>
      </c>
      <c r="B21" s="8">
        <f t="array" ref="B21">SUM(IF(($A21='Parte B'!$A$4:$A$207),('Parte B'!$G$4:$G$207)))</f>
        <v>850490.28895855276</v>
      </c>
      <c r="D21" s="443">
        <v>834096.40583651327</v>
      </c>
      <c r="E21" s="444">
        <f t="shared" si="0"/>
        <v>1.9654662227681197E-2</v>
      </c>
    </row>
    <row r="22" spans="1:6" x14ac:dyDescent="0.2">
      <c r="A22" s="46" t="str">
        <f>'Parte B'!A170</f>
        <v>B.10) CAPEX / OPEX Sociambiental</v>
      </c>
      <c r="B22" s="8">
        <f t="array" ref="B22">SUM(IF(($A22='Parte B'!$A$4:$A$207),('Parte B'!$G$4:$G$207)))</f>
        <v>193188.13736025552</v>
      </c>
      <c r="D22" s="443">
        <v>189526.6951967018</v>
      </c>
      <c r="E22" s="444">
        <f t="shared" si="0"/>
        <v>1.9318873047164509E-2</v>
      </c>
      <c r="F22" s="355"/>
    </row>
    <row r="23" spans="1:6" x14ac:dyDescent="0.2">
      <c r="A23" s="46" t="str">
        <f>'Parte B'!A177</f>
        <v>B.11) Orçamento</v>
      </c>
      <c r="B23" s="8">
        <f t="array" ref="B23">SUM(IF(($A23='Parte B'!$A$4:$A$207),('Parte B'!$G$4:$G$207)))</f>
        <v>859007.1163601866</v>
      </c>
      <c r="D23" s="443">
        <v>846351.87642980379</v>
      </c>
      <c r="E23" s="444">
        <f t="shared" si="0"/>
        <v>1.4952693179776322E-2</v>
      </c>
    </row>
    <row r="24" spans="1:6" ht="12" customHeight="1" x14ac:dyDescent="0.2">
      <c r="A24" s="46" t="str">
        <f>'Parte B'!A187</f>
        <v>B.12) Modelo Econômico-Financeiro</v>
      </c>
      <c r="B24" s="8">
        <f t="array" ref="B24">SUM(IF(($A24='Parte B'!$A$4:$A$207),('Parte B'!$G$4:$G$207)))</f>
        <v>973259.38172337937</v>
      </c>
      <c r="D24" s="443">
        <v>952165.92777332629</v>
      </c>
      <c r="E24" s="444">
        <f t="shared" si="0"/>
        <v>2.2153128288659563E-2</v>
      </c>
    </row>
    <row r="25" spans="1:6" x14ac:dyDescent="0.2">
      <c r="A25" s="46" t="str">
        <f>'Parte B'!A197</f>
        <v>B.13) Modelagem Jurídica</v>
      </c>
      <c r="B25" s="8">
        <f t="array" ref="B25">SUM(IF(($A25='Parte B'!$A$4:$A$207),('Parte B'!$G$4:$G$207)))</f>
        <v>742120.48434924684</v>
      </c>
      <c r="D25" s="443">
        <v>748257.29422757716</v>
      </c>
      <c r="E25" s="444">
        <f t="shared" si="0"/>
        <v>-8.2014701703180259E-3</v>
      </c>
      <c r="F25" s="355"/>
    </row>
    <row r="26" spans="1:6" x14ac:dyDescent="0.2">
      <c r="A26" s="46" t="str">
        <f>'Parte B'!A208</f>
        <v>B.14) Gestão de Projeto</v>
      </c>
      <c r="B26" s="8">
        <f>'Parte B'!G208</f>
        <v>912605.18780962634</v>
      </c>
      <c r="D26" s="443">
        <v>882977.52070334216</v>
      </c>
      <c r="E26" s="444">
        <f t="shared" si="0"/>
        <v>3.355427110158371E-2</v>
      </c>
    </row>
    <row r="27" spans="1:6" x14ac:dyDescent="0.2">
      <c r="A27" s="9" t="str">
        <f>'Parte B'!A216</f>
        <v>B.15) Compilação de dados gerais existentes</v>
      </c>
      <c r="B27" s="8">
        <f>'Parte B'!G216</f>
        <v>137263.12427766054</v>
      </c>
      <c r="D27" s="443">
        <v>136809.88260911396</v>
      </c>
      <c r="E27" s="444">
        <f t="shared" si="0"/>
        <v>3.3129307613073422E-3</v>
      </c>
    </row>
    <row r="28" spans="1:6" x14ac:dyDescent="0.2">
      <c r="A28" s="117" t="s">
        <v>1524</v>
      </c>
      <c r="B28" s="118">
        <f>B11+B5</f>
        <v>25006686.438640144</v>
      </c>
      <c r="D28" s="118">
        <v>24581149.095605612</v>
      </c>
      <c r="E28" s="444">
        <f t="shared" si="0"/>
        <v>1.7311531750588749E-2</v>
      </c>
    </row>
    <row r="33" spans="2:2" x14ac:dyDescent="0.2">
      <c r="B33" s="362"/>
    </row>
    <row r="34" spans="2:2" x14ac:dyDescent="0.2">
      <c r="B34" s="362"/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8">
    <tabColor theme="8" tint="0.39997558519241921"/>
    <outlinePr summaryBelow="0" summaryRight="0"/>
  </sheetPr>
  <dimension ref="A1:T57"/>
  <sheetViews>
    <sheetView showGridLines="0" zoomScale="80" zoomScaleNormal="80" workbookViewId="0">
      <pane ySplit="4" topLeftCell="A5" activePane="bottomLeft" state="frozen"/>
      <selection pane="bottomLeft" activeCell="J6" sqref="J6"/>
    </sheetView>
  </sheetViews>
  <sheetFormatPr defaultColWidth="14.42578125" defaultRowHeight="30.75" customHeight="1" x14ac:dyDescent="0.2"/>
  <cols>
    <col min="1" max="1" width="15.28515625" style="38" customWidth="1"/>
    <col min="2" max="2" width="85.7109375" style="36" customWidth="1"/>
    <col min="3" max="3" width="11.7109375" style="37" customWidth="1"/>
    <col min="4" max="4" width="18.7109375" style="14" customWidth="1"/>
    <col min="5" max="5" width="14.42578125" style="14"/>
    <col min="6" max="6" width="18.7109375" style="14" customWidth="1"/>
    <col min="7" max="7" width="20.85546875" style="37" bestFit="1" customWidth="1"/>
    <col min="8" max="8" width="17.42578125" style="39" customWidth="1"/>
    <col min="9" max="9" width="11.7109375" style="37" customWidth="1"/>
    <col min="10" max="10" width="12.85546875" style="2" bestFit="1" customWidth="1"/>
    <col min="11" max="11" width="26.85546875" style="2" bestFit="1" customWidth="1"/>
    <col min="12" max="16384" width="14.42578125" style="2"/>
  </cols>
  <sheetData>
    <row r="1" spans="1:11" s="40" customFormat="1" ht="15.75" x14ac:dyDescent="0.25">
      <c r="A1" s="147" t="s">
        <v>1900</v>
      </c>
      <c r="B1" s="147"/>
      <c r="C1" s="51"/>
      <c r="D1" s="41"/>
      <c r="E1" s="41"/>
      <c r="F1" s="41"/>
      <c r="G1" s="51"/>
      <c r="H1" s="52"/>
      <c r="I1" s="51"/>
    </row>
    <row r="2" spans="1:11" s="40" customFormat="1" ht="15.75" x14ac:dyDescent="0.25">
      <c r="A2" s="200" t="s">
        <v>1870</v>
      </c>
      <c r="B2" s="200"/>
      <c r="C2" s="201" t="str">
        <f>Resumo!$A$5</f>
        <v>Database:</v>
      </c>
      <c r="D2" s="141">
        <f>Resumo!$B$5</f>
        <v>44531</v>
      </c>
      <c r="E2" s="140" t="s">
        <v>4</v>
      </c>
      <c r="F2" s="140">
        <f>F5+F10+F21+F43+F49</f>
        <v>13154856.331238884</v>
      </c>
      <c r="G2" s="51"/>
      <c r="H2" s="52"/>
      <c r="I2" s="51"/>
    </row>
    <row r="3" spans="1:11" s="40" customFormat="1" ht="5.0999999999999996" customHeight="1" x14ac:dyDescent="0.2">
      <c r="A3" s="53"/>
      <c r="B3" s="54"/>
      <c r="C3" s="51"/>
      <c r="D3" s="41"/>
      <c r="G3" s="51"/>
      <c r="H3" s="52"/>
      <c r="I3" s="51"/>
    </row>
    <row r="4" spans="1:11" s="51" customFormat="1" ht="45" x14ac:dyDescent="0.2">
      <c r="A4" s="95" t="s">
        <v>0</v>
      </c>
      <c r="B4" s="89" t="s">
        <v>1</v>
      </c>
      <c r="C4" s="90" t="s">
        <v>5</v>
      </c>
      <c r="D4" s="91" t="s">
        <v>6</v>
      </c>
      <c r="E4" s="93" t="s">
        <v>2496</v>
      </c>
      <c r="F4" s="91" t="s">
        <v>2</v>
      </c>
      <c r="G4" s="90" t="s">
        <v>7</v>
      </c>
      <c r="H4" s="94" t="s">
        <v>1859</v>
      </c>
      <c r="I4" s="92" t="s">
        <v>2667</v>
      </c>
      <c r="J4" s="93" t="s">
        <v>5278</v>
      </c>
      <c r="K4" s="93" t="s">
        <v>1684</v>
      </c>
    </row>
    <row r="5" spans="1:11" s="56" customFormat="1" ht="15" x14ac:dyDescent="0.2">
      <c r="A5" s="703" t="s">
        <v>1520</v>
      </c>
      <c r="B5" s="704"/>
      <c r="C5" s="704"/>
      <c r="D5" s="704"/>
      <c r="E5" s="705"/>
      <c r="F5" s="74">
        <f>SUM(F6:F9)</f>
        <v>883655.78876515245</v>
      </c>
      <c r="G5" s="86"/>
      <c r="H5" s="87"/>
      <c r="I5" s="111"/>
      <c r="J5" s="86"/>
      <c r="K5" s="86"/>
    </row>
    <row r="6" spans="1:11" s="56" customFormat="1" ht="28.5" x14ac:dyDescent="0.2">
      <c r="A6" s="85" t="s">
        <v>1862</v>
      </c>
      <c r="B6" s="57" t="s">
        <v>1904</v>
      </c>
      <c r="C6" s="55" t="s">
        <v>8</v>
      </c>
      <c r="D6" s="58">
        <f>H6*J6</f>
        <v>17162.332082375215</v>
      </c>
      <c r="E6" s="58">
        <v>25</v>
      </c>
      <c r="F6" s="58">
        <f>D6*E6</f>
        <v>429058.30205938034</v>
      </c>
      <c r="G6" s="55" t="s">
        <v>1899</v>
      </c>
      <c r="H6" s="142">
        <f>COMAP!B2</f>
        <v>15120</v>
      </c>
      <c r="I6" s="109">
        <v>44075</v>
      </c>
      <c r="J6" s="190">
        <f>INDEX(IPCA!$C$3:$C$29,MATCH($D$2,IPCA!$A$3:$A$27,0))/INDEX(IPCA!$C$3:$C$29,MATCH($I6,IPCA!$A$3:$A$29,0))</f>
        <v>1.1350748731729638</v>
      </c>
      <c r="K6" s="55"/>
    </row>
    <row r="7" spans="1:11" s="56" customFormat="1" ht="28.5" x14ac:dyDescent="0.2">
      <c r="A7" s="85" t="s">
        <v>1862</v>
      </c>
      <c r="B7" s="81" t="s">
        <v>1905</v>
      </c>
      <c r="C7" s="82" t="s">
        <v>8</v>
      </c>
      <c r="D7" s="58">
        <f t="shared" ref="D7:D9" si="0">H7*J7</f>
        <v>3972.7620561053736</v>
      </c>
      <c r="E7" s="58">
        <v>15</v>
      </c>
      <c r="F7" s="83">
        <f>D7*E7</f>
        <v>59591.430841580601</v>
      </c>
      <c r="G7" s="55" t="s">
        <v>1899</v>
      </c>
      <c r="H7" s="142">
        <f>COMAP!B3</f>
        <v>3500</v>
      </c>
      <c r="I7" s="109">
        <v>44075</v>
      </c>
      <c r="J7" s="190">
        <f>INDEX(IPCA!$C$3:$C$29,MATCH($D$2,IPCA!$A$3:$A$27,0))/INDEX(IPCA!$C$3:$C$29,MATCH($I7,IPCA!$A$3:$A$29,0))</f>
        <v>1.1350748731729638</v>
      </c>
      <c r="K7" s="55"/>
    </row>
    <row r="8" spans="1:11" s="56" customFormat="1" ht="28.5" x14ac:dyDescent="0.2">
      <c r="A8" s="85" t="s">
        <v>1862</v>
      </c>
      <c r="B8" s="84" t="s">
        <v>1897</v>
      </c>
      <c r="C8" s="55" t="s">
        <v>9</v>
      </c>
      <c r="D8" s="58">
        <f t="shared" si="0"/>
        <v>19069.257869305791</v>
      </c>
      <c r="E8" s="58">
        <v>15</v>
      </c>
      <c r="F8" s="58">
        <f>D8*E8</f>
        <v>286038.86803958687</v>
      </c>
      <c r="G8" s="55" t="s">
        <v>1899</v>
      </c>
      <c r="H8" s="142">
        <f>COMAP!B4</f>
        <v>16800</v>
      </c>
      <c r="I8" s="109">
        <v>44075</v>
      </c>
      <c r="J8" s="190">
        <f>INDEX(IPCA!$C$3:$C$29,MATCH($D$2,IPCA!$A$3:$A$27,0))/INDEX(IPCA!$C$3:$C$29,MATCH($I8,IPCA!$A$3:$A$29,0))</f>
        <v>1.1350748731729638</v>
      </c>
      <c r="K8" s="55"/>
    </row>
    <row r="9" spans="1:11" s="56" customFormat="1" ht="28.5" x14ac:dyDescent="0.2">
      <c r="A9" s="85" t="s">
        <v>1862</v>
      </c>
      <c r="B9" s="57" t="s">
        <v>1898</v>
      </c>
      <c r="C9" s="55" t="s">
        <v>9</v>
      </c>
      <c r="D9" s="58">
        <f t="shared" si="0"/>
        <v>7264.4791883069684</v>
      </c>
      <c r="E9" s="58">
        <v>15</v>
      </c>
      <c r="F9" s="58">
        <f>D9*E9</f>
        <v>108967.18782460452</v>
      </c>
      <c r="G9" s="55" t="s">
        <v>1899</v>
      </c>
      <c r="H9" s="142">
        <f>COMAP!B5</f>
        <v>6400</v>
      </c>
      <c r="I9" s="109">
        <v>44075</v>
      </c>
      <c r="J9" s="190">
        <f>INDEX(IPCA!$C$3:$C$29,MATCH($D$2,IPCA!$A$3:$A$27,0))/INDEX(IPCA!$C$3:$C$29,MATCH($I9,IPCA!$A$3:$A$29,0))</f>
        <v>1.1350748731729638</v>
      </c>
      <c r="K9" s="55"/>
    </row>
    <row r="10" spans="1:11" s="56" customFormat="1" ht="15" x14ac:dyDescent="0.2">
      <c r="A10" s="703" t="s">
        <v>1521</v>
      </c>
      <c r="B10" s="704"/>
      <c r="C10" s="704"/>
      <c r="D10" s="704"/>
      <c r="E10" s="705"/>
      <c r="F10" s="74">
        <f>F11+F16</f>
        <v>8504391.3180503994</v>
      </c>
      <c r="G10" s="86"/>
      <c r="H10" s="87"/>
      <c r="I10" s="86"/>
      <c r="J10" s="86"/>
      <c r="K10" s="86"/>
    </row>
    <row r="11" spans="1:11" s="56" customFormat="1" ht="15" x14ac:dyDescent="0.2">
      <c r="A11" s="711" t="s">
        <v>1856</v>
      </c>
      <c r="B11" s="711"/>
      <c r="C11" s="711"/>
      <c r="D11" s="711"/>
      <c r="E11" s="711"/>
      <c r="F11" s="128">
        <f>SUM(F12:F15)</f>
        <v>5888667.7742739692</v>
      </c>
      <c r="G11" s="129"/>
      <c r="H11" s="132"/>
      <c r="I11" s="130"/>
      <c r="J11" s="131"/>
      <c r="K11" s="131"/>
    </row>
    <row r="12" spans="1:11" s="40" customFormat="1" ht="28.5" x14ac:dyDescent="0.2">
      <c r="A12" s="85" t="s">
        <v>1862</v>
      </c>
      <c r="B12" s="59" t="s">
        <v>1906</v>
      </c>
      <c r="C12" s="60" t="s">
        <v>33</v>
      </c>
      <c r="D12" s="58">
        <f>H12*J12</f>
        <v>383.56450114260798</v>
      </c>
      <c r="E12" s="58" cm="1">
        <f t="array" ref="E12">SUM(Referência!$F$14:$H$14*2,Referência!$P$14,Referência!$N$14,Referência!$O$14)</f>
        <v>3456.81</v>
      </c>
      <c r="F12" s="63">
        <f>D12*E12</f>
        <v>1325909.6031947788</v>
      </c>
      <c r="G12" s="61" t="s">
        <v>2750</v>
      </c>
      <c r="H12" s="143">
        <f>Dynatest!D25</f>
        <v>337.92</v>
      </c>
      <c r="I12" s="109">
        <v>44075</v>
      </c>
      <c r="J12" s="190">
        <f>INDEX(IPCA!$C$3:$C$29,MATCH($D$2,IPCA!$A$3:$A$27,0))/INDEX(IPCA!$C$3:$C$29,MATCH($I12,IPCA!$A$3:$A$29,0))</f>
        <v>1.1350748731729638</v>
      </c>
      <c r="K12" s="62" t="s">
        <v>2749</v>
      </c>
    </row>
    <row r="13" spans="1:11" s="40" customFormat="1" ht="28.5" x14ac:dyDescent="0.2">
      <c r="A13" s="85" t="s">
        <v>1862</v>
      </c>
      <c r="B13" s="59" t="s">
        <v>1907</v>
      </c>
      <c r="C13" s="60" t="s">
        <v>33</v>
      </c>
      <c r="D13" s="58">
        <f t="shared" ref="D13:D15" si="1">H13*J13</f>
        <v>157.41218341162664</v>
      </c>
      <c r="E13" s="58" cm="1">
        <f t="array" ref="E13">SUM(Referência!$F$14:$H$14*2,Referência!$P$14,Referência!$N$14,Referência!$O$14)</f>
        <v>3456.81</v>
      </c>
      <c r="F13" s="63">
        <f t="shared" ref="F13:F15" si="2">D13*E13</f>
        <v>544144.00973914505</v>
      </c>
      <c r="G13" s="61" t="s">
        <v>2750</v>
      </c>
      <c r="H13" s="143">
        <f>Dynatest!D26</f>
        <v>138.68</v>
      </c>
      <c r="I13" s="109">
        <v>44075</v>
      </c>
      <c r="J13" s="190">
        <f>INDEX(IPCA!$C$3:$C$29,MATCH($D$2,IPCA!$A$3:$A$27,0))/INDEX(IPCA!$C$3:$C$29,MATCH($I13,IPCA!$A$3:$A$29,0))</f>
        <v>1.1350748731729638</v>
      </c>
      <c r="K13" s="62" t="s">
        <v>2749</v>
      </c>
    </row>
    <row r="14" spans="1:11" s="40" customFormat="1" ht="28.5" x14ac:dyDescent="0.2">
      <c r="A14" s="85" t="s">
        <v>1862</v>
      </c>
      <c r="B14" s="59" t="s">
        <v>1908</v>
      </c>
      <c r="C14" s="60" t="s">
        <v>33</v>
      </c>
      <c r="D14" s="58">
        <f t="shared" si="1"/>
        <v>491.60092757121066</v>
      </c>
      <c r="E14" s="58" cm="1">
        <f t="array" ref="E14">SUM(Referência!$F$14:$H$14*2,Referência!$P$14,Referência!$N$14,Referência!$O$14)</f>
        <v>3456.81</v>
      </c>
      <c r="F14" s="63">
        <f t="shared" si="2"/>
        <v>1699371.0024374367</v>
      </c>
      <c r="G14" s="61" t="s">
        <v>2750</v>
      </c>
      <c r="H14" s="143">
        <f>Dynatest!D27</f>
        <v>433.1</v>
      </c>
      <c r="I14" s="109">
        <v>44075</v>
      </c>
      <c r="J14" s="190">
        <f>INDEX(IPCA!$C$3:$C$29,MATCH($D$2,IPCA!$A$3:$A$27,0))/INDEX(IPCA!$C$3:$C$29,MATCH($I14,IPCA!$A$3:$A$29,0))</f>
        <v>1.1350748731729638</v>
      </c>
      <c r="K14" s="62" t="s">
        <v>2749</v>
      </c>
    </row>
    <row r="15" spans="1:11" s="40" customFormat="1" ht="28.5" x14ac:dyDescent="0.2">
      <c r="A15" s="85" t="s">
        <v>1862</v>
      </c>
      <c r="B15" s="59" t="s">
        <v>1909</v>
      </c>
      <c r="C15" s="60" t="s">
        <v>33</v>
      </c>
      <c r="D15" s="58">
        <f t="shared" si="1"/>
        <v>670.9200560350755</v>
      </c>
      <c r="E15" s="58" cm="1">
        <f t="array" ref="E15">SUM(Referência!$F$14:$H$14*2,Referência!$P$14,Referência!$N$14,Referência!$O$14)</f>
        <v>3456.81</v>
      </c>
      <c r="F15" s="63">
        <f t="shared" si="2"/>
        <v>2319243.1589026093</v>
      </c>
      <c r="G15" s="61" t="s">
        <v>2750</v>
      </c>
      <c r="H15" s="143">
        <f>Dynatest!D28</f>
        <v>591.08000000000004</v>
      </c>
      <c r="I15" s="109">
        <v>44075</v>
      </c>
      <c r="J15" s="190">
        <f>INDEX(IPCA!$C$3:$C$29,MATCH($D$2,IPCA!$A$3:$A$27,0))/INDEX(IPCA!$C$3:$C$29,MATCH($I15,IPCA!$A$3:$A$29,0))</f>
        <v>1.1350748731729638</v>
      </c>
      <c r="K15" s="62" t="s">
        <v>2749</v>
      </c>
    </row>
    <row r="16" spans="1:11" s="56" customFormat="1" ht="15" x14ac:dyDescent="0.2">
      <c r="A16" s="709" t="s">
        <v>1857</v>
      </c>
      <c r="B16" s="709"/>
      <c r="C16" s="709"/>
      <c r="D16" s="709"/>
      <c r="E16" s="709"/>
      <c r="F16" s="128">
        <f>SUM(F17:F20)</f>
        <v>2615723.5437764297</v>
      </c>
      <c r="G16" s="133"/>
      <c r="H16" s="135"/>
      <c r="I16" s="133"/>
      <c r="J16" s="133"/>
      <c r="K16" s="134"/>
    </row>
    <row r="17" spans="1:20" s="56" customFormat="1" ht="28.5" x14ac:dyDescent="0.2">
      <c r="A17" s="85" t="s">
        <v>261</v>
      </c>
      <c r="B17" s="57" t="str">
        <f>VLOOKUP($A17,TPU!$A$6:$D$2331,2,FALSE)</f>
        <v>ORTOFOTOCARTA VOO AEROFOTOGRAMETRICO ESC. ATE 5X SUPERIOR AO DO VOO, ESC.1:5000</v>
      </c>
      <c r="C17" s="55" t="str">
        <f>VLOOKUP($A17,TPU!$A$6:$D$2331,3,FALSE)</f>
        <v>km2</v>
      </c>
      <c r="D17" s="58">
        <f>VLOOKUP($A17,TPU!$A$6:$D$2331,4,FALSE)</f>
        <v>1964.0718659259257</v>
      </c>
      <c r="E17" s="63">
        <f>Referência!$I$14*0.1</f>
        <v>156.27600000000001</v>
      </c>
      <c r="F17" s="58">
        <f t="shared" ref="F17:F20" si="3">D17*E17</f>
        <v>306937.29491944</v>
      </c>
      <c r="G17" s="55" t="s">
        <v>2655</v>
      </c>
      <c r="H17" s="65"/>
      <c r="I17" s="64">
        <f>TPU!$I$3</f>
        <v>44531</v>
      </c>
      <c r="J17" s="190">
        <f>INDEX(IPCA!$C$3:$C$29,MATCH($D$2,IPCA!$A$3:$A$27,0))/INDEX(IPCA!$C$3:$C$29,MATCH($I17,IPCA!$A$3:$A$29,0))</f>
        <v>1</v>
      </c>
      <c r="K17" s="64"/>
    </row>
    <row r="18" spans="1:20" s="56" customFormat="1" ht="28.5" x14ac:dyDescent="0.2">
      <c r="A18" s="85" t="s">
        <v>224</v>
      </c>
      <c r="B18" s="57" t="str">
        <f>VLOOKUP($A18,TPU!$A$6:$D$2331,2,FALSE)</f>
        <v xml:space="preserve">RESTITUICAO VOO AEROFOTOGRAMETRICO ESC. ATE 5X SUPERIOR AO DO VOO, ESC.1:5.000 </v>
      </c>
      <c r="C18" s="55" t="str">
        <f>VLOOKUP($A18,TPU!$A$6:$D$2331,3,FALSE)</f>
        <v>km2</v>
      </c>
      <c r="D18" s="58">
        <f>VLOOKUP($A18,TPU!$A$6:$D$2331,4,FALSE)</f>
        <v>9683.1874518518525</v>
      </c>
      <c r="E18" s="63">
        <f>Referência!$I$14*0.1</f>
        <v>156.27600000000001</v>
      </c>
      <c r="F18" s="58">
        <f t="shared" si="3"/>
        <v>1513249.8022256002</v>
      </c>
      <c r="G18" s="55" t="s">
        <v>2655</v>
      </c>
      <c r="H18" s="65"/>
      <c r="I18" s="64">
        <f>TPU!$I$3</f>
        <v>44531</v>
      </c>
      <c r="J18" s="190">
        <f>INDEX(IPCA!$C$3:$C$29,MATCH($D$2,IPCA!$A$3:$A$27,0))/INDEX(IPCA!$C$3:$C$29,MATCH($I18,IPCA!$A$3:$A$29,0))</f>
        <v>1</v>
      </c>
      <c r="K18" s="64"/>
    </row>
    <row r="19" spans="1:20" s="56" customFormat="1" ht="28.5" x14ac:dyDescent="0.2">
      <c r="A19" s="85" t="s">
        <v>225</v>
      </c>
      <c r="B19" s="57" t="str">
        <f>VLOOKUP($A19,TPU!$A$6:$D$2331,2,FALSE)</f>
        <v xml:space="preserve">APOIO CAMPO AEROF. DETERM. NUM. DE PONTOS P/ RESIST. EM ESC. ATE 5X MAIOR.     </v>
      </c>
      <c r="C19" s="55" t="str">
        <f>VLOOKUP($A19,TPU!$A$6:$D$2331,3,FALSE)</f>
        <v>km2</v>
      </c>
      <c r="D19" s="58">
        <f>VLOOKUP($A19,TPU!$A$6:$D$2331,4,FALSE)</f>
        <v>3230.8238711111107</v>
      </c>
      <c r="E19" s="63">
        <f>Referência!$I$14*0.1</f>
        <v>156.27600000000001</v>
      </c>
      <c r="F19" s="58">
        <f t="shared" si="3"/>
        <v>504900.23128175997</v>
      </c>
      <c r="G19" s="55" t="s">
        <v>2655</v>
      </c>
      <c r="H19" s="65"/>
      <c r="I19" s="64">
        <f>TPU!$I$3</f>
        <v>44531</v>
      </c>
      <c r="J19" s="190">
        <f>INDEX(IPCA!$C$3:$C$29,MATCH($D$2,IPCA!$A$3:$A$27,0))/INDEX(IPCA!$C$3:$C$29,MATCH($I19,IPCA!$A$3:$A$29,0))</f>
        <v>1</v>
      </c>
      <c r="K19" s="64"/>
    </row>
    <row r="20" spans="1:20" s="56" customFormat="1" ht="14.25" x14ac:dyDescent="0.2">
      <c r="A20" s="85" t="s">
        <v>226</v>
      </c>
      <c r="B20" s="57" t="str">
        <f>VLOOKUP($A20,TPU!$A$6:$D$2331,2,FALSE)</f>
        <v xml:space="preserve">REVELACAO DE FOTOS AEREAS INCLUSIVE ARQUIVO DIGITAL E FOTOINDICE.              </v>
      </c>
      <c r="C20" s="55" t="str">
        <f>VLOOKUP($A20,TPU!$A$6:$D$2331,3,FALSE)</f>
        <v>un</v>
      </c>
      <c r="D20" s="58">
        <f>VLOOKUP($A20,TPU!$A$6:$D$2331,4,FALSE)</f>
        <v>278.92151185185185</v>
      </c>
      <c r="E20" s="63">
        <f>ROUNDUP(Referência!$I$14/1.5,0)</f>
        <v>1042</v>
      </c>
      <c r="F20" s="58">
        <f t="shared" si="3"/>
        <v>290636.21534962964</v>
      </c>
      <c r="G20" s="55" t="s">
        <v>2655</v>
      </c>
      <c r="H20" s="65"/>
      <c r="I20" s="64">
        <f>TPU!$I$3</f>
        <v>44531</v>
      </c>
      <c r="J20" s="190">
        <f>INDEX(IPCA!$C$3:$C$29,MATCH($D$2,IPCA!$A$3:$A$27,0))/INDEX(IPCA!$C$3:$C$29,MATCH($I20,IPCA!$A$3:$A$29,0))</f>
        <v>1</v>
      </c>
      <c r="K20" s="64"/>
    </row>
    <row r="21" spans="1:20" s="56" customFormat="1" ht="15" x14ac:dyDescent="0.2">
      <c r="A21" s="703" t="s">
        <v>1522</v>
      </c>
      <c r="B21" s="704"/>
      <c r="C21" s="704"/>
      <c r="D21" s="704"/>
      <c r="E21" s="705"/>
      <c r="F21" s="74">
        <f>F22+F25+F29+F37</f>
        <v>1905666.7779541328</v>
      </c>
      <c r="G21" s="86"/>
      <c r="H21" s="87"/>
      <c r="I21" s="86"/>
      <c r="J21" s="86"/>
      <c r="K21" s="86"/>
    </row>
    <row r="22" spans="1:20" s="56" customFormat="1" ht="15" x14ac:dyDescent="0.2">
      <c r="A22" s="709" t="s">
        <v>228</v>
      </c>
      <c r="B22" s="709"/>
      <c r="C22" s="709"/>
      <c r="D22" s="709"/>
      <c r="E22" s="709"/>
      <c r="F22" s="128">
        <f>SUM(F23:F24)</f>
        <v>131686.00612799998</v>
      </c>
      <c r="G22" s="133"/>
      <c r="H22" s="135"/>
      <c r="I22" s="133"/>
      <c r="J22" s="133"/>
      <c r="K22" s="133"/>
    </row>
    <row r="23" spans="1:20" s="40" customFormat="1" ht="14.25" x14ac:dyDescent="0.2">
      <c r="A23" s="125" t="s">
        <v>1925</v>
      </c>
      <c r="B23" s="57" t="str">
        <f>VLOOKUP($A23,TPU!$A$6:$D$2331,2,FALSE)</f>
        <v xml:space="preserve">TRANSPORTE DE EQUIPAMENTO DE SONDAGEM                                          </v>
      </c>
      <c r="C23" s="55" t="str">
        <f>VLOOKUP($A23,TPU!$A$6:$D$2331,3,FALSE)</f>
        <v>km*equip</v>
      </c>
      <c r="D23" s="58">
        <f>VLOOKUP($A23,TPU!$A$6:$D$2331,4,FALSE)</f>
        <v>16.392012592592589</v>
      </c>
      <c r="E23" s="68">
        <f>$E$27*Referência!$I$14</f>
        <v>4688.28</v>
      </c>
      <c r="F23" s="68">
        <f t="shared" ref="F23" si="4">D23*E23</f>
        <v>76850.344797599988</v>
      </c>
      <c r="G23" s="55" t="s">
        <v>2655</v>
      </c>
      <c r="H23" s="67"/>
      <c r="I23" s="64">
        <f>TPU!$I$3</f>
        <v>44531</v>
      </c>
      <c r="J23" s="190">
        <f>INDEX(IPCA!$C$3:$C$29,MATCH($D$2,IPCA!$A$3:$A$27,0))/INDEX(IPCA!$C$3:$C$29,MATCH($I23,IPCA!$A$3:$A$29,0))</f>
        <v>1</v>
      </c>
      <c r="K23" s="66"/>
    </row>
    <row r="24" spans="1:20" s="40" customFormat="1" ht="14.25" x14ac:dyDescent="0.2">
      <c r="A24" s="125" t="s">
        <v>1926</v>
      </c>
      <c r="B24" s="57" t="str">
        <f>VLOOKUP($A24,TPU!$A$6:$D$2331,2,FALSE)</f>
        <v xml:space="preserve">DESLOCAMENTO DE EQUIPAMENTO DE SONDAGEM                                        </v>
      </c>
      <c r="C24" s="55" t="str">
        <f>VLOOKUP($A24,TPU!$A$6:$D$2331,3,FALSE)</f>
        <v>m</v>
      </c>
      <c r="D24" s="58">
        <f>VLOOKUP($A24,TPU!$A$6:$D$2331,4,FALSE)</f>
        <v>11.696328148148147</v>
      </c>
      <c r="E24" s="68">
        <f>$E$27*Referência!$I$14</f>
        <v>4688.28</v>
      </c>
      <c r="F24" s="68">
        <f t="shared" ref="F24" si="5">D24*E24</f>
        <v>54835.661330399991</v>
      </c>
      <c r="G24" s="55" t="s">
        <v>2655</v>
      </c>
      <c r="H24" s="67"/>
      <c r="I24" s="64">
        <f>TPU!$I$3</f>
        <v>44531</v>
      </c>
      <c r="J24" s="190">
        <f>INDEX(IPCA!$C$3:$C$29,MATCH($D$2,IPCA!$A$3:$A$27,0))/INDEX(IPCA!$C$3:$C$29,MATCH($I24,IPCA!$A$3:$A$29,0))</f>
        <v>1</v>
      </c>
      <c r="K24" s="66"/>
    </row>
    <row r="25" spans="1:20" s="56" customFormat="1" ht="15" x14ac:dyDescent="0.2">
      <c r="A25" s="710" t="s">
        <v>1860</v>
      </c>
      <c r="B25" s="710"/>
      <c r="C25" s="710"/>
      <c r="D25" s="710"/>
      <c r="E25" s="710"/>
      <c r="F25" s="136">
        <f>SUM(F26:F28)</f>
        <v>1128848.5226177778</v>
      </c>
      <c r="G25" s="137"/>
      <c r="H25" s="135"/>
      <c r="I25" s="133"/>
      <c r="J25" s="133"/>
      <c r="K25" s="133"/>
    </row>
    <row r="26" spans="1:20" s="56" customFormat="1" ht="14.25" x14ac:dyDescent="0.2">
      <c r="A26" s="126" t="s">
        <v>1923</v>
      </c>
      <c r="B26" s="57" t="str">
        <f>VLOOKUP($A26,TPU!$A$6:$D$2331,2,FALSE)</f>
        <v xml:space="preserve">TAXA FIXA INSTALACAO SONDAGEM PERCUSSAO                                        </v>
      </c>
      <c r="C26" s="55" t="str">
        <f>VLOOKUP($A26,TPU!$A$6:$D$2331,3,FALSE)</f>
        <v>un</v>
      </c>
      <c r="D26" s="58">
        <f>VLOOKUP($A26,TPU!$A$6:$D$2331,4,FALSE)</f>
        <v>1612.6781466666666</v>
      </c>
      <c r="E26" s="68">
        <f>Sondagens!Q48+Sondagens!S48</f>
        <v>320</v>
      </c>
      <c r="F26" s="68">
        <f t="shared" ref="F26:F28" si="6">D26*E26</f>
        <v>516057.00693333335</v>
      </c>
      <c r="G26" s="55" t="s">
        <v>2655</v>
      </c>
      <c r="H26" s="65"/>
      <c r="I26" s="64">
        <f>TPU!$I$3</f>
        <v>44531</v>
      </c>
      <c r="J26" s="190">
        <f>INDEX(IPCA!$C$3:$C$29,MATCH($D$2,IPCA!$A$3:$A$27,0))/INDEX(IPCA!$C$3:$C$29,MATCH($I26,IPCA!$A$3:$A$29,0))</f>
        <v>1</v>
      </c>
      <c r="K26" s="64"/>
      <c r="L26" s="69"/>
      <c r="M26" s="69"/>
      <c r="N26" s="69"/>
      <c r="O26" s="69"/>
      <c r="P26" s="69"/>
      <c r="Q26" s="69"/>
      <c r="R26" s="69"/>
      <c r="S26" s="69"/>
      <c r="T26" s="69"/>
    </row>
    <row r="27" spans="1:20" s="56" customFormat="1" ht="14.25" x14ac:dyDescent="0.2">
      <c r="A27" s="126" t="s">
        <v>1927</v>
      </c>
      <c r="B27" s="57" t="str">
        <f>VLOOKUP($A27,TPU!$A$6:$D$2331,2,FALSE)</f>
        <v xml:space="preserve">PLATAFORMA OU BANQUETA SOND.PERCUSSAO                                          </v>
      </c>
      <c r="C27" s="55" t="str">
        <f>VLOOKUP($A27,TPU!$A$6:$D$2331,3,FALSE)</f>
        <v>equip</v>
      </c>
      <c r="D27" s="58">
        <f>VLOOKUP($A27,TPU!$A$6:$D$2331,4,FALSE)</f>
        <v>2542.3807837037034</v>
      </c>
      <c r="E27" s="83">
        <v>3</v>
      </c>
      <c r="F27" s="68">
        <f t="shared" si="6"/>
        <v>7627.1423511111097</v>
      </c>
      <c r="G27" s="55" t="s">
        <v>2655</v>
      </c>
      <c r="H27" s="65"/>
      <c r="I27" s="64">
        <f>TPU!$I$3</f>
        <v>44531</v>
      </c>
      <c r="J27" s="190">
        <f>INDEX(IPCA!$C$3:$C$29,MATCH($D$2,IPCA!$A$3:$A$27,0))/INDEX(IPCA!$C$3:$C$29,MATCH($I27,IPCA!$A$3:$A$29,0))</f>
        <v>1</v>
      </c>
      <c r="K27" s="64"/>
    </row>
    <row r="28" spans="1:20" s="56" customFormat="1" ht="14.25" x14ac:dyDescent="0.2">
      <c r="A28" s="126" t="s">
        <v>1917</v>
      </c>
      <c r="B28" s="57" t="str">
        <f>VLOOKUP($A28,TPU!$A$6:$D$2331,2,FALSE)</f>
        <v xml:space="preserve">SONDAGEM A PERCUSSAO ATE 15M                                                   </v>
      </c>
      <c r="C28" s="55" t="str">
        <f>VLOOKUP($A28,TPU!$A$6:$D$2331,3,FALSE)</f>
        <v>m</v>
      </c>
      <c r="D28" s="58">
        <f>VLOOKUP($A28,TPU!$A$6:$D$2331,4,FALSE)</f>
        <v>189.11386666666667</v>
      </c>
      <c r="E28" s="68">
        <f>Sondagens!Q50+Sondagens!S50</f>
        <v>3200</v>
      </c>
      <c r="F28" s="68">
        <f t="shared" si="6"/>
        <v>605164.37333333329</v>
      </c>
      <c r="G28" s="55" t="s">
        <v>2655</v>
      </c>
      <c r="H28" s="65"/>
      <c r="I28" s="64">
        <f>TPU!$I$3</f>
        <v>44531</v>
      </c>
      <c r="J28" s="190">
        <f>INDEX(IPCA!$C$3:$C$29,MATCH($D$2,IPCA!$A$3:$A$27,0))/INDEX(IPCA!$C$3:$C$29,MATCH($I28,IPCA!$A$3:$A$29,0))</f>
        <v>1</v>
      </c>
      <c r="K28" s="64"/>
      <c r="L28" s="69"/>
      <c r="M28" s="69"/>
      <c r="N28" s="69"/>
      <c r="O28" s="69"/>
      <c r="P28" s="69"/>
      <c r="Q28" s="69"/>
      <c r="R28" s="69"/>
      <c r="S28" s="69"/>
      <c r="T28" s="69"/>
    </row>
    <row r="29" spans="1:20" s="56" customFormat="1" ht="15" x14ac:dyDescent="0.2">
      <c r="A29" s="712" t="s">
        <v>2759</v>
      </c>
      <c r="B29" s="712"/>
      <c r="C29" s="712"/>
      <c r="D29" s="712"/>
      <c r="E29" s="712"/>
      <c r="F29" s="136">
        <f>SUM(F30:F36)</f>
        <v>288666.20776691352</v>
      </c>
      <c r="G29" s="137"/>
      <c r="H29" s="135"/>
      <c r="I29" s="133"/>
      <c r="J29" s="133"/>
      <c r="K29" s="133"/>
    </row>
    <row r="30" spans="1:20" s="56" customFormat="1" ht="14.25" x14ac:dyDescent="0.2">
      <c r="A30" s="126" t="s">
        <v>1944</v>
      </c>
      <c r="B30" s="57" t="str">
        <f>VLOOKUP($A30,TPU!$A$6:$D$2331,2,FALSE)</f>
        <v xml:space="preserve">SONDAGEM A TRADO PROFUNDIDADE ATE 5M                                           </v>
      </c>
      <c r="C30" s="55" t="str">
        <f>VLOOKUP($A30,TPU!$A$6:$D$2331,3,FALSE)</f>
        <v>m</v>
      </c>
      <c r="D30" s="58">
        <f>VLOOKUP($A30,TPU!$A$6:$D$2331,4,FALSE)</f>
        <v>105.08470074074073</v>
      </c>
      <c r="E30" s="68">
        <f>Sondagens!R50</f>
        <v>820</v>
      </c>
      <c r="F30" s="68">
        <f t="shared" ref="F30:F33" si="7">D30*E30</f>
        <v>86169.454607407402</v>
      </c>
      <c r="G30" s="55" t="s">
        <v>2655</v>
      </c>
      <c r="H30" s="65"/>
      <c r="I30" s="64">
        <f>TPU!$I$3</f>
        <v>44531</v>
      </c>
      <c r="J30" s="190">
        <f>INDEX(IPCA!$C$3:$C$29,MATCH($D$2,IPCA!$A$3:$A$27,0))/INDEX(IPCA!$C$3:$C$29,MATCH($I30,IPCA!$A$3:$A$29,0))</f>
        <v>1</v>
      </c>
      <c r="K30" s="64"/>
      <c r="L30" s="69"/>
      <c r="M30" s="69"/>
      <c r="N30" s="69"/>
      <c r="O30" s="69"/>
      <c r="P30" s="69"/>
      <c r="Q30" s="69"/>
      <c r="R30" s="69"/>
      <c r="S30" s="69"/>
      <c r="T30" s="69"/>
    </row>
    <row r="31" spans="1:20" s="56" customFormat="1" ht="14.25" x14ac:dyDescent="0.2">
      <c r="A31" s="126" t="s">
        <v>1970</v>
      </c>
      <c r="B31" s="57" t="str">
        <f>VLOOKUP($A31,TPU!$A$6:$D$2331,2,FALSE)</f>
        <v xml:space="preserve">ENSAIO DE UMIDADE NATURAL                                                      </v>
      </c>
      <c r="C31" s="55" t="str">
        <f>VLOOKUP($A31,TPU!$A$6:$D$2331,3,FALSE)</f>
        <v>un</v>
      </c>
      <c r="D31" s="58">
        <f>VLOOKUP($A31,TPU!$A$6:$D$2331,4,FALSE)</f>
        <v>53.560820740740738</v>
      </c>
      <c r="E31" s="83">
        <f>Sondagens!R48</f>
        <v>164</v>
      </c>
      <c r="F31" s="68">
        <f t="shared" si="7"/>
        <v>8783.9746014814809</v>
      </c>
      <c r="G31" s="55" t="s">
        <v>2655</v>
      </c>
      <c r="H31" s="65"/>
      <c r="I31" s="64">
        <f>TPU!$I$3</f>
        <v>44531</v>
      </c>
      <c r="J31" s="190">
        <f>INDEX(IPCA!$C$3:$C$29,MATCH($D$2,IPCA!$A$3:$A$27,0))/INDEX(IPCA!$C$3:$C$29,MATCH($I31,IPCA!$A$3:$A$29,0))</f>
        <v>1</v>
      </c>
      <c r="K31" s="64"/>
    </row>
    <row r="32" spans="1:20" s="56" customFormat="1" ht="14.25" x14ac:dyDescent="0.2">
      <c r="A32" s="126" t="s">
        <v>1971</v>
      </c>
      <c r="B32" s="57" t="str">
        <f>VLOOKUP($A32,TPU!$A$6:$D$2331,2,FALSE)</f>
        <v xml:space="preserve">ENSAIO DE DENSIDADE NATURAL                                                    </v>
      </c>
      <c r="C32" s="55" t="str">
        <f>VLOOKUP($A32,TPU!$A$6:$D$2331,3,FALSE)</f>
        <v>un</v>
      </c>
      <c r="D32" s="58">
        <f>VLOOKUP($A32,TPU!$A$6:$D$2331,4,FALSE)</f>
        <v>114.7869711111111</v>
      </c>
      <c r="E32" s="83">
        <f>E31</f>
        <v>164</v>
      </c>
      <c r="F32" s="68">
        <f t="shared" si="7"/>
        <v>18825.063262222222</v>
      </c>
      <c r="G32" s="55" t="s">
        <v>2655</v>
      </c>
      <c r="H32" s="65"/>
      <c r="I32" s="64">
        <f>TPU!$I$3</f>
        <v>44531</v>
      </c>
      <c r="J32" s="190">
        <f>INDEX(IPCA!$C$3:$C$29,MATCH($D$2,IPCA!$A$3:$A$27,0))/INDEX(IPCA!$C$3:$C$29,MATCH($I32,IPCA!$A$3:$A$29,0))</f>
        <v>1</v>
      </c>
      <c r="K32" s="64"/>
    </row>
    <row r="33" spans="1:11" s="56" customFormat="1" ht="14.25" x14ac:dyDescent="0.2">
      <c r="A33" s="126" t="s">
        <v>1972</v>
      </c>
      <c r="B33" s="57" t="str">
        <f>VLOOKUP($A33,TPU!$A$6:$D$2331,2,FALSE)</f>
        <v xml:space="preserve">ANALISE GRANULOMETRICA POR PENEIRAMENTO E SEDIMENTACAO.                        </v>
      </c>
      <c r="C33" s="55" t="str">
        <f>VLOOKUP($A33,TPU!$A$6:$D$2331,3,FALSE)</f>
        <v>un</v>
      </c>
      <c r="D33" s="58">
        <f>VLOOKUP($A33,TPU!$A$6:$D$2331,4,FALSE)</f>
        <v>298.50830518518518</v>
      </c>
      <c r="E33" s="83">
        <f>E31</f>
        <v>164</v>
      </c>
      <c r="F33" s="68">
        <f t="shared" si="7"/>
        <v>48955.362050370371</v>
      </c>
      <c r="G33" s="55" t="s">
        <v>2655</v>
      </c>
      <c r="H33" s="65"/>
      <c r="I33" s="64">
        <f>TPU!$I$3</f>
        <v>44531</v>
      </c>
      <c r="J33" s="190">
        <f>INDEX(IPCA!$C$3:$C$29,MATCH($D$2,IPCA!$A$3:$A$27,0))/INDEX(IPCA!$C$3:$C$29,MATCH($I33,IPCA!$A$3:$A$29,0))</f>
        <v>1</v>
      </c>
      <c r="K33" s="64"/>
    </row>
    <row r="34" spans="1:11" s="56" customFormat="1" ht="14.25" x14ac:dyDescent="0.2">
      <c r="A34" s="126" t="s">
        <v>1973</v>
      </c>
      <c r="B34" s="57" t="str">
        <f>VLOOKUP($A34,TPU!$A$6:$D$2331,2,FALSE)</f>
        <v xml:space="preserve">ENSAIO DE CBR 5 PONTOS E.N.                                                    </v>
      </c>
      <c r="C34" s="55" t="str">
        <f>VLOOKUP($A34,TPU!$A$6:$D$2331,3,FALSE)</f>
        <v>un</v>
      </c>
      <c r="D34" s="58">
        <f>VLOOKUP($A34,TPU!$A$6:$D$2331,4,FALSE)</f>
        <v>413.28455555555553</v>
      </c>
      <c r="E34" s="83">
        <f>E31</f>
        <v>164</v>
      </c>
      <c r="F34" s="68">
        <f t="shared" ref="F34:F36" si="8">D34*E34</f>
        <v>67778.667111111106</v>
      </c>
      <c r="G34" s="55" t="s">
        <v>2655</v>
      </c>
      <c r="H34" s="65"/>
      <c r="I34" s="64">
        <f>TPU!$I$3</f>
        <v>44531</v>
      </c>
      <c r="J34" s="190">
        <f>INDEX(IPCA!$C$3:$C$29,MATCH($D$2,IPCA!$A$3:$A$27,0))/INDEX(IPCA!$C$3:$C$29,MATCH($I34,IPCA!$A$3:$A$29,0))</f>
        <v>1</v>
      </c>
      <c r="K34" s="64"/>
    </row>
    <row r="35" spans="1:11" s="56" customFormat="1" ht="14.25" x14ac:dyDescent="0.2">
      <c r="A35" s="487" t="s">
        <v>1978</v>
      </c>
      <c r="B35" s="57" t="str">
        <f>VLOOKUP($A35,TPU!$A$6:$D$2331,2,FALSE)</f>
        <v xml:space="preserve">ENSAIO DE COMPACTACAO - PROCTOR.                                               </v>
      </c>
      <c r="C35" s="55" t="str">
        <f>VLOOKUP($A35,TPU!$A$6:$D$2331,3,FALSE)</f>
        <v>un</v>
      </c>
      <c r="D35" s="58">
        <f>VLOOKUP($A35,TPU!$A$6:$D$2331,4,FALSE)</f>
        <v>198.97694814814813</v>
      </c>
      <c r="E35" s="83">
        <f>E31</f>
        <v>164</v>
      </c>
      <c r="F35" s="68">
        <f t="shared" si="8"/>
        <v>32632.219496296293</v>
      </c>
      <c r="G35" s="55" t="s">
        <v>2655</v>
      </c>
      <c r="H35" s="65"/>
      <c r="I35" s="64">
        <f>TPU!$I$3</f>
        <v>44531</v>
      </c>
      <c r="J35" s="190">
        <f>INDEX(IPCA!$C$3:$C$29,MATCH($D$2,IPCA!$A$3:$A$27,0))/INDEX(IPCA!$C$3:$C$29,MATCH($I35,IPCA!$A$3:$A$29,0))</f>
        <v>1</v>
      </c>
      <c r="K35" s="64"/>
    </row>
    <row r="36" spans="1:11" s="56" customFormat="1" ht="28.5" x14ac:dyDescent="0.2">
      <c r="A36" s="487"/>
      <c r="B36" s="57" t="s">
        <v>2760</v>
      </c>
      <c r="C36" s="55" t="s">
        <v>28</v>
      </c>
      <c r="D36" s="58">
        <f>AVERAGE(D31,D32,D33)</f>
        <v>155.61869901234567</v>
      </c>
      <c r="E36" s="83">
        <f>E31</f>
        <v>164</v>
      </c>
      <c r="F36" s="68">
        <f t="shared" si="8"/>
        <v>25521.466638024689</v>
      </c>
      <c r="G36" s="55" t="s">
        <v>2655</v>
      </c>
      <c r="H36" s="65"/>
      <c r="I36" s="64">
        <f>TPU!$I$3</f>
        <v>44531</v>
      </c>
      <c r="J36" s="190">
        <f>INDEX(IPCA!$C$3:$C$29,MATCH($D$2,IPCA!$A$3:$A$27,0))/INDEX(IPCA!$C$3:$C$29,MATCH($I36,IPCA!$A$3:$A$29,0))</f>
        <v>1</v>
      </c>
      <c r="K36" s="64" t="s">
        <v>2761</v>
      </c>
    </row>
    <row r="37" spans="1:11" s="56" customFormat="1" ht="15" x14ac:dyDescent="0.2">
      <c r="A37" s="706" t="s">
        <v>1858</v>
      </c>
      <c r="B37" s="707"/>
      <c r="C37" s="707"/>
      <c r="D37" s="707"/>
      <c r="E37" s="708"/>
      <c r="F37" s="136">
        <f>SUM(F38:F42)</f>
        <v>356466.04144144116</v>
      </c>
      <c r="G37" s="138"/>
      <c r="H37" s="135"/>
      <c r="I37" s="139"/>
      <c r="J37" s="133"/>
      <c r="K37" s="133"/>
    </row>
    <row r="38" spans="1:11" s="40" customFormat="1" ht="28.5" x14ac:dyDescent="0.2">
      <c r="A38" s="85" t="s">
        <v>1862</v>
      </c>
      <c r="B38" s="59" t="s">
        <v>2735</v>
      </c>
      <c r="C38" s="60" t="s">
        <v>1912</v>
      </c>
      <c r="D38" s="58">
        <f>H38*J38</f>
        <v>11350.748731729638</v>
      </c>
      <c r="E38" s="68">
        <v>2</v>
      </c>
      <c r="F38" s="71">
        <f>D38*E38</f>
        <v>22701.497463459276</v>
      </c>
      <c r="G38" s="61" t="s">
        <v>2751</v>
      </c>
      <c r="H38" s="144">
        <f>Sonddenge!D3</f>
        <v>10000</v>
      </c>
      <c r="I38" s="66">
        <v>44075</v>
      </c>
      <c r="J38" s="190">
        <f>INDEX(IPCA!$C$3:$C$29,MATCH($D$2,IPCA!$A$3:$A$27,0))/INDEX(IPCA!$C$3:$C$29,MATCH($I38,IPCA!$A$3:$A$29,0))</f>
        <v>1.1350748731729638</v>
      </c>
      <c r="K38" s="62" t="s">
        <v>2749</v>
      </c>
    </row>
    <row r="39" spans="1:11" s="40" customFormat="1" ht="28.5" x14ac:dyDescent="0.2">
      <c r="A39" s="85" t="s">
        <v>1862</v>
      </c>
      <c r="B39" s="59" t="s">
        <v>1913</v>
      </c>
      <c r="C39" s="60" t="s">
        <v>1912</v>
      </c>
      <c r="D39" s="58">
        <f t="shared" ref="D39:D42" si="9">H39*J39</f>
        <v>323.49633885429472</v>
      </c>
      <c r="E39" s="488">
        <f>Sondagens!T48</f>
        <v>948.93600000000004</v>
      </c>
      <c r="F39" s="71">
        <f>D39*E39</f>
        <v>306977.32180703903</v>
      </c>
      <c r="G39" s="61" t="s">
        <v>2751</v>
      </c>
      <c r="H39" s="144">
        <f>Sonddenge!D4</f>
        <v>285</v>
      </c>
      <c r="I39" s="66">
        <v>44075</v>
      </c>
      <c r="J39" s="190">
        <f>INDEX(IPCA!$C$3:$C$29,MATCH($D$2,IPCA!$A$3:$A$27,0))/INDEX(IPCA!$C$3:$C$29,MATCH($I39,IPCA!$A$3:$A$29,0))</f>
        <v>1.1350748731729638</v>
      </c>
      <c r="K39" s="62" t="s">
        <v>2749</v>
      </c>
    </row>
    <row r="40" spans="1:11" s="40" customFormat="1" ht="28.5" x14ac:dyDescent="0.2">
      <c r="A40" s="85" t="s">
        <v>1862</v>
      </c>
      <c r="B40" s="59" t="s">
        <v>1914</v>
      </c>
      <c r="C40" s="60" t="s">
        <v>1912</v>
      </c>
      <c r="D40" s="58">
        <f t="shared" si="9"/>
        <v>34.052246195188914</v>
      </c>
      <c r="E40" s="488">
        <f>Referência!$J$14/5</f>
        <v>303.67199999999997</v>
      </c>
      <c r="F40" s="71">
        <f>D40*E40</f>
        <v>10340.713706585408</v>
      </c>
      <c r="G40" s="61" t="s">
        <v>2751</v>
      </c>
      <c r="H40" s="144">
        <f>Sonddenge!D5</f>
        <v>30</v>
      </c>
      <c r="I40" s="66">
        <v>44075</v>
      </c>
      <c r="J40" s="190">
        <f>INDEX(IPCA!$C$3:$C$29,MATCH($D$2,IPCA!$A$3:$A$27,0))/INDEX(IPCA!$C$3:$C$29,MATCH($I40,IPCA!$A$3:$A$29,0))</f>
        <v>1.1350748731729638</v>
      </c>
      <c r="K40" s="62" t="s">
        <v>2749</v>
      </c>
    </row>
    <row r="41" spans="1:11" s="40" customFormat="1" ht="28.5" x14ac:dyDescent="0.2">
      <c r="A41" s="85" t="s">
        <v>1862</v>
      </c>
      <c r="B41" s="59" t="s">
        <v>1915</v>
      </c>
      <c r="C41" s="60" t="s">
        <v>1912</v>
      </c>
      <c r="D41" s="58">
        <f t="shared" si="9"/>
        <v>11.350748731729638</v>
      </c>
      <c r="E41" s="488">
        <f>E39</f>
        <v>948.93600000000004</v>
      </c>
      <c r="F41" s="71">
        <f>D41*E41</f>
        <v>10771.134098492596</v>
      </c>
      <c r="G41" s="61" t="s">
        <v>2751</v>
      </c>
      <c r="H41" s="144">
        <f>Sonddenge!D7</f>
        <v>10</v>
      </c>
      <c r="I41" s="66">
        <v>44075</v>
      </c>
      <c r="J41" s="190">
        <f>INDEX(IPCA!$C$3:$C$29,MATCH($D$2,IPCA!$A$3:$A$27,0))/INDEX(IPCA!$C$3:$C$29,MATCH($I41,IPCA!$A$3:$A$29,0))</f>
        <v>1.1350748731729638</v>
      </c>
      <c r="K41" s="62" t="s">
        <v>2749</v>
      </c>
    </row>
    <row r="42" spans="1:11" s="40" customFormat="1" ht="28.5" x14ac:dyDescent="0.2">
      <c r="A42" s="85" t="s">
        <v>1862</v>
      </c>
      <c r="B42" s="59" t="s">
        <v>2723</v>
      </c>
      <c r="C42" s="60" t="s">
        <v>1916</v>
      </c>
      <c r="D42" s="58">
        <f t="shared" si="9"/>
        <v>5675.3743658648191</v>
      </c>
      <c r="E42" s="68">
        <v>1</v>
      </c>
      <c r="F42" s="71">
        <f t="shared" ref="F42" si="10">D42*E42</f>
        <v>5675.3743658648191</v>
      </c>
      <c r="G42" s="61" t="s">
        <v>2751</v>
      </c>
      <c r="H42" s="144">
        <f>Sonddenge!D8</f>
        <v>5000</v>
      </c>
      <c r="I42" s="66">
        <v>44075</v>
      </c>
      <c r="J42" s="190">
        <f>INDEX(IPCA!$C$3:$C$29,MATCH($D$2,IPCA!$A$3:$A$27,0))/INDEX(IPCA!$C$3:$C$29,MATCH($I42,IPCA!$A$3:$A$29,0))</f>
        <v>1.1350748731729638</v>
      </c>
      <c r="K42" s="62" t="s">
        <v>2749</v>
      </c>
    </row>
    <row r="43" spans="1:11" s="56" customFormat="1" ht="15" x14ac:dyDescent="0.2">
      <c r="A43" s="703" t="s">
        <v>2712</v>
      </c>
      <c r="B43" s="704"/>
      <c r="C43" s="704"/>
      <c r="D43" s="704"/>
      <c r="E43" s="705"/>
      <c r="F43" s="74">
        <f>F44+F47</f>
        <v>1624302.0050885663</v>
      </c>
      <c r="G43" s="86"/>
      <c r="H43" s="145"/>
      <c r="I43" s="110"/>
      <c r="J43" s="86"/>
      <c r="K43" s="86"/>
    </row>
    <row r="44" spans="1:11" s="56" customFormat="1" ht="15" x14ac:dyDescent="0.2">
      <c r="A44" s="706" t="s">
        <v>2715</v>
      </c>
      <c r="B44" s="707"/>
      <c r="C44" s="707"/>
      <c r="D44" s="707"/>
      <c r="E44" s="708"/>
      <c r="F44" s="136">
        <f>SUM(F45:F46)</f>
        <v>320150.90702789987</v>
      </c>
      <c r="G44" s="138"/>
      <c r="H44" s="135"/>
      <c r="I44" s="139"/>
      <c r="J44" s="133"/>
      <c r="K44" s="133"/>
    </row>
    <row r="45" spans="1:11" s="40" customFormat="1" ht="28.5" x14ac:dyDescent="0.2">
      <c r="A45" s="85" t="s">
        <v>1862</v>
      </c>
      <c r="B45" s="70" t="s">
        <v>2676</v>
      </c>
      <c r="C45" s="55" t="s">
        <v>1912</v>
      </c>
      <c r="D45" s="58">
        <f t="shared" ref="D45:D46" si="11">H45*J45</f>
        <v>8814.1742111525527</v>
      </c>
      <c r="E45" s="68">
        <v>2</v>
      </c>
      <c r="F45" s="71">
        <f>D45*E45</f>
        <v>17628.348422305105</v>
      </c>
      <c r="G45" s="61" t="s">
        <v>2750</v>
      </c>
      <c r="H45" s="65">
        <f>Dynatest!D22</f>
        <v>7765.28</v>
      </c>
      <c r="I45" s="66">
        <v>44075</v>
      </c>
      <c r="J45" s="190">
        <f>INDEX(IPCA!$C$3:$C$29,MATCH($D$2,IPCA!$A$3:$A$27,0))/INDEX(IPCA!$C$3:$C$29,MATCH($I45,IPCA!$A$3:$A$29,0))</f>
        <v>1.1350748731729638</v>
      </c>
      <c r="K45" s="62" t="s">
        <v>2749</v>
      </c>
    </row>
    <row r="46" spans="1:11" s="40" customFormat="1" ht="28.5" x14ac:dyDescent="0.2">
      <c r="A46" s="85" t="s">
        <v>1862</v>
      </c>
      <c r="B46" s="70" t="s">
        <v>2679</v>
      </c>
      <c r="C46" s="55" t="s">
        <v>33</v>
      </c>
      <c r="D46" s="58">
        <f t="shared" si="11"/>
        <v>74.494963926341612</v>
      </c>
      <c r="E46" s="68">
        <f>Referência!T14</f>
        <v>4060.9800000000005</v>
      </c>
      <c r="F46" s="71">
        <f>D46*E46</f>
        <v>302522.55860559479</v>
      </c>
      <c r="G46" s="61" t="s">
        <v>2750</v>
      </c>
      <c r="H46" s="65">
        <f>Dynatest!D23</f>
        <v>65.63</v>
      </c>
      <c r="I46" s="66">
        <v>44075</v>
      </c>
      <c r="J46" s="190">
        <f>INDEX(IPCA!$C$3:$C$29,MATCH($D$2,IPCA!$A$3:$A$27,0))/INDEX(IPCA!$C$3:$C$29,MATCH($I46,IPCA!$A$3:$A$29,0))</f>
        <v>1.1350748731729638</v>
      </c>
      <c r="K46" s="62" t="s">
        <v>2749</v>
      </c>
    </row>
    <row r="47" spans="1:11" s="56" customFormat="1" ht="15" x14ac:dyDescent="0.2">
      <c r="A47" s="706" t="s">
        <v>2714</v>
      </c>
      <c r="B47" s="707"/>
      <c r="C47" s="707"/>
      <c r="D47" s="707"/>
      <c r="E47" s="708"/>
      <c r="F47" s="136">
        <f>SUM(F48:F48)</f>
        <v>1304151.0980606666</v>
      </c>
      <c r="G47" s="138"/>
      <c r="H47" s="135"/>
      <c r="I47" s="139"/>
      <c r="J47" s="133"/>
      <c r="K47" s="133"/>
    </row>
    <row r="48" spans="1:11" s="40" customFormat="1" ht="28.5" x14ac:dyDescent="0.2">
      <c r="A48" s="85" t="s">
        <v>131</v>
      </c>
      <c r="B48" s="57" t="str">
        <f>VLOOKUP($A48,TPU!$A$6:$D$2331,2,FALSE)</f>
        <v>INVENTARIO DO PAVIMENTO, INCLUSIVE MEDIDAS DOS AFUNDAMENTOS DAS TRILHAS DE RODA</v>
      </c>
      <c r="C48" s="55" t="str">
        <f>VLOOKUP($A48,TPU!$A$6:$D$2331,3,FALSE)</f>
        <v>kmxfaixa</v>
      </c>
      <c r="D48" s="58">
        <f>VLOOKUP($A48,TPU!$A$6:$D$2331,4,FALSE)</f>
        <v>183.74277555555554</v>
      </c>
      <c r="E48" s="68">
        <f>Referência!$U$14</f>
        <v>7097.7000000000007</v>
      </c>
      <c r="F48" s="71">
        <f>D48*E48</f>
        <v>1304151.0980606666</v>
      </c>
      <c r="G48" s="55" t="s">
        <v>2655</v>
      </c>
      <c r="H48" s="65"/>
      <c r="I48" s="64">
        <f>TPU!$I$3</f>
        <v>44531</v>
      </c>
      <c r="J48" s="190">
        <f>INDEX(IPCA!$C$3:$C$29,MATCH($D$2,IPCA!$A$3:$A$27,0))/INDEX(IPCA!$C$3:$C$29,MATCH($I48,IPCA!$A$3:$A$29,0))</f>
        <v>1</v>
      </c>
      <c r="K48" s="62"/>
    </row>
    <row r="49" spans="1:11" ht="15" x14ac:dyDescent="0.2">
      <c r="A49" s="703" t="s">
        <v>2713</v>
      </c>
      <c r="B49" s="704"/>
      <c r="C49" s="704"/>
      <c r="D49" s="704"/>
      <c r="E49" s="705"/>
      <c r="F49" s="74">
        <f>SUM(F50:F51)</f>
        <v>236840.44138063357</v>
      </c>
      <c r="G49" s="86"/>
      <c r="H49" s="145"/>
      <c r="I49" s="110"/>
      <c r="J49" s="86"/>
      <c r="K49" s="87"/>
    </row>
    <row r="50" spans="1:11" ht="28.5" x14ac:dyDescent="0.2">
      <c r="A50" s="85" t="s">
        <v>1862</v>
      </c>
      <c r="B50" s="70" t="s">
        <v>2676</v>
      </c>
      <c r="C50" s="60" t="s">
        <v>1912</v>
      </c>
      <c r="D50" s="58">
        <f t="shared" ref="D50:D51" si="12">H50*J50</f>
        <v>1410.6710523793595</v>
      </c>
      <c r="E50" s="68">
        <v>2</v>
      </c>
      <c r="F50" s="71">
        <f>D50*E50</f>
        <v>2821.342104758719</v>
      </c>
      <c r="G50" s="61" t="s">
        <v>2750</v>
      </c>
      <c r="H50" s="144">
        <f>Dynatest!D7</f>
        <v>1242.8</v>
      </c>
      <c r="I50" s="66">
        <v>44075</v>
      </c>
      <c r="J50" s="190">
        <f>INDEX(IPCA!$C$3:$C$29,MATCH($D$2,IPCA!$A$3:$A$27,0))/INDEX(IPCA!$C$3:$C$29,MATCH($I50,IPCA!$A$3:$A$29,0))</f>
        <v>1.1350748731729638</v>
      </c>
      <c r="K50" s="62" t="s">
        <v>2749</v>
      </c>
    </row>
    <row r="51" spans="1:11" ht="15" x14ac:dyDescent="0.2">
      <c r="A51" s="85" t="s">
        <v>1862</v>
      </c>
      <c r="B51" s="70" t="s">
        <v>2679</v>
      </c>
      <c r="C51" s="60" t="s">
        <v>33</v>
      </c>
      <c r="D51" s="58">
        <f t="shared" si="12"/>
        <v>130.99672494381306</v>
      </c>
      <c r="E51" s="68">
        <f>Referência!$J$14+Referência!$N$14+Referência!$O$14+Referência!$P$14+Referência!$K$14</f>
        <v>1786.45</v>
      </c>
      <c r="F51" s="71">
        <f>D51*E51</f>
        <v>234019.09927587485</v>
      </c>
      <c r="G51" s="72" t="s">
        <v>2752</v>
      </c>
      <c r="H51" s="144">
        <f>(213224.220841593-H50)/1836.8</f>
        <v>115.40800350696483</v>
      </c>
      <c r="I51" s="66">
        <v>44075</v>
      </c>
      <c r="J51" s="190">
        <f>INDEX(IPCA!$C$3:$C$29,MATCH($D$2,IPCA!$A$3:$A$27,0))/INDEX(IPCA!$C$3:$C$29,MATCH($I51,IPCA!$A$3:$A$29,0))</f>
        <v>1.1350748731729638</v>
      </c>
      <c r="K51" s="66" t="s">
        <v>2753</v>
      </c>
    </row>
    <row r="54" spans="1:11" s="40" customFormat="1" ht="17.25" customHeight="1" x14ac:dyDescent="0.2">
      <c r="A54"/>
      <c r="B54"/>
      <c r="C54"/>
      <c r="D54"/>
      <c r="E54"/>
      <c r="F54"/>
      <c r="G54"/>
      <c r="H54"/>
      <c r="I54"/>
      <c r="J54"/>
      <c r="K54"/>
    </row>
    <row r="55" spans="1:11" s="40" customFormat="1" ht="17.25" customHeight="1" x14ac:dyDescent="0.2">
      <c r="A55"/>
      <c r="B55"/>
      <c r="C55"/>
      <c r="D55"/>
      <c r="E55"/>
      <c r="F55"/>
      <c r="G55"/>
      <c r="H55"/>
      <c r="I55"/>
      <c r="J55"/>
      <c r="K55"/>
    </row>
    <row r="56" spans="1:11" s="40" customFormat="1" ht="17.25" customHeight="1" x14ac:dyDescent="0.2">
      <c r="A56"/>
      <c r="B56"/>
      <c r="C56"/>
      <c r="D56"/>
      <c r="E56"/>
      <c r="F56"/>
      <c r="G56"/>
      <c r="H56"/>
      <c r="I56"/>
      <c r="J56"/>
      <c r="K56"/>
    </row>
    <row r="57" spans="1:11" ht="30.75" customHeight="1" x14ac:dyDescent="0.2">
      <c r="A57"/>
      <c r="B57"/>
      <c r="C57"/>
      <c r="D57"/>
      <c r="E57"/>
      <c r="F57"/>
      <c r="G57"/>
      <c r="H57"/>
      <c r="I57"/>
      <c r="J57"/>
      <c r="K57"/>
    </row>
  </sheetData>
  <mergeCells count="13">
    <mergeCell ref="A49:E49"/>
    <mergeCell ref="A21:E21"/>
    <mergeCell ref="A10:E10"/>
    <mergeCell ref="A37:E37"/>
    <mergeCell ref="A16:E16"/>
    <mergeCell ref="A11:E11"/>
    <mergeCell ref="A29:E29"/>
    <mergeCell ref="A5:E5"/>
    <mergeCell ref="A47:E47"/>
    <mergeCell ref="A43:E43"/>
    <mergeCell ref="A22:E22"/>
    <mergeCell ref="A25:E25"/>
    <mergeCell ref="A44:E44"/>
  </mergeCells>
  <pageMargins left="0.511811024" right="0.511811024" top="0.78740157499999996" bottom="0.78740157499999996" header="0.31496062000000002" footer="0.31496062000000002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Plan9">
    <tabColor theme="8" tint="0.39997558519241921"/>
    <outlinePr summaryBelow="0" summaryRight="0"/>
  </sheetPr>
  <dimension ref="A1:O231"/>
  <sheetViews>
    <sheetView showGridLines="0" zoomScale="90" zoomScaleNormal="90" workbookViewId="0">
      <pane ySplit="4" topLeftCell="A5" activePane="bottomLeft" state="frozen"/>
      <selection pane="bottomLeft" activeCell="H2" sqref="H2"/>
    </sheetView>
  </sheetViews>
  <sheetFormatPr defaultColWidth="14.42578125" defaultRowHeight="15.75" customHeight="1" x14ac:dyDescent="0.2"/>
  <cols>
    <col min="1" max="1" width="14.42578125" style="50"/>
    <col min="2" max="2" width="16.140625" style="50" bestFit="1" customWidth="1"/>
    <col min="3" max="3" width="45.28515625" style="50" customWidth="1"/>
    <col min="4" max="4" width="18.5703125" style="42" customWidth="1"/>
    <col min="5" max="5" width="15.7109375" style="425" customWidth="1"/>
    <col min="6" max="6" width="14" style="425" bestFit="1" customWidth="1"/>
    <col min="7" max="7" width="15.7109375" style="425" customWidth="1"/>
    <col min="8" max="8" width="30.28515625" style="42" bestFit="1" customWidth="1"/>
    <col min="9" max="9" width="85.5703125" style="50" customWidth="1"/>
    <col min="10" max="16384" width="14.42578125" style="50"/>
  </cols>
  <sheetData>
    <row r="1" spans="1:15" x14ac:dyDescent="0.2">
      <c r="A1" s="392" t="s">
        <v>1888</v>
      </c>
      <c r="B1" s="392"/>
      <c r="C1" s="393"/>
      <c r="D1" s="79"/>
      <c r="E1" s="394"/>
      <c r="F1" s="395"/>
      <c r="G1" s="395"/>
      <c r="H1" s="395"/>
      <c r="I1" s="396"/>
    </row>
    <row r="2" spans="1:15" x14ac:dyDescent="0.2">
      <c r="A2" s="397" t="s">
        <v>3</v>
      </c>
      <c r="B2" s="397"/>
      <c r="C2" s="393"/>
      <c r="D2" s="201" t="str">
        <f>Resumo!$A$5</f>
        <v>Database:</v>
      </c>
      <c r="E2" s="141">
        <f>Resumo!$B$5</f>
        <v>44531</v>
      </c>
      <c r="F2" s="140" t="s">
        <v>4</v>
      </c>
      <c r="G2" s="140">
        <f>G13+G41+G60+G85+G111+G149+G103+G161++G170+G177+G187+G197+G129+G208+G216+G5</f>
        <v>11851830.107401257</v>
      </c>
      <c r="H2" s="80"/>
      <c r="I2" s="398"/>
    </row>
    <row r="3" spans="1:15" s="42" customFormat="1" ht="5.0999999999999996" customHeight="1" x14ac:dyDescent="0.2">
      <c r="A3" s="79"/>
      <c r="B3" s="79"/>
      <c r="C3" s="79"/>
      <c r="D3" s="79"/>
      <c r="E3" s="80"/>
      <c r="H3" s="80"/>
      <c r="I3" s="398"/>
    </row>
    <row r="4" spans="1:15" s="399" customFormat="1" ht="30" x14ac:dyDescent="0.2">
      <c r="A4" s="95" t="s">
        <v>0</v>
      </c>
      <c r="B4" s="95" t="s">
        <v>1854</v>
      </c>
      <c r="C4" s="95" t="s">
        <v>1</v>
      </c>
      <c r="D4" s="95" t="s">
        <v>5</v>
      </c>
      <c r="E4" s="95" t="s">
        <v>6</v>
      </c>
      <c r="F4" s="95" t="s">
        <v>11</v>
      </c>
      <c r="G4" s="95" t="s">
        <v>2</v>
      </c>
      <c r="H4" s="95" t="s">
        <v>7</v>
      </c>
      <c r="I4" s="95" t="s">
        <v>1896</v>
      </c>
      <c r="J4" s="44"/>
      <c r="K4" s="44"/>
      <c r="L4" s="44"/>
      <c r="M4" s="44"/>
      <c r="N4" s="44"/>
      <c r="O4" s="44"/>
    </row>
    <row r="5" spans="1:15" s="405" customFormat="1" ht="15" customHeight="1" x14ac:dyDescent="0.2">
      <c r="A5" s="400" t="s">
        <v>4859</v>
      </c>
      <c r="B5" s="400"/>
      <c r="C5" s="401"/>
      <c r="D5" s="96"/>
      <c r="E5" s="402"/>
      <c r="F5" s="403"/>
      <c r="G5" s="404">
        <f>G6</f>
        <v>41113.883298559151</v>
      </c>
      <c r="H5" s="88"/>
      <c r="I5" s="404"/>
    </row>
    <row r="6" spans="1:15" s="405" customFormat="1" ht="15" customHeight="1" x14ac:dyDescent="0.2">
      <c r="A6" s="406" t="s">
        <v>1873</v>
      </c>
      <c r="B6" s="407"/>
      <c r="C6" s="406"/>
      <c r="D6" s="75"/>
      <c r="E6" s="408"/>
      <c r="F6" s="409"/>
      <c r="G6" s="410">
        <f>SUM(G7:G12)</f>
        <v>41113.883298559151</v>
      </c>
      <c r="H6" s="74"/>
      <c r="I6" s="411"/>
    </row>
    <row r="7" spans="1:15" s="398" customFormat="1" ht="15" customHeight="1" x14ac:dyDescent="0.2">
      <c r="A7" s="214" t="s">
        <v>1614</v>
      </c>
      <c r="B7" s="76" t="s">
        <v>1884</v>
      </c>
      <c r="C7" s="49" t="str">
        <f>VLOOKUP($A7,TPU!$A$6:$D$4148,2,FALSE)</f>
        <v>Engenheiro de projetos pleno</v>
      </c>
      <c r="D7" s="43" t="str">
        <f>VLOOKUP($A7,TPU!$A$6:$D$4148,3,FALSE)</f>
        <v>mês</v>
      </c>
      <c r="E7" s="198">
        <f>VLOOKUP($A7,TPU!$A$6:$D$4148,4,FALSE)</f>
        <v>29231.169732812014</v>
      </c>
      <c r="F7" s="357">
        <f>(1/30)*15</f>
        <v>0.5</v>
      </c>
      <c r="G7" s="73">
        <f t="shared" ref="G7:G12" si="0">E7*F7</f>
        <v>14615.584866406007</v>
      </c>
      <c r="H7" s="43" t="s">
        <v>4997</v>
      </c>
      <c r="I7" s="49" t="s">
        <v>4860</v>
      </c>
    </row>
    <row r="8" spans="1:15" s="398" customFormat="1" ht="15" customHeight="1" x14ac:dyDescent="0.2">
      <c r="A8" s="214" t="s">
        <v>1614</v>
      </c>
      <c r="B8" s="76" t="s">
        <v>1884</v>
      </c>
      <c r="C8" s="49" t="str">
        <f>VLOOKUP($A8,TPU!$A$6:$D$4148,2,FALSE)</f>
        <v>Engenheiro de projetos pleno</v>
      </c>
      <c r="D8" s="43" t="str">
        <f>VLOOKUP($A8,TPU!$A$6:$D$4148,3,FALSE)</f>
        <v>mês</v>
      </c>
      <c r="E8" s="198">
        <f>VLOOKUP($A8,TPU!$A$6:$D$4148,4,FALSE)</f>
        <v>29231.169732812014</v>
      </c>
      <c r="F8" s="357">
        <f>(1/30)*15</f>
        <v>0.5</v>
      </c>
      <c r="G8" s="73">
        <f t="shared" ref="G8" si="1">E8*F8</f>
        <v>14615.584866406007</v>
      </c>
      <c r="H8" s="43" t="s">
        <v>4997</v>
      </c>
      <c r="I8" s="49" t="s">
        <v>4860</v>
      </c>
    </row>
    <row r="9" spans="1:15" ht="15" customHeight="1" x14ac:dyDescent="0.2">
      <c r="A9" s="43" t="s">
        <v>1616</v>
      </c>
      <c r="B9" s="197" t="s">
        <v>1884</v>
      </c>
      <c r="C9" s="49" t="str">
        <f>VLOOKUP($A9,TPU!$A$6:$D$4148,2,FALSE)</f>
        <v>Engenheiro de projetos sênior</v>
      </c>
      <c r="D9" s="43" t="str">
        <f>VLOOKUP($A9,TPU!$A$6:$D$4148,3,FALSE)</f>
        <v>mês</v>
      </c>
      <c r="E9" s="198">
        <f>VLOOKUP($A9,TPU!$A$6:$D$4148,4,FALSE)</f>
        <v>38482.635478079748</v>
      </c>
      <c r="F9" s="357">
        <f>(1/30/2)*15</f>
        <v>0.25</v>
      </c>
      <c r="G9" s="73">
        <f t="shared" si="0"/>
        <v>9620.6588695199371</v>
      </c>
      <c r="H9" s="43" t="s">
        <v>4997</v>
      </c>
      <c r="I9" s="49" t="s">
        <v>4861</v>
      </c>
    </row>
    <row r="10" spans="1:15" ht="15" customHeight="1" x14ac:dyDescent="0.2">
      <c r="A10" s="215" t="s">
        <v>1838</v>
      </c>
      <c r="B10" s="76" t="s">
        <v>1873</v>
      </c>
      <c r="C10" s="49" t="str">
        <f>VLOOKUP($A10,TPU!$A$6:$D$4148,2,FALSE)</f>
        <v>Comercial (2,60% do CMCC - SINAPI)</v>
      </c>
      <c r="D10" s="43" t="str">
        <f>VLOOKUP($A10,TPU!$A$6:$D$4148,3,FALSE)</f>
        <v>m² x mês</v>
      </c>
      <c r="E10" s="198">
        <f>VLOOKUP($A10,TPU!$A$6:$D$4148,4,FALSE)</f>
        <v>59.907303032725231</v>
      </c>
      <c r="F10" s="357">
        <f>((57.95/2)+4.5*(COUNTIF(A7:A9,"P8"&amp;"*")))*AVERAGEIF(A7:A9,"P8"&amp;"*",F7:F9)</f>
        <v>17.697916666666668</v>
      </c>
      <c r="G10" s="73">
        <f t="shared" si="0"/>
        <v>1060.2344567979185</v>
      </c>
      <c r="H10" s="43" t="s">
        <v>4997</v>
      </c>
      <c r="I10" s="49" t="s">
        <v>5054</v>
      </c>
    </row>
    <row r="11" spans="1:15" ht="15" customHeight="1" x14ac:dyDescent="0.2">
      <c r="A11" s="215" t="s">
        <v>1840</v>
      </c>
      <c r="B11" s="76" t="s">
        <v>2666</v>
      </c>
      <c r="C11" s="49" t="str">
        <f>VLOOKUP($A11,TPU!$A$6:$D$4148,2,FALSE)</f>
        <v>Escritório</v>
      </c>
      <c r="D11" s="43" t="str">
        <f>VLOOKUP($A11,TPU!$A$6:$D$4148,3,FALSE)</f>
        <v>ocupante x mês</v>
      </c>
      <c r="E11" s="198">
        <f>VLOOKUP($A11,TPU!$A$6:$D$4148,4,FALSE)</f>
        <v>773.54195511772502</v>
      </c>
      <c r="F11" s="357">
        <f>COUNTIF(A7:A9,"P8"&amp;"*")*AVERAGEIF(A7:A9,"P8"&amp;"*",F7:F9)</f>
        <v>1.25</v>
      </c>
      <c r="G11" s="73">
        <f t="shared" si="0"/>
        <v>966.92744389715631</v>
      </c>
      <c r="H11" s="43" t="s">
        <v>4997</v>
      </c>
      <c r="I11" s="49" t="s">
        <v>5053</v>
      </c>
    </row>
    <row r="12" spans="1:15" ht="15" customHeight="1" x14ac:dyDescent="0.2">
      <c r="A12" s="215" t="s">
        <v>1850</v>
      </c>
      <c r="B12" s="76" t="s">
        <v>1873</v>
      </c>
      <c r="C12" s="49" t="str">
        <f>VLOOKUP($A12,TPU!$A$6:$D$4148,2,FALSE)</f>
        <v>Escritório</v>
      </c>
      <c r="D12" s="43" t="str">
        <f>VLOOKUP($A12,TPU!$A$6:$D$4148,3,FALSE)</f>
        <v>ocupante x mês</v>
      </c>
      <c r="E12" s="198">
        <f>VLOOKUP($A12,TPU!$A$6:$D$4148,4,FALSE)</f>
        <v>187.91423642570163</v>
      </c>
      <c r="F12" s="357">
        <f>COUNTIF(A7:A9,"P8"&amp;"*")*AVERAGEIF(A7:A9,"P8"&amp;"*",F7:F9)</f>
        <v>1.25</v>
      </c>
      <c r="G12" s="73">
        <f t="shared" si="0"/>
        <v>234.89279553212702</v>
      </c>
      <c r="H12" s="43" t="s">
        <v>4997</v>
      </c>
      <c r="I12" s="49" t="s">
        <v>5053</v>
      </c>
    </row>
    <row r="13" spans="1:15" s="405" customFormat="1" ht="15" customHeight="1" x14ac:dyDescent="0.2">
      <c r="A13" s="400" t="s">
        <v>1863</v>
      </c>
      <c r="B13" s="400"/>
      <c r="C13" s="401"/>
      <c r="D13" s="96"/>
      <c r="E13" s="402"/>
      <c r="F13" s="403"/>
      <c r="G13" s="404">
        <f>G14+G25</f>
        <v>2088100.0027909444</v>
      </c>
      <c r="H13" s="88"/>
      <c r="I13" s="404"/>
    </row>
    <row r="14" spans="1:15" s="405" customFormat="1" ht="15" customHeight="1" x14ac:dyDescent="0.2">
      <c r="A14" s="406" t="s">
        <v>1871</v>
      </c>
      <c r="B14" s="407"/>
      <c r="C14" s="406"/>
      <c r="D14" s="75"/>
      <c r="E14" s="408"/>
      <c r="F14" s="409"/>
      <c r="G14" s="410">
        <f>SUM(G15:G24)</f>
        <v>133036.26061510592</v>
      </c>
      <c r="H14" s="74"/>
      <c r="I14" s="410"/>
    </row>
    <row r="15" spans="1:15" s="405" customFormat="1" ht="15" customHeight="1" x14ac:dyDescent="0.2">
      <c r="A15" s="216" t="s">
        <v>1614</v>
      </c>
      <c r="B15" s="489" t="s">
        <v>1884</v>
      </c>
      <c r="C15" s="218" t="str">
        <f>VLOOKUP($A15,TPU!$A$6:$D$4148,2,FALSE)</f>
        <v>Engenheiro de projetos pleno</v>
      </c>
      <c r="D15" s="216" t="str">
        <f>VLOOKUP($A15,TPU!$A$6:$D$4148,3,FALSE)</f>
        <v>mês</v>
      </c>
      <c r="E15" s="490">
        <f>VLOOKUP($A15,TPU!$A$6:$D$4148,4,FALSE)</f>
        <v>29231.169732812014</v>
      </c>
      <c r="F15" s="146">
        <v>1</v>
      </c>
      <c r="G15" s="107">
        <f t="shared" ref="G15:G22" si="2">E15*F15</f>
        <v>29231.169732812014</v>
      </c>
      <c r="H15" s="216" t="s">
        <v>4997</v>
      </c>
      <c r="I15" s="218" t="s">
        <v>1872</v>
      </c>
    </row>
    <row r="16" spans="1:15" s="405" customFormat="1" ht="15" customHeight="1" x14ac:dyDescent="0.2">
      <c r="A16" s="216" t="s">
        <v>1614</v>
      </c>
      <c r="B16" s="489" t="s">
        <v>1884</v>
      </c>
      <c r="C16" s="218" t="str">
        <f>VLOOKUP($A16,TPU!$A$6:$D$4148,2,FALSE)</f>
        <v>Engenheiro de projetos pleno</v>
      </c>
      <c r="D16" s="216" t="str">
        <f>VLOOKUP($A16,TPU!$A$6:$D$4148,3,FALSE)</f>
        <v>mês</v>
      </c>
      <c r="E16" s="490">
        <f>VLOOKUP($A16,TPU!$A$6:$D$4148,4,FALSE)</f>
        <v>29231.169732812014</v>
      </c>
      <c r="F16" s="146">
        <v>1</v>
      </c>
      <c r="G16" s="107">
        <f t="shared" si="2"/>
        <v>29231.169732812014</v>
      </c>
      <c r="H16" s="216" t="s">
        <v>4997</v>
      </c>
      <c r="I16" s="218" t="s">
        <v>1872</v>
      </c>
    </row>
    <row r="17" spans="1:9" s="405" customFormat="1" ht="15" customHeight="1" x14ac:dyDescent="0.2">
      <c r="A17" s="216" t="s">
        <v>1614</v>
      </c>
      <c r="B17" s="489" t="s">
        <v>1884</v>
      </c>
      <c r="C17" s="218" t="str">
        <f>VLOOKUP($A17,TPU!$A$6:$D$4148,2,FALSE)</f>
        <v>Engenheiro de projetos pleno</v>
      </c>
      <c r="D17" s="216" t="str">
        <f>VLOOKUP($A17,TPU!$A$6:$D$4148,3,FALSE)</f>
        <v>mês</v>
      </c>
      <c r="E17" s="490">
        <f>VLOOKUP($A17,TPU!$A$6:$D$4148,4,FALSE)</f>
        <v>29231.169732812014</v>
      </c>
      <c r="F17" s="146">
        <v>1</v>
      </c>
      <c r="G17" s="107">
        <f t="shared" ref="G17" si="3">E17*F17</f>
        <v>29231.169732812014</v>
      </c>
      <c r="H17" s="216" t="s">
        <v>4997</v>
      </c>
      <c r="I17" s="218" t="s">
        <v>1872</v>
      </c>
    </row>
    <row r="18" spans="1:9" s="405" customFormat="1" ht="15" customHeight="1" x14ac:dyDescent="0.2">
      <c r="A18" s="216" t="s">
        <v>4624</v>
      </c>
      <c r="B18" s="217" t="s">
        <v>1885</v>
      </c>
      <c r="C18" s="218" t="str">
        <f>VLOOKUP($A18,TPU!$A$6:$D$4148,2,FALSE)</f>
        <v>Veículo leve - 53 kW (sem motorista)</v>
      </c>
      <c r="D18" s="216" t="str">
        <f>VLOOKUP($A18,TPU!$A$6:$D$4148,3,FALSE)</f>
        <v xml:space="preserve">dia </v>
      </c>
      <c r="E18" s="490">
        <f>VLOOKUP($A18,TPU!$A$6:$D$4148,4,FALSE)</f>
        <v>188.86756388893707</v>
      </c>
      <c r="F18" s="146">
        <f>22*COUNTIF(A15:A20,"P8"&amp;"*")</f>
        <v>66</v>
      </c>
      <c r="G18" s="107">
        <f t="shared" si="2"/>
        <v>12465.259216669847</v>
      </c>
      <c r="H18" s="216" t="s">
        <v>4997</v>
      </c>
      <c r="I18" s="218" t="s">
        <v>1903</v>
      </c>
    </row>
    <row r="19" spans="1:9" s="405" customFormat="1" ht="15" customHeight="1" x14ac:dyDescent="0.2">
      <c r="A19" s="214" t="str">
        <f>"EST - "&amp;Referência!D16&amp;" "</f>
        <v xml:space="preserve">EST - RJ </v>
      </c>
      <c r="B19" s="76" t="s">
        <v>1725</v>
      </c>
      <c r="C19" s="49" t="str">
        <f>VLOOKUP($A19,TPU!$A$6:$D$4148,2,FALSE)</f>
        <v xml:space="preserve">Estadia - RJ </v>
      </c>
      <c r="D19" s="43" t="str">
        <f>VLOOKUP($A19,TPU!$A$6:$D$4148,3,FALSE)</f>
        <v xml:space="preserve">dia </v>
      </c>
      <c r="E19" s="198">
        <f>VLOOKUP($A19,TPU!$A$6:$D$4148,4,FALSE)</f>
        <v>200.6</v>
      </c>
      <c r="F19" s="146">
        <f>3*3</f>
        <v>9</v>
      </c>
      <c r="G19" s="73">
        <f t="shared" si="2"/>
        <v>1805.3999999999999</v>
      </c>
      <c r="H19" s="73" t="s">
        <v>1911</v>
      </c>
      <c r="I19" s="218" t="s">
        <v>5143</v>
      </c>
    </row>
    <row r="20" spans="1:9" s="405" customFormat="1" ht="15" customHeight="1" x14ac:dyDescent="0.2">
      <c r="A20" s="214" t="str">
        <f>"EST - "&amp;Referência!D17&amp;" "</f>
        <v xml:space="preserve">EST - MT </v>
      </c>
      <c r="B20" s="76" t="s">
        <v>1725</v>
      </c>
      <c r="C20" s="49" t="str">
        <f>VLOOKUP($A20,TPU!$A$6:$D$4148,2,FALSE)</f>
        <v xml:space="preserve">Estadia - MT </v>
      </c>
      <c r="D20" s="43" t="str">
        <f>VLOOKUP($A20,TPU!$A$6:$D$4148,3,FALSE)</f>
        <v xml:space="preserve">dia </v>
      </c>
      <c r="E20" s="198">
        <f>VLOOKUP($A20,TPU!$A$6:$D$4148,4,FALSE)</f>
        <v>188.8</v>
      </c>
      <c r="F20" s="146">
        <f>19*3</f>
        <v>57</v>
      </c>
      <c r="G20" s="73">
        <f t="shared" si="2"/>
        <v>10761.6</v>
      </c>
      <c r="H20" s="73" t="s">
        <v>1911</v>
      </c>
      <c r="I20" s="218" t="s">
        <v>5144</v>
      </c>
    </row>
    <row r="21" spans="1:9" s="405" customFormat="1" ht="15" customHeight="1" x14ac:dyDescent="0.2">
      <c r="A21" s="214" t="s">
        <v>1836</v>
      </c>
      <c r="B21" s="76" t="s">
        <v>1886</v>
      </c>
      <c r="C21" s="49" t="str">
        <f>VLOOKUP($A21,TPU!$A$6:$D$4148,2,FALSE)</f>
        <v>Passagem aérea (ida e volta) - destino RJ</v>
      </c>
      <c r="D21" s="43" t="str">
        <f>VLOOKUP($A21,TPU!$A$6:$D$4148,3,FALSE)</f>
        <v>und</v>
      </c>
      <c r="E21" s="198">
        <f>VLOOKUP($A21,TPU!$A$6:$D$4148,4,FALSE)</f>
        <v>754.75</v>
      </c>
      <c r="F21" s="146">
        <f>1*COUNTIF(A15:A20,"P8"&amp;"*")</f>
        <v>3</v>
      </c>
      <c r="G21" s="73">
        <f t="shared" si="2"/>
        <v>2264.25</v>
      </c>
      <c r="H21" s="73" t="s">
        <v>233</v>
      </c>
      <c r="I21" s="49" t="s">
        <v>5145</v>
      </c>
    </row>
    <row r="22" spans="1:9" s="405" customFormat="1" ht="15" customHeight="1" x14ac:dyDescent="0.2">
      <c r="A22" s="214" t="s">
        <v>1837</v>
      </c>
      <c r="B22" s="76" t="s">
        <v>1886</v>
      </c>
      <c r="C22" s="49" t="str">
        <f>VLOOKUP($A22,TPU!$A$6:$D$4148,2,FALSE)</f>
        <v>Passagem aérea (ida e volta) - destino MT</v>
      </c>
      <c r="D22" s="43" t="str">
        <f>VLOOKUP($A22,TPU!$A$6:$D$4148,3,FALSE)</f>
        <v>und</v>
      </c>
      <c r="E22" s="198">
        <f>VLOOKUP($A22,TPU!$A$6:$D$4148,4,FALSE)</f>
        <v>824.7</v>
      </c>
      <c r="F22" s="146">
        <f>1*COUNTIF(A15:A20,"P8"&amp;"*")</f>
        <v>3</v>
      </c>
      <c r="G22" s="73">
        <f t="shared" si="2"/>
        <v>2474.1000000000004</v>
      </c>
      <c r="H22" s="73" t="s">
        <v>233</v>
      </c>
      <c r="I22" s="49" t="s">
        <v>5145</v>
      </c>
    </row>
    <row r="23" spans="1:9" s="405" customFormat="1" ht="15" customHeight="1" x14ac:dyDescent="0.2">
      <c r="A23" s="214" t="s">
        <v>236</v>
      </c>
      <c r="B23" s="76" t="s">
        <v>1890</v>
      </c>
      <c r="C23" s="49" t="str">
        <f>VLOOKUP($A23,TPU!$A$6:$D$4148,2,FALSE)</f>
        <v xml:space="preserve">DETER. COORDENADAS COM GPS3 (CONTROLE BASICO) PRECISAO MINIMA DE 2 ORDEM.      </v>
      </c>
      <c r="D23" s="43" t="str">
        <f>VLOOKUP($A23,TPU!$A$6:$D$4148,3,FALSE)</f>
        <v>un</v>
      </c>
      <c r="E23" s="198">
        <f>VLOOKUP($A23,TPU!$A$6:$D$4148,4,FALSE)</f>
        <v>3190.8140666666663</v>
      </c>
      <c r="F23" s="146">
        <f>1*COUNTIF(A15:A20,"P8"&amp;"*")</f>
        <v>3</v>
      </c>
      <c r="G23" s="73">
        <f t="shared" ref="G23:G24" si="4">E23*F23</f>
        <v>9572.4421999999995</v>
      </c>
      <c r="H23" s="43" t="s">
        <v>5009</v>
      </c>
      <c r="I23" s="196" t="s">
        <v>5050</v>
      </c>
    </row>
    <row r="24" spans="1:9" s="405" customFormat="1" ht="15" customHeight="1" x14ac:dyDescent="0.2">
      <c r="A24" s="43" t="s">
        <v>4632</v>
      </c>
      <c r="B24" s="197" t="s">
        <v>1890</v>
      </c>
      <c r="C24" s="49" t="str">
        <f>VLOOKUP($A24,TPU!$A$6:$D$4148,2,FALSE)</f>
        <v>Notebook</v>
      </c>
      <c r="D24" s="43" t="str">
        <f>VLOOKUP($A24,TPU!$A$6:$D$4148,3,FALSE)</f>
        <v>un</v>
      </c>
      <c r="E24" s="198">
        <f>VLOOKUP($A24,TPU!$A$6:$D$4148,4,FALSE)</f>
        <v>1999.9</v>
      </c>
      <c r="F24" s="146">
        <f>1*COUNTIF(A15:A20,"P8"&amp;"*")</f>
        <v>3</v>
      </c>
      <c r="G24" s="73">
        <f t="shared" si="4"/>
        <v>5999.7000000000007</v>
      </c>
      <c r="H24" s="73" t="s">
        <v>233</v>
      </c>
      <c r="I24" s="196" t="s">
        <v>5050</v>
      </c>
    </row>
    <row r="25" spans="1:9" s="405" customFormat="1" ht="15" customHeight="1" x14ac:dyDescent="0.2">
      <c r="A25" s="406" t="s">
        <v>1873</v>
      </c>
      <c r="B25" s="407"/>
      <c r="C25" s="406"/>
      <c r="D25" s="75"/>
      <c r="E25" s="408"/>
      <c r="F25" s="409"/>
      <c r="G25" s="410">
        <f>SUM(G26:G39)</f>
        <v>1955063.7421758384</v>
      </c>
      <c r="H25" s="74"/>
      <c r="I25" s="411"/>
    </row>
    <row r="26" spans="1:9" s="398" customFormat="1" ht="15" customHeight="1" x14ac:dyDescent="0.2">
      <c r="A26" s="214" t="s">
        <v>1614</v>
      </c>
      <c r="B26" s="76" t="s">
        <v>1884</v>
      </c>
      <c r="C26" s="49" t="str">
        <f>VLOOKUP($A26,TPU!$A$6:$D$4148,2,FALSE)</f>
        <v>Engenheiro de projetos pleno</v>
      </c>
      <c r="D26" s="43" t="str">
        <f>VLOOKUP($A26,TPU!$A$6:$D$4148,3,FALSE)</f>
        <v>mês</v>
      </c>
      <c r="E26" s="198">
        <f>VLOOKUP($A26,TPU!$A$6:$D$4148,4,FALSE)</f>
        <v>29231.169732812014</v>
      </c>
      <c r="F26" s="146">
        <v>8</v>
      </c>
      <c r="G26" s="73">
        <f t="shared" ref="G26" si="5">E26*F26</f>
        <v>233849.35786249611</v>
      </c>
      <c r="H26" s="43" t="s">
        <v>4997</v>
      </c>
      <c r="I26" s="218" t="s">
        <v>1861</v>
      </c>
    </row>
    <row r="27" spans="1:9" s="398" customFormat="1" ht="15" customHeight="1" x14ac:dyDescent="0.2">
      <c r="A27" s="214" t="s">
        <v>1614</v>
      </c>
      <c r="B27" s="76" t="s">
        <v>1884</v>
      </c>
      <c r="C27" s="49" t="str">
        <f>VLOOKUP($A27,TPU!$A$6:$D$4148,2,FALSE)</f>
        <v>Engenheiro de projetos pleno</v>
      </c>
      <c r="D27" s="43" t="str">
        <f>VLOOKUP($A27,TPU!$A$6:$D$4148,3,FALSE)</f>
        <v>mês</v>
      </c>
      <c r="E27" s="198">
        <f>VLOOKUP($A27,TPU!$A$6:$D$4148,4,FALSE)</f>
        <v>29231.169732812014</v>
      </c>
      <c r="F27" s="146">
        <v>8</v>
      </c>
      <c r="G27" s="73">
        <f t="shared" ref="G27:G30" si="6">E27*F27</f>
        <v>233849.35786249611</v>
      </c>
      <c r="H27" s="43" t="s">
        <v>4997</v>
      </c>
      <c r="I27" s="218" t="s">
        <v>1861</v>
      </c>
    </row>
    <row r="28" spans="1:9" s="398" customFormat="1" ht="15" customHeight="1" x14ac:dyDescent="0.2">
      <c r="A28" s="214" t="s">
        <v>1614</v>
      </c>
      <c r="B28" s="76" t="s">
        <v>1884</v>
      </c>
      <c r="C28" s="49" t="str">
        <f>VLOOKUP($A28,TPU!$A$6:$D$4148,2,FALSE)</f>
        <v>Engenheiro de projetos pleno</v>
      </c>
      <c r="D28" s="43" t="str">
        <f>VLOOKUP($A28,TPU!$A$6:$D$4148,3,FALSE)</f>
        <v>mês</v>
      </c>
      <c r="E28" s="198">
        <f>VLOOKUP($A28,TPU!$A$6:$D$4148,4,FALSE)</f>
        <v>29231.169732812014</v>
      </c>
      <c r="F28" s="146">
        <v>8</v>
      </c>
      <c r="G28" s="73">
        <f t="shared" si="6"/>
        <v>233849.35786249611</v>
      </c>
      <c r="H28" s="43" t="s">
        <v>4997</v>
      </c>
      <c r="I28" s="218" t="s">
        <v>1861</v>
      </c>
    </row>
    <row r="29" spans="1:9" s="398" customFormat="1" ht="15" customHeight="1" x14ac:dyDescent="0.2">
      <c r="A29" s="214" t="s">
        <v>1614</v>
      </c>
      <c r="B29" s="76" t="s">
        <v>1884</v>
      </c>
      <c r="C29" s="49" t="str">
        <f>VLOOKUP($A29,TPU!$A$6:$D$4148,2,FALSE)</f>
        <v>Engenheiro de projetos pleno</v>
      </c>
      <c r="D29" s="43" t="str">
        <f>VLOOKUP($A29,TPU!$A$6:$D$4148,3,FALSE)</f>
        <v>mês</v>
      </c>
      <c r="E29" s="198">
        <f>VLOOKUP($A29,TPU!$A$6:$D$4148,4,FALSE)</f>
        <v>29231.169732812014</v>
      </c>
      <c r="F29" s="146">
        <v>8</v>
      </c>
      <c r="G29" s="73">
        <f t="shared" ref="G29" si="7">E29*F29</f>
        <v>233849.35786249611</v>
      </c>
      <c r="H29" s="43" t="s">
        <v>4997</v>
      </c>
      <c r="I29" s="218" t="s">
        <v>1861</v>
      </c>
    </row>
    <row r="30" spans="1:9" ht="15" customHeight="1" x14ac:dyDescent="0.2">
      <c r="A30" s="43" t="s">
        <v>1616</v>
      </c>
      <c r="B30" s="197" t="s">
        <v>1884</v>
      </c>
      <c r="C30" s="49" t="str">
        <f>VLOOKUP($A30,TPU!$A$6:$D$4148,2,FALSE)</f>
        <v>Engenheiro de projetos sênior</v>
      </c>
      <c r="D30" s="43" t="str">
        <f>VLOOKUP($A30,TPU!$A$6:$D$4148,3,FALSE)</f>
        <v>mês</v>
      </c>
      <c r="E30" s="198">
        <f>VLOOKUP($A30,TPU!$A$6:$D$4148,4,FALSE)</f>
        <v>38482.635478079748</v>
      </c>
      <c r="F30" s="146">
        <v>12</v>
      </c>
      <c r="G30" s="73">
        <f t="shared" si="6"/>
        <v>461791.62573695695</v>
      </c>
      <c r="H30" s="43" t="s">
        <v>4997</v>
      </c>
      <c r="I30" s="218" t="s">
        <v>1874</v>
      </c>
    </row>
    <row r="31" spans="1:9" ht="15" customHeight="1" x14ac:dyDescent="0.2">
      <c r="A31" s="43" t="s">
        <v>1616</v>
      </c>
      <c r="B31" s="197" t="s">
        <v>1884</v>
      </c>
      <c r="C31" s="49" t="str">
        <f>VLOOKUP($A31,TPU!$A$6:$D$4148,2,FALSE)</f>
        <v>Engenheiro de projetos sênior</v>
      </c>
      <c r="D31" s="43" t="str">
        <f>VLOOKUP($A31,TPU!$A$6:$D$4148,3,FALSE)</f>
        <v>mês</v>
      </c>
      <c r="E31" s="198">
        <f>VLOOKUP($A31,TPU!$A$6:$D$4148,4,FALSE)</f>
        <v>38482.635478079748</v>
      </c>
      <c r="F31" s="146">
        <v>12</v>
      </c>
      <c r="G31" s="73">
        <f t="shared" ref="G31:G35" si="8">E31*F31</f>
        <v>461791.62573695695</v>
      </c>
      <c r="H31" s="43" t="s">
        <v>4997</v>
      </c>
      <c r="I31" s="218" t="s">
        <v>1874</v>
      </c>
    </row>
    <row r="32" spans="1:9" ht="15" customHeight="1" x14ac:dyDescent="0.2">
      <c r="A32" s="43" t="s">
        <v>4624</v>
      </c>
      <c r="B32" s="76" t="s">
        <v>1885</v>
      </c>
      <c r="C32" s="49" t="str">
        <f>VLOOKUP($A32,TPU!$A$6:$D$4148,2,FALSE)</f>
        <v>Veículo leve - 53 kW (sem motorista)</v>
      </c>
      <c r="D32" s="43" t="str">
        <f>VLOOKUP($A32,TPU!$A$6:$D$4148,3,FALSE)</f>
        <v xml:space="preserve">dia </v>
      </c>
      <c r="E32" s="198">
        <f>VLOOKUP($A32,TPU!$A$6:$D$4148,4,FALSE)</f>
        <v>188.86756388893707</v>
      </c>
      <c r="F32" s="146">
        <v>8</v>
      </c>
      <c r="G32" s="73">
        <f t="shared" si="8"/>
        <v>1510.9405111114966</v>
      </c>
      <c r="H32" s="43" t="s">
        <v>4997</v>
      </c>
      <c r="I32" s="218" t="s">
        <v>5146</v>
      </c>
    </row>
    <row r="33" spans="1:9" ht="15" customHeight="1" x14ac:dyDescent="0.2">
      <c r="A33" s="214" t="str">
        <f>"EST - "&amp;Referência!D16&amp;" "</f>
        <v xml:space="preserve">EST - RJ </v>
      </c>
      <c r="B33" s="76" t="s">
        <v>1725</v>
      </c>
      <c r="C33" s="49" t="str">
        <f>VLOOKUP($A33,TPU!$A$6:$D$4148,2,FALSE)</f>
        <v xml:space="preserve">Estadia - RJ </v>
      </c>
      <c r="D33" s="43" t="str">
        <f>VLOOKUP($A33,TPU!$A$6:$D$4148,3,FALSE)</f>
        <v xml:space="preserve">dia </v>
      </c>
      <c r="E33" s="198">
        <f>VLOOKUP($A33,TPU!$A$6:$D$4148,4,FALSE)</f>
        <v>200.6</v>
      </c>
      <c r="F33" s="146">
        <f>2*2*2</f>
        <v>8</v>
      </c>
      <c r="G33" s="73">
        <f t="shared" si="8"/>
        <v>1604.8</v>
      </c>
      <c r="H33" s="73" t="s">
        <v>1911</v>
      </c>
      <c r="I33" s="218" t="s">
        <v>5056</v>
      </c>
    </row>
    <row r="34" spans="1:9" ht="15" customHeight="1" x14ac:dyDescent="0.2">
      <c r="A34" s="214" t="str">
        <f>"EST - "&amp;Referência!D17&amp;" "</f>
        <v xml:space="preserve">EST - MT </v>
      </c>
      <c r="B34" s="76" t="s">
        <v>1725</v>
      </c>
      <c r="C34" s="49" t="str">
        <f>VLOOKUP($A34,TPU!$A$6:$D$4148,2,FALSE)</f>
        <v xml:space="preserve">Estadia - MT </v>
      </c>
      <c r="D34" s="43" t="str">
        <f>VLOOKUP($A34,TPU!$A$6:$D$4148,3,FALSE)</f>
        <v xml:space="preserve">dia </v>
      </c>
      <c r="E34" s="198">
        <f>VLOOKUP($A34,TPU!$A$6:$D$4148,4,FALSE)</f>
        <v>188.8</v>
      </c>
      <c r="F34" s="146">
        <f>2*2*2</f>
        <v>8</v>
      </c>
      <c r="G34" s="73">
        <f t="shared" ref="G34" si="9">E34*F34</f>
        <v>1510.4</v>
      </c>
      <c r="H34" s="73" t="s">
        <v>1911</v>
      </c>
      <c r="I34" s="218" t="s">
        <v>5056</v>
      </c>
    </row>
    <row r="35" spans="1:9" ht="15" customHeight="1" x14ac:dyDescent="0.2">
      <c r="A35" s="214" t="s">
        <v>1836</v>
      </c>
      <c r="B35" s="76" t="s">
        <v>1886</v>
      </c>
      <c r="C35" s="49" t="str">
        <f>VLOOKUP($A35,TPU!$A$6:$D$4148,2,FALSE)</f>
        <v>Passagem aérea (ida e volta) - destino RJ</v>
      </c>
      <c r="D35" s="43" t="str">
        <f>VLOOKUP($A35,TPU!$A$6:$D$4148,3,FALSE)</f>
        <v>und</v>
      </c>
      <c r="E35" s="198">
        <f>VLOOKUP($A35,TPU!$A$6:$D$4148,4,FALSE)</f>
        <v>754.75</v>
      </c>
      <c r="F35" s="146">
        <f>2*2</f>
        <v>4</v>
      </c>
      <c r="G35" s="73">
        <f t="shared" si="8"/>
        <v>3019</v>
      </c>
      <c r="H35" s="73" t="s">
        <v>233</v>
      </c>
      <c r="I35" s="218" t="s">
        <v>5147</v>
      </c>
    </row>
    <row r="36" spans="1:9" ht="15" customHeight="1" x14ac:dyDescent="0.2">
      <c r="A36" s="214" t="s">
        <v>1837</v>
      </c>
      <c r="B36" s="76" t="s">
        <v>1886</v>
      </c>
      <c r="C36" s="49" t="str">
        <f>VLOOKUP($A36,TPU!$A$6:$D$4148,2,FALSE)</f>
        <v>Passagem aérea (ida e volta) - destino MT</v>
      </c>
      <c r="D36" s="43" t="str">
        <f>VLOOKUP($A36,TPU!$A$6:$D$4148,3,FALSE)</f>
        <v>und</v>
      </c>
      <c r="E36" s="198">
        <f>VLOOKUP($A36,TPU!$A$6:$D$4148,4,FALSE)</f>
        <v>824.7</v>
      </c>
      <c r="F36" s="146">
        <f>2*2</f>
        <v>4</v>
      </c>
      <c r="G36" s="73">
        <f t="shared" ref="G36:G39" si="10">E36*F36</f>
        <v>3298.8</v>
      </c>
      <c r="H36" s="73" t="s">
        <v>233</v>
      </c>
      <c r="I36" s="218" t="s">
        <v>5147</v>
      </c>
    </row>
    <row r="37" spans="1:9" ht="15" customHeight="1" x14ac:dyDescent="0.2">
      <c r="A37" s="215" t="s">
        <v>1838</v>
      </c>
      <c r="B37" s="76" t="s">
        <v>1873</v>
      </c>
      <c r="C37" s="49" t="str">
        <f>VLOOKUP($A37,TPU!$A$6:$D$4148,2,FALSE)</f>
        <v>Comercial (2,60% do CMCC - SINAPI)</v>
      </c>
      <c r="D37" s="43" t="str">
        <f>VLOOKUP($A37,TPU!$A$6:$D$4148,3,FALSE)</f>
        <v>m² x mês</v>
      </c>
      <c r="E37" s="198">
        <f>VLOOKUP($A37,TPU!$A$6:$D$4148,4,FALSE)</f>
        <v>59.907303032725231</v>
      </c>
      <c r="F37" s="357">
        <f>((57.95/2)+4.5*(COUNTIF(A26:A36,"P8"&amp;"*")))*AVERAGEIF(A26:A36,"P8"&amp;"*",F26:F36)</f>
        <v>522.43333333333339</v>
      </c>
      <c r="G37" s="73">
        <f t="shared" si="10"/>
        <v>31297.572014396756</v>
      </c>
      <c r="H37" s="43" t="s">
        <v>4997</v>
      </c>
      <c r="I37" s="218" t="s">
        <v>5054</v>
      </c>
    </row>
    <row r="38" spans="1:9" ht="15" customHeight="1" x14ac:dyDescent="0.2">
      <c r="A38" s="215" t="s">
        <v>1840</v>
      </c>
      <c r="B38" s="76" t="s">
        <v>2666</v>
      </c>
      <c r="C38" s="49" t="str">
        <f>VLOOKUP($A38,TPU!$A$6:$D$4148,2,FALSE)</f>
        <v>Escritório</v>
      </c>
      <c r="D38" s="43" t="str">
        <f>VLOOKUP($A38,TPU!$A$6:$D$4148,3,FALSE)</f>
        <v>ocupante x mês</v>
      </c>
      <c r="E38" s="198">
        <f>VLOOKUP($A38,TPU!$A$6:$D$4148,4,FALSE)</f>
        <v>773.54195511772502</v>
      </c>
      <c r="F38" s="357">
        <f>COUNTIF(A26:A36,"P8"&amp;"*")*AVERAGEIF(A26:A36,"P8"&amp;"*",F26:F36)</f>
        <v>56</v>
      </c>
      <c r="G38" s="73">
        <f t="shared" si="10"/>
        <v>43318.349486592604</v>
      </c>
      <c r="H38" s="43" t="s">
        <v>4997</v>
      </c>
      <c r="I38" s="218" t="s">
        <v>5053</v>
      </c>
    </row>
    <row r="39" spans="1:9" ht="15" customHeight="1" x14ac:dyDescent="0.2">
      <c r="A39" s="215" t="s">
        <v>1850</v>
      </c>
      <c r="B39" s="76" t="s">
        <v>1873</v>
      </c>
      <c r="C39" s="49" t="str">
        <f>VLOOKUP($A39,TPU!$A$6:$D$4148,2,FALSE)</f>
        <v>Escritório</v>
      </c>
      <c r="D39" s="43" t="str">
        <f>VLOOKUP($A39,TPU!$A$6:$D$4148,3,FALSE)</f>
        <v>ocupante x mês</v>
      </c>
      <c r="E39" s="198">
        <f>VLOOKUP($A39,TPU!$A$6:$D$4148,4,FALSE)</f>
        <v>187.91423642570163</v>
      </c>
      <c r="F39" s="357">
        <f>COUNTIF(A26:A36,"P8"&amp;"*")*AVERAGEIF(A26:A36,"P8"&amp;"*",F26:F36)</f>
        <v>56</v>
      </c>
      <c r="G39" s="73">
        <f t="shared" si="10"/>
        <v>10523.197239839292</v>
      </c>
      <c r="H39" s="43" t="s">
        <v>4997</v>
      </c>
      <c r="I39" s="218" t="s">
        <v>5053</v>
      </c>
    </row>
    <row r="40" spans="1:9" ht="15" customHeight="1" x14ac:dyDescent="0.2">
      <c r="A40" s="214"/>
      <c r="B40" s="76"/>
      <c r="C40" s="49"/>
      <c r="D40" s="43"/>
      <c r="E40" s="77"/>
      <c r="F40" s="412"/>
      <c r="G40" s="73"/>
      <c r="H40" s="73"/>
      <c r="I40" s="49"/>
    </row>
    <row r="41" spans="1:9" s="405" customFormat="1" ht="15" customHeight="1" x14ac:dyDescent="0.2">
      <c r="A41" s="400" t="s">
        <v>1869</v>
      </c>
      <c r="B41" s="400"/>
      <c r="C41" s="401"/>
      <c r="D41" s="96"/>
      <c r="E41" s="402"/>
      <c r="F41" s="403"/>
      <c r="G41" s="404">
        <f>G42+G51</f>
        <v>977469.28473348264</v>
      </c>
      <c r="H41" s="88"/>
      <c r="I41" s="413"/>
    </row>
    <row r="42" spans="1:9" s="405" customFormat="1" ht="15" customHeight="1" x14ac:dyDescent="0.2">
      <c r="A42" s="407" t="s">
        <v>1871</v>
      </c>
      <c r="B42" s="407"/>
      <c r="C42" s="406"/>
      <c r="D42" s="75"/>
      <c r="E42" s="408"/>
      <c r="F42" s="409"/>
      <c r="G42" s="410">
        <f>SUM(G43:G50)</f>
        <v>92507.186368797964</v>
      </c>
      <c r="H42" s="74"/>
      <c r="I42" s="414"/>
    </row>
    <row r="43" spans="1:9" s="405" customFormat="1" ht="15" customHeight="1" x14ac:dyDescent="0.2">
      <c r="A43" s="43" t="s">
        <v>1626</v>
      </c>
      <c r="B43" s="49" t="s">
        <v>1884</v>
      </c>
      <c r="C43" s="49" t="str">
        <f>VLOOKUP($A43,TPU!$A$6:$D$4148,2,FALSE)</f>
        <v>Geólogo pleno</v>
      </c>
      <c r="D43" s="43" t="str">
        <f>VLOOKUP($A43,TPU!$A$6:$D$4148,3,FALSE)</f>
        <v>mês</v>
      </c>
      <c r="E43" s="198">
        <f>VLOOKUP($A43,TPU!$A$6:$D$4148,4,FALSE)</f>
        <v>28397.109324132685</v>
      </c>
      <c r="F43" s="146">
        <v>2</v>
      </c>
      <c r="G43" s="73">
        <f t="shared" ref="G43:G48" si="11">E43*F43</f>
        <v>56794.218648265371</v>
      </c>
      <c r="H43" s="43" t="s">
        <v>4997</v>
      </c>
      <c r="I43" s="218" t="s">
        <v>1875</v>
      </c>
    </row>
    <row r="44" spans="1:9" s="405" customFormat="1" ht="15" customHeight="1" x14ac:dyDescent="0.2">
      <c r="A44" s="43" t="s">
        <v>1682</v>
      </c>
      <c r="B44" s="49" t="s">
        <v>1885</v>
      </c>
      <c r="C44" s="49" t="str">
        <f>VLOOKUP($A44,TPU!$A$6:$D$4148,2,FALSE)</f>
        <v>Veículo leve Pick Up 4x4 - 147 kW (sem motorista)</v>
      </c>
      <c r="D44" s="43" t="str">
        <f>VLOOKUP($A44,TPU!$A$6:$D$4148,3,FALSE)</f>
        <v xml:space="preserve">dia </v>
      </c>
      <c r="E44" s="198">
        <f>VLOOKUP($A44,TPU!$A$6:$D$4148,4,FALSE)</f>
        <v>466.845537587862</v>
      </c>
      <c r="F44" s="146">
        <f>22*F43</f>
        <v>44</v>
      </c>
      <c r="G44" s="73">
        <f t="shared" si="11"/>
        <v>20541.203653865927</v>
      </c>
      <c r="H44" s="43" t="s">
        <v>4997</v>
      </c>
      <c r="I44" s="218" t="s">
        <v>1903</v>
      </c>
    </row>
    <row r="45" spans="1:9" s="405" customFormat="1" ht="15" customHeight="1" x14ac:dyDescent="0.2">
      <c r="A45" s="214" t="str">
        <f>"EST - "&amp;Referência!D16&amp;" "</f>
        <v xml:space="preserve">EST - RJ </v>
      </c>
      <c r="B45" s="76" t="s">
        <v>1725</v>
      </c>
      <c r="C45" s="49" t="str">
        <f>VLOOKUP($A45,TPU!$A$6:$D$4148,2,FALSE)</f>
        <v xml:space="preserve">Estadia - RJ </v>
      </c>
      <c r="D45" s="43" t="str">
        <f>VLOOKUP($A45,TPU!$A$6:$D$4148,3,FALSE)</f>
        <v xml:space="preserve">dia </v>
      </c>
      <c r="E45" s="198">
        <f>VLOOKUP($A45,TPU!$A$6:$D$4148,4,FALSE)</f>
        <v>200.6</v>
      </c>
      <c r="F45" s="146">
        <v>8</v>
      </c>
      <c r="G45" s="73">
        <f t="shared" si="11"/>
        <v>1604.8</v>
      </c>
      <c r="H45" s="73" t="s">
        <v>1911</v>
      </c>
      <c r="I45" s="218" t="s">
        <v>2758</v>
      </c>
    </row>
    <row r="46" spans="1:9" s="405" customFormat="1" ht="15" customHeight="1" x14ac:dyDescent="0.2">
      <c r="A46" s="214" t="str">
        <f>"EST - "&amp;Referência!D17&amp;" "</f>
        <v xml:space="preserve">EST - MT </v>
      </c>
      <c r="B46" s="76" t="s">
        <v>1725</v>
      </c>
      <c r="C46" s="49" t="str">
        <f>VLOOKUP($A46,TPU!$A$6:$D$4148,2,FALSE)</f>
        <v xml:space="preserve">Estadia - MT </v>
      </c>
      <c r="D46" s="43" t="str">
        <f>VLOOKUP($A46,TPU!$A$6:$D$4148,3,FALSE)</f>
        <v xml:space="preserve">dia </v>
      </c>
      <c r="E46" s="198">
        <f>VLOOKUP($A46,TPU!$A$6:$D$4148,4,FALSE)</f>
        <v>188.8</v>
      </c>
      <c r="F46" s="146">
        <v>36</v>
      </c>
      <c r="G46" s="73">
        <f t="shared" si="11"/>
        <v>6796.8</v>
      </c>
      <c r="H46" s="73" t="s">
        <v>1911</v>
      </c>
      <c r="I46" s="218" t="s">
        <v>5142</v>
      </c>
    </row>
    <row r="47" spans="1:9" s="405" customFormat="1" ht="15" customHeight="1" x14ac:dyDescent="0.2">
      <c r="A47" s="214" t="s">
        <v>1836</v>
      </c>
      <c r="B47" s="76" t="s">
        <v>1886</v>
      </c>
      <c r="C47" s="49" t="str">
        <f>VLOOKUP($A47,TPU!$A$6:$D$4148,2,FALSE)</f>
        <v>Passagem aérea (ida e volta) - destino RJ</v>
      </c>
      <c r="D47" s="43" t="str">
        <f>VLOOKUP($A47,TPU!$A$6:$D$4148,3,FALSE)</f>
        <v>und</v>
      </c>
      <c r="E47" s="198">
        <f>VLOOKUP($A47,TPU!$A$6:$D$4148,4,FALSE)</f>
        <v>754.75</v>
      </c>
      <c r="F47" s="146">
        <f>1*COUNTIF(A41:A44,"P8"&amp;"*")</f>
        <v>1</v>
      </c>
      <c r="G47" s="73">
        <f t="shared" si="11"/>
        <v>754.75</v>
      </c>
      <c r="H47" s="73" t="s">
        <v>233</v>
      </c>
      <c r="I47" s="218" t="s">
        <v>5141</v>
      </c>
    </row>
    <row r="48" spans="1:9" s="405" customFormat="1" ht="15" customHeight="1" x14ac:dyDescent="0.2">
      <c r="A48" s="214" t="s">
        <v>1837</v>
      </c>
      <c r="B48" s="76" t="s">
        <v>1886</v>
      </c>
      <c r="C48" s="49" t="str">
        <f>VLOOKUP($A48,TPU!$A$6:$D$4148,2,FALSE)</f>
        <v>Passagem aérea (ida e volta) - destino MT</v>
      </c>
      <c r="D48" s="43" t="str">
        <f>VLOOKUP($A48,TPU!$A$6:$D$4148,3,FALSE)</f>
        <v>und</v>
      </c>
      <c r="E48" s="198">
        <f>VLOOKUP($A48,TPU!$A$6:$D$4148,4,FALSE)</f>
        <v>824.7</v>
      </c>
      <c r="F48" s="146">
        <f>1*COUNTIF(A41:A44,"P8"&amp;"*")</f>
        <v>1</v>
      </c>
      <c r="G48" s="73">
        <f t="shared" si="11"/>
        <v>824.7</v>
      </c>
      <c r="H48" s="73" t="s">
        <v>233</v>
      </c>
      <c r="I48" s="218" t="s">
        <v>5141</v>
      </c>
    </row>
    <row r="49" spans="1:9" s="405" customFormat="1" ht="15" customHeight="1" x14ac:dyDescent="0.2">
      <c r="A49" s="214" t="s">
        <v>236</v>
      </c>
      <c r="B49" s="76" t="s">
        <v>1890</v>
      </c>
      <c r="C49" s="49" t="str">
        <f>VLOOKUP($A49,TPU!$A$6:$D$4148,2,FALSE)</f>
        <v xml:space="preserve">DETER. COORDENADAS COM GPS3 (CONTROLE BASICO) PRECISAO MINIMA DE 2 ORDEM.      </v>
      </c>
      <c r="D49" s="43" t="str">
        <f>VLOOKUP($A49,TPU!$A$6:$D$4148,3,FALSE)</f>
        <v>un</v>
      </c>
      <c r="E49" s="198">
        <f>VLOOKUP($A49,TPU!$A$6:$D$4148,4,FALSE)</f>
        <v>3190.8140666666663</v>
      </c>
      <c r="F49" s="146">
        <f>1*COUNTIF(A41:A44,"P8"&amp;"*")</f>
        <v>1</v>
      </c>
      <c r="G49" s="73">
        <f t="shared" ref="G49:G50" si="12">E49*F49</f>
        <v>3190.8140666666663</v>
      </c>
      <c r="H49" s="43" t="s">
        <v>5009</v>
      </c>
      <c r="I49" s="196" t="s">
        <v>5050</v>
      </c>
    </row>
    <row r="50" spans="1:9" s="405" customFormat="1" ht="15" customHeight="1" x14ac:dyDescent="0.2">
      <c r="A50" s="43" t="s">
        <v>4632</v>
      </c>
      <c r="B50" s="76" t="s">
        <v>1890</v>
      </c>
      <c r="C50" s="49" t="str">
        <f>VLOOKUP($A50,TPU!$A$6:$D$4148,2,FALSE)</f>
        <v>Notebook</v>
      </c>
      <c r="D50" s="43" t="str">
        <f>VLOOKUP($A50,TPU!$A$6:$D$4148,3,FALSE)</f>
        <v>un</v>
      </c>
      <c r="E50" s="198">
        <f>VLOOKUP($A50,TPU!$A$6:$D$4148,4,FALSE)</f>
        <v>1999.9</v>
      </c>
      <c r="F50" s="146">
        <f>1*COUNTIF(A41:A44,"P8"&amp;"*")</f>
        <v>1</v>
      </c>
      <c r="G50" s="73">
        <f t="shared" si="12"/>
        <v>1999.9</v>
      </c>
      <c r="H50" s="107" t="s">
        <v>233</v>
      </c>
      <c r="I50" s="196" t="s">
        <v>5050</v>
      </c>
    </row>
    <row r="51" spans="1:9" s="405" customFormat="1" ht="15" customHeight="1" x14ac:dyDescent="0.2">
      <c r="A51" s="407" t="s">
        <v>1873</v>
      </c>
      <c r="B51" s="407"/>
      <c r="C51" s="406"/>
      <c r="D51" s="75"/>
      <c r="E51" s="408"/>
      <c r="F51" s="409"/>
      <c r="G51" s="410">
        <f>SUM(G52:G58)</f>
        <v>884962.09836468473</v>
      </c>
      <c r="H51" s="74"/>
      <c r="I51" s="414"/>
    </row>
    <row r="52" spans="1:9" s="405" customFormat="1" ht="15" customHeight="1" x14ac:dyDescent="0.2">
      <c r="A52" s="43" t="s">
        <v>1676</v>
      </c>
      <c r="B52" s="49" t="s">
        <v>1884</v>
      </c>
      <c r="C52" s="49" t="str">
        <f>VLOOKUP($A52,TPU!$A$6:$D$4148,2,FALSE)</f>
        <v>Técnico em geoprocessamento</v>
      </c>
      <c r="D52" s="43" t="str">
        <f>VLOOKUP($A52,TPU!$A$6:$D$4148,3,FALSE)</f>
        <v>mês</v>
      </c>
      <c r="E52" s="198">
        <f>VLOOKUP($A52,TPU!$A$6:$D$4148,4,FALSE)</f>
        <v>7296.3369985873815</v>
      </c>
      <c r="F52" s="146">
        <v>8</v>
      </c>
      <c r="G52" s="73">
        <f>E52*F52</f>
        <v>58370.695988699052</v>
      </c>
      <c r="H52" s="43" t="s">
        <v>4997</v>
      </c>
      <c r="I52" s="218" t="s">
        <v>1879</v>
      </c>
    </row>
    <row r="53" spans="1:9" ht="15" customHeight="1" x14ac:dyDescent="0.2">
      <c r="A53" s="43" t="s">
        <v>1624</v>
      </c>
      <c r="B53" s="49" t="s">
        <v>1884</v>
      </c>
      <c r="C53" s="49" t="str">
        <f>VLOOKUP($A53,TPU!$A$6:$D$4148,2,FALSE)</f>
        <v>Geólogo júnior</v>
      </c>
      <c r="D53" s="43" t="str">
        <f>VLOOKUP($A53,TPU!$A$6:$D$4148,3,FALSE)</f>
        <v>mês</v>
      </c>
      <c r="E53" s="198">
        <f>VLOOKUP($A53,TPU!$A$6:$D$4148,4,FALSE)</f>
        <v>24838.685369763531</v>
      </c>
      <c r="F53" s="146">
        <v>8</v>
      </c>
      <c r="G53" s="73">
        <f>E53*F53</f>
        <v>198709.48295810824</v>
      </c>
      <c r="H53" s="43" t="s">
        <v>4997</v>
      </c>
      <c r="I53" s="218" t="s">
        <v>1861</v>
      </c>
    </row>
    <row r="54" spans="1:9" ht="15" customHeight="1" x14ac:dyDescent="0.2">
      <c r="A54" s="43" t="s">
        <v>1626</v>
      </c>
      <c r="B54" s="49" t="s">
        <v>1884</v>
      </c>
      <c r="C54" s="49" t="str">
        <f>VLOOKUP($A54,TPU!$A$6:$D$4148,2,FALSE)</f>
        <v>Geólogo pleno</v>
      </c>
      <c r="D54" s="43" t="str">
        <f>VLOOKUP($A54,TPU!$A$6:$D$4148,3,FALSE)</f>
        <v>mês</v>
      </c>
      <c r="E54" s="198">
        <f>VLOOKUP($A54,TPU!$A$6:$D$4148,4,FALSE)</f>
        <v>28397.109324132685</v>
      </c>
      <c r="F54" s="146">
        <v>8</v>
      </c>
      <c r="G54" s="73">
        <f>E54*F54</f>
        <v>227176.87459306148</v>
      </c>
      <c r="H54" s="43" t="s">
        <v>4997</v>
      </c>
      <c r="I54" s="218" t="s">
        <v>1874</v>
      </c>
    </row>
    <row r="55" spans="1:9" ht="15" customHeight="1" x14ac:dyDescent="0.2">
      <c r="A55" s="43" t="s">
        <v>1626</v>
      </c>
      <c r="B55" s="49" t="s">
        <v>1884</v>
      </c>
      <c r="C55" s="49" t="str">
        <f>VLOOKUP($A55,TPU!$A$6:$D$4148,2,FALSE)</f>
        <v>Geólogo pleno</v>
      </c>
      <c r="D55" s="43" t="str">
        <f>VLOOKUP($A55,TPU!$A$6:$D$4148,3,FALSE)</f>
        <v>mês</v>
      </c>
      <c r="E55" s="198">
        <f>VLOOKUP($A55,TPU!$A$6:$D$4148,4,FALSE)</f>
        <v>28397.109324132685</v>
      </c>
      <c r="F55" s="146">
        <v>12</v>
      </c>
      <c r="G55" s="73">
        <f>E55*F55</f>
        <v>340765.31188959221</v>
      </c>
      <c r="H55" s="43" t="s">
        <v>4997</v>
      </c>
      <c r="I55" s="218" t="s">
        <v>1874</v>
      </c>
    </row>
    <row r="56" spans="1:9" ht="15" customHeight="1" x14ac:dyDescent="0.2">
      <c r="A56" s="216" t="s">
        <v>1838</v>
      </c>
      <c r="B56" s="49" t="s">
        <v>1873</v>
      </c>
      <c r="C56" s="49" t="str">
        <f>VLOOKUP($A56,TPU!$A$6:$D$4148,2,FALSE)</f>
        <v>Comercial (2,60% do CMCC - SINAPI)</v>
      </c>
      <c r="D56" s="43" t="str">
        <f>VLOOKUP($A56,TPU!$A$6:$D$4148,3,FALSE)</f>
        <v>m² x mês</v>
      </c>
      <c r="E56" s="198">
        <f>VLOOKUP($A56,TPU!$A$6:$D$4148,4,FALSE)</f>
        <v>59.907303032725231</v>
      </c>
      <c r="F56" s="357">
        <f>((57.95/2)+4.5*(COUNTIF(A52:A55,"P8"&amp;"*")))*AVERAGEIF(A52:A55,"P8"&amp;"*",F52:F55)</f>
        <v>422.77500000000003</v>
      </c>
      <c r="G56" s="73">
        <f t="shared" ref="G56:G58" si="13">E56*F56</f>
        <v>25327.310039660413</v>
      </c>
      <c r="H56" s="43" t="s">
        <v>4997</v>
      </c>
      <c r="I56" s="218" t="s">
        <v>5054</v>
      </c>
    </row>
    <row r="57" spans="1:9" ht="15" customHeight="1" x14ac:dyDescent="0.2">
      <c r="A57" s="216" t="s">
        <v>1840</v>
      </c>
      <c r="B57" s="49" t="s">
        <v>2666</v>
      </c>
      <c r="C57" s="49" t="str">
        <f>VLOOKUP($A57,TPU!$A$6:$D$4148,2,FALSE)</f>
        <v>Escritório</v>
      </c>
      <c r="D57" s="43" t="str">
        <f>VLOOKUP($A57,TPU!$A$6:$D$4148,3,FALSE)</f>
        <v>ocupante x mês</v>
      </c>
      <c r="E57" s="198">
        <f>VLOOKUP($A57,TPU!$A$6:$D$4148,4,FALSE)</f>
        <v>773.54195511772502</v>
      </c>
      <c r="F57" s="357">
        <f>COUNTIF(A52:A55,"P8"&amp;"*")*AVERAGEIF(A52:A55,"P8"&amp;"*",F52:F55)</f>
        <v>36</v>
      </c>
      <c r="G57" s="73">
        <f t="shared" si="13"/>
        <v>27847.5103842381</v>
      </c>
      <c r="H57" s="43" t="s">
        <v>4997</v>
      </c>
      <c r="I57" s="218" t="s">
        <v>5053</v>
      </c>
    </row>
    <row r="58" spans="1:9" ht="15" customHeight="1" x14ac:dyDescent="0.2">
      <c r="A58" s="216" t="s">
        <v>1850</v>
      </c>
      <c r="B58" s="49" t="s">
        <v>1873</v>
      </c>
      <c r="C58" s="49" t="str">
        <f>VLOOKUP($A58,TPU!$A$6:$D$4148,2,FALSE)</f>
        <v>Escritório</v>
      </c>
      <c r="D58" s="43" t="str">
        <f>VLOOKUP($A58,TPU!$A$6:$D$4148,3,FALSE)</f>
        <v>ocupante x mês</v>
      </c>
      <c r="E58" s="198">
        <f>VLOOKUP($A58,TPU!$A$6:$D$4148,4,FALSE)</f>
        <v>187.91423642570163</v>
      </c>
      <c r="F58" s="357">
        <f>COUNTIF(A52:A55,"P8"&amp;"*")*AVERAGEIF(A52:A55,"P8"&amp;"*",F52:F55)</f>
        <v>36</v>
      </c>
      <c r="G58" s="73">
        <f t="shared" si="13"/>
        <v>6764.9125113252585</v>
      </c>
      <c r="H58" s="43" t="s">
        <v>4997</v>
      </c>
      <c r="I58" s="218" t="s">
        <v>5053</v>
      </c>
    </row>
    <row r="59" spans="1:9" ht="15" customHeight="1" x14ac:dyDescent="0.2">
      <c r="A59" s="43"/>
      <c r="B59" s="49"/>
      <c r="C59" s="197"/>
      <c r="D59" s="43"/>
      <c r="E59" s="415"/>
      <c r="F59" s="412"/>
      <c r="G59" s="73"/>
      <c r="H59" s="73"/>
      <c r="I59" s="73"/>
    </row>
    <row r="60" spans="1:9" s="405" customFormat="1" ht="15" customHeight="1" x14ac:dyDescent="0.2">
      <c r="A60" s="400" t="s">
        <v>1518</v>
      </c>
      <c r="B60" s="400"/>
      <c r="C60" s="401"/>
      <c r="D60" s="96"/>
      <c r="E60" s="402"/>
      <c r="F60" s="403"/>
      <c r="G60" s="404">
        <f>G61+G73</f>
        <v>1013525.6171599395</v>
      </c>
      <c r="H60" s="88"/>
      <c r="I60" s="416"/>
    </row>
    <row r="61" spans="1:9" s="405" customFormat="1" ht="15" customHeight="1" x14ac:dyDescent="0.2">
      <c r="A61" s="407" t="s">
        <v>1871</v>
      </c>
      <c r="B61" s="407"/>
      <c r="C61" s="406"/>
      <c r="D61" s="75"/>
      <c r="E61" s="408"/>
      <c r="F61" s="409"/>
      <c r="G61" s="410">
        <f>SUM(G62:G71)</f>
        <v>189799.39445737234</v>
      </c>
      <c r="H61" s="74"/>
      <c r="I61" s="414"/>
    </row>
    <row r="62" spans="1:9" s="405" customFormat="1" ht="15" customHeight="1" x14ac:dyDescent="0.2">
      <c r="A62" s="214" t="s">
        <v>1598</v>
      </c>
      <c r="B62" s="76" t="s">
        <v>1884</v>
      </c>
      <c r="C62" s="49" t="str">
        <f>VLOOKUP($A62,TPU!$A$6:$D$4148,2,FALSE)</f>
        <v>Engenheiro ambiental pleno</v>
      </c>
      <c r="D62" s="43" t="str">
        <f>VLOOKUP($A62,TPU!$A$6:$D$4148,3,FALSE)</f>
        <v>mês</v>
      </c>
      <c r="E62" s="198">
        <f>VLOOKUP($A62,TPU!$A$6:$D$4148,4,FALSE)</f>
        <v>29605.164754076788</v>
      </c>
      <c r="F62" s="146">
        <v>2</v>
      </c>
      <c r="G62" s="73">
        <f>E62*F62</f>
        <v>59210.329508153576</v>
      </c>
      <c r="H62" s="73" t="s">
        <v>18</v>
      </c>
      <c r="I62" s="49" t="s">
        <v>1876</v>
      </c>
    </row>
    <row r="63" spans="1:9" s="405" customFormat="1" ht="15" customHeight="1" x14ac:dyDescent="0.2">
      <c r="A63" s="214" t="s">
        <v>1598</v>
      </c>
      <c r="B63" s="76" t="s">
        <v>1884</v>
      </c>
      <c r="C63" s="49" t="str">
        <f>VLOOKUP($A63,TPU!$A$6:$D$4148,2,FALSE)</f>
        <v>Engenheiro ambiental pleno</v>
      </c>
      <c r="D63" s="43" t="str">
        <f>VLOOKUP($A63,TPU!$A$6:$D$4148,3,FALSE)</f>
        <v>mês</v>
      </c>
      <c r="E63" s="198">
        <f>VLOOKUP($A63,TPU!$A$6:$D$4148,4,FALSE)</f>
        <v>29605.164754076788</v>
      </c>
      <c r="F63" s="146">
        <v>2</v>
      </c>
      <c r="G63" s="73">
        <f>E63*F63</f>
        <v>59210.329508153576</v>
      </c>
      <c r="H63" s="73" t="s">
        <v>18</v>
      </c>
      <c r="I63" s="49" t="s">
        <v>1877</v>
      </c>
    </row>
    <row r="64" spans="1:9" s="405" customFormat="1" ht="15" customHeight="1" x14ac:dyDescent="0.2">
      <c r="A64" s="43" t="s">
        <v>1682</v>
      </c>
      <c r="B64" s="197" t="s">
        <v>1885</v>
      </c>
      <c r="C64" s="49" t="str">
        <f>VLOOKUP($A64,TPU!$A$6:$D$4148,2,FALSE)</f>
        <v>Veículo leve Pick Up 4x4 - 147 kW (sem motorista)</v>
      </c>
      <c r="D64" s="43" t="str">
        <f>VLOOKUP($A64,TPU!$A$6:$D$4148,3,FALSE)</f>
        <v xml:space="preserve">dia </v>
      </c>
      <c r="E64" s="198">
        <f>VLOOKUP($A64,TPU!$A$6:$D$4148,4,FALSE)</f>
        <v>466.845537587862</v>
      </c>
      <c r="F64" s="146">
        <f>F62*22</f>
        <v>44</v>
      </c>
      <c r="G64" s="73">
        <f t="shared" ref="G64:G68" si="14">E64*F64</f>
        <v>20541.203653865927</v>
      </c>
      <c r="H64" s="43" t="s">
        <v>4997</v>
      </c>
      <c r="I64" s="49" t="s">
        <v>1903</v>
      </c>
    </row>
    <row r="65" spans="1:9" s="405" customFormat="1" ht="15" customHeight="1" x14ac:dyDescent="0.2">
      <c r="A65" s="43" t="s">
        <v>1682</v>
      </c>
      <c r="B65" s="197" t="s">
        <v>1885</v>
      </c>
      <c r="C65" s="49" t="str">
        <f>VLOOKUP($A65,TPU!$A$6:$D$4148,2,FALSE)</f>
        <v>Veículo leve Pick Up 4x4 - 147 kW (sem motorista)</v>
      </c>
      <c r="D65" s="43" t="str">
        <f>VLOOKUP($A65,TPU!$A$6:$D$4148,3,FALSE)</f>
        <v xml:space="preserve">dia </v>
      </c>
      <c r="E65" s="198">
        <f>VLOOKUP($A65,TPU!$A$6:$D$4148,4,FALSE)</f>
        <v>466.845537587862</v>
      </c>
      <c r="F65" s="146">
        <f>F63*22</f>
        <v>44</v>
      </c>
      <c r="G65" s="73">
        <f t="shared" si="14"/>
        <v>20541.203653865927</v>
      </c>
      <c r="H65" s="43" t="s">
        <v>4997</v>
      </c>
      <c r="I65" s="49" t="s">
        <v>1903</v>
      </c>
    </row>
    <row r="66" spans="1:9" s="405" customFormat="1" ht="15" customHeight="1" x14ac:dyDescent="0.2">
      <c r="A66" s="214" t="str">
        <f>"EST - "&amp;Referência!D16&amp;" "</f>
        <v xml:space="preserve">EST - RJ </v>
      </c>
      <c r="B66" s="76" t="s">
        <v>1725</v>
      </c>
      <c r="C66" s="49" t="str">
        <f>VLOOKUP($A66,TPU!$A$6:$D$4148,2,FALSE)</f>
        <v xml:space="preserve">Estadia - RJ </v>
      </c>
      <c r="D66" s="43" t="str">
        <f>VLOOKUP($A66,TPU!$A$6:$D$4148,3,FALSE)</f>
        <v xml:space="preserve">dia </v>
      </c>
      <c r="E66" s="198">
        <f>VLOOKUP($A66,TPU!$A$6:$D$4148,4,FALSE)</f>
        <v>200.6</v>
      </c>
      <c r="F66" s="146">
        <f>Referência!$F$16*AVERAGEIF(A62:A65,"P8"&amp;"*",F62:F65)*COUNTIF(A62:A65,"P8"&amp;"*")</f>
        <v>12</v>
      </c>
      <c r="G66" s="73">
        <f t="shared" si="14"/>
        <v>2407.1999999999998</v>
      </c>
      <c r="H66" s="73" t="s">
        <v>1911</v>
      </c>
      <c r="I66" s="49" t="s">
        <v>5047</v>
      </c>
    </row>
    <row r="67" spans="1:9" s="405" customFormat="1" ht="15" customHeight="1" x14ac:dyDescent="0.2">
      <c r="A67" s="214" t="str">
        <f>"EST - "&amp;Referência!D17&amp;" "</f>
        <v xml:space="preserve">EST - MT </v>
      </c>
      <c r="B67" s="76" t="s">
        <v>1725</v>
      </c>
      <c r="C67" s="49" t="str">
        <f>VLOOKUP($A67,TPU!$A$6:$D$4148,2,FALSE)</f>
        <v xml:space="preserve">Estadia - MT </v>
      </c>
      <c r="D67" s="43" t="str">
        <f>VLOOKUP($A67,TPU!$A$6:$D$4148,3,FALSE)</f>
        <v xml:space="preserve">dia </v>
      </c>
      <c r="E67" s="198">
        <f>VLOOKUP($A67,TPU!$A$6:$D$4148,4,FALSE)</f>
        <v>188.8</v>
      </c>
      <c r="F67" s="146">
        <f>Referência!$F$17*AVERAGEIF(A62:A65,"P8"&amp;"*",F62:F65)*COUNTIF(A62:A65,"P8"&amp;"*")</f>
        <v>76</v>
      </c>
      <c r="G67" s="73">
        <f t="shared" ref="G67" si="15">E67*F67</f>
        <v>14348.800000000001</v>
      </c>
      <c r="H67" s="73" t="s">
        <v>1911</v>
      </c>
      <c r="I67" s="49" t="s">
        <v>5048</v>
      </c>
    </row>
    <row r="68" spans="1:9" s="405" customFormat="1" ht="15" customHeight="1" x14ac:dyDescent="0.2">
      <c r="A68" s="214" t="s">
        <v>1836</v>
      </c>
      <c r="B68" s="76" t="s">
        <v>1886</v>
      </c>
      <c r="C68" s="49" t="str">
        <f>VLOOKUP($A68,TPU!$A$6:$D$4148,2,FALSE)</f>
        <v>Passagem aérea (ida e volta) - destino RJ</v>
      </c>
      <c r="D68" s="43" t="str">
        <f>VLOOKUP($A68,TPU!$A$6:$D$4148,3,FALSE)</f>
        <v>und</v>
      </c>
      <c r="E68" s="198">
        <f>VLOOKUP($A68,TPU!$A$6:$D$4148,4,FALSE)</f>
        <v>754.75</v>
      </c>
      <c r="F68" s="146">
        <f>1*COUNTIF(A62:A65,"P8"&amp;"*")</f>
        <v>2</v>
      </c>
      <c r="G68" s="73">
        <f t="shared" si="14"/>
        <v>1509.5</v>
      </c>
      <c r="H68" s="73" t="s">
        <v>233</v>
      </c>
      <c r="I68" s="49" t="s">
        <v>5049</v>
      </c>
    </row>
    <row r="69" spans="1:9" s="405" customFormat="1" ht="15" customHeight="1" x14ac:dyDescent="0.2">
      <c r="A69" s="214" t="s">
        <v>1837</v>
      </c>
      <c r="B69" s="76" t="s">
        <v>1886</v>
      </c>
      <c r="C69" s="49" t="str">
        <f>VLOOKUP($A69,TPU!$A$6:$D$4148,2,FALSE)</f>
        <v>Passagem aérea (ida e volta) - destino MT</v>
      </c>
      <c r="D69" s="43" t="str">
        <f>VLOOKUP($A69,TPU!$A$6:$D$4148,3,FALSE)</f>
        <v>und</v>
      </c>
      <c r="E69" s="198">
        <f>VLOOKUP($A69,TPU!$A$6:$D$4148,4,FALSE)</f>
        <v>824.7</v>
      </c>
      <c r="F69" s="146">
        <f>1*COUNTIF(A62:A65,"P8"&amp;"*")</f>
        <v>2</v>
      </c>
      <c r="G69" s="73">
        <f t="shared" ref="G69" si="16">E69*F69</f>
        <v>1649.4</v>
      </c>
      <c r="H69" s="73" t="s">
        <v>233</v>
      </c>
      <c r="I69" s="49" t="s">
        <v>5049</v>
      </c>
    </row>
    <row r="70" spans="1:9" s="405" customFormat="1" ht="15" customHeight="1" x14ac:dyDescent="0.2">
      <c r="A70" s="214" t="s">
        <v>236</v>
      </c>
      <c r="B70" s="76" t="s">
        <v>1890</v>
      </c>
      <c r="C70" s="49" t="str">
        <f>VLOOKUP($A70,TPU!$A$6:$D$4148,2,FALSE)</f>
        <v xml:space="preserve">DETER. COORDENADAS COM GPS3 (CONTROLE BASICO) PRECISAO MINIMA DE 2 ORDEM.      </v>
      </c>
      <c r="D70" s="43" t="str">
        <f>VLOOKUP($A70,TPU!$A$6:$D$4148,3,FALSE)</f>
        <v>un</v>
      </c>
      <c r="E70" s="198">
        <f>VLOOKUP($A70,TPU!$A$6:$D$4148,4,FALSE)</f>
        <v>3190.8140666666663</v>
      </c>
      <c r="F70" s="146">
        <f>1*COUNTIF(A62:A65,"P8"&amp;"*")</f>
        <v>2</v>
      </c>
      <c r="G70" s="73">
        <f t="shared" ref="G70:G71" si="17">E70*F70</f>
        <v>6381.6281333333327</v>
      </c>
      <c r="H70" s="43" t="s">
        <v>5009</v>
      </c>
      <c r="I70" s="196" t="s">
        <v>5050</v>
      </c>
    </row>
    <row r="71" spans="1:9" s="405" customFormat="1" ht="15" customHeight="1" x14ac:dyDescent="0.2">
      <c r="A71" s="43" t="s">
        <v>4632</v>
      </c>
      <c r="B71" s="76" t="s">
        <v>1890</v>
      </c>
      <c r="C71" s="49" t="str">
        <f>VLOOKUP($A71,TPU!$A$6:$D$4148,2,FALSE)</f>
        <v>Notebook</v>
      </c>
      <c r="D71" s="43" t="str">
        <f>VLOOKUP($A71,TPU!$A$6:$D$4148,3,FALSE)</f>
        <v>un</v>
      </c>
      <c r="E71" s="198">
        <f>VLOOKUP($A71,TPU!$A$6:$D$4148,4,FALSE)</f>
        <v>1999.9</v>
      </c>
      <c r="F71" s="146">
        <f>1*COUNTIF(A62:A65,"P8"&amp;"*")</f>
        <v>2</v>
      </c>
      <c r="G71" s="73">
        <f t="shared" si="17"/>
        <v>3999.8</v>
      </c>
      <c r="H71" s="107" t="s">
        <v>233</v>
      </c>
      <c r="I71" s="196" t="s">
        <v>5050</v>
      </c>
    </row>
    <row r="72" spans="1:9" s="405" customFormat="1" ht="15" customHeight="1" x14ac:dyDescent="0.2">
      <c r="A72" s="214"/>
      <c r="B72" s="76"/>
      <c r="C72" s="49"/>
      <c r="D72" s="43"/>
      <c r="E72" s="77"/>
      <c r="F72" s="146"/>
      <c r="G72" s="73"/>
      <c r="H72" s="107"/>
      <c r="I72" s="196"/>
    </row>
    <row r="73" spans="1:9" s="405" customFormat="1" ht="15" customHeight="1" x14ac:dyDescent="0.2">
      <c r="A73" s="407" t="s">
        <v>1873</v>
      </c>
      <c r="B73" s="407"/>
      <c r="C73" s="406"/>
      <c r="D73" s="75"/>
      <c r="E73" s="408"/>
      <c r="F73" s="409"/>
      <c r="G73" s="410">
        <f>SUM(G74:G83)</f>
        <v>823726.22270256712</v>
      </c>
      <c r="H73" s="74"/>
      <c r="I73" s="414"/>
    </row>
    <row r="74" spans="1:9" ht="15" customHeight="1" x14ac:dyDescent="0.2">
      <c r="A74" s="214" t="s">
        <v>1598</v>
      </c>
      <c r="B74" s="76" t="s">
        <v>1884</v>
      </c>
      <c r="C74" s="49" t="str">
        <f>VLOOKUP($A74,TPU!$A$6:$D$4148,2,FALSE)</f>
        <v>Engenheiro ambiental pleno</v>
      </c>
      <c r="D74" s="43" t="str">
        <f>VLOOKUP($A74,TPU!$A$6:$D$4148,3,FALSE)</f>
        <v>mês</v>
      </c>
      <c r="E74" s="198">
        <f>VLOOKUP($A74,TPU!$A$6:$D$4148,4,FALSE)</f>
        <v>29605.164754076788</v>
      </c>
      <c r="F74" s="146">
        <v>8</v>
      </c>
      <c r="G74" s="73">
        <f t="shared" ref="G74:G79" si="18">E74*F74</f>
        <v>236841.3180326143</v>
      </c>
      <c r="H74" s="73" t="s">
        <v>18</v>
      </c>
      <c r="I74" s="49" t="s">
        <v>1880</v>
      </c>
    </row>
    <row r="75" spans="1:9" ht="15" customHeight="1" x14ac:dyDescent="0.2">
      <c r="A75" s="43" t="s">
        <v>1612</v>
      </c>
      <c r="B75" s="49" t="s">
        <v>1884</v>
      </c>
      <c r="C75" s="49" t="str">
        <f>VLOOKUP($A75,TPU!$A$6:$D$4148,2,FALSE)</f>
        <v>Engenheiro de projetos júnior</v>
      </c>
      <c r="D75" s="43" t="str">
        <f>VLOOKUP($A75,TPU!$A$6:$D$4148,3,FALSE)</f>
        <v>mês</v>
      </c>
      <c r="E75" s="198">
        <f>VLOOKUP($A75,TPU!$A$6:$D$4148,4,FALSE)</f>
        <v>25732.769491100134</v>
      </c>
      <c r="F75" s="146">
        <v>7</v>
      </c>
      <c r="G75" s="73">
        <f t="shared" si="18"/>
        <v>180129.38643770094</v>
      </c>
      <c r="H75" s="43" t="s">
        <v>4997</v>
      </c>
      <c r="I75" s="49" t="s">
        <v>1861</v>
      </c>
    </row>
    <row r="76" spans="1:9" ht="15" customHeight="1" x14ac:dyDescent="0.2">
      <c r="A76" s="43" t="s">
        <v>1614</v>
      </c>
      <c r="B76" s="49" t="s">
        <v>1884</v>
      </c>
      <c r="C76" s="49" t="str">
        <f>VLOOKUP($A76,TPU!$A$6:$D$4148,2,FALSE)</f>
        <v>Engenheiro de projetos pleno</v>
      </c>
      <c r="D76" s="43" t="str">
        <f>VLOOKUP($A76,TPU!$A$6:$D$4148,3,FALSE)</f>
        <v>mês</v>
      </c>
      <c r="E76" s="198">
        <f>VLOOKUP($A76,TPU!$A$6:$D$4148,4,FALSE)</f>
        <v>29231.169732812014</v>
      </c>
      <c r="F76" s="146">
        <v>12</v>
      </c>
      <c r="G76" s="73">
        <f t="shared" si="18"/>
        <v>350774.03679374419</v>
      </c>
      <c r="H76" s="43" t="s">
        <v>4997</v>
      </c>
      <c r="I76" s="49" t="s">
        <v>1874</v>
      </c>
    </row>
    <row r="77" spans="1:9" ht="15" customHeight="1" x14ac:dyDescent="0.2">
      <c r="A77" s="214" t="str">
        <f>"EST - "&amp;Referência!D16&amp;" "</f>
        <v xml:space="preserve">EST - RJ </v>
      </c>
      <c r="B77" s="76" t="s">
        <v>1725</v>
      </c>
      <c r="C77" s="49" t="str">
        <f>VLOOKUP($A77,TPU!$A$6:$D$4148,2,FALSE)</f>
        <v xml:space="preserve">Estadia - RJ </v>
      </c>
      <c r="D77" s="43" t="str">
        <f>VLOOKUP($A77,TPU!$A$6:$D$4148,3,FALSE)</f>
        <v xml:space="preserve">dia </v>
      </c>
      <c r="E77" s="198">
        <f>VLOOKUP($A77,TPU!$A$6:$D$4148,4,FALSE)</f>
        <v>200.6</v>
      </c>
      <c r="F77" s="146">
        <f>1*2*2</f>
        <v>4</v>
      </c>
      <c r="G77" s="73">
        <f t="shared" si="18"/>
        <v>802.4</v>
      </c>
      <c r="H77" s="73" t="s">
        <v>1911</v>
      </c>
      <c r="I77" s="49" t="s">
        <v>5055</v>
      </c>
    </row>
    <row r="78" spans="1:9" ht="15" customHeight="1" x14ac:dyDescent="0.2">
      <c r="A78" s="214" t="str">
        <f>"EST - "&amp;Referência!D17&amp;" "</f>
        <v xml:space="preserve">EST - MT </v>
      </c>
      <c r="B78" s="76" t="s">
        <v>1725</v>
      </c>
      <c r="C78" s="49" t="str">
        <f>VLOOKUP($A78,TPU!$A$6:$D$4148,2,FALSE)</f>
        <v xml:space="preserve">Estadia - MT </v>
      </c>
      <c r="D78" s="43" t="str">
        <f>VLOOKUP($A78,TPU!$A$6:$D$4148,3,FALSE)</f>
        <v xml:space="preserve">dia </v>
      </c>
      <c r="E78" s="198">
        <f>VLOOKUP($A78,TPU!$A$6:$D$4148,4,FALSE)</f>
        <v>188.8</v>
      </c>
      <c r="F78" s="146">
        <f>2*2*2</f>
        <v>8</v>
      </c>
      <c r="G78" s="73">
        <f t="shared" ref="G78" si="19">E78*F78</f>
        <v>1510.4</v>
      </c>
      <c r="H78" s="73" t="s">
        <v>1911</v>
      </c>
      <c r="I78" s="49" t="s">
        <v>5056</v>
      </c>
    </row>
    <row r="79" spans="1:9" ht="15" customHeight="1" x14ac:dyDescent="0.2">
      <c r="A79" s="214" t="s">
        <v>1836</v>
      </c>
      <c r="B79" s="76" t="s">
        <v>1886</v>
      </c>
      <c r="C79" s="49" t="str">
        <f>VLOOKUP($A79,TPU!$A$6:$D$4148,2,FALSE)</f>
        <v>Passagem aérea (ida e volta) - destino RJ</v>
      </c>
      <c r="D79" s="43" t="str">
        <f>VLOOKUP($A79,TPU!$A$6:$D$4148,3,FALSE)</f>
        <v>und</v>
      </c>
      <c r="E79" s="198">
        <f>VLOOKUP($A79,TPU!$A$6:$D$4148,4,FALSE)</f>
        <v>754.75</v>
      </c>
      <c r="F79" s="146">
        <f>1*2</f>
        <v>2</v>
      </c>
      <c r="G79" s="73">
        <f t="shared" si="18"/>
        <v>1509.5</v>
      </c>
      <c r="H79" s="73" t="s">
        <v>233</v>
      </c>
      <c r="I79" s="196" t="s">
        <v>5051</v>
      </c>
    </row>
    <row r="80" spans="1:9" ht="15" customHeight="1" x14ac:dyDescent="0.2">
      <c r="A80" s="214" t="s">
        <v>1837</v>
      </c>
      <c r="B80" s="76" t="s">
        <v>1886</v>
      </c>
      <c r="C80" s="49" t="str">
        <f>VLOOKUP($A80,TPU!$A$6:$D$4148,2,FALSE)</f>
        <v>Passagem aérea (ida e volta) - destino MT</v>
      </c>
      <c r="D80" s="43" t="str">
        <f>VLOOKUP($A80,TPU!$A$6:$D$4148,3,FALSE)</f>
        <v>und</v>
      </c>
      <c r="E80" s="198">
        <f>VLOOKUP($A80,TPU!$A$6:$D$4148,4,FALSE)</f>
        <v>824.7</v>
      </c>
      <c r="F80" s="146">
        <f>2*2</f>
        <v>4</v>
      </c>
      <c r="G80" s="73">
        <f t="shared" ref="G80:G83" si="20">E80*F80</f>
        <v>3298.8</v>
      </c>
      <c r="H80" s="73" t="s">
        <v>233</v>
      </c>
      <c r="I80" s="196" t="s">
        <v>5052</v>
      </c>
    </row>
    <row r="81" spans="1:9" ht="15" customHeight="1" x14ac:dyDescent="0.2">
      <c r="A81" s="215" t="s">
        <v>1838</v>
      </c>
      <c r="B81" s="76" t="s">
        <v>1873</v>
      </c>
      <c r="C81" s="49" t="str">
        <f>VLOOKUP($A81,TPU!$A$6:$D$4148,2,FALSE)</f>
        <v>Comercial (2,60% do CMCC - SINAPI)</v>
      </c>
      <c r="D81" s="43" t="str">
        <f>VLOOKUP($A81,TPU!$A$6:$D$4148,3,FALSE)</f>
        <v>m² x mês</v>
      </c>
      <c r="E81" s="198">
        <f>VLOOKUP($A81,TPU!$A$6:$D$4148,4,FALSE)</f>
        <v>59.907303032725231</v>
      </c>
      <c r="F81" s="357">
        <f>((57.95/2)+4.5*(COUNTIF(A74:A80,"P8"&amp;"*")))*AVERAGEIF(A74:A80,"P8"&amp;"*",F74:F80)</f>
        <v>382.27500000000003</v>
      </c>
      <c r="G81" s="73">
        <f t="shared" si="20"/>
        <v>22901.064266835041</v>
      </c>
      <c r="H81" s="43" t="s">
        <v>4997</v>
      </c>
      <c r="I81" s="218" t="s">
        <v>5054</v>
      </c>
    </row>
    <row r="82" spans="1:9" ht="15" customHeight="1" x14ac:dyDescent="0.2">
      <c r="A82" s="215" t="s">
        <v>1840</v>
      </c>
      <c r="B82" s="76" t="s">
        <v>2666</v>
      </c>
      <c r="C82" s="49" t="str">
        <f>VLOOKUP($A82,TPU!$A$6:$D$4148,2,FALSE)</f>
        <v>Escritório</v>
      </c>
      <c r="D82" s="43" t="str">
        <f>VLOOKUP($A82,TPU!$A$6:$D$4148,3,FALSE)</f>
        <v>ocupante x mês</v>
      </c>
      <c r="E82" s="198">
        <f>VLOOKUP($A82,TPU!$A$6:$D$4148,4,FALSE)</f>
        <v>773.54195511772502</v>
      </c>
      <c r="F82" s="357">
        <f>COUNTIF(A74:A80,"P8"&amp;"*")*AVERAGEIF(A74:A80,"P8"&amp;"*",F74:F80)</f>
        <v>27</v>
      </c>
      <c r="G82" s="73">
        <f t="shared" si="20"/>
        <v>20885.632788178576</v>
      </c>
      <c r="H82" s="43" t="s">
        <v>4997</v>
      </c>
      <c r="I82" s="218" t="s">
        <v>5053</v>
      </c>
    </row>
    <row r="83" spans="1:9" ht="15" customHeight="1" x14ac:dyDescent="0.2">
      <c r="A83" s="215" t="s">
        <v>1850</v>
      </c>
      <c r="B83" s="76" t="s">
        <v>1873</v>
      </c>
      <c r="C83" s="49" t="str">
        <f>VLOOKUP($A83,TPU!$A$6:$D$4148,2,FALSE)</f>
        <v>Escritório</v>
      </c>
      <c r="D83" s="43" t="str">
        <f>VLOOKUP($A83,TPU!$A$6:$D$4148,3,FALSE)</f>
        <v>ocupante x mês</v>
      </c>
      <c r="E83" s="198">
        <f>VLOOKUP($A83,TPU!$A$6:$D$4148,4,FALSE)</f>
        <v>187.91423642570163</v>
      </c>
      <c r="F83" s="357">
        <f>COUNTIF(A74:A80,"P8"&amp;"*")*AVERAGEIF(A74:A80,"P8"&amp;"*",F74:F80)</f>
        <v>27</v>
      </c>
      <c r="G83" s="73">
        <f t="shared" si="20"/>
        <v>5073.6843834939436</v>
      </c>
      <c r="H83" s="43" t="s">
        <v>4997</v>
      </c>
      <c r="I83" s="218" t="s">
        <v>5053</v>
      </c>
    </row>
    <row r="84" spans="1:9" ht="15" customHeight="1" x14ac:dyDescent="0.2">
      <c r="A84" s="43"/>
      <c r="B84" s="49"/>
      <c r="C84" s="197"/>
      <c r="D84" s="43"/>
      <c r="E84" s="77"/>
      <c r="F84" s="412"/>
      <c r="G84" s="77"/>
      <c r="H84" s="73"/>
      <c r="I84" s="77"/>
    </row>
    <row r="85" spans="1:9" s="405" customFormat="1" ht="15" customHeight="1" x14ac:dyDescent="0.2">
      <c r="A85" s="400" t="s">
        <v>1519</v>
      </c>
      <c r="B85" s="400"/>
      <c r="C85" s="401"/>
      <c r="D85" s="96"/>
      <c r="E85" s="402"/>
      <c r="F85" s="403"/>
      <c r="G85" s="404">
        <f>G86+G96</f>
        <v>326273.07002632786</v>
      </c>
      <c r="H85" s="88"/>
      <c r="I85" s="416"/>
    </row>
    <row r="86" spans="1:9" s="405" customFormat="1" ht="15" customHeight="1" x14ac:dyDescent="0.2">
      <c r="A86" s="407" t="s">
        <v>1871</v>
      </c>
      <c r="B86" s="407"/>
      <c r="C86" s="406"/>
      <c r="D86" s="75"/>
      <c r="E86" s="408"/>
      <c r="F86" s="409"/>
      <c r="G86" s="410">
        <f>SUM(G87:G94)</f>
        <v>81920.676343403917</v>
      </c>
      <c r="H86" s="74"/>
      <c r="I86" s="411"/>
    </row>
    <row r="87" spans="1:9" s="405" customFormat="1" ht="15" customHeight="1" x14ac:dyDescent="0.2">
      <c r="A87" s="214" t="s">
        <v>1614</v>
      </c>
      <c r="B87" s="76" t="s">
        <v>1884</v>
      </c>
      <c r="C87" s="49" t="str">
        <f>VLOOKUP($A87,TPU!$A$6:$D$4148,2,FALSE)</f>
        <v>Engenheiro de projetos pleno</v>
      </c>
      <c r="D87" s="43" t="str">
        <f>VLOOKUP($A87,TPU!$A$6:$D$4148,3,FALSE)</f>
        <v>mês</v>
      </c>
      <c r="E87" s="198">
        <f>VLOOKUP($A87,TPU!$A$6:$D$4148,4,FALSE)</f>
        <v>29231.169732812014</v>
      </c>
      <c r="F87" s="146">
        <v>2</v>
      </c>
      <c r="G87" s="73">
        <f t="shared" ref="G87:G92" si="21">E87*F87</f>
        <v>58462.339465624027</v>
      </c>
      <c r="H87" s="43" t="s">
        <v>4997</v>
      </c>
      <c r="I87" s="49" t="s">
        <v>1878</v>
      </c>
    </row>
    <row r="88" spans="1:9" s="405" customFormat="1" ht="15" customHeight="1" x14ac:dyDescent="0.2">
      <c r="A88" s="43" t="s">
        <v>4624</v>
      </c>
      <c r="B88" s="76" t="s">
        <v>1885</v>
      </c>
      <c r="C88" s="49" t="str">
        <f>VLOOKUP($A88,TPU!$A$6:$D$4148,2,FALSE)</f>
        <v>Veículo leve - 53 kW (sem motorista)</v>
      </c>
      <c r="D88" s="43" t="str">
        <f>VLOOKUP($A88,TPU!$A$6:$D$4148,3,FALSE)</f>
        <v xml:space="preserve">dia </v>
      </c>
      <c r="E88" s="198">
        <f>VLOOKUP($A88,TPU!$A$6:$D$4148,4,FALSE)</f>
        <v>188.86756388893707</v>
      </c>
      <c r="F88" s="146">
        <f>F87*22</f>
        <v>44</v>
      </c>
      <c r="G88" s="73">
        <f t="shared" si="21"/>
        <v>8310.1728111132306</v>
      </c>
      <c r="H88" s="43" t="s">
        <v>4997</v>
      </c>
      <c r="I88" s="49" t="s">
        <v>1903</v>
      </c>
    </row>
    <row r="89" spans="1:9" s="405" customFormat="1" ht="15" customHeight="1" x14ac:dyDescent="0.2">
      <c r="A89" s="214" t="str">
        <f>"EST - "&amp;Referência!D16&amp;" "</f>
        <v xml:space="preserve">EST - RJ </v>
      </c>
      <c r="B89" s="76" t="s">
        <v>1887</v>
      </c>
      <c r="C89" s="49" t="str">
        <f>VLOOKUP($A89,TPU!$A$6:$D$4148,2,FALSE)</f>
        <v xml:space="preserve">Estadia - RJ </v>
      </c>
      <c r="D89" s="43" t="str">
        <f>VLOOKUP($A89,TPU!$A$6:$D$4148,3,FALSE)</f>
        <v xml:space="preserve">dia </v>
      </c>
      <c r="E89" s="198">
        <f>VLOOKUP($A89,TPU!$A$6:$D$4148,4,FALSE)</f>
        <v>200.6</v>
      </c>
      <c r="F89" s="146">
        <f>Referência!$F$16*AVERAGEIF(A87:A88,"P8"&amp;"*",F87:F88)*COUNTIF(A87:A88,"P8"&amp;"*")</f>
        <v>6</v>
      </c>
      <c r="G89" s="73">
        <f t="shared" si="21"/>
        <v>1203.5999999999999</v>
      </c>
      <c r="H89" s="73" t="s">
        <v>233</v>
      </c>
      <c r="I89" s="49" t="s">
        <v>5057</v>
      </c>
    </row>
    <row r="90" spans="1:9" s="405" customFormat="1" ht="15" customHeight="1" x14ac:dyDescent="0.2">
      <c r="A90" s="214" t="str">
        <f>"EST - "&amp;Referência!D17&amp;" "</f>
        <v xml:space="preserve">EST - MT </v>
      </c>
      <c r="B90" s="76" t="s">
        <v>1887</v>
      </c>
      <c r="C90" s="49" t="str">
        <f>VLOOKUP($A90,TPU!$A$6:$D$4148,2,FALSE)</f>
        <v xml:space="preserve">Estadia - MT </v>
      </c>
      <c r="D90" s="43" t="str">
        <f>VLOOKUP($A90,TPU!$A$6:$D$4148,3,FALSE)</f>
        <v xml:space="preserve">dia </v>
      </c>
      <c r="E90" s="198">
        <f>VLOOKUP($A90,TPU!$A$6:$D$4148,4,FALSE)</f>
        <v>188.8</v>
      </c>
      <c r="F90" s="146">
        <f>Referência!$F$17*AVERAGEIF(A87:A88,"P8"&amp;"*",F87:F88)*COUNTIF(A87:A88,"P8"&amp;"*")</f>
        <v>38</v>
      </c>
      <c r="G90" s="73">
        <f t="shared" si="21"/>
        <v>7174.4000000000005</v>
      </c>
      <c r="H90" s="73" t="s">
        <v>233</v>
      </c>
      <c r="I90" s="49" t="s">
        <v>5058</v>
      </c>
    </row>
    <row r="91" spans="1:9" s="405" customFormat="1" ht="15" customHeight="1" x14ac:dyDescent="0.2">
      <c r="A91" s="214" t="s">
        <v>1836</v>
      </c>
      <c r="B91" s="76" t="s">
        <v>1886</v>
      </c>
      <c r="C91" s="49" t="str">
        <f>VLOOKUP($A91,TPU!$A$6:$D$4148,2,FALSE)</f>
        <v>Passagem aérea (ida e volta) - destino RJ</v>
      </c>
      <c r="D91" s="43" t="str">
        <f>VLOOKUP($A91,TPU!$A$6:$D$4148,3,FALSE)</f>
        <v>und</v>
      </c>
      <c r="E91" s="198">
        <f>VLOOKUP($A91,TPU!$A$6:$D$4148,4,FALSE)</f>
        <v>754.75</v>
      </c>
      <c r="F91" s="146">
        <f>1*COUNTIF(A87:A88,"P8"&amp;"*")</f>
        <v>1</v>
      </c>
      <c r="G91" s="73">
        <f t="shared" si="21"/>
        <v>754.75</v>
      </c>
      <c r="H91" s="73" t="s">
        <v>233</v>
      </c>
      <c r="I91" s="49" t="s">
        <v>5059</v>
      </c>
    </row>
    <row r="92" spans="1:9" s="405" customFormat="1" ht="15" customHeight="1" x14ac:dyDescent="0.2">
      <c r="A92" s="214" t="s">
        <v>1837</v>
      </c>
      <c r="B92" s="76" t="s">
        <v>1886</v>
      </c>
      <c r="C92" s="49" t="str">
        <f>VLOOKUP($A92,TPU!$A$6:$D$4148,2,FALSE)</f>
        <v>Passagem aérea (ida e volta) - destino MT</v>
      </c>
      <c r="D92" s="43" t="str">
        <f>VLOOKUP($A92,TPU!$A$6:$D$4148,3,FALSE)</f>
        <v>und</v>
      </c>
      <c r="E92" s="198">
        <f>VLOOKUP($A92,TPU!$A$6:$D$4148,4,FALSE)</f>
        <v>824.7</v>
      </c>
      <c r="F92" s="146">
        <f>1*COUNTIF(A87:A88,"P8"&amp;"*")</f>
        <v>1</v>
      </c>
      <c r="G92" s="73">
        <f t="shared" si="21"/>
        <v>824.7</v>
      </c>
      <c r="H92" s="73" t="s">
        <v>233</v>
      </c>
      <c r="I92" s="49" t="s">
        <v>5059</v>
      </c>
    </row>
    <row r="93" spans="1:9" s="405" customFormat="1" ht="15" customHeight="1" x14ac:dyDescent="0.2">
      <c r="A93" s="214" t="s">
        <v>236</v>
      </c>
      <c r="B93" s="76" t="s">
        <v>1890</v>
      </c>
      <c r="C93" s="49" t="str">
        <f>VLOOKUP($A93,TPU!$A$6:$D$4148,2,FALSE)</f>
        <v xml:space="preserve">DETER. COORDENADAS COM GPS3 (CONTROLE BASICO) PRECISAO MINIMA DE 2 ORDEM.      </v>
      </c>
      <c r="D93" s="43" t="str">
        <f>VLOOKUP($A93,TPU!$A$6:$D$4148,3,FALSE)</f>
        <v>un</v>
      </c>
      <c r="E93" s="198">
        <f>VLOOKUP($A93,TPU!$A$6:$D$4148,4,FALSE)</f>
        <v>3190.8140666666663</v>
      </c>
      <c r="F93" s="146">
        <f>1*COUNTIF(A87:A88,"P8"&amp;"*")</f>
        <v>1</v>
      </c>
      <c r="G93" s="73">
        <f t="shared" ref="G93:G94" si="22">E93*F93</f>
        <v>3190.8140666666663</v>
      </c>
      <c r="H93" s="43" t="s">
        <v>5009</v>
      </c>
      <c r="I93" s="196" t="s">
        <v>5050</v>
      </c>
    </row>
    <row r="94" spans="1:9" s="405" customFormat="1" ht="15" customHeight="1" x14ac:dyDescent="0.2">
      <c r="A94" s="43" t="s">
        <v>4632</v>
      </c>
      <c r="B94" s="76" t="s">
        <v>1890</v>
      </c>
      <c r="C94" s="49" t="str">
        <f>VLOOKUP($A94,TPU!$A$6:$D$4148,2,FALSE)</f>
        <v>Notebook</v>
      </c>
      <c r="D94" s="43" t="str">
        <f>VLOOKUP($A94,TPU!$A$6:$D$4148,3,FALSE)</f>
        <v>un</v>
      </c>
      <c r="E94" s="198">
        <f>VLOOKUP($A94,TPU!$A$6:$D$4148,4,FALSE)</f>
        <v>1999.9</v>
      </c>
      <c r="F94" s="146">
        <f>1*COUNTIF(A87:A88,"P8"&amp;"*")</f>
        <v>1</v>
      </c>
      <c r="G94" s="73">
        <f t="shared" si="22"/>
        <v>1999.9</v>
      </c>
      <c r="H94" s="107" t="s">
        <v>233</v>
      </c>
      <c r="I94" s="196" t="s">
        <v>5050</v>
      </c>
    </row>
    <row r="95" spans="1:9" s="405" customFormat="1" ht="15" customHeight="1" x14ac:dyDescent="0.2">
      <c r="A95" s="214"/>
      <c r="B95" s="76"/>
      <c r="C95" s="49"/>
      <c r="D95" s="43"/>
      <c r="E95" s="77"/>
      <c r="F95" s="146"/>
      <c r="G95" s="73"/>
      <c r="H95" s="107"/>
      <c r="I95" s="196"/>
    </row>
    <row r="96" spans="1:9" s="405" customFormat="1" ht="15" customHeight="1" x14ac:dyDescent="0.2">
      <c r="A96" s="407" t="s">
        <v>1873</v>
      </c>
      <c r="B96" s="407"/>
      <c r="C96" s="406"/>
      <c r="D96" s="75"/>
      <c r="E96" s="408"/>
      <c r="F96" s="409"/>
      <c r="G96" s="410">
        <f>SUM(G97:G101)</f>
        <v>244352.39368292395</v>
      </c>
      <c r="H96" s="74"/>
      <c r="I96" s="414"/>
    </row>
    <row r="97" spans="1:9" ht="15" customHeight="1" x14ac:dyDescent="0.2">
      <c r="A97" s="43" t="s">
        <v>1676</v>
      </c>
      <c r="B97" s="49" t="s">
        <v>1884</v>
      </c>
      <c r="C97" s="49" t="str">
        <f>VLOOKUP($A97,TPU!$A$6:$D$4148,2,FALSE)</f>
        <v>Técnico em geoprocessamento</v>
      </c>
      <c r="D97" s="43" t="str">
        <f>VLOOKUP($A97,TPU!$A$6:$D$4148,3,FALSE)</f>
        <v>mês</v>
      </c>
      <c r="E97" s="198">
        <f>VLOOKUP($A97,TPU!$A$6:$D$4148,4,FALSE)</f>
        <v>7296.3369985873815</v>
      </c>
      <c r="F97" s="146">
        <v>6</v>
      </c>
      <c r="G97" s="73">
        <f>E97*F97</f>
        <v>43778.021991524292</v>
      </c>
      <c r="H97" s="43" t="s">
        <v>4997</v>
      </c>
      <c r="I97" s="49" t="s">
        <v>1879</v>
      </c>
    </row>
    <row r="98" spans="1:9" ht="15" customHeight="1" x14ac:dyDescent="0.2">
      <c r="A98" s="214" t="s">
        <v>1614</v>
      </c>
      <c r="B98" s="76" t="s">
        <v>1884</v>
      </c>
      <c r="C98" s="49" t="str">
        <f>VLOOKUP($A98,TPU!$A$6:$D$4148,2,FALSE)</f>
        <v>Engenheiro de projetos pleno</v>
      </c>
      <c r="D98" s="43" t="str">
        <f>VLOOKUP($A98,TPU!$A$6:$D$4148,3,FALSE)</f>
        <v>mês</v>
      </c>
      <c r="E98" s="198">
        <f>VLOOKUP($A98,TPU!$A$6:$D$4148,4,FALSE)</f>
        <v>29231.169732812014</v>
      </c>
      <c r="F98" s="146">
        <v>6</v>
      </c>
      <c r="G98" s="73">
        <f>E98*F98</f>
        <v>175387.0183968721</v>
      </c>
      <c r="H98" s="43" t="s">
        <v>4997</v>
      </c>
      <c r="I98" s="49" t="s">
        <v>1880</v>
      </c>
    </row>
    <row r="99" spans="1:9" ht="15" customHeight="1" x14ac:dyDescent="0.2">
      <c r="A99" s="215" t="s">
        <v>1838</v>
      </c>
      <c r="B99" s="76" t="s">
        <v>1873</v>
      </c>
      <c r="C99" s="49" t="str">
        <f>VLOOKUP($A99,TPU!$A$6:$D$4148,2,FALSE)</f>
        <v>Comercial (2,60% do CMCC - SINAPI)</v>
      </c>
      <c r="D99" s="43" t="str">
        <f>VLOOKUP($A99,TPU!$A$6:$D$4148,3,FALSE)</f>
        <v>m² x mês</v>
      </c>
      <c r="E99" s="198">
        <f>VLOOKUP($A99,TPU!$A$6:$D$4148,4,FALSE)</f>
        <v>59.907303032725231</v>
      </c>
      <c r="F99" s="357">
        <f>((57.95/2)+4.5*(COUNTIF(A97:A98,"P8"&amp;"*")))*AVERAGEIF(A97:A98,"P8"&amp;"*",F97:F98)</f>
        <v>227.85000000000002</v>
      </c>
      <c r="G99" s="73">
        <f t="shared" ref="G99:G101" si="23">E99*F99</f>
        <v>13649.878996006446</v>
      </c>
      <c r="H99" s="43" t="s">
        <v>4997</v>
      </c>
      <c r="I99" s="218" t="s">
        <v>5054</v>
      </c>
    </row>
    <row r="100" spans="1:9" ht="15" customHeight="1" x14ac:dyDescent="0.2">
      <c r="A100" s="215" t="s">
        <v>1840</v>
      </c>
      <c r="B100" s="76" t="s">
        <v>2666</v>
      </c>
      <c r="C100" s="49" t="str">
        <f>VLOOKUP($A100,TPU!$A$6:$D$4148,2,FALSE)</f>
        <v>Escritório</v>
      </c>
      <c r="D100" s="43" t="str">
        <f>VLOOKUP($A100,TPU!$A$6:$D$4148,3,FALSE)</f>
        <v>ocupante x mês</v>
      </c>
      <c r="E100" s="198">
        <f>VLOOKUP($A100,TPU!$A$6:$D$4148,4,FALSE)</f>
        <v>773.54195511772502</v>
      </c>
      <c r="F100" s="357">
        <f>COUNTIF(A97:A98,"P8"&amp;"*")*AVERAGEIF(A97:A98,"P8"&amp;"*",F97:F98)</f>
        <v>12</v>
      </c>
      <c r="G100" s="73">
        <f t="shared" si="23"/>
        <v>9282.5034614126998</v>
      </c>
      <c r="H100" s="43" t="s">
        <v>4997</v>
      </c>
      <c r="I100" s="218" t="s">
        <v>5053</v>
      </c>
    </row>
    <row r="101" spans="1:9" ht="15" customHeight="1" x14ac:dyDescent="0.2">
      <c r="A101" s="215" t="s">
        <v>1850</v>
      </c>
      <c r="B101" s="76" t="s">
        <v>1873</v>
      </c>
      <c r="C101" s="49" t="str">
        <f>VLOOKUP($A101,TPU!$A$6:$D$4148,2,FALSE)</f>
        <v>Escritório</v>
      </c>
      <c r="D101" s="43" t="str">
        <f>VLOOKUP($A101,TPU!$A$6:$D$4148,3,FALSE)</f>
        <v>ocupante x mês</v>
      </c>
      <c r="E101" s="198">
        <f>VLOOKUP($A101,TPU!$A$6:$D$4148,4,FALSE)</f>
        <v>187.91423642570163</v>
      </c>
      <c r="F101" s="357">
        <f>COUNTIF(A97:A98,"P8"&amp;"*")*AVERAGEIF(A97:A98,"P8"&amp;"*",F97:F98)</f>
        <v>12</v>
      </c>
      <c r="G101" s="73">
        <f t="shared" si="23"/>
        <v>2254.9708371084198</v>
      </c>
      <c r="H101" s="43" t="s">
        <v>4997</v>
      </c>
      <c r="I101" s="218" t="s">
        <v>5053</v>
      </c>
    </row>
    <row r="102" spans="1:9" ht="15" customHeight="1" x14ac:dyDescent="0.2">
      <c r="A102" s="43"/>
      <c r="B102" s="49"/>
      <c r="C102" s="197"/>
      <c r="D102" s="43"/>
      <c r="E102" s="77"/>
      <c r="F102" s="412"/>
      <c r="G102" s="77"/>
      <c r="H102" s="73"/>
      <c r="I102" s="77"/>
    </row>
    <row r="103" spans="1:9" ht="15" customHeight="1" x14ac:dyDescent="0.2">
      <c r="A103" s="400" t="s">
        <v>1882</v>
      </c>
      <c r="B103" s="400"/>
      <c r="C103" s="401"/>
      <c r="D103" s="96"/>
      <c r="E103" s="402"/>
      <c r="F103" s="403"/>
      <c r="G103" s="404">
        <f>SUM(G105:G109)</f>
        <v>737619.90575699892</v>
      </c>
      <c r="H103" s="88"/>
      <c r="I103" s="416"/>
    </row>
    <row r="104" spans="1:9" ht="15" customHeight="1" x14ac:dyDescent="0.2">
      <c r="A104" s="407" t="s">
        <v>1873</v>
      </c>
      <c r="B104" s="407"/>
      <c r="C104" s="406"/>
      <c r="D104" s="75"/>
      <c r="E104" s="408"/>
      <c r="F104" s="409"/>
      <c r="G104" s="410"/>
      <c r="H104" s="74"/>
      <c r="I104" s="414"/>
    </row>
    <row r="105" spans="1:9" ht="15" customHeight="1" x14ac:dyDescent="0.2">
      <c r="A105" s="43" t="s">
        <v>1614</v>
      </c>
      <c r="B105" s="49" t="s">
        <v>1884</v>
      </c>
      <c r="C105" s="49" t="str">
        <f>VLOOKUP($A105,TPU!$A$6:$D$4148,2,FALSE)</f>
        <v>Engenheiro de projetos pleno</v>
      </c>
      <c r="D105" s="43" t="str">
        <f>VLOOKUP($A105,TPU!$A$6:$D$4148,3,FALSE)</f>
        <v>mês</v>
      </c>
      <c r="E105" s="198">
        <f>VLOOKUP($A105,TPU!$A$6:$D$4148,4,FALSE)</f>
        <v>29231.169732812014</v>
      </c>
      <c r="F105" s="146">
        <v>8</v>
      </c>
      <c r="G105" s="73">
        <f>E105*F105</f>
        <v>233849.35786249611</v>
      </c>
      <c r="H105" s="43" t="s">
        <v>4997</v>
      </c>
      <c r="I105" s="49" t="s">
        <v>1861</v>
      </c>
    </row>
    <row r="106" spans="1:9" ht="15" customHeight="1" x14ac:dyDescent="0.2">
      <c r="A106" s="43" t="s">
        <v>1616</v>
      </c>
      <c r="B106" s="49" t="s">
        <v>1884</v>
      </c>
      <c r="C106" s="49" t="str">
        <f>VLOOKUP($A106,TPU!$A$6:$D$4148,2,FALSE)</f>
        <v>Engenheiro de projetos sênior</v>
      </c>
      <c r="D106" s="43" t="str">
        <f>VLOOKUP($A106,TPU!$A$6:$D$4148,3,FALSE)</f>
        <v>mês</v>
      </c>
      <c r="E106" s="198">
        <f>VLOOKUP($A106,TPU!$A$6:$D$4148,4,FALSE)</f>
        <v>38482.635478079748</v>
      </c>
      <c r="F106" s="146">
        <v>12</v>
      </c>
      <c r="G106" s="73">
        <f>E106*F106</f>
        <v>461791.62573695695</v>
      </c>
      <c r="H106" s="43" t="s">
        <v>4997</v>
      </c>
      <c r="I106" s="49" t="s">
        <v>1874</v>
      </c>
    </row>
    <row r="107" spans="1:9" ht="15" customHeight="1" x14ac:dyDescent="0.2">
      <c r="A107" s="216" t="s">
        <v>1838</v>
      </c>
      <c r="B107" s="49" t="s">
        <v>1873</v>
      </c>
      <c r="C107" s="49" t="str">
        <f>VLOOKUP($A107,TPU!$A$6:$D$4148,2,FALSE)</f>
        <v>Comercial (2,60% do CMCC - SINAPI)</v>
      </c>
      <c r="D107" s="43" t="str">
        <f>VLOOKUP($A107,TPU!$A$6:$D$4148,3,FALSE)</f>
        <v>m² x mês</v>
      </c>
      <c r="E107" s="198">
        <f>VLOOKUP($A107,TPU!$A$6:$D$4148,4,FALSE)</f>
        <v>59.907303032725231</v>
      </c>
      <c r="F107" s="357">
        <f>((57.95/2)+4.5*(COUNTIF(A105:A106,"P8"&amp;"*")))*AVERAGEIF(A105:A106,"P8"&amp;"*",F105:F106)</f>
        <v>379.75</v>
      </c>
      <c r="G107" s="73">
        <f t="shared" ref="G107:G109" si="24">E107*F107</f>
        <v>22749.798326677406</v>
      </c>
      <c r="H107" s="43" t="s">
        <v>4997</v>
      </c>
      <c r="I107" s="218" t="s">
        <v>5054</v>
      </c>
    </row>
    <row r="108" spans="1:9" ht="15" customHeight="1" x14ac:dyDescent="0.2">
      <c r="A108" s="216" t="s">
        <v>1840</v>
      </c>
      <c r="B108" s="49" t="s">
        <v>2666</v>
      </c>
      <c r="C108" s="49" t="str">
        <f>VLOOKUP($A108,TPU!$A$6:$D$4148,2,FALSE)</f>
        <v>Escritório</v>
      </c>
      <c r="D108" s="43" t="str">
        <f>VLOOKUP($A108,TPU!$A$6:$D$4148,3,FALSE)</f>
        <v>ocupante x mês</v>
      </c>
      <c r="E108" s="198">
        <f>VLOOKUP($A108,TPU!$A$6:$D$4148,4,FALSE)</f>
        <v>773.54195511772502</v>
      </c>
      <c r="F108" s="357">
        <f>COUNTIF(A105:A106,"P8"&amp;"*")*AVERAGEIF(A105:A106,"P8"&amp;"*",F105:F106)</f>
        <v>20</v>
      </c>
      <c r="G108" s="73">
        <f t="shared" si="24"/>
        <v>15470.839102354501</v>
      </c>
      <c r="H108" s="43" t="s">
        <v>4997</v>
      </c>
      <c r="I108" s="218" t="s">
        <v>5053</v>
      </c>
    </row>
    <row r="109" spans="1:9" ht="15" customHeight="1" x14ac:dyDescent="0.2">
      <c r="A109" s="216" t="s">
        <v>1850</v>
      </c>
      <c r="B109" s="49" t="s">
        <v>1873</v>
      </c>
      <c r="C109" s="49" t="str">
        <f>VLOOKUP($A109,TPU!$A$6:$D$4148,2,FALSE)</f>
        <v>Escritório</v>
      </c>
      <c r="D109" s="43" t="str">
        <f>VLOOKUP($A109,TPU!$A$6:$D$4148,3,FALSE)</f>
        <v>ocupante x mês</v>
      </c>
      <c r="E109" s="198">
        <f>VLOOKUP($A109,TPU!$A$6:$D$4148,4,FALSE)</f>
        <v>187.91423642570163</v>
      </c>
      <c r="F109" s="357">
        <f>COUNTIF(A105:A106,"P8"&amp;"*")*AVERAGEIF(A105:A106,"P8"&amp;"*",F105:F106)</f>
        <v>20</v>
      </c>
      <c r="G109" s="73">
        <f t="shared" si="24"/>
        <v>3758.2847285140324</v>
      </c>
      <c r="H109" s="43" t="s">
        <v>4997</v>
      </c>
      <c r="I109" s="218" t="s">
        <v>5053</v>
      </c>
    </row>
    <row r="110" spans="1:9" ht="15" customHeight="1" x14ac:dyDescent="0.2">
      <c r="A110" s="43"/>
      <c r="B110" s="49"/>
      <c r="C110" s="197"/>
      <c r="D110" s="43"/>
      <c r="E110" s="77"/>
      <c r="F110" s="412"/>
      <c r="G110" s="77"/>
      <c r="H110" s="73"/>
      <c r="I110" s="77"/>
    </row>
    <row r="111" spans="1:9" s="405" customFormat="1" ht="15" customHeight="1" x14ac:dyDescent="0.2">
      <c r="A111" s="400" t="s">
        <v>1883</v>
      </c>
      <c r="B111" s="400"/>
      <c r="C111" s="401"/>
      <c r="D111" s="96"/>
      <c r="E111" s="402"/>
      <c r="F111" s="403"/>
      <c r="G111" s="404">
        <f>G112+G122</f>
        <v>236700.6942148534</v>
      </c>
      <c r="H111" s="88"/>
      <c r="I111" s="416"/>
    </row>
    <row r="112" spans="1:9" s="405" customFormat="1" ht="15" customHeight="1" x14ac:dyDescent="0.2">
      <c r="A112" s="407" t="s">
        <v>1871</v>
      </c>
      <c r="B112" s="407"/>
      <c r="C112" s="406"/>
      <c r="D112" s="75"/>
      <c r="E112" s="408"/>
      <c r="F112" s="409"/>
      <c r="G112" s="410">
        <f>SUM(G113:G120)</f>
        <v>106583.26560601433</v>
      </c>
      <c r="H112" s="74"/>
      <c r="I112" s="411"/>
    </row>
    <row r="113" spans="1:9" s="405" customFormat="1" ht="15" customHeight="1" x14ac:dyDescent="0.2">
      <c r="A113" s="43" t="s">
        <v>1549</v>
      </c>
      <c r="B113" s="49" t="s">
        <v>1884</v>
      </c>
      <c r="C113" s="49" t="str">
        <f>VLOOKUP($A113,TPU!$A$6:$D$4148,2,FALSE)</f>
        <v>Arquiteto sênior</v>
      </c>
      <c r="D113" s="43" t="str">
        <f>VLOOKUP($A113,TPU!$A$6:$D$4148,3,FALSE)</f>
        <v>mês</v>
      </c>
      <c r="E113" s="198">
        <f>VLOOKUP($A113,TPU!$A$6:$D$4148,4,FALSE)</f>
        <v>35446.94894274087</v>
      </c>
      <c r="F113" s="146">
        <v>2</v>
      </c>
      <c r="G113" s="73">
        <f t="shared" ref="G113:G118" si="25">E113*F113</f>
        <v>70893.89788548174</v>
      </c>
      <c r="H113" s="43" t="s">
        <v>4997</v>
      </c>
      <c r="I113" s="49" t="s">
        <v>1881</v>
      </c>
    </row>
    <row r="114" spans="1:9" s="405" customFormat="1" ht="15" customHeight="1" x14ac:dyDescent="0.2">
      <c r="A114" s="43" t="s">
        <v>1682</v>
      </c>
      <c r="B114" s="197" t="s">
        <v>1885</v>
      </c>
      <c r="C114" s="49" t="str">
        <f>VLOOKUP($A114,TPU!$A$6:$D$4148,2,FALSE)</f>
        <v>Veículo leve Pick Up 4x4 - 147 kW (sem motorista)</v>
      </c>
      <c r="D114" s="43" t="str">
        <f>VLOOKUP($A114,TPU!$A$6:$D$4148,3,FALSE)</f>
        <v xml:space="preserve">dia </v>
      </c>
      <c r="E114" s="198">
        <f>VLOOKUP($A114,TPU!$A$6:$D$4148,4,FALSE)</f>
        <v>466.845537587862</v>
      </c>
      <c r="F114" s="146">
        <f>F113*22</f>
        <v>44</v>
      </c>
      <c r="G114" s="73">
        <f t="shared" si="25"/>
        <v>20541.203653865927</v>
      </c>
      <c r="H114" s="43" t="s">
        <v>5009</v>
      </c>
      <c r="I114" s="49" t="s">
        <v>5060</v>
      </c>
    </row>
    <row r="115" spans="1:9" s="405" customFormat="1" ht="15" customHeight="1" x14ac:dyDescent="0.2">
      <c r="A115" s="214" t="str">
        <f>"EST - "&amp;Referência!D16&amp;" "</f>
        <v xml:space="preserve">EST - RJ </v>
      </c>
      <c r="B115" s="76" t="s">
        <v>1887</v>
      </c>
      <c r="C115" s="49" t="str">
        <f>VLOOKUP($A115,TPU!$A$6:$D$4148,2,FALSE)</f>
        <v xml:space="preserve">Estadia - RJ </v>
      </c>
      <c r="D115" s="43" t="str">
        <f>VLOOKUP($A115,TPU!$A$6:$D$4148,3,FALSE)</f>
        <v xml:space="preserve">dia </v>
      </c>
      <c r="E115" s="198">
        <f>VLOOKUP($A115,TPU!$A$6:$D$4148,4,FALSE)</f>
        <v>200.6</v>
      </c>
      <c r="F115" s="146">
        <f>Referência!$F$16*AVERAGEIF(A113:A114,"P8"&amp;"*",F113:F114)*COUNTIF(A113:A114,"P8"&amp;"*")</f>
        <v>6</v>
      </c>
      <c r="G115" s="73">
        <f t="shared" si="25"/>
        <v>1203.5999999999999</v>
      </c>
      <c r="H115" s="73" t="s">
        <v>1911</v>
      </c>
      <c r="I115" s="49" t="s">
        <v>5057</v>
      </c>
    </row>
    <row r="116" spans="1:9" s="405" customFormat="1" ht="15" customHeight="1" x14ac:dyDescent="0.2">
      <c r="A116" s="214" t="str">
        <f>"EST - "&amp;Referência!D17&amp;" "</f>
        <v xml:space="preserve">EST - MT </v>
      </c>
      <c r="B116" s="76" t="s">
        <v>1887</v>
      </c>
      <c r="C116" s="49" t="str">
        <f>VLOOKUP($A116,TPU!$A$6:$D$4148,2,FALSE)</f>
        <v xml:space="preserve">Estadia - MT </v>
      </c>
      <c r="D116" s="43" t="str">
        <f>VLOOKUP($A116,TPU!$A$6:$D$4148,3,FALSE)</f>
        <v xml:space="preserve">dia </v>
      </c>
      <c r="E116" s="198">
        <f>VLOOKUP($A116,TPU!$A$6:$D$4148,4,FALSE)</f>
        <v>188.8</v>
      </c>
      <c r="F116" s="146">
        <f>Referência!$F$17*AVERAGEIF(A113:A114,"P8"&amp;"*",F113:F114)*COUNTIF(A113:A114,"P8"&amp;"*")</f>
        <v>38</v>
      </c>
      <c r="G116" s="73">
        <f t="shared" si="25"/>
        <v>7174.4000000000005</v>
      </c>
      <c r="H116" s="73" t="s">
        <v>1911</v>
      </c>
      <c r="I116" s="49" t="s">
        <v>5058</v>
      </c>
    </row>
    <row r="117" spans="1:9" s="405" customFormat="1" ht="15" customHeight="1" x14ac:dyDescent="0.2">
      <c r="A117" s="214" t="s">
        <v>1836</v>
      </c>
      <c r="B117" s="76" t="s">
        <v>1886</v>
      </c>
      <c r="C117" s="49" t="str">
        <f>VLOOKUP($A117,TPU!$A$6:$D$4148,2,FALSE)</f>
        <v>Passagem aérea (ida e volta) - destino RJ</v>
      </c>
      <c r="D117" s="43" t="str">
        <f>VLOOKUP($A117,TPU!$A$6:$D$4148,3,FALSE)</f>
        <v>und</v>
      </c>
      <c r="E117" s="198">
        <f>VLOOKUP($A117,TPU!$A$6:$D$4148,4,FALSE)</f>
        <v>754.75</v>
      </c>
      <c r="F117" s="146">
        <f>1*COUNTIF(A113:A114,"P8"&amp;"*")</f>
        <v>1</v>
      </c>
      <c r="G117" s="73">
        <f t="shared" si="25"/>
        <v>754.75</v>
      </c>
      <c r="H117" s="73" t="s">
        <v>233</v>
      </c>
      <c r="I117" s="49" t="s">
        <v>5059</v>
      </c>
    </row>
    <row r="118" spans="1:9" s="405" customFormat="1" ht="15" customHeight="1" x14ac:dyDescent="0.2">
      <c r="A118" s="214" t="s">
        <v>1837</v>
      </c>
      <c r="B118" s="76" t="s">
        <v>1886</v>
      </c>
      <c r="C118" s="49" t="str">
        <f>VLOOKUP($A118,TPU!$A$6:$D$4148,2,FALSE)</f>
        <v>Passagem aérea (ida e volta) - destino MT</v>
      </c>
      <c r="D118" s="43" t="str">
        <f>VLOOKUP($A118,TPU!$A$6:$D$4148,3,FALSE)</f>
        <v>und</v>
      </c>
      <c r="E118" s="198">
        <f>VLOOKUP($A118,TPU!$A$6:$D$4148,4,FALSE)</f>
        <v>824.7</v>
      </c>
      <c r="F118" s="146">
        <f>1*COUNTIF(A113:A114,"P8"&amp;"*")</f>
        <v>1</v>
      </c>
      <c r="G118" s="73">
        <f t="shared" si="25"/>
        <v>824.7</v>
      </c>
      <c r="H118" s="73" t="s">
        <v>233</v>
      </c>
      <c r="I118" s="49" t="s">
        <v>5059</v>
      </c>
    </row>
    <row r="119" spans="1:9" s="405" customFormat="1" ht="15" customHeight="1" x14ac:dyDescent="0.2">
      <c r="A119" s="214" t="s">
        <v>236</v>
      </c>
      <c r="B119" s="76" t="s">
        <v>1890</v>
      </c>
      <c r="C119" s="49" t="str">
        <f>VLOOKUP($A119,TPU!$A$6:$D$4148,2,FALSE)</f>
        <v xml:space="preserve">DETER. COORDENADAS COM GPS3 (CONTROLE BASICO) PRECISAO MINIMA DE 2 ORDEM.      </v>
      </c>
      <c r="D119" s="43" t="str">
        <f>VLOOKUP($A119,TPU!$A$6:$D$4148,3,FALSE)</f>
        <v>un</v>
      </c>
      <c r="E119" s="198">
        <f>VLOOKUP($A119,TPU!$A$6:$D$4148,4,FALSE)</f>
        <v>3190.8140666666663</v>
      </c>
      <c r="F119" s="146">
        <f>1*COUNTIF(A113:A114,"P8"&amp;"*")</f>
        <v>1</v>
      </c>
      <c r="G119" s="73">
        <f t="shared" ref="G119:G127" si="26">E119*F119</f>
        <v>3190.8140666666663</v>
      </c>
      <c r="H119" s="43" t="s">
        <v>5009</v>
      </c>
      <c r="I119" s="196" t="s">
        <v>5050</v>
      </c>
    </row>
    <row r="120" spans="1:9" s="405" customFormat="1" ht="15" customHeight="1" x14ac:dyDescent="0.2">
      <c r="A120" s="43" t="s">
        <v>4632</v>
      </c>
      <c r="B120" s="76" t="s">
        <v>1890</v>
      </c>
      <c r="C120" s="49" t="str">
        <f>VLOOKUP($A120,TPU!$A$6:$D$4148,2,FALSE)</f>
        <v>Notebook</v>
      </c>
      <c r="D120" s="43" t="str">
        <f>VLOOKUP($A120,TPU!$A$6:$D$4148,3,FALSE)</f>
        <v>un</v>
      </c>
      <c r="E120" s="198">
        <f>VLOOKUP($A120,TPU!$A$6:$D$4148,4,FALSE)</f>
        <v>1999.9</v>
      </c>
      <c r="F120" s="146">
        <f>1*COUNTIF(A113:A114,"P8"&amp;"*")</f>
        <v>1</v>
      </c>
      <c r="G120" s="73">
        <f t="shared" si="26"/>
        <v>1999.9</v>
      </c>
      <c r="H120" s="107" t="s">
        <v>233</v>
      </c>
      <c r="I120" s="196" t="s">
        <v>5050</v>
      </c>
    </row>
    <row r="121" spans="1:9" s="405" customFormat="1" ht="15" customHeight="1" x14ac:dyDescent="0.2">
      <c r="A121" s="43"/>
      <c r="B121" s="76"/>
      <c r="C121" s="49"/>
      <c r="D121" s="43"/>
      <c r="E121" s="198"/>
      <c r="F121" s="146"/>
      <c r="G121" s="73"/>
      <c r="H121" s="107"/>
      <c r="I121" s="196"/>
    </row>
    <row r="122" spans="1:9" s="405" customFormat="1" ht="15" customHeight="1" x14ac:dyDescent="0.2">
      <c r="A122" s="407" t="s">
        <v>1873</v>
      </c>
      <c r="B122" s="407"/>
      <c r="C122" s="406"/>
      <c r="D122" s="75"/>
      <c r="E122" s="408"/>
      <c r="F122" s="409"/>
      <c r="G122" s="410">
        <f>SUM(G123:G127)</f>
        <v>130117.42860883908</v>
      </c>
      <c r="H122" s="74"/>
      <c r="I122" s="411"/>
    </row>
    <row r="123" spans="1:9" s="405" customFormat="1" ht="15" customHeight="1" x14ac:dyDescent="0.2">
      <c r="A123" s="43" t="s">
        <v>1612</v>
      </c>
      <c r="B123" s="49" t="s">
        <v>1884</v>
      </c>
      <c r="C123" s="49" t="str">
        <f>VLOOKUP($A123,TPU!$A$6:$D$4148,2,FALSE)</f>
        <v>Engenheiro de projetos júnior</v>
      </c>
      <c r="D123" s="43" t="str">
        <f>VLOOKUP($A123,TPU!$A$6:$D$4148,3,FALSE)</f>
        <v>mês</v>
      </c>
      <c r="E123" s="198">
        <f>VLOOKUP($A123,TPU!$A$6:$D$4148,4,FALSE)</f>
        <v>25732.769491100134</v>
      </c>
      <c r="F123" s="146">
        <v>4</v>
      </c>
      <c r="G123" s="73">
        <f>E123*F123</f>
        <v>102931.07796440054</v>
      </c>
      <c r="H123" s="43" t="s">
        <v>5009</v>
      </c>
      <c r="I123" s="49" t="s">
        <v>1861</v>
      </c>
    </row>
    <row r="124" spans="1:9" s="405" customFormat="1" ht="15" customHeight="1" x14ac:dyDescent="0.2">
      <c r="A124" s="43" t="s">
        <v>1676</v>
      </c>
      <c r="B124" s="49" t="s">
        <v>1884</v>
      </c>
      <c r="C124" s="49" t="str">
        <f>VLOOKUP($A124,TPU!$A$6:$D$4148,2,FALSE)</f>
        <v>Técnico em geoprocessamento</v>
      </c>
      <c r="D124" s="43" t="str">
        <f>VLOOKUP($A124,TPU!$A$6:$D$4148,3,FALSE)</f>
        <v>mês</v>
      </c>
      <c r="E124" s="198">
        <f>VLOOKUP($A124,TPU!$A$6:$D$4148,4,FALSE)</f>
        <v>7296.3369985873815</v>
      </c>
      <c r="F124" s="146">
        <v>2</v>
      </c>
      <c r="G124" s="73">
        <f t="shared" ref="G124" si="27">E124*F124</f>
        <v>14592.673997174763</v>
      </c>
      <c r="H124" s="43" t="s">
        <v>4997</v>
      </c>
      <c r="I124" s="49" t="s">
        <v>1879</v>
      </c>
    </row>
    <row r="125" spans="1:9" s="405" customFormat="1" ht="15" customHeight="1" x14ac:dyDescent="0.2">
      <c r="A125" s="215" t="s">
        <v>1838</v>
      </c>
      <c r="B125" s="76" t="s">
        <v>1873</v>
      </c>
      <c r="C125" s="49" t="str">
        <f>VLOOKUP($A125,TPU!$A$6:$D$4148,2,FALSE)</f>
        <v>Comercial (2,60% do CMCC - SINAPI)</v>
      </c>
      <c r="D125" s="43" t="str">
        <f>VLOOKUP($A125,TPU!$A$6:$D$4148,3,FALSE)</f>
        <v>m² x mês</v>
      </c>
      <c r="E125" s="198">
        <f>VLOOKUP($A125,TPU!$A$6:$D$4148,4,FALSE)</f>
        <v>59.907303032725231</v>
      </c>
      <c r="F125" s="357">
        <f>((57.95/2)+4.5*(COUNTIF(A123:A124,"P8"&amp;"*")))*AVERAGEIF(A123:A124,"P8"&amp;"*",F123:F124)</f>
        <v>113.92500000000001</v>
      </c>
      <c r="G125" s="73">
        <f t="shared" si="26"/>
        <v>6824.939498003223</v>
      </c>
      <c r="H125" s="43" t="s">
        <v>4997</v>
      </c>
      <c r="I125" s="218" t="s">
        <v>5054</v>
      </c>
    </row>
    <row r="126" spans="1:9" s="405" customFormat="1" ht="15" customHeight="1" x14ac:dyDescent="0.2">
      <c r="A126" s="216" t="s">
        <v>1840</v>
      </c>
      <c r="B126" s="49" t="s">
        <v>2666</v>
      </c>
      <c r="C126" s="49" t="str">
        <f>VLOOKUP($A126,TPU!$A$6:$D$4148,2,FALSE)</f>
        <v>Escritório</v>
      </c>
      <c r="D126" s="43" t="str">
        <f>VLOOKUP($A126,TPU!$A$6:$D$4148,3,FALSE)</f>
        <v>ocupante x mês</v>
      </c>
      <c r="E126" s="198">
        <f>VLOOKUP($A126,TPU!$A$6:$D$4148,4,FALSE)</f>
        <v>773.54195511772502</v>
      </c>
      <c r="F126" s="357">
        <f>COUNTIF(A123:A124,"P8"&amp;"*")*AVERAGEIF(A123:A124,"P8"&amp;"*",F123:F124)</f>
        <v>6</v>
      </c>
      <c r="G126" s="73">
        <f t="shared" si="26"/>
        <v>4641.2517307063499</v>
      </c>
      <c r="H126" s="43" t="s">
        <v>4997</v>
      </c>
      <c r="I126" s="218" t="s">
        <v>5053</v>
      </c>
    </row>
    <row r="127" spans="1:9" s="405" customFormat="1" ht="15" customHeight="1" x14ac:dyDescent="0.2">
      <c r="A127" s="216" t="s">
        <v>1850</v>
      </c>
      <c r="B127" s="49" t="s">
        <v>1873</v>
      </c>
      <c r="C127" s="49" t="str">
        <f>VLOOKUP($A127,TPU!$A$6:$D$4148,2,FALSE)</f>
        <v>Escritório</v>
      </c>
      <c r="D127" s="43" t="str">
        <f>VLOOKUP($A127,TPU!$A$6:$D$4148,3,FALSE)</f>
        <v>ocupante x mês</v>
      </c>
      <c r="E127" s="198">
        <f>VLOOKUP($A127,TPU!$A$6:$D$4148,4,FALSE)</f>
        <v>187.91423642570163</v>
      </c>
      <c r="F127" s="357">
        <f>COUNTIF(A123:A124,"P8"&amp;"*")*AVERAGEIF(A123:A124,"P8"&amp;"*",F123:F124)</f>
        <v>6</v>
      </c>
      <c r="G127" s="73">
        <f t="shared" si="26"/>
        <v>1127.4854185542099</v>
      </c>
      <c r="H127" s="43" t="s">
        <v>4997</v>
      </c>
      <c r="I127" s="218" t="s">
        <v>5053</v>
      </c>
    </row>
    <row r="128" spans="1:9" ht="15" customHeight="1" x14ac:dyDescent="0.2">
      <c r="A128" s="43"/>
      <c r="B128" s="49"/>
      <c r="C128" s="197"/>
      <c r="D128" s="43"/>
      <c r="E128" s="77"/>
      <c r="F128" s="146"/>
      <c r="G128" s="77"/>
      <c r="H128" s="73"/>
      <c r="I128" s="77"/>
    </row>
    <row r="129" spans="1:9" ht="15" customHeight="1" x14ac:dyDescent="0.2">
      <c r="A129" s="400" t="s">
        <v>1891</v>
      </c>
      <c r="B129" s="413"/>
      <c r="C129" s="417"/>
      <c r="D129" s="97"/>
      <c r="E129" s="418"/>
      <c r="F129" s="419"/>
      <c r="G129" s="404">
        <f>G130+G142</f>
        <v>342452.06188512128</v>
      </c>
      <c r="H129" s="98"/>
      <c r="I129" s="418"/>
    </row>
    <row r="130" spans="1:9" ht="15" customHeight="1" x14ac:dyDescent="0.2">
      <c r="A130" s="407" t="s">
        <v>1871</v>
      </c>
      <c r="B130" s="407"/>
      <c r="C130" s="406"/>
      <c r="D130" s="75"/>
      <c r="E130" s="408"/>
      <c r="F130" s="409"/>
      <c r="G130" s="410">
        <f>SUM(G131:G140)</f>
        <v>299305.04342913348</v>
      </c>
      <c r="H130" s="74"/>
      <c r="I130" s="414"/>
    </row>
    <row r="131" spans="1:9" ht="15" customHeight="1" x14ac:dyDescent="0.2">
      <c r="A131" s="215" t="s">
        <v>1616</v>
      </c>
      <c r="B131" s="217" t="s">
        <v>1884</v>
      </c>
      <c r="C131" s="49" t="str">
        <f>VLOOKUP($A131,TPU!$A$6:$D$4148,2,FALSE)</f>
        <v>Engenheiro de projetos sênior</v>
      </c>
      <c r="D131" s="43" t="str">
        <f>VLOOKUP($A131,TPU!$A$6:$D$4148,3,FALSE)</f>
        <v>mês</v>
      </c>
      <c r="E131" s="198">
        <f>VLOOKUP($A131,TPU!$A$6:$D$4148,4,FALSE)</f>
        <v>38482.635478079748</v>
      </c>
      <c r="F131" s="420">
        <f>ROUND((2*30)/ROUND((F134+F135)/2,0),1)</f>
        <v>1.4</v>
      </c>
      <c r="G131" s="73">
        <f t="shared" ref="G131:G137" si="28">E131*F131</f>
        <v>53875.689669311643</v>
      </c>
      <c r="H131" s="43" t="s">
        <v>4997</v>
      </c>
      <c r="I131" s="218" t="s">
        <v>5010</v>
      </c>
    </row>
    <row r="132" spans="1:9" ht="15" customHeight="1" x14ac:dyDescent="0.2">
      <c r="A132" s="215" t="s">
        <v>1614</v>
      </c>
      <c r="B132" s="217" t="s">
        <v>1884</v>
      </c>
      <c r="C132" s="49" t="str">
        <f>VLOOKUP($A132,TPU!$A$6:$D$4148,2,FALSE)</f>
        <v>Engenheiro de projetos pleno</v>
      </c>
      <c r="D132" s="43" t="str">
        <f>VLOOKUP($A132,TPU!$A$6:$D$4148,3,FALSE)</f>
        <v>mês</v>
      </c>
      <c r="E132" s="198">
        <f>VLOOKUP($A132,TPU!$A$6:$D$4148,4,FALSE)</f>
        <v>29231.169732812014</v>
      </c>
      <c r="F132" s="420">
        <f>ROUND((2*30)/ROUND((F134+F135)/2,0),1)</f>
        <v>1.4</v>
      </c>
      <c r="G132" s="73">
        <f t="shared" ref="G132" si="29">E132*F132</f>
        <v>40923.637625936819</v>
      </c>
      <c r="H132" s="43" t="s">
        <v>4997</v>
      </c>
      <c r="I132" s="218" t="s">
        <v>5010</v>
      </c>
    </row>
    <row r="133" spans="1:9" ht="15" customHeight="1" x14ac:dyDescent="0.2">
      <c r="A133" s="43" t="s">
        <v>4624</v>
      </c>
      <c r="B133" s="217" t="s">
        <v>1885</v>
      </c>
      <c r="C133" s="49" t="str">
        <f>VLOOKUP($A133,TPU!$A$6:$D$4148,2,FALSE)</f>
        <v>Veículo leve - 53 kW (sem motorista)</v>
      </c>
      <c r="D133" s="43" t="str">
        <f>VLOOKUP($A133,TPU!$A$6:$D$4148,3,FALSE)</f>
        <v xml:space="preserve">dia </v>
      </c>
      <c r="E133" s="198">
        <f>VLOOKUP($A133,TPU!$A$6:$D$4148,4,FALSE)</f>
        <v>188.86756388893707</v>
      </c>
      <c r="F133" s="146">
        <f>ROUND((F134+F135)/2,0)</f>
        <v>43</v>
      </c>
      <c r="G133" s="73">
        <f t="shared" si="28"/>
        <v>8121.3052472242944</v>
      </c>
      <c r="H133" s="43" t="s">
        <v>5009</v>
      </c>
      <c r="I133" s="49" t="s">
        <v>5061</v>
      </c>
    </row>
    <row r="134" spans="1:9" ht="15" customHeight="1" x14ac:dyDescent="0.2">
      <c r="A134" s="214" t="str">
        <f>"EST - "&amp;Referência!D16&amp;" "</f>
        <v xml:space="preserve">EST - RJ </v>
      </c>
      <c r="B134" s="217" t="s">
        <v>1887</v>
      </c>
      <c r="C134" s="49" t="str">
        <f>VLOOKUP($A134,TPU!$A$6:$D$4148,2,FALSE)</f>
        <v xml:space="preserve">Estadia - RJ </v>
      </c>
      <c r="D134" s="43" t="str">
        <f>VLOOKUP($A134,TPU!$A$6:$D$4148,3,FALSE)</f>
        <v xml:space="preserve">dia </v>
      </c>
      <c r="E134" s="198">
        <f>VLOOKUP($A134,TPU!$A$6:$D$4148,4,FALSE)</f>
        <v>200.6</v>
      </c>
      <c r="F134" s="146">
        <f>(ROUNDUP(58/4,0)+1)*COUNTIF(A131:A133,"P8"&amp;"*")</f>
        <v>32</v>
      </c>
      <c r="G134" s="73">
        <f t="shared" si="28"/>
        <v>6419.2</v>
      </c>
      <c r="H134" s="107" t="s">
        <v>1911</v>
      </c>
      <c r="I134" s="218" t="s">
        <v>5045</v>
      </c>
    </row>
    <row r="135" spans="1:9" ht="15" customHeight="1" x14ac:dyDescent="0.2">
      <c r="A135" s="214" t="str">
        <f>"EST - "&amp;Referência!D18&amp;" "</f>
        <v xml:space="preserve">EST - GO </v>
      </c>
      <c r="B135" s="217" t="s">
        <v>1887</v>
      </c>
      <c r="C135" s="49" t="str">
        <f>VLOOKUP($A135,TPU!$A$6:$D$4148,2,FALSE)</f>
        <v xml:space="preserve">Estadia - GO </v>
      </c>
      <c r="D135" s="43" t="str">
        <f>VLOOKUP($A135,TPU!$A$6:$D$4148,3,FALSE)</f>
        <v xml:space="preserve">dia </v>
      </c>
      <c r="E135" s="198">
        <f>VLOOKUP($A135,TPU!$A$6:$D$4148,4,FALSE)</f>
        <v>188.8</v>
      </c>
      <c r="F135" s="146">
        <f>(ROUNDUP(104/4,0)+1)*COUNTIF(A131:A133,"P8"&amp;"*")</f>
        <v>54</v>
      </c>
      <c r="G135" s="73">
        <f t="shared" si="28"/>
        <v>10195.200000000001</v>
      </c>
      <c r="H135" s="107" t="s">
        <v>1911</v>
      </c>
      <c r="I135" s="218" t="s">
        <v>5046</v>
      </c>
    </row>
    <row r="136" spans="1:9" ht="15" customHeight="1" x14ac:dyDescent="0.2">
      <c r="A136" s="215" t="s">
        <v>1836</v>
      </c>
      <c r="B136" s="217" t="s">
        <v>1886</v>
      </c>
      <c r="C136" s="49" t="str">
        <f>VLOOKUP($A136,TPU!$A$6:$D$4148,2,FALSE)</f>
        <v>Passagem aérea (ida e volta) - destino RJ</v>
      </c>
      <c r="D136" s="43" t="str">
        <f>VLOOKUP($A136,TPU!$A$6:$D$4148,3,FALSE)</f>
        <v>und</v>
      </c>
      <c r="E136" s="198">
        <f>VLOOKUP($A136,TPU!$A$6:$D$4148,4,FALSE)</f>
        <v>754.75</v>
      </c>
      <c r="F136" s="146">
        <f>1*COUNTIF(A131:A133,"P8"&amp;"*")</f>
        <v>2</v>
      </c>
      <c r="G136" s="73">
        <f t="shared" si="28"/>
        <v>1509.5</v>
      </c>
      <c r="H136" s="107" t="s">
        <v>233</v>
      </c>
      <c r="I136" s="49" t="s">
        <v>5011</v>
      </c>
    </row>
    <row r="137" spans="1:9" ht="15" customHeight="1" x14ac:dyDescent="0.2">
      <c r="A137" s="215" t="s">
        <v>1837</v>
      </c>
      <c r="B137" s="217" t="s">
        <v>1886</v>
      </c>
      <c r="C137" s="49" t="str">
        <f>VLOOKUP($A137,TPU!$A$6:$D$4148,2,FALSE)</f>
        <v>Passagem aérea (ida e volta) - destino MT</v>
      </c>
      <c r="D137" s="43" t="str">
        <f>VLOOKUP($A137,TPU!$A$6:$D$4148,3,FALSE)</f>
        <v>und</v>
      </c>
      <c r="E137" s="198">
        <f>VLOOKUP($A137,TPU!$A$6:$D$4148,4,FALSE)</f>
        <v>824.7</v>
      </c>
      <c r="F137" s="146">
        <f>1*COUNTIF(A131:A133,"P8"&amp;"*")</f>
        <v>2</v>
      </c>
      <c r="G137" s="73">
        <f t="shared" si="28"/>
        <v>1649.4</v>
      </c>
      <c r="H137" s="107" t="s">
        <v>233</v>
      </c>
      <c r="I137" s="49" t="s">
        <v>5011</v>
      </c>
    </row>
    <row r="138" spans="1:9" ht="15" customHeight="1" x14ac:dyDescent="0.2">
      <c r="A138" s="43" t="s">
        <v>4632</v>
      </c>
      <c r="B138" s="217" t="s">
        <v>1890</v>
      </c>
      <c r="C138" s="49" t="str">
        <f>VLOOKUP($A138,TPU!$A$6:$D$4148,2,FALSE)</f>
        <v>Notebook</v>
      </c>
      <c r="D138" s="43" t="str">
        <f>VLOOKUP($A138,TPU!$A$6:$D$4148,3,FALSE)</f>
        <v>un</v>
      </c>
      <c r="E138" s="198">
        <f>VLOOKUP($A138,TPU!$A$6:$D$4148,4,FALSE)</f>
        <v>1999.9</v>
      </c>
      <c r="F138" s="146">
        <f>1*COUNTIF(A131:A132,"P8"&amp;"*")</f>
        <v>2</v>
      </c>
      <c r="G138" s="73">
        <f t="shared" ref="G138:G140" si="30">E138*F138</f>
        <v>3999.8</v>
      </c>
      <c r="H138" s="107" t="s">
        <v>233</v>
      </c>
      <c r="I138" s="196" t="s">
        <v>5050</v>
      </c>
    </row>
    <row r="139" spans="1:9" ht="15" customHeight="1" x14ac:dyDescent="0.2">
      <c r="A139" s="215" t="s">
        <v>10</v>
      </c>
      <c r="B139" s="217" t="s">
        <v>1890</v>
      </c>
      <c r="C139" s="49" t="s">
        <v>2754</v>
      </c>
      <c r="D139" s="43" t="s">
        <v>27</v>
      </c>
      <c r="E139" s="77">
        <f>21*INDEX(IPCA!$C$3:$C$29,MATCH($E$2,IPCA!$A$3:$A$27,0))/INDEX(IPCA!$C$3:$C$29,MATCH(44317,IPCA!$A$3:$A$29,0))</f>
        <v>22.392127060908539</v>
      </c>
      <c r="F139" s="146">
        <f>(58+104)*40</f>
        <v>6480</v>
      </c>
      <c r="G139" s="73">
        <f>E139*F139</f>
        <v>145100.98335468734</v>
      </c>
      <c r="H139" s="107" t="s">
        <v>2757</v>
      </c>
      <c r="I139" s="221" t="s">
        <v>5012</v>
      </c>
    </row>
    <row r="140" spans="1:9" ht="15" customHeight="1" x14ac:dyDescent="0.2">
      <c r="A140" s="215" t="s">
        <v>10</v>
      </c>
      <c r="B140" s="217" t="s">
        <v>1890</v>
      </c>
      <c r="C140" s="49" t="s">
        <v>2755</v>
      </c>
      <c r="D140" s="43" t="s">
        <v>2756</v>
      </c>
      <c r="E140" s="77">
        <f>600*INDEX(IPCA!$C$3:$C$29,MATCH($E$2,IPCA!$A$3:$A$27,0))/INDEX(IPCA!$C$3:$C$29,MATCH(44317,IPCA!$A$3:$A$29,0))</f>
        <v>639.77505888310111</v>
      </c>
      <c r="F140" s="146">
        <f>F133</f>
        <v>43</v>
      </c>
      <c r="G140" s="73">
        <f t="shared" si="30"/>
        <v>27510.327531973348</v>
      </c>
      <c r="H140" s="107" t="s">
        <v>2757</v>
      </c>
      <c r="I140" s="49" t="s">
        <v>5013</v>
      </c>
    </row>
    <row r="141" spans="1:9" s="405" customFormat="1" ht="15" customHeight="1" x14ac:dyDescent="0.2">
      <c r="A141" s="43"/>
      <c r="B141" s="76"/>
      <c r="C141" s="49"/>
      <c r="D141" s="43"/>
      <c r="E141" s="198"/>
      <c r="F141" s="146"/>
      <c r="G141" s="73"/>
      <c r="H141" s="107"/>
      <c r="I141" s="196"/>
    </row>
    <row r="142" spans="1:9" s="405" customFormat="1" ht="15" customHeight="1" x14ac:dyDescent="0.2">
      <c r="A142" s="407" t="s">
        <v>1873</v>
      </c>
      <c r="B142" s="407"/>
      <c r="C142" s="406"/>
      <c r="D142" s="75"/>
      <c r="E142" s="408"/>
      <c r="F142" s="409"/>
      <c r="G142" s="410">
        <f>SUM(G143:G147)</f>
        <v>43147.018455987825</v>
      </c>
      <c r="H142" s="74"/>
      <c r="I142" s="411"/>
    </row>
    <row r="143" spans="1:9" s="405" customFormat="1" ht="15" customHeight="1" x14ac:dyDescent="0.2">
      <c r="A143" s="215" t="s">
        <v>1616</v>
      </c>
      <c r="B143" s="49" t="s">
        <v>1884</v>
      </c>
      <c r="C143" s="49" t="str">
        <f>VLOOKUP($A143,TPU!$A$6:$D$4148,2,FALSE)</f>
        <v>Engenheiro de projetos sênior</v>
      </c>
      <c r="D143" s="43" t="str">
        <f>VLOOKUP($A143,TPU!$A$6:$D$4148,3,FALSE)</f>
        <v>mês</v>
      </c>
      <c r="E143" s="198">
        <f>VLOOKUP($A143,TPU!$A$6:$D$4148,4,FALSE)</f>
        <v>38482.635478079748</v>
      </c>
      <c r="F143" s="420">
        <f>2-F131</f>
        <v>0.60000000000000009</v>
      </c>
      <c r="G143" s="73">
        <f>E143*F143</f>
        <v>23089.581286847853</v>
      </c>
      <c r="H143" s="43" t="s">
        <v>5009</v>
      </c>
      <c r="I143" s="49" t="s">
        <v>1861</v>
      </c>
    </row>
    <row r="144" spans="1:9" s="405" customFormat="1" ht="15" customHeight="1" x14ac:dyDescent="0.2">
      <c r="A144" s="215" t="s">
        <v>1614</v>
      </c>
      <c r="B144" s="49" t="s">
        <v>1884</v>
      </c>
      <c r="C144" s="49" t="str">
        <f>VLOOKUP($A144,TPU!$A$6:$D$4148,2,FALSE)</f>
        <v>Engenheiro de projetos pleno</v>
      </c>
      <c r="D144" s="43" t="str">
        <f>VLOOKUP($A144,TPU!$A$6:$D$4148,3,FALSE)</f>
        <v>mês</v>
      </c>
      <c r="E144" s="198">
        <f>VLOOKUP($A144,TPU!$A$6:$D$4148,4,FALSE)</f>
        <v>29231.169732812014</v>
      </c>
      <c r="F144" s="420">
        <f>2-F132</f>
        <v>0.60000000000000009</v>
      </c>
      <c r="G144" s="73">
        <f t="shared" ref="G144:G147" si="31">E144*F144</f>
        <v>17538.701839687212</v>
      </c>
      <c r="H144" s="43" t="s">
        <v>4997</v>
      </c>
      <c r="I144" s="49" t="s">
        <v>1879</v>
      </c>
    </row>
    <row r="145" spans="1:9" s="405" customFormat="1" ht="15" customHeight="1" x14ac:dyDescent="0.2">
      <c r="A145" s="215" t="s">
        <v>1838</v>
      </c>
      <c r="B145" s="76" t="s">
        <v>1873</v>
      </c>
      <c r="C145" s="49" t="str">
        <f>VLOOKUP($A145,TPU!$A$6:$D$4148,2,FALSE)</f>
        <v>Comercial (2,60% do CMCC - SINAPI)</v>
      </c>
      <c r="D145" s="43" t="str">
        <f>VLOOKUP($A145,TPU!$A$6:$D$4148,3,FALSE)</f>
        <v>m² x mês</v>
      </c>
      <c r="E145" s="198">
        <f>VLOOKUP($A145,TPU!$A$6:$D$4148,4,FALSE)</f>
        <v>59.907303032725231</v>
      </c>
      <c r="F145" s="357">
        <f>((57.95/2)+4.5*(COUNTIF(A143:A144,"P8"&amp;"*")))*AVERAGEIF(A143:A144,"P8"&amp;"*",F143:F144)</f>
        <v>22.785000000000004</v>
      </c>
      <c r="G145" s="73">
        <f t="shared" si="31"/>
        <v>1364.9878996006446</v>
      </c>
      <c r="H145" s="43" t="s">
        <v>4997</v>
      </c>
      <c r="I145" s="218" t="s">
        <v>5054</v>
      </c>
    </row>
    <row r="146" spans="1:9" s="405" customFormat="1" ht="15" customHeight="1" x14ac:dyDescent="0.2">
      <c r="A146" s="216" t="s">
        <v>1840</v>
      </c>
      <c r="B146" s="49" t="s">
        <v>2666</v>
      </c>
      <c r="C146" s="49" t="str">
        <f>VLOOKUP($A146,TPU!$A$6:$D$4148,2,FALSE)</f>
        <v>Escritório</v>
      </c>
      <c r="D146" s="43" t="str">
        <f>VLOOKUP($A146,TPU!$A$6:$D$4148,3,FALSE)</f>
        <v>ocupante x mês</v>
      </c>
      <c r="E146" s="198">
        <f>VLOOKUP($A146,TPU!$A$6:$D$4148,4,FALSE)</f>
        <v>773.54195511772502</v>
      </c>
      <c r="F146" s="357">
        <f>COUNTIF(A143:A144,"P8"&amp;"*")*AVERAGEIF(A143:A144,"P8"&amp;"*",F143:F144)</f>
        <v>1.2000000000000002</v>
      </c>
      <c r="G146" s="73">
        <f t="shared" si="31"/>
        <v>928.25034614127014</v>
      </c>
      <c r="H146" s="43" t="s">
        <v>4997</v>
      </c>
      <c r="I146" s="218" t="s">
        <v>5053</v>
      </c>
    </row>
    <row r="147" spans="1:9" s="405" customFormat="1" ht="15" customHeight="1" x14ac:dyDescent="0.2">
      <c r="A147" s="216" t="s">
        <v>1850</v>
      </c>
      <c r="B147" s="49" t="s">
        <v>1873</v>
      </c>
      <c r="C147" s="49" t="str">
        <f>VLOOKUP($A147,TPU!$A$6:$D$4148,2,FALSE)</f>
        <v>Escritório</v>
      </c>
      <c r="D147" s="43" t="str">
        <f>VLOOKUP($A147,TPU!$A$6:$D$4148,3,FALSE)</f>
        <v>ocupante x mês</v>
      </c>
      <c r="E147" s="198">
        <f>VLOOKUP($A147,TPU!$A$6:$D$4148,4,FALSE)</f>
        <v>187.91423642570163</v>
      </c>
      <c r="F147" s="357">
        <f>COUNTIF(A143:A144,"P8"&amp;"*")*AVERAGEIF(A143:A144,"P8"&amp;"*",F143:F144)</f>
        <v>1.2000000000000002</v>
      </c>
      <c r="G147" s="73">
        <f t="shared" si="31"/>
        <v>225.49708371084199</v>
      </c>
      <c r="H147" s="43" t="s">
        <v>4997</v>
      </c>
      <c r="I147" s="218" t="s">
        <v>5053</v>
      </c>
    </row>
    <row r="148" spans="1:9" ht="15" customHeight="1" x14ac:dyDescent="0.2">
      <c r="A148" s="43"/>
      <c r="B148" s="49"/>
      <c r="C148" s="197"/>
      <c r="D148" s="43"/>
      <c r="E148" s="77"/>
      <c r="F148" s="146"/>
      <c r="G148" s="77"/>
      <c r="H148" s="73"/>
      <c r="I148" s="77"/>
    </row>
    <row r="149" spans="1:9" s="405" customFormat="1" ht="15" customHeight="1" x14ac:dyDescent="0.2">
      <c r="A149" s="400" t="s">
        <v>1892</v>
      </c>
      <c r="B149" s="400"/>
      <c r="C149" s="401"/>
      <c r="D149" s="96"/>
      <c r="E149" s="402"/>
      <c r="F149" s="403"/>
      <c r="G149" s="404">
        <f>SUM(G151:G159)</f>
        <v>1420641.8666961235</v>
      </c>
      <c r="H149" s="88"/>
      <c r="I149" s="416"/>
    </row>
    <row r="150" spans="1:9" s="405" customFormat="1" ht="15" customHeight="1" x14ac:dyDescent="0.2">
      <c r="A150" s="407" t="s">
        <v>1873</v>
      </c>
      <c r="B150" s="407"/>
      <c r="C150" s="406"/>
      <c r="D150" s="75"/>
      <c r="E150" s="408"/>
      <c r="F150" s="409"/>
      <c r="G150" s="410"/>
      <c r="H150" s="74"/>
      <c r="I150" s="414"/>
    </row>
    <row r="151" spans="1:9" s="405" customFormat="1" ht="15" customHeight="1" x14ac:dyDescent="0.2">
      <c r="A151" s="43" t="s">
        <v>1676</v>
      </c>
      <c r="B151" s="49" t="s">
        <v>1884</v>
      </c>
      <c r="C151" s="49" t="str">
        <f>VLOOKUP($A151,TPU!$A$6:$D$4148,2,FALSE)</f>
        <v>Técnico em geoprocessamento</v>
      </c>
      <c r="D151" s="43" t="str">
        <f>VLOOKUP($A151,TPU!$A$6:$D$4148,3,FALSE)</f>
        <v>mês</v>
      </c>
      <c r="E151" s="198">
        <f>VLOOKUP($A151,TPU!$A$6:$D$4148,4,FALSE)</f>
        <v>7296.3369985873815</v>
      </c>
      <c r="F151" s="146">
        <v>8</v>
      </c>
      <c r="G151" s="73">
        <f t="shared" ref="G151:G159" si="32">E151*F151</f>
        <v>58370.695988699052</v>
      </c>
      <c r="H151" s="43" t="s">
        <v>4997</v>
      </c>
      <c r="I151" s="49" t="s">
        <v>1879</v>
      </c>
    </row>
    <row r="152" spans="1:9" s="405" customFormat="1" ht="15" customHeight="1" x14ac:dyDescent="0.2">
      <c r="A152" s="43" t="s">
        <v>1676</v>
      </c>
      <c r="B152" s="49" t="s">
        <v>1884</v>
      </c>
      <c r="C152" s="49" t="str">
        <f>VLOOKUP($A152,TPU!$A$6:$D$4148,2,FALSE)</f>
        <v>Técnico em geoprocessamento</v>
      </c>
      <c r="D152" s="43" t="str">
        <f>VLOOKUP($A152,TPU!$A$6:$D$4148,3,FALSE)</f>
        <v>mês</v>
      </c>
      <c r="E152" s="198">
        <f>VLOOKUP($A152,TPU!$A$6:$D$4148,4,FALSE)</f>
        <v>7296.3369985873815</v>
      </c>
      <c r="F152" s="146">
        <v>8</v>
      </c>
      <c r="G152" s="73">
        <f t="shared" si="32"/>
        <v>58370.695988699052</v>
      </c>
      <c r="H152" s="43" t="s">
        <v>4997</v>
      </c>
      <c r="I152" s="49" t="s">
        <v>1879</v>
      </c>
    </row>
    <row r="153" spans="1:9" s="405" customFormat="1" ht="15" customHeight="1" x14ac:dyDescent="0.2">
      <c r="A153" s="43" t="s">
        <v>1614</v>
      </c>
      <c r="B153" s="49" t="s">
        <v>1884</v>
      </c>
      <c r="C153" s="49" t="str">
        <f>VLOOKUP($A153,TPU!$A$6:$D$4148,2,FALSE)</f>
        <v>Engenheiro de projetos pleno</v>
      </c>
      <c r="D153" s="43" t="str">
        <f>VLOOKUP($A153,TPU!$A$6:$D$4148,3,FALSE)</f>
        <v>mês</v>
      </c>
      <c r="E153" s="198">
        <f>VLOOKUP($A153,TPU!$A$6:$D$4148,4,FALSE)</f>
        <v>29231.169732812014</v>
      </c>
      <c r="F153" s="146">
        <v>8</v>
      </c>
      <c r="G153" s="73">
        <f t="shared" si="32"/>
        <v>233849.35786249611</v>
      </c>
      <c r="H153" s="43" t="s">
        <v>4997</v>
      </c>
      <c r="I153" s="49" t="s">
        <v>1880</v>
      </c>
    </row>
    <row r="154" spans="1:9" s="405" customFormat="1" ht="15" customHeight="1" x14ac:dyDescent="0.2">
      <c r="A154" s="43" t="s">
        <v>1614</v>
      </c>
      <c r="B154" s="49" t="s">
        <v>1884</v>
      </c>
      <c r="C154" s="49" t="str">
        <f>VLOOKUP($A154,TPU!$A$6:$D$4148,2,FALSE)</f>
        <v>Engenheiro de projetos pleno</v>
      </c>
      <c r="D154" s="43" t="str">
        <f>VLOOKUP($A154,TPU!$A$6:$D$4148,3,FALSE)</f>
        <v>mês</v>
      </c>
      <c r="E154" s="198">
        <f>VLOOKUP($A154,TPU!$A$6:$D$4148,4,FALSE)</f>
        <v>29231.169732812014</v>
      </c>
      <c r="F154" s="146">
        <v>8</v>
      </c>
      <c r="G154" s="73">
        <f t="shared" si="32"/>
        <v>233849.35786249611</v>
      </c>
      <c r="H154" s="43" t="s">
        <v>4997</v>
      </c>
      <c r="I154" s="49" t="s">
        <v>1880</v>
      </c>
    </row>
    <row r="155" spans="1:9" ht="15" customHeight="1" x14ac:dyDescent="0.2">
      <c r="A155" s="43" t="s">
        <v>1614</v>
      </c>
      <c r="B155" s="49" t="s">
        <v>1884</v>
      </c>
      <c r="C155" s="49" t="str">
        <f>VLOOKUP($A155,TPU!$A$6:$D$4148,2,FALSE)</f>
        <v>Engenheiro de projetos pleno</v>
      </c>
      <c r="D155" s="43" t="str">
        <f>VLOOKUP($A155,TPU!$A$6:$D$4148,3,FALSE)</f>
        <v>mês</v>
      </c>
      <c r="E155" s="198">
        <f>VLOOKUP($A155,TPU!$A$6:$D$4148,4,FALSE)</f>
        <v>29231.169732812014</v>
      </c>
      <c r="F155" s="146">
        <v>10</v>
      </c>
      <c r="G155" s="73">
        <f t="shared" si="32"/>
        <v>292311.69732812012</v>
      </c>
      <c r="H155" s="43" t="s">
        <v>4997</v>
      </c>
      <c r="I155" s="49" t="s">
        <v>1880</v>
      </c>
    </row>
    <row r="156" spans="1:9" ht="15" customHeight="1" x14ac:dyDescent="0.2">
      <c r="A156" s="43" t="s">
        <v>1616</v>
      </c>
      <c r="B156" s="49" t="s">
        <v>1884</v>
      </c>
      <c r="C156" s="49" t="str">
        <f>VLOOKUP($A156,TPU!$A$6:$D$4148,2,FALSE)</f>
        <v>Engenheiro de projetos sênior</v>
      </c>
      <c r="D156" s="43" t="str">
        <f>VLOOKUP($A156,TPU!$A$6:$D$4148,3,FALSE)</f>
        <v>mês</v>
      </c>
      <c r="E156" s="198">
        <f>VLOOKUP($A156,TPU!$A$6:$D$4148,4,FALSE)</f>
        <v>38482.635478079748</v>
      </c>
      <c r="F156" s="146">
        <v>12</v>
      </c>
      <c r="G156" s="73">
        <f t="shared" si="32"/>
        <v>461791.62573695695</v>
      </c>
      <c r="H156" s="43" t="s">
        <v>4997</v>
      </c>
      <c r="I156" s="49" t="s">
        <v>1880</v>
      </c>
    </row>
    <row r="157" spans="1:9" ht="15" customHeight="1" x14ac:dyDescent="0.2">
      <c r="A157" s="215" t="s">
        <v>1838</v>
      </c>
      <c r="B157" s="76" t="s">
        <v>1873</v>
      </c>
      <c r="C157" s="49" t="str">
        <f>VLOOKUP($A157,TPU!$A$6:$D$4148,2,FALSE)</f>
        <v>Comercial (2,60% do CMCC - SINAPI)</v>
      </c>
      <c r="D157" s="43" t="str">
        <f>VLOOKUP($A157,TPU!$A$6:$D$4148,3,FALSE)</f>
        <v>m² x mês</v>
      </c>
      <c r="E157" s="198">
        <f>VLOOKUP($A157,TPU!$A$6:$D$4148,4,FALSE)</f>
        <v>59.907303032725231</v>
      </c>
      <c r="F157" s="357">
        <f>((57.95/2)+4.5*(COUNTIF(A151:A156,"P8"&amp;"*")))*AVERAGEIF(A151:A156,"P8"&amp;"*",F151:F156)</f>
        <v>503.77500000000003</v>
      </c>
      <c r="G157" s="73">
        <f t="shared" si="32"/>
        <v>30179.801585311154</v>
      </c>
      <c r="H157" s="43" t="s">
        <v>4997</v>
      </c>
      <c r="I157" s="218" t="s">
        <v>5054</v>
      </c>
    </row>
    <row r="158" spans="1:9" ht="15" customHeight="1" x14ac:dyDescent="0.2">
      <c r="A158" s="215" t="s">
        <v>1840</v>
      </c>
      <c r="B158" s="76" t="s">
        <v>2666</v>
      </c>
      <c r="C158" s="49" t="str">
        <f>VLOOKUP($A158,TPU!$A$6:$D$4148,2,FALSE)</f>
        <v>Escritório</v>
      </c>
      <c r="D158" s="43" t="str">
        <f>VLOOKUP($A158,TPU!$A$6:$D$4148,3,FALSE)</f>
        <v>ocupante x mês</v>
      </c>
      <c r="E158" s="198">
        <f>VLOOKUP($A158,TPU!$A$6:$D$4148,4,FALSE)</f>
        <v>773.54195511772502</v>
      </c>
      <c r="F158" s="357">
        <f>COUNTIF(A151:A156,"P8"&amp;"*")*AVERAGEIF(A151:A156,"P8"&amp;"*",F151:F156)</f>
        <v>54</v>
      </c>
      <c r="G158" s="73">
        <f t="shared" si="32"/>
        <v>41771.265576357153</v>
      </c>
      <c r="H158" s="43" t="s">
        <v>4997</v>
      </c>
      <c r="I158" s="218" t="s">
        <v>5053</v>
      </c>
    </row>
    <row r="159" spans="1:9" ht="15" customHeight="1" x14ac:dyDescent="0.2">
      <c r="A159" s="215" t="s">
        <v>1850</v>
      </c>
      <c r="B159" s="76" t="s">
        <v>1873</v>
      </c>
      <c r="C159" s="49" t="str">
        <f>VLOOKUP($A159,TPU!$A$6:$D$4148,2,FALSE)</f>
        <v>Escritório</v>
      </c>
      <c r="D159" s="43" t="str">
        <f>VLOOKUP($A159,TPU!$A$6:$D$4148,3,FALSE)</f>
        <v>ocupante x mês</v>
      </c>
      <c r="E159" s="198">
        <f>VLOOKUP($A159,TPU!$A$6:$D$4148,4,FALSE)</f>
        <v>187.91423642570163</v>
      </c>
      <c r="F159" s="357">
        <f>COUNTIF(A151:A156,"P8"&amp;"*")*AVERAGEIF(A151:A156,"P8"&amp;"*",F151:F156)</f>
        <v>54</v>
      </c>
      <c r="G159" s="73">
        <f t="shared" si="32"/>
        <v>10147.368766987887</v>
      </c>
      <c r="H159" s="43" t="s">
        <v>4997</v>
      </c>
      <c r="I159" s="218" t="s">
        <v>5053</v>
      </c>
    </row>
    <row r="160" spans="1:9" ht="15" customHeight="1" x14ac:dyDescent="0.2">
      <c r="A160" s="43"/>
      <c r="B160" s="49"/>
      <c r="C160" s="197"/>
      <c r="D160" s="43"/>
      <c r="E160" s="77"/>
      <c r="F160" s="412"/>
      <c r="G160" s="77"/>
      <c r="H160" s="73"/>
      <c r="I160" s="77"/>
    </row>
    <row r="161" spans="1:9" s="405" customFormat="1" ht="15" customHeight="1" x14ac:dyDescent="0.2">
      <c r="A161" s="400" t="s">
        <v>1867</v>
      </c>
      <c r="B161" s="400"/>
      <c r="C161" s="401"/>
      <c r="D161" s="96"/>
      <c r="E161" s="402"/>
      <c r="F161" s="403"/>
      <c r="G161" s="404">
        <f>SUM(G163:G168)</f>
        <v>850490.28895855276</v>
      </c>
      <c r="H161" s="88"/>
      <c r="I161" s="416"/>
    </row>
    <row r="162" spans="1:9" s="405" customFormat="1" ht="15" customHeight="1" x14ac:dyDescent="0.2">
      <c r="A162" s="407" t="s">
        <v>1873</v>
      </c>
      <c r="B162" s="407"/>
      <c r="C162" s="406"/>
      <c r="D162" s="75"/>
      <c r="E162" s="408"/>
      <c r="F162" s="409"/>
      <c r="G162" s="410"/>
      <c r="H162" s="74"/>
      <c r="I162" s="414"/>
    </row>
    <row r="163" spans="1:9" s="405" customFormat="1" ht="15" customHeight="1" x14ac:dyDescent="0.2">
      <c r="A163" s="43" t="s">
        <v>1541</v>
      </c>
      <c r="B163" s="49" t="s">
        <v>1884</v>
      </c>
      <c r="C163" s="49" t="str">
        <f>VLOOKUP($A163,TPU!$A$6:$D$4148,2,FALSE)</f>
        <v>Analista de desenvolvimento de sistemas pleno</v>
      </c>
      <c r="D163" s="43" t="str">
        <f>VLOOKUP($A163,TPU!$A$6:$D$4148,3,FALSE)</f>
        <v>mês</v>
      </c>
      <c r="E163" s="198">
        <f>VLOOKUP($A163,TPU!$A$6:$D$4148,4,FALSE)</f>
        <v>13022.410020451305</v>
      </c>
      <c r="F163" s="146">
        <v>8</v>
      </c>
      <c r="G163" s="73">
        <f>E163*F163</f>
        <v>104179.28016361044</v>
      </c>
      <c r="H163" s="43" t="s">
        <v>4997</v>
      </c>
      <c r="I163" s="49" t="s">
        <v>1874</v>
      </c>
    </row>
    <row r="164" spans="1:9" s="405" customFormat="1" ht="15" customHeight="1" x14ac:dyDescent="0.2">
      <c r="A164" s="43" t="s">
        <v>1614</v>
      </c>
      <c r="B164" s="49" t="s">
        <v>1884</v>
      </c>
      <c r="C164" s="49" t="str">
        <f>VLOOKUP($A164,TPU!$A$6:$D$4148,2,FALSE)</f>
        <v>Engenheiro de projetos pleno</v>
      </c>
      <c r="D164" s="43" t="str">
        <f>VLOOKUP($A164,TPU!$A$6:$D$4148,3,FALSE)</f>
        <v>mês</v>
      </c>
      <c r="E164" s="198">
        <f>VLOOKUP($A164,TPU!$A$6:$D$4148,4,FALSE)</f>
        <v>29231.169732812014</v>
      </c>
      <c r="F164" s="146">
        <v>8</v>
      </c>
      <c r="G164" s="73">
        <f>E164*F164</f>
        <v>233849.35786249611</v>
      </c>
      <c r="H164" s="43" t="s">
        <v>4997</v>
      </c>
      <c r="I164" s="49" t="s">
        <v>1874</v>
      </c>
    </row>
    <row r="165" spans="1:9" ht="15" customHeight="1" x14ac:dyDescent="0.2">
      <c r="A165" s="43" t="s">
        <v>1616</v>
      </c>
      <c r="B165" s="49" t="s">
        <v>1884</v>
      </c>
      <c r="C165" s="49" t="str">
        <f>VLOOKUP($A165,TPU!$A$6:$D$4148,2,FALSE)</f>
        <v>Engenheiro de projetos sênior</v>
      </c>
      <c r="D165" s="43" t="str">
        <f>VLOOKUP($A165,TPU!$A$6:$D$4148,3,FALSE)</f>
        <v>mês</v>
      </c>
      <c r="E165" s="198">
        <f>VLOOKUP($A165,TPU!$A$6:$D$4148,4,FALSE)</f>
        <v>38482.635478079748</v>
      </c>
      <c r="F165" s="146">
        <v>12</v>
      </c>
      <c r="G165" s="73">
        <f>E165*F165</f>
        <v>461791.62573695695</v>
      </c>
      <c r="H165" s="43" t="s">
        <v>4997</v>
      </c>
      <c r="I165" s="49" t="s">
        <v>1874</v>
      </c>
    </row>
    <row r="166" spans="1:9" s="424" customFormat="1" ht="15" customHeight="1" x14ac:dyDescent="0.2">
      <c r="A166" s="421" t="s">
        <v>1838</v>
      </c>
      <c r="B166" s="422" t="s">
        <v>1873</v>
      </c>
      <c r="C166" s="49" t="str">
        <f>VLOOKUP($A166,TPU!$A$6:$D$4148,2,FALSE)</f>
        <v>Comercial (2,60% do CMCC - SINAPI)</v>
      </c>
      <c r="D166" s="43" t="str">
        <f>VLOOKUP($A166,TPU!$A$6:$D$4148,3,FALSE)</f>
        <v>m² x mês</v>
      </c>
      <c r="E166" s="198">
        <f>VLOOKUP($A166,TPU!$A$6:$D$4148,4,FALSE)</f>
        <v>59.907303032725231</v>
      </c>
      <c r="F166" s="357">
        <f>((57.95/2)+4.5*(COUNTIF(A163:A165,"P8"&amp;"*")))*AVERAGEIF(A163:A165,"P8"&amp;"*",F163:F165)</f>
        <v>396.43333333333339</v>
      </c>
      <c r="G166" s="423">
        <f t="shared" ref="G166:G168" si="33">E166*F166</f>
        <v>23749.251832273378</v>
      </c>
      <c r="H166" s="43" t="s">
        <v>4997</v>
      </c>
      <c r="I166" s="218" t="s">
        <v>5054</v>
      </c>
    </row>
    <row r="167" spans="1:9" s="424" customFormat="1" ht="15" customHeight="1" x14ac:dyDescent="0.2">
      <c r="A167" s="215" t="s">
        <v>1840</v>
      </c>
      <c r="B167" s="76" t="s">
        <v>2666</v>
      </c>
      <c r="C167" s="49" t="str">
        <f>VLOOKUP($A167,TPU!$A$6:$D$4148,2,FALSE)</f>
        <v>Escritório</v>
      </c>
      <c r="D167" s="43" t="str">
        <f>VLOOKUP($A167,TPU!$A$6:$D$4148,3,FALSE)</f>
        <v>ocupante x mês</v>
      </c>
      <c r="E167" s="198">
        <f>VLOOKUP($A167,TPU!$A$6:$D$4148,4,FALSE)</f>
        <v>773.54195511772502</v>
      </c>
      <c r="F167" s="357">
        <f>COUNTIF(A163:A165,"P8"&amp;"*")*AVERAGEIF(A163:A165,"P8"&amp;"*",F163:F165)</f>
        <v>28</v>
      </c>
      <c r="G167" s="73">
        <f t="shared" si="33"/>
        <v>21659.174743296302</v>
      </c>
      <c r="H167" s="43" t="s">
        <v>4997</v>
      </c>
      <c r="I167" s="218" t="s">
        <v>5053</v>
      </c>
    </row>
    <row r="168" spans="1:9" s="424" customFormat="1" ht="15" customHeight="1" x14ac:dyDescent="0.2">
      <c r="A168" s="215" t="s">
        <v>1850</v>
      </c>
      <c r="B168" s="76" t="s">
        <v>1873</v>
      </c>
      <c r="C168" s="49" t="str">
        <f>VLOOKUP($A168,TPU!$A$6:$D$4148,2,FALSE)</f>
        <v>Escritório</v>
      </c>
      <c r="D168" s="43" t="str">
        <f>VLOOKUP($A168,TPU!$A$6:$D$4148,3,FALSE)</f>
        <v>ocupante x mês</v>
      </c>
      <c r="E168" s="198">
        <f>VLOOKUP($A168,TPU!$A$6:$D$4148,4,FALSE)</f>
        <v>187.91423642570163</v>
      </c>
      <c r="F168" s="357">
        <f>COUNTIF(A163:A165,"P8"&amp;"*")*AVERAGEIF(A163:A165,"P8"&amp;"*",F163:F165)</f>
        <v>28</v>
      </c>
      <c r="G168" s="73">
        <f t="shared" si="33"/>
        <v>5261.5986199196459</v>
      </c>
      <c r="H168" s="43" t="s">
        <v>4997</v>
      </c>
      <c r="I168" s="218" t="s">
        <v>5053</v>
      </c>
    </row>
    <row r="169" spans="1:9" ht="15" customHeight="1" x14ac:dyDescent="0.2">
      <c r="A169" s="43"/>
      <c r="B169" s="49"/>
      <c r="C169" s="197"/>
      <c r="D169" s="43"/>
      <c r="E169" s="77"/>
      <c r="F169" s="412"/>
      <c r="G169" s="77"/>
      <c r="H169" s="73"/>
      <c r="I169" s="77"/>
    </row>
    <row r="170" spans="1:9" s="405" customFormat="1" ht="15" customHeight="1" x14ac:dyDescent="0.2">
      <c r="A170" s="400" t="s">
        <v>1868</v>
      </c>
      <c r="B170" s="400"/>
      <c r="C170" s="401"/>
      <c r="D170" s="96"/>
      <c r="E170" s="402"/>
      <c r="F170" s="403"/>
      <c r="G170" s="404">
        <f>SUM(G172:G175)</f>
        <v>193188.13736025552</v>
      </c>
      <c r="H170" s="88"/>
      <c r="I170" s="416"/>
    </row>
    <row r="171" spans="1:9" s="405" customFormat="1" ht="15" customHeight="1" x14ac:dyDescent="0.2">
      <c r="A171" s="407" t="s">
        <v>1873</v>
      </c>
      <c r="B171" s="407"/>
      <c r="C171" s="406"/>
      <c r="D171" s="75"/>
      <c r="E171" s="408"/>
      <c r="F171" s="409"/>
      <c r="G171" s="410"/>
      <c r="H171" s="74"/>
      <c r="I171" s="414"/>
    </row>
    <row r="172" spans="1:9" ht="15" customHeight="1" x14ac:dyDescent="0.2">
      <c r="A172" s="43" t="s">
        <v>1614</v>
      </c>
      <c r="B172" s="49" t="s">
        <v>1884</v>
      </c>
      <c r="C172" s="49" t="str">
        <f>VLOOKUP($A172,TPU!$A$6:$D$4148,2,FALSE)</f>
        <v>Engenheiro de projetos pleno</v>
      </c>
      <c r="D172" s="43" t="str">
        <f>VLOOKUP($A172,TPU!$A$6:$D$4148,3,FALSE)</f>
        <v>mês</v>
      </c>
      <c r="E172" s="198">
        <f>VLOOKUP($A172,TPU!$A$6:$D$4148,4,FALSE)</f>
        <v>29231.169732812014</v>
      </c>
      <c r="F172" s="146">
        <v>6</v>
      </c>
      <c r="G172" s="73">
        <f>E172*F172</f>
        <v>175387.0183968721</v>
      </c>
      <c r="H172" s="43" t="s">
        <v>4997</v>
      </c>
      <c r="I172" s="49" t="s">
        <v>1874</v>
      </c>
    </row>
    <row r="173" spans="1:9" ht="15" customHeight="1" x14ac:dyDescent="0.2">
      <c r="A173" s="216" t="s">
        <v>1838</v>
      </c>
      <c r="B173" s="49" t="s">
        <v>1873</v>
      </c>
      <c r="C173" s="49" t="str">
        <f>VLOOKUP($A173,TPU!$A$6:$D$4148,2,FALSE)</f>
        <v>Comercial (2,60% do CMCC - SINAPI)</v>
      </c>
      <c r="D173" s="43" t="str">
        <f>VLOOKUP($A173,TPU!$A$6:$D$4148,3,FALSE)</f>
        <v>m² x mês</v>
      </c>
      <c r="E173" s="198">
        <f>VLOOKUP($A173,TPU!$A$6:$D$4148,4,FALSE)</f>
        <v>59.907303032725231</v>
      </c>
      <c r="F173" s="357">
        <f>((57.95/2)+4.5*(COUNTIF(A172:A172,"P8"&amp;"*")))*AVERAGEIF(A172:A172,"P8"&amp;"*",F172:F172)</f>
        <v>200.85000000000002</v>
      </c>
      <c r="G173" s="73">
        <f t="shared" ref="G173:G175" si="34">E173*F173</f>
        <v>12032.381814122864</v>
      </c>
      <c r="H173" s="43" t="s">
        <v>4997</v>
      </c>
      <c r="I173" s="218" t="s">
        <v>5054</v>
      </c>
    </row>
    <row r="174" spans="1:9" ht="15" customHeight="1" x14ac:dyDescent="0.2">
      <c r="A174" s="216" t="s">
        <v>1840</v>
      </c>
      <c r="B174" s="49" t="s">
        <v>2666</v>
      </c>
      <c r="C174" s="49" t="str">
        <f>VLOOKUP($A174,TPU!$A$6:$D$4148,2,FALSE)</f>
        <v>Escritório</v>
      </c>
      <c r="D174" s="43" t="str">
        <f>VLOOKUP($A174,TPU!$A$6:$D$4148,3,FALSE)</f>
        <v>ocupante x mês</v>
      </c>
      <c r="E174" s="198">
        <f>VLOOKUP($A174,TPU!$A$6:$D$4148,4,FALSE)</f>
        <v>773.54195511772502</v>
      </c>
      <c r="F174" s="357">
        <f>COUNTIF(A172:A172,"P8"&amp;"*")*AVERAGEIF(A172:A172,"P8"&amp;"*",F172:F172)</f>
        <v>6</v>
      </c>
      <c r="G174" s="73">
        <f t="shared" si="34"/>
        <v>4641.2517307063499</v>
      </c>
      <c r="H174" s="43" t="s">
        <v>4997</v>
      </c>
      <c r="I174" s="218" t="s">
        <v>5053</v>
      </c>
    </row>
    <row r="175" spans="1:9" ht="15" customHeight="1" x14ac:dyDescent="0.2">
      <c r="A175" s="216" t="s">
        <v>1850</v>
      </c>
      <c r="B175" s="49" t="s">
        <v>1873</v>
      </c>
      <c r="C175" s="49" t="str">
        <f>VLOOKUP($A175,TPU!$A$6:$D$4148,2,FALSE)</f>
        <v>Escritório</v>
      </c>
      <c r="D175" s="43" t="str">
        <f>VLOOKUP($A175,TPU!$A$6:$D$4148,3,FALSE)</f>
        <v>ocupante x mês</v>
      </c>
      <c r="E175" s="198">
        <f>VLOOKUP($A175,TPU!$A$6:$D$4148,4,FALSE)</f>
        <v>187.91423642570163</v>
      </c>
      <c r="F175" s="357">
        <f>COUNTIF(A172:A172,"P8"&amp;"*")*AVERAGEIF(A172:A172,"P8"&amp;"*",F172:F172)</f>
        <v>6</v>
      </c>
      <c r="G175" s="73">
        <f t="shared" si="34"/>
        <v>1127.4854185542099</v>
      </c>
      <c r="H175" s="43" t="s">
        <v>4997</v>
      </c>
      <c r="I175" s="218" t="s">
        <v>5053</v>
      </c>
    </row>
    <row r="176" spans="1:9" ht="15" customHeight="1" x14ac:dyDescent="0.2">
      <c r="A176" s="43"/>
      <c r="B176" s="49"/>
      <c r="C176" s="197"/>
      <c r="D176" s="43"/>
      <c r="E176" s="77"/>
      <c r="F176" s="412"/>
      <c r="G176" s="77"/>
      <c r="H176" s="73"/>
      <c r="I176" s="77"/>
    </row>
    <row r="177" spans="1:9" ht="15" customHeight="1" x14ac:dyDescent="0.2">
      <c r="A177" s="400" t="s">
        <v>1893</v>
      </c>
      <c r="B177" s="400"/>
      <c r="C177" s="401"/>
      <c r="D177" s="96"/>
      <c r="E177" s="402"/>
      <c r="F177" s="403"/>
      <c r="G177" s="404">
        <f>SUM(G179:G185)</f>
        <v>859007.1163601866</v>
      </c>
      <c r="H177" s="88"/>
      <c r="I177" s="416"/>
    </row>
    <row r="178" spans="1:9" ht="15" customHeight="1" x14ac:dyDescent="0.2">
      <c r="A178" s="407" t="s">
        <v>1873</v>
      </c>
      <c r="B178" s="407"/>
      <c r="C178" s="406"/>
      <c r="D178" s="75"/>
      <c r="E178" s="408"/>
      <c r="F178" s="409"/>
      <c r="G178" s="410"/>
      <c r="H178" s="74"/>
      <c r="I178" s="414"/>
    </row>
    <row r="179" spans="1:9" ht="15" customHeight="1" x14ac:dyDescent="0.2">
      <c r="A179" s="43" t="s">
        <v>1541</v>
      </c>
      <c r="B179" s="49" t="s">
        <v>1884</v>
      </c>
      <c r="C179" s="49" t="str">
        <f>VLOOKUP($A179,TPU!$A$6:$D$4148,2,FALSE)</f>
        <v>Analista de desenvolvimento de sistemas pleno</v>
      </c>
      <c r="D179" s="43" t="str">
        <f>VLOOKUP($A179,TPU!$A$6:$D$4148,3,FALSE)</f>
        <v>mês</v>
      </c>
      <c r="E179" s="198">
        <f>VLOOKUP($A179,TPU!$A$6:$D$4148,4,FALSE)</f>
        <v>13022.410020451305</v>
      </c>
      <c r="F179" s="146">
        <v>8</v>
      </c>
      <c r="G179" s="73">
        <f>E179*F179</f>
        <v>104179.28016361044</v>
      </c>
      <c r="H179" s="43" t="s">
        <v>4997</v>
      </c>
      <c r="I179" s="49" t="s">
        <v>1879</v>
      </c>
    </row>
    <row r="180" spans="1:9" ht="15" customHeight="1" x14ac:dyDescent="0.2">
      <c r="A180" s="43" t="s">
        <v>1614</v>
      </c>
      <c r="B180" s="49" t="s">
        <v>1884</v>
      </c>
      <c r="C180" s="49" t="str">
        <f>VLOOKUP($A180,TPU!$A$6:$D$4148,2,FALSE)</f>
        <v>Engenheiro de projetos pleno</v>
      </c>
      <c r="D180" s="43" t="str">
        <f>VLOOKUP($A180,TPU!$A$6:$D$4148,3,FALSE)</f>
        <v>mês</v>
      </c>
      <c r="E180" s="198">
        <f>VLOOKUP($A180,TPU!$A$6:$D$4148,4,FALSE)</f>
        <v>29231.169732812014</v>
      </c>
      <c r="F180" s="146">
        <v>8</v>
      </c>
      <c r="G180" s="73">
        <f>E180*F180</f>
        <v>233849.35786249611</v>
      </c>
      <c r="H180" s="43" t="s">
        <v>4997</v>
      </c>
      <c r="I180" s="49" t="s">
        <v>1874</v>
      </c>
    </row>
    <row r="181" spans="1:9" ht="15" customHeight="1" x14ac:dyDescent="0.2">
      <c r="A181" s="43" t="s">
        <v>1614</v>
      </c>
      <c r="B181" s="49" t="s">
        <v>1884</v>
      </c>
      <c r="C181" s="49" t="str">
        <f>VLOOKUP($A181,TPU!$A$6:$D$4148,2,FALSE)</f>
        <v>Engenheiro de projetos pleno</v>
      </c>
      <c r="D181" s="43" t="str">
        <f>VLOOKUP($A181,TPU!$A$6:$D$4148,3,FALSE)</f>
        <v>mês</v>
      </c>
      <c r="E181" s="198">
        <f>VLOOKUP($A181,TPU!$A$6:$D$4148,4,FALSE)</f>
        <v>29231.169732812014</v>
      </c>
      <c r="F181" s="146">
        <v>8</v>
      </c>
      <c r="G181" s="73">
        <f>E181*F181</f>
        <v>233849.35786249611</v>
      </c>
      <c r="H181" s="43" t="s">
        <v>4997</v>
      </c>
      <c r="I181" s="49" t="s">
        <v>1874</v>
      </c>
    </row>
    <row r="182" spans="1:9" ht="15" customHeight="1" x14ac:dyDescent="0.2">
      <c r="A182" s="43" t="s">
        <v>1614</v>
      </c>
      <c r="B182" s="49" t="s">
        <v>1884</v>
      </c>
      <c r="C182" s="49" t="str">
        <f>VLOOKUP($A182,TPU!$A$6:$D$4148,2,FALSE)</f>
        <v>Engenheiro de projetos pleno</v>
      </c>
      <c r="D182" s="43" t="str">
        <f>VLOOKUP($A182,TPU!$A$6:$D$4148,3,FALSE)</f>
        <v>mês</v>
      </c>
      <c r="E182" s="198">
        <f>VLOOKUP($A182,TPU!$A$6:$D$4148,4,FALSE)</f>
        <v>29231.169732812014</v>
      </c>
      <c r="F182" s="146">
        <v>8</v>
      </c>
      <c r="G182" s="73">
        <f>E182*F182</f>
        <v>233849.35786249611</v>
      </c>
      <c r="H182" s="43" t="s">
        <v>4997</v>
      </c>
      <c r="I182" s="49" t="s">
        <v>1874</v>
      </c>
    </row>
    <row r="183" spans="1:9" ht="15" customHeight="1" x14ac:dyDescent="0.2">
      <c r="A183" s="216" t="s">
        <v>1838</v>
      </c>
      <c r="B183" s="49" t="s">
        <v>1873</v>
      </c>
      <c r="C183" s="49" t="str">
        <f>VLOOKUP($A183,TPU!$A$6:$D$4148,2,FALSE)</f>
        <v>Comercial (2,60% do CMCC - SINAPI)</v>
      </c>
      <c r="D183" s="43" t="str">
        <f>VLOOKUP($A183,TPU!$A$6:$D$4148,3,FALSE)</f>
        <v>m² x mês</v>
      </c>
      <c r="E183" s="198">
        <f>VLOOKUP($A183,TPU!$A$6:$D$4148,4,FALSE)</f>
        <v>59.907303032725231</v>
      </c>
      <c r="F183" s="357">
        <f>((57.95/2)+4.5*(COUNTIF(A179:A182,"P8"&amp;"*")))*AVERAGEIF(A179:A182,"P8"&amp;"*",F179:F182)</f>
        <v>375.8</v>
      </c>
      <c r="G183" s="73">
        <f t="shared" ref="G183:G185" si="35">E183*F183</f>
        <v>22513.164479698142</v>
      </c>
      <c r="H183" s="43" t="s">
        <v>4997</v>
      </c>
      <c r="I183" s="218" t="s">
        <v>5054</v>
      </c>
    </row>
    <row r="184" spans="1:9" ht="15" customHeight="1" x14ac:dyDescent="0.2">
      <c r="A184" s="421" t="s">
        <v>1840</v>
      </c>
      <c r="B184" s="422" t="s">
        <v>2666</v>
      </c>
      <c r="C184" s="49" t="str">
        <f>VLOOKUP($A184,TPU!$A$6:$D$4148,2,FALSE)</f>
        <v>Escritório</v>
      </c>
      <c r="D184" s="43" t="str">
        <f>VLOOKUP($A184,TPU!$A$6:$D$4148,3,FALSE)</f>
        <v>ocupante x mês</v>
      </c>
      <c r="E184" s="198">
        <f>VLOOKUP($A184,TPU!$A$6:$D$4148,4,FALSE)</f>
        <v>773.54195511772502</v>
      </c>
      <c r="F184" s="357">
        <f>COUNTIF(A179:A182,"P8"&amp;"*")*AVERAGEIF(A179:A182,"P8"&amp;"*",F179:F182)</f>
        <v>32</v>
      </c>
      <c r="G184" s="423">
        <f t="shared" si="35"/>
        <v>24753.342563767201</v>
      </c>
      <c r="H184" s="43" t="s">
        <v>4997</v>
      </c>
      <c r="I184" s="218" t="s">
        <v>5053</v>
      </c>
    </row>
    <row r="185" spans="1:9" ht="15" customHeight="1" x14ac:dyDescent="0.2">
      <c r="A185" s="421" t="s">
        <v>1850</v>
      </c>
      <c r="B185" s="422" t="s">
        <v>1873</v>
      </c>
      <c r="C185" s="49" t="str">
        <f>VLOOKUP($A185,TPU!$A$6:$D$4148,2,FALSE)</f>
        <v>Escritório</v>
      </c>
      <c r="D185" s="43" t="str">
        <f>VLOOKUP($A185,TPU!$A$6:$D$4148,3,FALSE)</f>
        <v>ocupante x mês</v>
      </c>
      <c r="E185" s="198">
        <f>VLOOKUP($A185,TPU!$A$6:$D$4148,4,FALSE)</f>
        <v>187.91423642570163</v>
      </c>
      <c r="F185" s="357">
        <f>COUNTIF(A179:A182,"P8"&amp;"*")*AVERAGEIF(A179:A182,"P8"&amp;"*",F179:F182)</f>
        <v>32</v>
      </c>
      <c r="G185" s="423">
        <f t="shared" si="35"/>
        <v>6013.2555656224522</v>
      </c>
      <c r="H185" s="43" t="s">
        <v>4997</v>
      </c>
      <c r="I185" s="218" t="s">
        <v>5053</v>
      </c>
    </row>
    <row r="186" spans="1:9" ht="15" customHeight="1" x14ac:dyDescent="0.2">
      <c r="A186" s="43"/>
      <c r="B186" s="49"/>
      <c r="C186" s="197"/>
      <c r="D186" s="43"/>
      <c r="E186" s="77"/>
      <c r="F186" s="412"/>
      <c r="G186" s="77"/>
      <c r="H186" s="73"/>
      <c r="I186" s="77"/>
    </row>
    <row r="187" spans="1:9" s="405" customFormat="1" ht="15" customHeight="1" x14ac:dyDescent="0.2">
      <c r="A187" s="400" t="s">
        <v>1894</v>
      </c>
      <c r="B187" s="400"/>
      <c r="C187" s="401"/>
      <c r="D187" s="96"/>
      <c r="E187" s="402"/>
      <c r="F187" s="403"/>
      <c r="G187" s="404">
        <f>SUM(G189:G195)</f>
        <v>973259.38172337937</v>
      </c>
      <c r="H187" s="88"/>
      <c r="I187" s="416"/>
    </row>
    <row r="188" spans="1:9" s="405" customFormat="1" ht="15" customHeight="1" x14ac:dyDescent="0.2">
      <c r="A188" s="407" t="s">
        <v>1873</v>
      </c>
      <c r="B188" s="407"/>
      <c r="C188" s="406"/>
      <c r="D188" s="75"/>
      <c r="E188" s="408"/>
      <c r="F188" s="409"/>
      <c r="G188" s="410"/>
      <c r="H188" s="74"/>
      <c r="I188" s="414"/>
    </row>
    <row r="189" spans="1:9" ht="15" customHeight="1" x14ac:dyDescent="0.2">
      <c r="A189" s="43" t="s">
        <v>1585</v>
      </c>
      <c r="B189" s="49" t="s">
        <v>1884</v>
      </c>
      <c r="C189" s="49" t="str">
        <f>VLOOKUP($A189,TPU!$A$6:$D$4148,2,FALSE)</f>
        <v>Economista sênior</v>
      </c>
      <c r="D189" s="43" t="str">
        <f>VLOOKUP($A189,TPU!$A$6:$D$4148,3,FALSE)</f>
        <v>mês</v>
      </c>
      <c r="E189" s="198">
        <f>VLOOKUP($A189,TPU!$A$6:$D$4148,4,FALSE)</f>
        <v>33829.01522476523</v>
      </c>
      <c r="F189" s="146">
        <v>12</v>
      </c>
      <c r="G189" s="73">
        <f>E189*F189</f>
        <v>405948.18269718275</v>
      </c>
      <c r="H189" s="43" t="s">
        <v>4997</v>
      </c>
      <c r="I189" s="49" t="s">
        <v>1874</v>
      </c>
    </row>
    <row r="190" spans="1:9" ht="15" customHeight="1" x14ac:dyDescent="0.2">
      <c r="A190" s="43" t="s">
        <v>1581</v>
      </c>
      <c r="B190" s="49" t="s">
        <v>1884</v>
      </c>
      <c r="C190" s="49" t="str">
        <f>VLOOKUP($A190,TPU!$A$6:$D$4148,2,FALSE)</f>
        <v>Economista júnior</v>
      </c>
      <c r="D190" s="43" t="str">
        <f>VLOOKUP($A190,TPU!$A$6:$D$4148,3,FALSE)</f>
        <v>mês</v>
      </c>
      <c r="E190" s="198">
        <f>VLOOKUP($A190,TPU!$A$6:$D$4148,4,FALSE)</f>
        <v>13824.152207115645</v>
      </c>
      <c r="F190" s="146">
        <v>8</v>
      </c>
      <c r="G190" s="73">
        <f>E190*F190</f>
        <v>110593.21765692516</v>
      </c>
      <c r="H190" s="43" t="s">
        <v>4997</v>
      </c>
      <c r="I190" s="49" t="s">
        <v>1874</v>
      </c>
    </row>
    <row r="191" spans="1:9" ht="15" customHeight="1" x14ac:dyDescent="0.2">
      <c r="A191" s="43" t="s">
        <v>1614</v>
      </c>
      <c r="B191" s="49" t="s">
        <v>1884</v>
      </c>
      <c r="C191" s="49" t="str">
        <f>VLOOKUP($A191,TPU!$A$6:$D$4148,2,FALSE)</f>
        <v>Engenheiro de projetos pleno</v>
      </c>
      <c r="D191" s="43" t="str">
        <f>VLOOKUP($A191,TPU!$A$6:$D$4148,3,FALSE)</f>
        <v>mês</v>
      </c>
      <c r="E191" s="198">
        <f>VLOOKUP($A191,TPU!$A$6:$D$4148,4,FALSE)</f>
        <v>29231.169732812014</v>
      </c>
      <c r="F191" s="146">
        <v>8</v>
      </c>
      <c r="G191" s="73">
        <f>E191*F191</f>
        <v>233849.35786249611</v>
      </c>
      <c r="H191" s="43" t="s">
        <v>5009</v>
      </c>
      <c r="I191" s="49" t="s">
        <v>1874</v>
      </c>
    </row>
    <row r="192" spans="1:9" ht="15" customHeight="1" x14ac:dyDescent="0.2">
      <c r="A192" s="43" t="s">
        <v>1541</v>
      </c>
      <c r="B192" s="49" t="s">
        <v>1884</v>
      </c>
      <c r="C192" s="49" t="str">
        <f>VLOOKUP($A192,TPU!$A$6:$D$4148,2,FALSE)</f>
        <v>Analista de desenvolvimento de sistemas pleno</v>
      </c>
      <c r="D192" s="43" t="str">
        <f>VLOOKUP($A192,TPU!$A$6:$D$4148,3,FALSE)</f>
        <v>mês</v>
      </c>
      <c r="E192" s="198">
        <f>VLOOKUP($A192,TPU!$A$6:$D$4148,4,FALSE)</f>
        <v>13022.410020451305</v>
      </c>
      <c r="F192" s="146">
        <v>12</v>
      </c>
      <c r="G192" s="73">
        <f>E192*F192</f>
        <v>156268.92024541565</v>
      </c>
      <c r="H192" s="43" t="s">
        <v>4997</v>
      </c>
      <c r="I192" s="49" t="s">
        <v>1874</v>
      </c>
    </row>
    <row r="193" spans="1:9" ht="15" customHeight="1" x14ac:dyDescent="0.2">
      <c r="A193" s="216" t="s">
        <v>1838</v>
      </c>
      <c r="B193" s="218" t="s">
        <v>1873</v>
      </c>
      <c r="C193" s="49" t="str">
        <f>VLOOKUP($A193,TPU!$A$6:$D$4148,2,FALSE)</f>
        <v>Comercial (2,60% do CMCC - SINAPI)</v>
      </c>
      <c r="D193" s="43" t="str">
        <f>VLOOKUP($A193,TPU!$A$6:$D$4148,3,FALSE)</f>
        <v>m² x mês</v>
      </c>
      <c r="E193" s="198">
        <f>VLOOKUP($A193,TPU!$A$6:$D$4148,4,FALSE)</f>
        <v>59.907303032725231</v>
      </c>
      <c r="F193" s="357">
        <f>((57.95/2)+4.5*(COUNTIF(A189:A192,"P8"&amp;"*")))*AVERAGEIF(A189:A192,"P8"&amp;"*",F189:F192)</f>
        <v>469.75</v>
      </c>
      <c r="G193" s="73">
        <f t="shared" ref="G193:G195" si="36">E193*F193</f>
        <v>28141.455599622677</v>
      </c>
      <c r="H193" s="43" t="s">
        <v>4997</v>
      </c>
      <c r="I193" s="218" t="s">
        <v>5054</v>
      </c>
    </row>
    <row r="194" spans="1:9" ht="15" customHeight="1" x14ac:dyDescent="0.2">
      <c r="A194" s="216" t="s">
        <v>1840</v>
      </c>
      <c r="B194" s="218" t="s">
        <v>2666</v>
      </c>
      <c r="C194" s="49" t="str">
        <f>VLOOKUP($A194,TPU!$A$6:$D$4148,2,FALSE)</f>
        <v>Escritório</v>
      </c>
      <c r="D194" s="43" t="str">
        <f>VLOOKUP($A194,TPU!$A$6:$D$4148,3,FALSE)</f>
        <v>ocupante x mês</v>
      </c>
      <c r="E194" s="198">
        <f>VLOOKUP($A194,TPU!$A$6:$D$4148,4,FALSE)</f>
        <v>773.54195511772502</v>
      </c>
      <c r="F194" s="357">
        <f>COUNTIF(A189:A192,"P8"&amp;"*")*AVERAGEIF(A189:A192,"P8"&amp;"*",F189:F192)</f>
        <v>40</v>
      </c>
      <c r="G194" s="73">
        <f t="shared" si="36"/>
        <v>30941.678204709002</v>
      </c>
      <c r="H194" s="43" t="s">
        <v>4997</v>
      </c>
      <c r="I194" s="218" t="s">
        <v>5053</v>
      </c>
    </row>
    <row r="195" spans="1:9" ht="15" customHeight="1" x14ac:dyDescent="0.2">
      <c r="A195" s="216" t="s">
        <v>1850</v>
      </c>
      <c r="B195" s="218" t="s">
        <v>1873</v>
      </c>
      <c r="C195" s="49" t="str">
        <f>VLOOKUP($A195,TPU!$A$6:$D$4148,2,FALSE)</f>
        <v>Escritório</v>
      </c>
      <c r="D195" s="43" t="str">
        <f>VLOOKUP($A195,TPU!$A$6:$D$4148,3,FALSE)</f>
        <v>ocupante x mês</v>
      </c>
      <c r="E195" s="198">
        <f>VLOOKUP($A195,TPU!$A$6:$D$4148,4,FALSE)</f>
        <v>187.91423642570163</v>
      </c>
      <c r="F195" s="357">
        <f>COUNTIF(A189:A192,"P8"&amp;"*")*AVERAGEIF(A189:A192,"P8"&amp;"*",F189:F192)</f>
        <v>40</v>
      </c>
      <c r="G195" s="73">
        <f t="shared" si="36"/>
        <v>7516.5694570280648</v>
      </c>
      <c r="H195" s="43" t="s">
        <v>4997</v>
      </c>
      <c r="I195" s="218" t="s">
        <v>5053</v>
      </c>
    </row>
    <row r="196" spans="1:9" ht="15" customHeight="1" x14ac:dyDescent="0.2">
      <c r="A196" s="43"/>
      <c r="B196" s="49"/>
      <c r="C196" s="197"/>
      <c r="D196" s="43"/>
      <c r="E196" s="78"/>
      <c r="F196" s="412"/>
      <c r="G196" s="77"/>
      <c r="H196" s="73"/>
      <c r="I196" s="77"/>
    </row>
    <row r="197" spans="1:9" s="405" customFormat="1" ht="15" customHeight="1" x14ac:dyDescent="0.2">
      <c r="A197" s="400" t="s">
        <v>1895</v>
      </c>
      <c r="B197" s="400"/>
      <c r="C197" s="401"/>
      <c r="D197" s="96"/>
      <c r="E197" s="402"/>
      <c r="F197" s="403"/>
      <c r="G197" s="404">
        <f>SUM(G199:G206)</f>
        <v>742120.48434924684</v>
      </c>
      <c r="H197" s="88"/>
      <c r="I197" s="416"/>
    </row>
    <row r="198" spans="1:9" s="405" customFormat="1" ht="15" customHeight="1" x14ac:dyDescent="0.2">
      <c r="A198" s="407" t="s">
        <v>1873</v>
      </c>
      <c r="B198" s="407"/>
      <c r="C198" s="406"/>
      <c r="D198" s="75"/>
      <c r="E198" s="408"/>
      <c r="F198" s="409"/>
      <c r="G198" s="410"/>
      <c r="H198" s="74"/>
      <c r="I198" s="414"/>
    </row>
    <row r="199" spans="1:9" ht="15" customHeight="1" x14ac:dyDescent="0.2">
      <c r="A199" s="43" t="s">
        <v>1537</v>
      </c>
      <c r="B199" s="49" t="s">
        <v>1884</v>
      </c>
      <c r="C199" s="49" t="str">
        <f>VLOOKUP($A199,TPU!$A$6:$D$4148,2,FALSE)</f>
        <v>Advogado sênior</v>
      </c>
      <c r="D199" s="43" t="str">
        <f>VLOOKUP($A199,TPU!$A$6:$D$4148,3,FALSE)</f>
        <v>mês</v>
      </c>
      <c r="E199" s="198">
        <f>VLOOKUP($A199,TPU!$A$6:$D$4148,4,FALSE)</f>
        <v>26681.85716003539</v>
      </c>
      <c r="F199" s="146">
        <v>10</v>
      </c>
      <c r="G199" s="73">
        <f t="shared" ref="G199:G206" si="37">E199*F199</f>
        <v>266818.57160035393</v>
      </c>
      <c r="H199" s="43" t="s">
        <v>4997</v>
      </c>
      <c r="I199" s="49" t="s">
        <v>1874</v>
      </c>
    </row>
    <row r="200" spans="1:9" ht="15" customHeight="1" x14ac:dyDescent="0.2">
      <c r="A200" s="43" t="s">
        <v>1537</v>
      </c>
      <c r="B200" s="49" t="s">
        <v>1884</v>
      </c>
      <c r="C200" s="49" t="str">
        <f>VLOOKUP($A200,TPU!$A$6:$D$4148,2,FALSE)</f>
        <v>Advogado sênior</v>
      </c>
      <c r="D200" s="43" t="str">
        <f>VLOOKUP($A200,TPU!$A$6:$D$4148,3,FALSE)</f>
        <v>mês</v>
      </c>
      <c r="E200" s="198">
        <f>VLOOKUP($A200,TPU!$A$6:$D$4148,4,FALSE)</f>
        <v>26681.85716003539</v>
      </c>
      <c r="F200" s="146">
        <v>8</v>
      </c>
      <c r="G200" s="73">
        <f t="shared" si="37"/>
        <v>213454.85728028312</v>
      </c>
      <c r="H200" s="43" t="s">
        <v>4997</v>
      </c>
      <c r="I200" s="49" t="s">
        <v>1874</v>
      </c>
    </row>
    <row r="201" spans="1:9" ht="15" customHeight="1" x14ac:dyDescent="0.2">
      <c r="A201" s="43" t="s">
        <v>1533</v>
      </c>
      <c r="B201" s="49" t="s">
        <v>1884</v>
      </c>
      <c r="C201" s="49" t="str">
        <f>VLOOKUP($A201,TPU!$A$6:$D$4148,2,FALSE)</f>
        <v>Advogado júnior</v>
      </c>
      <c r="D201" s="43" t="str">
        <f>VLOOKUP($A201,TPU!$A$6:$D$4148,3,FALSE)</f>
        <v>mês</v>
      </c>
      <c r="E201" s="198">
        <f>VLOOKUP($A201,TPU!$A$6:$D$4148,4,FALSE)</f>
        <v>12423.831731028378</v>
      </c>
      <c r="F201" s="146">
        <v>8</v>
      </c>
      <c r="G201" s="73">
        <f t="shared" si="37"/>
        <v>99390.653848227026</v>
      </c>
      <c r="H201" s="43" t="s">
        <v>4997</v>
      </c>
      <c r="I201" s="49" t="s">
        <v>1874</v>
      </c>
    </row>
    <row r="202" spans="1:9" ht="15" customHeight="1" x14ac:dyDescent="0.2">
      <c r="A202" s="43" t="s">
        <v>1533</v>
      </c>
      <c r="B202" s="49" t="s">
        <v>1884</v>
      </c>
      <c r="C202" s="49" t="str">
        <f>VLOOKUP($A202,TPU!$A$6:$D$4148,2,FALSE)</f>
        <v>Advogado júnior</v>
      </c>
      <c r="D202" s="43" t="str">
        <f>VLOOKUP($A202,TPU!$A$6:$D$4148,3,FALSE)</f>
        <v>mês</v>
      </c>
      <c r="E202" s="198">
        <f>VLOOKUP($A202,TPU!$A$6:$D$4148,4,FALSE)</f>
        <v>12423.831731028378</v>
      </c>
      <c r="F202" s="146">
        <v>8</v>
      </c>
      <c r="G202" s="73">
        <f t="shared" si="37"/>
        <v>99390.653848227026</v>
      </c>
      <c r="H202" s="43" t="s">
        <v>4997</v>
      </c>
      <c r="I202" s="49" t="s">
        <v>1874</v>
      </c>
    </row>
    <row r="203" spans="1:9" ht="15" customHeight="1" x14ac:dyDescent="0.2">
      <c r="A203" s="216" t="s">
        <v>10</v>
      </c>
      <c r="B203" s="49" t="s">
        <v>1884</v>
      </c>
      <c r="C203" s="197" t="s">
        <v>232</v>
      </c>
      <c r="D203" s="43" t="s">
        <v>13</v>
      </c>
      <c r="E203" s="78">
        <v>161.4</v>
      </c>
      <c r="F203" s="146">
        <v>40</v>
      </c>
      <c r="G203" s="77">
        <f t="shared" si="37"/>
        <v>6456</v>
      </c>
      <c r="H203" s="107" t="s">
        <v>233</v>
      </c>
      <c r="I203" s="49"/>
    </row>
    <row r="204" spans="1:9" ht="15" customHeight="1" x14ac:dyDescent="0.2">
      <c r="A204" s="216" t="s">
        <v>1838</v>
      </c>
      <c r="B204" s="49" t="s">
        <v>1873</v>
      </c>
      <c r="C204" s="49" t="str">
        <f>VLOOKUP($A204,TPU!$A$6:$D$4148,2,FALSE)</f>
        <v>Comercial (2,60% do CMCC - SINAPI)</v>
      </c>
      <c r="D204" s="43" t="str">
        <f>VLOOKUP($A204,TPU!$A$6:$D$4148,3,FALSE)</f>
        <v>m² x mês</v>
      </c>
      <c r="E204" s="198">
        <f>VLOOKUP($A204,TPU!$A$6:$D$4148,4,FALSE)</f>
        <v>59.907303032725231</v>
      </c>
      <c r="F204" s="357">
        <f>((57.95/2)+4.5*(COUNTIF(A199:A203,"P8"&amp;"*")))*AVERAGEIF(A199:A203,"P8"&amp;"*",F199:F203)</f>
        <v>399.28750000000002</v>
      </c>
      <c r="G204" s="77">
        <f t="shared" si="37"/>
        <v>23920.237259679277</v>
      </c>
      <c r="H204" s="43" t="s">
        <v>4997</v>
      </c>
      <c r="I204" s="218" t="s">
        <v>5054</v>
      </c>
    </row>
    <row r="205" spans="1:9" ht="15" customHeight="1" x14ac:dyDescent="0.2">
      <c r="A205" s="216" t="s">
        <v>1840</v>
      </c>
      <c r="B205" s="49" t="s">
        <v>2666</v>
      </c>
      <c r="C205" s="49" t="str">
        <f>VLOOKUP($A205,TPU!$A$6:$D$4148,2,FALSE)</f>
        <v>Escritório</v>
      </c>
      <c r="D205" s="43" t="str">
        <f>VLOOKUP($A205,TPU!$A$6:$D$4148,3,FALSE)</f>
        <v>ocupante x mês</v>
      </c>
      <c r="E205" s="198">
        <f>VLOOKUP($A205,TPU!$A$6:$D$4148,4,FALSE)</f>
        <v>773.54195511772502</v>
      </c>
      <c r="F205" s="357">
        <f>COUNTIF(A199:A203,"P8"&amp;"*")*AVERAGEIF(A199:A203,"P8"&amp;"*",F199:F203)</f>
        <v>34</v>
      </c>
      <c r="G205" s="77">
        <f t="shared" si="37"/>
        <v>26300.426474002652</v>
      </c>
      <c r="H205" s="43" t="s">
        <v>4997</v>
      </c>
      <c r="I205" s="218" t="s">
        <v>5053</v>
      </c>
    </row>
    <row r="206" spans="1:9" ht="15" customHeight="1" x14ac:dyDescent="0.2">
      <c r="A206" s="216" t="s">
        <v>1850</v>
      </c>
      <c r="B206" s="49" t="s">
        <v>1873</v>
      </c>
      <c r="C206" s="49" t="str">
        <f>VLOOKUP($A206,TPU!$A$6:$D$4148,2,FALSE)</f>
        <v>Escritório</v>
      </c>
      <c r="D206" s="43" t="str">
        <f>VLOOKUP($A206,TPU!$A$6:$D$4148,3,FALSE)</f>
        <v>ocupante x mês</v>
      </c>
      <c r="E206" s="198">
        <f>VLOOKUP($A206,TPU!$A$6:$D$4148,4,FALSE)</f>
        <v>187.91423642570163</v>
      </c>
      <c r="F206" s="357">
        <f>COUNTIF(A199:A203,"P8"&amp;"*")*AVERAGEIF(A199:A203,"P8"&amp;"*",F199:F203)</f>
        <v>34</v>
      </c>
      <c r="G206" s="77">
        <f t="shared" si="37"/>
        <v>6389.0840384738558</v>
      </c>
      <c r="H206" s="43" t="s">
        <v>4997</v>
      </c>
      <c r="I206" s="218" t="s">
        <v>5053</v>
      </c>
    </row>
    <row r="207" spans="1:9" ht="15" customHeight="1" x14ac:dyDescent="0.2">
      <c r="A207" s="43"/>
      <c r="B207" s="49"/>
      <c r="C207" s="197"/>
      <c r="D207" s="43"/>
      <c r="E207" s="77"/>
      <c r="F207" s="412"/>
      <c r="G207" s="77"/>
      <c r="H207" s="73"/>
      <c r="I207" s="77"/>
    </row>
    <row r="208" spans="1:9" ht="15" customHeight="1" x14ac:dyDescent="0.2">
      <c r="A208" s="400" t="s">
        <v>2662</v>
      </c>
      <c r="B208" s="400"/>
      <c r="C208" s="401"/>
      <c r="D208" s="96"/>
      <c r="E208" s="402"/>
      <c r="F208" s="403"/>
      <c r="G208" s="404">
        <f>SUM(G210:G214)</f>
        <v>912605.18780962634</v>
      </c>
      <c r="H208" s="88"/>
      <c r="I208" s="416"/>
    </row>
    <row r="209" spans="1:9" ht="15" customHeight="1" x14ac:dyDescent="0.2">
      <c r="A209" s="407" t="s">
        <v>1873</v>
      </c>
      <c r="B209" s="407"/>
      <c r="C209" s="406"/>
      <c r="D209" s="75"/>
      <c r="E209" s="408"/>
      <c r="F209" s="409"/>
      <c r="G209" s="410"/>
      <c r="H209" s="74"/>
      <c r="I209" s="414"/>
    </row>
    <row r="210" spans="1:9" ht="15" customHeight="1" x14ac:dyDescent="0.2">
      <c r="A210" s="43" t="s">
        <v>1604</v>
      </c>
      <c r="B210" s="49" t="s">
        <v>1884</v>
      </c>
      <c r="C210" s="49" t="str">
        <f>VLOOKUP($A210,TPU!$A$6:$D$4148,2,FALSE)</f>
        <v>Engenheiro coordenador</v>
      </c>
      <c r="D210" s="43" t="str">
        <f>VLOOKUP($A210,TPU!$A$6:$D$4148,3,FALSE)</f>
        <v>mês</v>
      </c>
      <c r="E210" s="198">
        <f>VLOOKUP($A210,TPU!$A$6:$D$4148,4,FALSE)</f>
        <v>46209.353409822077</v>
      </c>
      <c r="F210" s="420">
        <f>30/2</f>
        <v>15</v>
      </c>
      <c r="G210" s="73">
        <f>E210*F210</f>
        <v>693140.30114733113</v>
      </c>
      <c r="H210" s="43" t="s">
        <v>4997</v>
      </c>
      <c r="I210" s="49" t="s">
        <v>1874</v>
      </c>
    </row>
    <row r="211" spans="1:9" ht="15" customHeight="1" x14ac:dyDescent="0.2">
      <c r="A211" s="43" t="s">
        <v>1614</v>
      </c>
      <c r="B211" s="49" t="s">
        <v>1884</v>
      </c>
      <c r="C211" s="49" t="str">
        <f>VLOOKUP($A211,TPU!$A$6:$D$4148,2,FALSE)</f>
        <v>Engenheiro de projetos pleno</v>
      </c>
      <c r="D211" s="43" t="str">
        <f>VLOOKUP($A211,TPU!$A$6:$D$4148,3,FALSE)</f>
        <v>mês</v>
      </c>
      <c r="E211" s="198">
        <f>VLOOKUP($A211,TPU!$A$6:$D$4148,4,FALSE)</f>
        <v>29231.169732812014</v>
      </c>
      <c r="F211" s="146">
        <v>6</v>
      </c>
      <c r="G211" s="73">
        <f>E211*F211</f>
        <v>175387.0183968721</v>
      </c>
      <c r="H211" s="43" t="s">
        <v>4997</v>
      </c>
      <c r="I211" s="49" t="s">
        <v>1874</v>
      </c>
    </row>
    <row r="212" spans="1:9" ht="15" customHeight="1" x14ac:dyDescent="0.2">
      <c r="A212" s="216" t="s">
        <v>1838</v>
      </c>
      <c r="B212" s="49" t="s">
        <v>1873</v>
      </c>
      <c r="C212" s="49" t="str">
        <f>VLOOKUP($A212,TPU!$A$6:$D$4148,2,FALSE)</f>
        <v>Comercial (2,60% do CMCC - SINAPI)</v>
      </c>
      <c r="D212" s="43" t="str">
        <f>VLOOKUP($A212,TPU!$A$6:$D$4148,3,FALSE)</f>
        <v>m² x mês</v>
      </c>
      <c r="E212" s="198">
        <f>VLOOKUP($A212,TPU!$A$6:$D$4148,4,FALSE)</f>
        <v>59.907303032725231</v>
      </c>
      <c r="F212" s="357">
        <f>((57.95/2)+4.5*(COUNTIF(A210:A211,"P8"&amp;"*")))*AVERAGEIF(A210:A211,"P8"&amp;"*",F210:F211)</f>
        <v>398.73750000000001</v>
      </c>
      <c r="G212" s="73">
        <f t="shared" ref="G212:G214" si="38">E212*F212</f>
        <v>23887.288243011277</v>
      </c>
      <c r="H212" s="43" t="s">
        <v>4997</v>
      </c>
      <c r="I212" s="218" t="s">
        <v>5054</v>
      </c>
    </row>
    <row r="213" spans="1:9" ht="15" customHeight="1" x14ac:dyDescent="0.2">
      <c r="A213" s="216" t="s">
        <v>1840</v>
      </c>
      <c r="B213" s="49" t="s">
        <v>2666</v>
      </c>
      <c r="C213" s="49" t="str">
        <f>VLOOKUP($A213,TPU!$A$6:$D$4148,2,FALSE)</f>
        <v>Escritório</v>
      </c>
      <c r="D213" s="43" t="str">
        <f>VLOOKUP($A213,TPU!$A$6:$D$4148,3,FALSE)</f>
        <v>ocupante x mês</v>
      </c>
      <c r="E213" s="198">
        <f>VLOOKUP($A213,TPU!$A$6:$D$4148,4,FALSE)</f>
        <v>773.54195511772502</v>
      </c>
      <c r="F213" s="357">
        <f>COUNTIF(A210:A211,"P8"&amp;"*")*AVERAGEIF(A210:A211,"P8"&amp;"*",F210:F211)</f>
        <v>21</v>
      </c>
      <c r="G213" s="73">
        <f t="shared" si="38"/>
        <v>16244.381057472225</v>
      </c>
      <c r="H213" s="43" t="s">
        <v>4997</v>
      </c>
      <c r="I213" s="218" t="s">
        <v>5053</v>
      </c>
    </row>
    <row r="214" spans="1:9" ht="15" customHeight="1" x14ac:dyDescent="0.2">
      <c r="A214" s="216" t="s">
        <v>1850</v>
      </c>
      <c r="B214" s="49" t="s">
        <v>1873</v>
      </c>
      <c r="C214" s="49" t="str">
        <f>VLOOKUP($A214,TPU!$A$6:$D$4148,2,FALSE)</f>
        <v>Escritório</v>
      </c>
      <c r="D214" s="43" t="str">
        <f>VLOOKUP($A214,TPU!$A$6:$D$4148,3,FALSE)</f>
        <v>ocupante x mês</v>
      </c>
      <c r="E214" s="198">
        <f>VLOOKUP($A214,TPU!$A$6:$D$4148,4,FALSE)</f>
        <v>187.91423642570163</v>
      </c>
      <c r="F214" s="357">
        <f>COUNTIF(A210:A211,"P8"&amp;"*")*AVERAGEIF(A210:A211,"P8"&amp;"*",F210:F211)</f>
        <v>21</v>
      </c>
      <c r="G214" s="73">
        <f t="shared" si="38"/>
        <v>3946.1989649397342</v>
      </c>
      <c r="H214" s="43" t="s">
        <v>4997</v>
      </c>
      <c r="I214" s="218" t="s">
        <v>5053</v>
      </c>
    </row>
    <row r="215" spans="1:9" ht="15" customHeight="1" x14ac:dyDescent="0.2">
      <c r="A215" s="43"/>
      <c r="B215" s="49"/>
      <c r="C215" s="49"/>
      <c r="D215" s="43"/>
      <c r="E215" s="77"/>
      <c r="F215" s="412"/>
      <c r="G215" s="77"/>
      <c r="H215" s="43"/>
      <c r="I215" s="49"/>
    </row>
    <row r="216" spans="1:9" ht="15" customHeight="1" x14ac:dyDescent="0.2">
      <c r="A216" s="400" t="s">
        <v>2663</v>
      </c>
      <c r="B216" s="400"/>
      <c r="C216" s="401"/>
      <c r="D216" s="96"/>
      <c r="E216" s="402"/>
      <c r="F216" s="403"/>
      <c r="G216" s="404">
        <f>SUM(G217:G222)</f>
        <v>137263.12427766054</v>
      </c>
      <c r="H216" s="88"/>
      <c r="I216" s="416"/>
    </row>
    <row r="217" spans="1:9" ht="15" customHeight="1" x14ac:dyDescent="0.2">
      <c r="A217" s="43" t="s">
        <v>1612</v>
      </c>
      <c r="B217" s="49" t="s">
        <v>1884</v>
      </c>
      <c r="C217" s="49" t="str">
        <f>VLOOKUP($A217,TPU!$A$6:$D$4148,2,FALSE)</f>
        <v>Engenheiro de projetos júnior</v>
      </c>
      <c r="D217" s="43" t="str">
        <f>VLOOKUP($A217,TPU!$A$6:$D$4148,3,FALSE)</f>
        <v>mês</v>
      </c>
      <c r="E217" s="198">
        <f>VLOOKUP($A217,TPU!$A$6:$D$4148,4,FALSE)</f>
        <v>25732.769491100134</v>
      </c>
      <c r="F217" s="146">
        <v>3</v>
      </c>
      <c r="G217" s="73">
        <f t="shared" ref="G217" si="39">E217*F217</f>
        <v>77198.308473300407</v>
      </c>
      <c r="H217" s="43" t="s">
        <v>4997</v>
      </c>
      <c r="I217" s="49" t="s">
        <v>1861</v>
      </c>
    </row>
    <row r="218" spans="1:9" ht="15" customHeight="1" x14ac:dyDescent="0.2">
      <c r="A218" s="43" t="s">
        <v>1676</v>
      </c>
      <c r="B218" s="49" t="s">
        <v>1884</v>
      </c>
      <c r="C218" s="49" t="str">
        <f>VLOOKUP($A218,TPU!$A$6:$D$4148,2,FALSE)</f>
        <v>Técnico em geoprocessamento</v>
      </c>
      <c r="D218" s="43" t="str">
        <f>VLOOKUP($A218,TPU!$A$6:$D$4148,3,FALSE)</f>
        <v>mês</v>
      </c>
      <c r="E218" s="198">
        <f>VLOOKUP($A218,TPU!$A$6:$D$4148,4,FALSE)</f>
        <v>7296.3369985873815</v>
      </c>
      <c r="F218" s="146">
        <v>3</v>
      </c>
      <c r="G218" s="73">
        <f>E218*F218</f>
        <v>21889.010995762146</v>
      </c>
      <c r="H218" s="43" t="s">
        <v>4997</v>
      </c>
      <c r="I218" s="49" t="s">
        <v>1879</v>
      </c>
    </row>
    <row r="219" spans="1:9" ht="15" customHeight="1" x14ac:dyDescent="0.2">
      <c r="A219" s="43" t="s">
        <v>1676</v>
      </c>
      <c r="B219" s="49" t="s">
        <v>1884</v>
      </c>
      <c r="C219" s="49" t="str">
        <f>VLOOKUP($A219,TPU!$A$6:$D$4148,2,FALSE)</f>
        <v>Técnico em geoprocessamento</v>
      </c>
      <c r="D219" s="43" t="str">
        <f>VLOOKUP($A219,TPU!$A$6:$D$4148,3,FALSE)</f>
        <v>mês</v>
      </c>
      <c r="E219" s="198">
        <f>VLOOKUP($A219,TPU!$A$6:$D$4148,4,FALSE)</f>
        <v>7296.3369985873815</v>
      </c>
      <c r="F219" s="146">
        <v>3</v>
      </c>
      <c r="G219" s="73">
        <f>E219*F219</f>
        <v>21889.010995762146</v>
      </c>
      <c r="H219" s="43" t="s">
        <v>4997</v>
      </c>
      <c r="I219" s="49" t="s">
        <v>1879</v>
      </c>
    </row>
    <row r="220" spans="1:9" ht="15" customHeight="1" x14ac:dyDescent="0.2">
      <c r="A220" s="216" t="s">
        <v>1838</v>
      </c>
      <c r="B220" s="49" t="s">
        <v>1873</v>
      </c>
      <c r="C220" s="49" t="str">
        <f>VLOOKUP($A220,TPU!$A$6:$D$4148,2,FALSE)</f>
        <v>Comercial (2,60% do CMCC - SINAPI)</v>
      </c>
      <c r="D220" s="43" t="str">
        <f>VLOOKUP($A220,TPU!$A$6:$D$4148,3,FALSE)</f>
        <v>m² x mês</v>
      </c>
      <c r="E220" s="198">
        <f>VLOOKUP($A220,TPU!$A$6:$D$4148,4,FALSE)</f>
        <v>59.907303032725231</v>
      </c>
      <c r="F220" s="357">
        <f>((57.95/2)+4.5*(COUNTIF(A217:A219,"P8"&amp;"*")))*AVERAGEIF(A217:A219,"P8"&amp;"*",F217:F219)</f>
        <v>127.42500000000001</v>
      </c>
      <c r="G220" s="77">
        <f t="shared" ref="G220:G222" si="40">E220*F220</f>
        <v>7633.6880889450131</v>
      </c>
      <c r="H220" s="43" t="s">
        <v>4997</v>
      </c>
      <c r="I220" s="218" t="s">
        <v>5054</v>
      </c>
    </row>
    <row r="221" spans="1:9" ht="15" customHeight="1" x14ac:dyDescent="0.2">
      <c r="A221" s="216" t="s">
        <v>1840</v>
      </c>
      <c r="B221" s="49" t="s">
        <v>2666</v>
      </c>
      <c r="C221" s="49" t="str">
        <f>VLOOKUP($A221,TPU!$A$6:$D$4148,2,FALSE)</f>
        <v>Escritório</v>
      </c>
      <c r="D221" s="43" t="str">
        <f>VLOOKUP($A221,TPU!$A$6:$D$4148,3,FALSE)</f>
        <v>ocupante x mês</v>
      </c>
      <c r="E221" s="198">
        <f>VLOOKUP($A221,TPU!$A$6:$D$4148,4,FALSE)</f>
        <v>773.54195511772502</v>
      </c>
      <c r="F221" s="357">
        <f>COUNTIF(A217:A219,"P8"&amp;"*")*AVERAGEIF(A217:A219,"P8"&amp;"*",F217:F219)</f>
        <v>9</v>
      </c>
      <c r="G221" s="77">
        <f t="shared" si="40"/>
        <v>6961.8775960595249</v>
      </c>
      <c r="H221" s="43" t="s">
        <v>4997</v>
      </c>
      <c r="I221" s="218" t="s">
        <v>5053</v>
      </c>
    </row>
    <row r="222" spans="1:9" ht="15" customHeight="1" x14ac:dyDescent="0.2">
      <c r="A222" s="216" t="s">
        <v>1850</v>
      </c>
      <c r="B222" s="49" t="s">
        <v>1873</v>
      </c>
      <c r="C222" s="49" t="str">
        <f>VLOOKUP($A222,TPU!$A$6:$D$4148,2,FALSE)</f>
        <v>Escritório</v>
      </c>
      <c r="D222" s="43" t="str">
        <f>VLOOKUP($A222,TPU!$A$6:$D$4148,3,FALSE)</f>
        <v>ocupante x mês</v>
      </c>
      <c r="E222" s="198">
        <f>VLOOKUP($A222,TPU!$A$6:$D$4148,4,FALSE)</f>
        <v>187.91423642570163</v>
      </c>
      <c r="F222" s="357">
        <f>COUNTIF(A217:A219,"P8"&amp;"*")*AVERAGEIF(A217:A219,"P8"&amp;"*",F217:F219)</f>
        <v>9</v>
      </c>
      <c r="G222" s="77">
        <f t="shared" si="40"/>
        <v>1691.2281278313146</v>
      </c>
      <c r="H222" s="43" t="s">
        <v>4997</v>
      </c>
      <c r="I222" s="218" t="s">
        <v>5053</v>
      </c>
    </row>
    <row r="223" spans="1:9" ht="15" customHeight="1" x14ac:dyDescent="0.2">
      <c r="A223" s="43"/>
      <c r="B223" s="49"/>
      <c r="C223" s="49"/>
      <c r="D223" s="43"/>
      <c r="E223" s="77"/>
      <c r="F223" s="77"/>
      <c r="G223" s="77"/>
      <c r="H223" s="43"/>
      <c r="I223" s="49"/>
    </row>
    <row r="225" spans="1:3" ht="15.75" customHeight="1" x14ac:dyDescent="0.2">
      <c r="A225" s="399"/>
    </row>
    <row r="231" spans="1:3" ht="15.75" customHeight="1" x14ac:dyDescent="0.2">
      <c r="C231" s="426"/>
    </row>
  </sheetData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-0.249977111117893"/>
    <outlinePr summaryBelow="0" summaryRight="0"/>
  </sheetPr>
  <dimension ref="A1:K2326"/>
  <sheetViews>
    <sheetView showGridLines="0" workbookViewId="0">
      <pane ySplit="5" topLeftCell="A2280" activePane="bottomLeft" state="frozen"/>
      <selection pane="bottomLeft" activeCell="D3" sqref="D3"/>
    </sheetView>
  </sheetViews>
  <sheetFormatPr defaultColWidth="14.42578125" defaultRowHeight="15.75" customHeight="1" x14ac:dyDescent="0.2"/>
  <cols>
    <col min="1" max="1" width="16.42578125" style="222" customWidth="1"/>
    <col min="2" max="2" width="93.140625" style="222" customWidth="1"/>
    <col min="3" max="3" width="16" style="222" bestFit="1" customWidth="1"/>
    <col min="4" max="4" width="17.28515625" style="230" bestFit="1" customWidth="1"/>
    <col min="5" max="5" width="20.140625" style="226" bestFit="1" customWidth="1"/>
    <col min="6" max="6" width="20.140625" style="226" customWidth="1"/>
    <col min="7" max="7" width="26.5703125" style="222" bestFit="1" customWidth="1"/>
    <col min="8" max="8" width="2.7109375" style="222" customWidth="1"/>
    <col min="9" max="11" width="10.7109375" style="222" customWidth="1"/>
    <col min="12" max="16384" width="14.42578125" style="222"/>
  </cols>
  <sheetData>
    <row r="1" spans="1:11" ht="5.0999999999999996" customHeight="1" x14ac:dyDescent="0.2">
      <c r="A1" s="33"/>
      <c r="B1" s="33"/>
      <c r="C1" s="33"/>
      <c r="D1" s="33"/>
      <c r="E1" s="222"/>
      <c r="F1" s="222"/>
      <c r="J1" s="33"/>
      <c r="K1" s="33"/>
    </row>
    <row r="2" spans="1:11" ht="15" customHeight="1" x14ac:dyDescent="0.25">
      <c r="A2" s="223" t="s">
        <v>234</v>
      </c>
      <c r="B2" s="224"/>
      <c r="D2" s="225" t="s">
        <v>2762</v>
      </c>
      <c r="I2" s="227">
        <v>44470</v>
      </c>
      <c r="J2" s="228">
        <f>INDEX(IPCA!$G$6:$X$6,MATCH($I2,IPCA!$G$2:$X$2,0))</f>
        <v>255.76599999999999</v>
      </c>
      <c r="K2" s="222" t="s">
        <v>2654</v>
      </c>
    </row>
    <row r="3" spans="1:11" ht="15" customHeight="1" x14ac:dyDescent="0.25">
      <c r="A3" s="495" t="s">
        <v>5226</v>
      </c>
      <c r="B3" s="494">
        <v>44531</v>
      </c>
      <c r="C3" s="223"/>
      <c r="D3" s="229">
        <f>BDI!D16/100</f>
        <v>0.44729999999999998</v>
      </c>
      <c r="I3" s="227">
        <f>B3</f>
        <v>44531</v>
      </c>
      <c r="J3" s="228">
        <f>INDEX(IPCA!$G$6:$X$6,MATCH($I3,IPCA!$G$2:$X$2,0))</f>
        <v>257.14800000000002</v>
      </c>
    </row>
    <row r="4" spans="1:11" ht="5.0999999999999996" customHeight="1" x14ac:dyDescent="0.2"/>
    <row r="5" spans="1:11" ht="15" x14ac:dyDescent="0.25">
      <c r="A5" s="231" t="s">
        <v>26</v>
      </c>
      <c r="B5" s="231" t="s">
        <v>1</v>
      </c>
      <c r="C5" s="231" t="s">
        <v>5</v>
      </c>
      <c r="D5" s="112" t="s">
        <v>2763</v>
      </c>
      <c r="E5" s="232" t="s">
        <v>7</v>
      </c>
      <c r="F5" s="232"/>
      <c r="G5" s="233" t="s">
        <v>2764</v>
      </c>
      <c r="J5" s="234">
        <f>J3/J2</f>
        <v>1.0054033765238539</v>
      </c>
      <c r="K5" s="222" t="s">
        <v>2644</v>
      </c>
    </row>
    <row r="6" spans="1:11" ht="15.75" customHeight="1" x14ac:dyDescent="0.2">
      <c r="A6" s="235"/>
      <c r="B6" s="236"/>
      <c r="C6" s="235"/>
      <c r="D6" s="113"/>
    </row>
    <row r="7" spans="1:11" ht="15.75" customHeight="1" x14ac:dyDescent="0.2">
      <c r="A7" s="237" t="s">
        <v>1917</v>
      </c>
      <c r="B7" s="238" t="s">
        <v>2765</v>
      </c>
      <c r="C7" s="239" t="s">
        <v>27</v>
      </c>
      <c r="D7" s="240">
        <f>(G7/(1+0.35))*(1+$D$3)</f>
        <v>189.11386666666667</v>
      </c>
      <c r="E7" s="226" t="s">
        <v>5222</v>
      </c>
      <c r="G7" s="240">
        <v>176.4</v>
      </c>
    </row>
    <row r="8" spans="1:11" ht="15.75" customHeight="1" x14ac:dyDescent="0.2">
      <c r="A8" s="237" t="s">
        <v>1918</v>
      </c>
      <c r="B8" s="238" t="s">
        <v>2766</v>
      </c>
      <c r="C8" s="239" t="s">
        <v>27</v>
      </c>
      <c r="D8" s="240">
        <f t="shared" ref="D8:D71" si="0">(G8/(1+0.35))*(1+$D$3)</f>
        <v>208.51840740740741</v>
      </c>
      <c r="E8" s="226" t="s">
        <v>5222</v>
      </c>
      <c r="G8" s="240">
        <v>194.5</v>
      </c>
    </row>
    <row r="9" spans="1:11" ht="15.75" customHeight="1" x14ac:dyDescent="0.2">
      <c r="A9" s="237" t="s">
        <v>1919</v>
      </c>
      <c r="B9" s="238" t="s">
        <v>2767</v>
      </c>
      <c r="C9" s="239" t="s">
        <v>27</v>
      </c>
      <c r="D9" s="240">
        <f t="shared" si="0"/>
        <v>180.05484074074073</v>
      </c>
      <c r="E9" s="226" t="s">
        <v>5222</v>
      </c>
      <c r="G9" s="240">
        <v>167.95</v>
      </c>
    </row>
    <row r="10" spans="1:11" ht="15.75" customHeight="1" x14ac:dyDescent="0.2">
      <c r="A10" s="237" t="s">
        <v>1920</v>
      </c>
      <c r="B10" s="238" t="s">
        <v>2768</v>
      </c>
      <c r="C10" s="239" t="s">
        <v>27</v>
      </c>
      <c r="D10" s="240">
        <f t="shared" si="0"/>
        <v>245.70865703703703</v>
      </c>
      <c r="E10" s="226" t="s">
        <v>5222</v>
      </c>
      <c r="G10" s="240">
        <v>229.19</v>
      </c>
    </row>
    <row r="11" spans="1:11" ht="15.75" customHeight="1" x14ac:dyDescent="0.2">
      <c r="A11" s="237" t="s">
        <v>1921</v>
      </c>
      <c r="B11" s="238" t="s">
        <v>2769</v>
      </c>
      <c r="C11" s="239" t="s">
        <v>27</v>
      </c>
      <c r="D11" s="240">
        <f t="shared" si="0"/>
        <v>204.0478585185185</v>
      </c>
      <c r="E11" s="226" t="s">
        <v>5222</v>
      </c>
      <c r="G11" s="240">
        <v>190.33</v>
      </c>
    </row>
    <row r="12" spans="1:11" ht="15.75" customHeight="1" x14ac:dyDescent="0.2">
      <c r="A12" s="237" t="s">
        <v>1922</v>
      </c>
      <c r="B12" s="238" t="s">
        <v>2770</v>
      </c>
      <c r="C12" s="239" t="s">
        <v>27</v>
      </c>
      <c r="D12" s="240">
        <f t="shared" si="0"/>
        <v>278.39619555555555</v>
      </c>
      <c r="E12" s="226" t="s">
        <v>5222</v>
      </c>
      <c r="G12" s="240">
        <v>259.68</v>
      </c>
    </row>
    <row r="13" spans="1:11" ht="15.75" customHeight="1" x14ac:dyDescent="0.2">
      <c r="A13" s="237" t="s">
        <v>1923</v>
      </c>
      <c r="B13" s="238" t="s">
        <v>2771</v>
      </c>
      <c r="C13" s="239" t="s">
        <v>28</v>
      </c>
      <c r="D13" s="240">
        <f t="shared" si="0"/>
        <v>1612.6781466666666</v>
      </c>
      <c r="E13" s="226" t="s">
        <v>5222</v>
      </c>
      <c r="G13" s="240">
        <v>1504.26</v>
      </c>
    </row>
    <row r="14" spans="1:11" ht="15.75" customHeight="1" x14ac:dyDescent="0.2">
      <c r="A14" s="237" t="s">
        <v>1924</v>
      </c>
      <c r="B14" s="238" t="s">
        <v>2772</v>
      </c>
      <c r="C14" s="239" t="s">
        <v>28</v>
      </c>
      <c r="D14" s="240">
        <f t="shared" si="0"/>
        <v>5477.7088777777772</v>
      </c>
      <c r="E14" s="226" t="s">
        <v>5222</v>
      </c>
      <c r="G14" s="240">
        <v>5109.45</v>
      </c>
    </row>
    <row r="15" spans="1:11" ht="15.75" customHeight="1" x14ac:dyDescent="0.2">
      <c r="A15" s="237" t="s">
        <v>1925</v>
      </c>
      <c r="B15" s="238" t="s">
        <v>2773</v>
      </c>
      <c r="C15" s="239" t="s">
        <v>29</v>
      </c>
      <c r="D15" s="240">
        <f t="shared" si="0"/>
        <v>16.392012592592589</v>
      </c>
      <c r="E15" s="226" t="s">
        <v>5222</v>
      </c>
      <c r="G15" s="240">
        <v>15.29</v>
      </c>
    </row>
    <row r="16" spans="1:11" ht="15.75" customHeight="1" x14ac:dyDescent="0.2">
      <c r="A16" s="237" t="s">
        <v>1926</v>
      </c>
      <c r="B16" s="238" t="s">
        <v>2774</v>
      </c>
      <c r="C16" s="239" t="s">
        <v>27</v>
      </c>
      <c r="D16" s="240">
        <f t="shared" si="0"/>
        <v>11.696328148148147</v>
      </c>
      <c r="E16" s="226" t="s">
        <v>5222</v>
      </c>
      <c r="G16" s="240">
        <v>10.91</v>
      </c>
    </row>
    <row r="17" spans="1:7" ht="15.75" customHeight="1" x14ac:dyDescent="0.2">
      <c r="A17" s="237" t="s">
        <v>1927</v>
      </c>
      <c r="B17" s="238" t="s">
        <v>2775</v>
      </c>
      <c r="C17" s="239" t="s">
        <v>30</v>
      </c>
      <c r="D17" s="240">
        <f t="shared" si="0"/>
        <v>2542.3807837037034</v>
      </c>
      <c r="E17" s="226" t="s">
        <v>5222</v>
      </c>
      <c r="G17" s="240">
        <v>2371.46</v>
      </c>
    </row>
    <row r="18" spans="1:7" ht="15.75" customHeight="1" x14ac:dyDescent="0.2">
      <c r="A18" s="237" t="s">
        <v>1928</v>
      </c>
      <c r="B18" s="238" t="s">
        <v>2776</v>
      </c>
      <c r="C18" s="239" t="s">
        <v>30</v>
      </c>
      <c r="D18" s="240">
        <f t="shared" si="0"/>
        <v>2801.5439703703701</v>
      </c>
      <c r="E18" s="226" t="s">
        <v>5222</v>
      </c>
      <c r="G18" s="240">
        <v>2613.1999999999998</v>
      </c>
    </row>
    <row r="19" spans="1:7" ht="15.75" customHeight="1" x14ac:dyDescent="0.2">
      <c r="A19" s="237" t="s">
        <v>1929</v>
      </c>
      <c r="B19" s="238" t="s">
        <v>2777</v>
      </c>
      <c r="C19" s="239" t="s">
        <v>31</v>
      </c>
      <c r="D19" s="240">
        <f t="shared" si="0"/>
        <v>16472.021480740739</v>
      </c>
      <c r="E19" s="226" t="s">
        <v>5222</v>
      </c>
      <c r="G19" s="240">
        <v>15364.63</v>
      </c>
    </row>
    <row r="20" spans="1:7" ht="15.75" customHeight="1" x14ac:dyDescent="0.2">
      <c r="A20" s="237" t="s">
        <v>1930</v>
      </c>
      <c r="B20" s="238" t="s">
        <v>2778</v>
      </c>
      <c r="C20" s="239" t="s">
        <v>32</v>
      </c>
      <c r="D20" s="240">
        <f t="shared" si="0"/>
        <v>1918.2085370370369</v>
      </c>
      <c r="E20" s="226" t="s">
        <v>5222</v>
      </c>
      <c r="G20" s="240">
        <v>1789.25</v>
      </c>
    </row>
    <row r="21" spans="1:7" ht="15.75" customHeight="1" x14ac:dyDescent="0.2">
      <c r="A21" s="237" t="s">
        <v>1931</v>
      </c>
      <c r="B21" s="238" t="s">
        <v>2779</v>
      </c>
      <c r="C21" s="239" t="s">
        <v>32</v>
      </c>
      <c r="D21" s="240">
        <f t="shared" si="0"/>
        <v>5115.2835162962965</v>
      </c>
      <c r="E21" s="226" t="s">
        <v>5222</v>
      </c>
      <c r="G21" s="240">
        <v>4771.3900000000003</v>
      </c>
    </row>
    <row r="22" spans="1:7" ht="15.75" customHeight="1" x14ac:dyDescent="0.2">
      <c r="A22" s="237" t="s">
        <v>1932</v>
      </c>
      <c r="B22" s="238" t="s">
        <v>2780</v>
      </c>
      <c r="C22" s="239" t="s">
        <v>27</v>
      </c>
      <c r="D22" s="240">
        <f t="shared" si="0"/>
        <v>463.33969407407409</v>
      </c>
      <c r="E22" s="226" t="s">
        <v>5222</v>
      </c>
      <c r="G22" s="240">
        <v>432.19</v>
      </c>
    </row>
    <row r="23" spans="1:7" ht="15.75" customHeight="1" x14ac:dyDescent="0.2">
      <c r="A23" s="237" t="s">
        <v>1933</v>
      </c>
      <c r="B23" s="238" t="s">
        <v>2781</v>
      </c>
      <c r="C23" s="239" t="s">
        <v>27</v>
      </c>
      <c r="D23" s="240">
        <f t="shared" si="0"/>
        <v>471.91628666666668</v>
      </c>
      <c r="E23" s="226" t="s">
        <v>5222</v>
      </c>
      <c r="G23" s="240">
        <v>440.19</v>
      </c>
    </row>
    <row r="24" spans="1:7" ht="15.75" customHeight="1" x14ac:dyDescent="0.2">
      <c r="A24" s="237" t="s">
        <v>1934</v>
      </c>
      <c r="B24" s="238" t="s">
        <v>2782</v>
      </c>
      <c r="C24" s="239" t="s">
        <v>27</v>
      </c>
      <c r="D24" s="240">
        <f t="shared" si="0"/>
        <v>634.94659111111105</v>
      </c>
      <c r="E24" s="226" t="s">
        <v>5222</v>
      </c>
      <c r="G24" s="240">
        <v>592.26</v>
      </c>
    </row>
    <row r="25" spans="1:7" ht="15.75" customHeight="1" x14ac:dyDescent="0.2">
      <c r="A25" s="237" t="s">
        <v>1935</v>
      </c>
      <c r="B25" s="238" t="s">
        <v>2783</v>
      </c>
      <c r="C25" s="239" t="s">
        <v>27</v>
      </c>
      <c r="D25" s="240">
        <f t="shared" si="0"/>
        <v>686.45975037037022</v>
      </c>
      <c r="E25" s="226" t="s">
        <v>5222</v>
      </c>
      <c r="G25" s="240">
        <v>640.30999999999995</v>
      </c>
    </row>
    <row r="26" spans="1:7" ht="15.75" customHeight="1" x14ac:dyDescent="0.2">
      <c r="A26" s="237" t="s">
        <v>1936</v>
      </c>
      <c r="B26" s="238" t="s">
        <v>2784</v>
      </c>
      <c r="C26" s="239" t="s">
        <v>27</v>
      </c>
      <c r="D26" s="240">
        <f t="shared" si="0"/>
        <v>928.26605777777775</v>
      </c>
      <c r="E26" s="226" t="s">
        <v>5222</v>
      </c>
      <c r="G26" s="240">
        <v>865.86</v>
      </c>
    </row>
    <row r="27" spans="1:7" ht="15.75" customHeight="1" x14ac:dyDescent="0.2">
      <c r="A27" s="237" t="s">
        <v>1937</v>
      </c>
      <c r="B27" s="238" t="s">
        <v>2785</v>
      </c>
      <c r="C27" s="239" t="s">
        <v>27</v>
      </c>
      <c r="D27" s="240">
        <f t="shared" si="0"/>
        <v>989.03121629629629</v>
      </c>
      <c r="E27" s="226" t="s">
        <v>5222</v>
      </c>
      <c r="G27" s="240">
        <v>922.54</v>
      </c>
    </row>
    <row r="28" spans="1:7" ht="15.75" customHeight="1" x14ac:dyDescent="0.2">
      <c r="A28" s="237" t="s">
        <v>1938</v>
      </c>
      <c r="B28" s="238" t="s">
        <v>2786</v>
      </c>
      <c r="C28" s="239" t="s">
        <v>27</v>
      </c>
      <c r="D28" s="240">
        <f t="shared" si="0"/>
        <v>1072.5779488888888</v>
      </c>
      <c r="E28" s="226" t="s">
        <v>5222</v>
      </c>
      <c r="G28" s="240">
        <v>1000.47</v>
      </c>
    </row>
    <row r="29" spans="1:7" ht="15.75" customHeight="1" x14ac:dyDescent="0.2">
      <c r="A29" s="237" t="s">
        <v>1939</v>
      </c>
      <c r="B29" s="238" t="s">
        <v>2787</v>
      </c>
      <c r="C29" s="239" t="s">
        <v>27</v>
      </c>
      <c r="D29" s="240">
        <f t="shared" si="0"/>
        <v>1227.0102192592592</v>
      </c>
      <c r="E29" s="226" t="s">
        <v>5222</v>
      </c>
      <c r="G29" s="240">
        <v>1144.52</v>
      </c>
    </row>
    <row r="30" spans="1:7" ht="15.75" customHeight="1" x14ac:dyDescent="0.2">
      <c r="A30" s="237" t="s">
        <v>1940</v>
      </c>
      <c r="B30" s="238" t="s">
        <v>2788</v>
      </c>
      <c r="C30" s="239" t="s">
        <v>27</v>
      </c>
      <c r="D30" s="240">
        <f t="shared" si="0"/>
        <v>1184.1058148148147</v>
      </c>
      <c r="E30" s="226" t="s">
        <v>5222</v>
      </c>
      <c r="G30" s="240">
        <v>1104.5</v>
      </c>
    </row>
    <row r="31" spans="1:7" ht="15.75" customHeight="1" x14ac:dyDescent="0.2">
      <c r="A31" s="237" t="s">
        <v>1941</v>
      </c>
      <c r="B31" s="238" t="s">
        <v>2789</v>
      </c>
      <c r="C31" s="239" t="s">
        <v>27</v>
      </c>
      <c r="D31" s="240">
        <f t="shared" si="0"/>
        <v>1218.4336266666664</v>
      </c>
      <c r="E31" s="226" t="s">
        <v>5222</v>
      </c>
      <c r="G31" s="240">
        <v>1136.52</v>
      </c>
    </row>
    <row r="32" spans="1:7" ht="15.75" customHeight="1" x14ac:dyDescent="0.2">
      <c r="A32" s="237" t="s">
        <v>1942</v>
      </c>
      <c r="B32" s="238" t="s">
        <v>2790</v>
      </c>
      <c r="C32" s="239" t="s">
        <v>27</v>
      </c>
      <c r="D32" s="240">
        <f t="shared" si="0"/>
        <v>1407.2151503703703</v>
      </c>
      <c r="E32" s="226" t="s">
        <v>5222</v>
      </c>
      <c r="G32" s="240">
        <v>1312.61</v>
      </c>
    </row>
    <row r="33" spans="1:7" ht="14.25" x14ac:dyDescent="0.2">
      <c r="A33" s="237" t="s">
        <v>1943</v>
      </c>
      <c r="B33" s="238" t="s">
        <v>2791</v>
      </c>
      <c r="C33" s="239" t="s">
        <v>27</v>
      </c>
      <c r="D33" s="240">
        <f t="shared" si="0"/>
        <v>1879.1314370370369</v>
      </c>
      <c r="E33" s="226" t="s">
        <v>5222</v>
      </c>
      <c r="G33" s="240">
        <v>1752.8</v>
      </c>
    </row>
    <row r="34" spans="1:7" ht="14.25" x14ac:dyDescent="0.2">
      <c r="A34" s="237" t="s">
        <v>1944</v>
      </c>
      <c r="B34" s="238" t="s">
        <v>2792</v>
      </c>
      <c r="C34" s="239" t="s">
        <v>27</v>
      </c>
      <c r="D34" s="240">
        <f t="shared" si="0"/>
        <v>105.08470074074073</v>
      </c>
      <c r="E34" s="226" t="s">
        <v>5222</v>
      </c>
      <c r="G34" s="240">
        <v>98.02</v>
      </c>
    </row>
    <row r="35" spans="1:7" ht="14.25" x14ac:dyDescent="0.2">
      <c r="A35" s="237" t="s">
        <v>1945</v>
      </c>
      <c r="B35" s="238" t="s">
        <v>2793</v>
      </c>
      <c r="C35" s="239" t="s">
        <v>27</v>
      </c>
      <c r="D35" s="240">
        <f t="shared" si="0"/>
        <v>128.84186222222223</v>
      </c>
      <c r="E35" s="226" t="s">
        <v>5222</v>
      </c>
      <c r="G35" s="240">
        <v>120.18</v>
      </c>
    </row>
    <row r="36" spans="1:7" ht="14.25" x14ac:dyDescent="0.2">
      <c r="A36" s="237" t="s">
        <v>235</v>
      </c>
      <c r="B36" s="238" t="s">
        <v>2794</v>
      </c>
      <c r="C36" s="239" t="s">
        <v>28</v>
      </c>
      <c r="D36" s="240">
        <f t="shared" si="0"/>
        <v>3178.1528718518516</v>
      </c>
      <c r="E36" s="226" t="s">
        <v>5222</v>
      </c>
      <c r="G36" s="240">
        <v>2964.49</v>
      </c>
    </row>
    <row r="37" spans="1:7" ht="14.25" x14ac:dyDescent="0.2">
      <c r="A37" s="237" t="s">
        <v>236</v>
      </c>
      <c r="B37" s="238" t="s">
        <v>2795</v>
      </c>
      <c r="C37" s="239" t="s">
        <v>28</v>
      </c>
      <c r="D37" s="240">
        <f t="shared" si="0"/>
        <v>3190.8140666666663</v>
      </c>
      <c r="E37" s="226" t="s">
        <v>5222</v>
      </c>
      <c r="G37" s="240">
        <v>2976.3</v>
      </c>
    </row>
    <row r="38" spans="1:7" ht="14.25" x14ac:dyDescent="0.2">
      <c r="A38" s="237" t="s">
        <v>237</v>
      </c>
      <c r="B38" s="238" t="s">
        <v>2796</v>
      </c>
      <c r="C38" s="239" t="s">
        <v>33</v>
      </c>
      <c r="D38" s="240">
        <f t="shared" si="0"/>
        <v>2982.7137681481481</v>
      </c>
      <c r="E38" s="226" t="s">
        <v>5222</v>
      </c>
      <c r="G38" s="240">
        <v>2782.19</v>
      </c>
    </row>
    <row r="39" spans="1:7" ht="14.25" x14ac:dyDescent="0.2">
      <c r="A39" s="237" t="s">
        <v>221</v>
      </c>
      <c r="B39" s="238" t="s">
        <v>2797</v>
      </c>
      <c r="C39" s="239" t="s">
        <v>33</v>
      </c>
      <c r="D39" s="240">
        <f t="shared" si="0"/>
        <v>2376.927591851852</v>
      </c>
      <c r="E39" s="226" t="s">
        <v>5222</v>
      </c>
      <c r="G39" s="240">
        <v>2217.13</v>
      </c>
    </row>
    <row r="40" spans="1:7" ht="14.25" x14ac:dyDescent="0.2">
      <c r="A40" s="237" t="s">
        <v>238</v>
      </c>
      <c r="B40" s="238" t="s">
        <v>2798</v>
      </c>
      <c r="C40" s="239" t="s">
        <v>33</v>
      </c>
      <c r="D40" s="240">
        <f t="shared" si="0"/>
        <v>2451.1472800000001</v>
      </c>
      <c r="E40" s="226" t="s">
        <v>5222</v>
      </c>
      <c r="G40" s="240">
        <v>2286.36</v>
      </c>
    </row>
    <row r="41" spans="1:7" ht="14.25" x14ac:dyDescent="0.2">
      <c r="A41" s="237" t="s">
        <v>239</v>
      </c>
      <c r="B41" s="238" t="s">
        <v>2799</v>
      </c>
      <c r="C41" s="239" t="s">
        <v>33</v>
      </c>
      <c r="D41" s="240">
        <f t="shared" si="0"/>
        <v>1842.4557829629628</v>
      </c>
      <c r="E41" s="226" t="s">
        <v>5222</v>
      </c>
      <c r="G41" s="240">
        <v>1718.59</v>
      </c>
    </row>
    <row r="42" spans="1:7" ht="14.25" x14ac:dyDescent="0.2">
      <c r="A42" s="237" t="s">
        <v>240</v>
      </c>
      <c r="B42" s="238" t="s">
        <v>34</v>
      </c>
      <c r="C42" s="239" t="s">
        <v>28</v>
      </c>
      <c r="D42" s="240">
        <f t="shared" si="0"/>
        <v>6707.6994629629626</v>
      </c>
      <c r="E42" s="226" t="s">
        <v>5222</v>
      </c>
      <c r="G42" s="240">
        <v>6256.75</v>
      </c>
    </row>
    <row r="43" spans="1:7" ht="14.25" x14ac:dyDescent="0.2">
      <c r="A43" s="237" t="s">
        <v>241</v>
      </c>
      <c r="B43" s="238" t="s">
        <v>35</v>
      </c>
      <c r="C43" s="239" t="s">
        <v>28</v>
      </c>
      <c r="D43" s="240">
        <f t="shared" si="0"/>
        <v>6214.1808837037033</v>
      </c>
      <c r="E43" s="226" t="s">
        <v>5222</v>
      </c>
      <c r="G43" s="240">
        <v>5796.41</v>
      </c>
    </row>
    <row r="44" spans="1:7" ht="14.25" x14ac:dyDescent="0.2">
      <c r="A44" s="237" t="s">
        <v>242</v>
      </c>
      <c r="B44" s="238" t="s">
        <v>36</v>
      </c>
      <c r="C44" s="239" t="s">
        <v>37</v>
      </c>
      <c r="D44" s="240">
        <f t="shared" si="0"/>
        <v>5986.0328</v>
      </c>
      <c r="E44" s="226" t="s">
        <v>5222</v>
      </c>
      <c r="G44" s="240">
        <v>5583.6</v>
      </c>
    </row>
    <row r="45" spans="1:7" ht="14.25" x14ac:dyDescent="0.2">
      <c r="A45" s="237" t="s">
        <v>220</v>
      </c>
      <c r="B45" s="238" t="s">
        <v>1946</v>
      </c>
      <c r="C45" s="239" t="s">
        <v>37</v>
      </c>
      <c r="D45" s="240">
        <f t="shared" si="0"/>
        <v>5434.5686170370373</v>
      </c>
      <c r="E45" s="226" t="s">
        <v>5222</v>
      </c>
      <c r="G45" s="240">
        <v>5069.21</v>
      </c>
    </row>
    <row r="46" spans="1:7" ht="14.25" x14ac:dyDescent="0.2">
      <c r="A46" s="237" t="s">
        <v>243</v>
      </c>
      <c r="B46" s="238" t="s">
        <v>2800</v>
      </c>
      <c r="C46" s="239" t="s">
        <v>28</v>
      </c>
      <c r="D46" s="240">
        <f t="shared" si="0"/>
        <v>5.21028</v>
      </c>
      <c r="E46" s="226" t="s">
        <v>5222</v>
      </c>
      <c r="G46" s="240">
        <v>4.8600000000000003</v>
      </c>
    </row>
    <row r="47" spans="1:7" ht="14.25" x14ac:dyDescent="0.2">
      <c r="A47" s="237" t="s">
        <v>244</v>
      </c>
      <c r="B47" s="238" t="s">
        <v>2801</v>
      </c>
      <c r="C47" s="239" t="s">
        <v>38</v>
      </c>
      <c r="D47" s="240">
        <f t="shared" si="0"/>
        <v>3.7093762962962962</v>
      </c>
      <c r="E47" s="226" t="s">
        <v>5222</v>
      </c>
      <c r="G47" s="240">
        <v>3.46</v>
      </c>
    </row>
    <row r="48" spans="1:7" ht="14.25" x14ac:dyDescent="0.2">
      <c r="A48" s="237" t="s">
        <v>245</v>
      </c>
      <c r="B48" s="238" t="s">
        <v>39</v>
      </c>
      <c r="C48" s="239" t="s">
        <v>27</v>
      </c>
      <c r="D48" s="240">
        <f t="shared" si="0"/>
        <v>6.9470400000000003</v>
      </c>
      <c r="E48" s="226" t="s">
        <v>5222</v>
      </c>
      <c r="G48" s="240">
        <v>6.48</v>
      </c>
    </row>
    <row r="49" spans="1:7" ht="14.25" x14ac:dyDescent="0.2">
      <c r="A49" s="237" t="s">
        <v>246</v>
      </c>
      <c r="B49" s="238" t="s">
        <v>2802</v>
      </c>
      <c r="C49" s="239" t="s">
        <v>33</v>
      </c>
      <c r="D49" s="240">
        <f t="shared" si="0"/>
        <v>12189.707357777776</v>
      </c>
      <c r="E49" s="226" t="s">
        <v>5222</v>
      </c>
      <c r="G49" s="240">
        <v>11370.21</v>
      </c>
    </row>
    <row r="50" spans="1:7" ht="14.25" x14ac:dyDescent="0.2">
      <c r="A50" s="237" t="s">
        <v>247</v>
      </c>
      <c r="B50" s="238" t="s">
        <v>40</v>
      </c>
      <c r="C50" s="239" t="s">
        <v>33</v>
      </c>
      <c r="D50" s="240">
        <f t="shared" si="0"/>
        <v>16790.041534074073</v>
      </c>
      <c r="E50" s="226" t="s">
        <v>5222</v>
      </c>
      <c r="G50" s="240">
        <v>15661.27</v>
      </c>
    </row>
    <row r="51" spans="1:7" ht="14.25" x14ac:dyDescent="0.2">
      <c r="A51" s="237" t="s">
        <v>248</v>
      </c>
      <c r="B51" s="238" t="s">
        <v>1947</v>
      </c>
      <c r="C51" s="239" t="s">
        <v>37</v>
      </c>
      <c r="D51" s="240">
        <f t="shared" si="0"/>
        <v>4564.7841999999991</v>
      </c>
      <c r="E51" s="226" t="s">
        <v>5222</v>
      </c>
      <c r="G51" s="240">
        <v>4257.8999999999996</v>
      </c>
    </row>
    <row r="52" spans="1:7" ht="14.25" x14ac:dyDescent="0.2">
      <c r="A52" s="237" t="s">
        <v>249</v>
      </c>
      <c r="B52" s="238" t="s">
        <v>2803</v>
      </c>
      <c r="C52" s="239" t="s">
        <v>27</v>
      </c>
      <c r="D52" s="240">
        <f t="shared" si="0"/>
        <v>6.5289311111111115</v>
      </c>
      <c r="E52" s="226" t="s">
        <v>5222</v>
      </c>
      <c r="G52" s="240">
        <v>6.09</v>
      </c>
    </row>
    <row r="53" spans="1:7" ht="14.25" x14ac:dyDescent="0.2">
      <c r="A53" s="237" t="s">
        <v>250</v>
      </c>
      <c r="B53" s="238" t="s">
        <v>41</v>
      </c>
      <c r="C53" s="239" t="s">
        <v>33</v>
      </c>
      <c r="D53" s="240">
        <f t="shared" si="0"/>
        <v>3800.3310607407411</v>
      </c>
      <c r="E53" s="226" t="s">
        <v>5222</v>
      </c>
      <c r="G53" s="240">
        <v>3544.84</v>
      </c>
    </row>
    <row r="54" spans="1:7" ht="14.25" x14ac:dyDescent="0.2">
      <c r="A54" s="237" t="s">
        <v>230</v>
      </c>
      <c r="B54" s="238" t="s">
        <v>2804</v>
      </c>
      <c r="C54" s="239" t="s">
        <v>28</v>
      </c>
      <c r="D54" s="240">
        <f t="shared" si="0"/>
        <v>315.25410222222223</v>
      </c>
      <c r="E54" s="226" t="s">
        <v>5222</v>
      </c>
      <c r="G54" s="240">
        <v>294.06</v>
      </c>
    </row>
    <row r="55" spans="1:7" ht="14.25" x14ac:dyDescent="0.2">
      <c r="A55" s="237" t="s">
        <v>231</v>
      </c>
      <c r="B55" s="238" t="s">
        <v>2805</v>
      </c>
      <c r="C55" s="239" t="s">
        <v>27</v>
      </c>
      <c r="D55" s="240">
        <f t="shared" si="0"/>
        <v>10.795785925925925</v>
      </c>
      <c r="E55" s="226" t="s">
        <v>5222</v>
      </c>
      <c r="G55" s="240">
        <v>10.07</v>
      </c>
    </row>
    <row r="56" spans="1:7" ht="14.25" x14ac:dyDescent="0.2">
      <c r="A56" s="237" t="s">
        <v>251</v>
      </c>
      <c r="B56" s="238" t="s">
        <v>2806</v>
      </c>
      <c r="C56" s="239" t="s">
        <v>42</v>
      </c>
      <c r="D56" s="240">
        <f t="shared" si="0"/>
        <v>3028.6092592592595</v>
      </c>
      <c r="E56" s="226" t="s">
        <v>5222</v>
      </c>
      <c r="G56" s="240">
        <v>2825</v>
      </c>
    </row>
    <row r="57" spans="1:7" ht="14.25" x14ac:dyDescent="0.2">
      <c r="A57" s="237" t="s">
        <v>229</v>
      </c>
      <c r="B57" s="238" t="s">
        <v>2807</v>
      </c>
      <c r="C57" s="239" t="s">
        <v>28</v>
      </c>
      <c r="D57" s="240">
        <f t="shared" si="0"/>
        <v>3109.9046362962963</v>
      </c>
      <c r="E57" s="226" t="s">
        <v>5222</v>
      </c>
      <c r="G57" s="240">
        <v>2900.83</v>
      </c>
    </row>
    <row r="58" spans="1:7" ht="14.25" x14ac:dyDescent="0.2">
      <c r="A58" s="237" t="s">
        <v>252</v>
      </c>
      <c r="B58" s="238" t="s">
        <v>2808</v>
      </c>
      <c r="C58" s="239" t="s">
        <v>28</v>
      </c>
      <c r="D58" s="240">
        <f t="shared" si="0"/>
        <v>3734.409225925926</v>
      </c>
      <c r="E58" s="226" t="s">
        <v>5222</v>
      </c>
      <c r="G58" s="240">
        <v>3483.35</v>
      </c>
    </row>
    <row r="59" spans="1:7" ht="14.25" x14ac:dyDescent="0.2">
      <c r="A59" s="237" t="s">
        <v>253</v>
      </c>
      <c r="B59" s="238" t="s">
        <v>2809</v>
      </c>
      <c r="C59" s="239" t="s">
        <v>28</v>
      </c>
      <c r="D59" s="240">
        <f t="shared" si="0"/>
        <v>13382.06814296296</v>
      </c>
      <c r="E59" s="226" t="s">
        <v>5222</v>
      </c>
      <c r="G59" s="240">
        <v>12482.41</v>
      </c>
    </row>
    <row r="60" spans="1:7" ht="14.25" x14ac:dyDescent="0.2">
      <c r="A60" s="237" t="s">
        <v>254</v>
      </c>
      <c r="B60" s="238" t="s">
        <v>2810</v>
      </c>
      <c r="C60" s="239" t="s">
        <v>27</v>
      </c>
      <c r="D60" s="240">
        <f t="shared" si="0"/>
        <v>4.2454133333333335</v>
      </c>
      <c r="E60" s="226" t="s">
        <v>5222</v>
      </c>
      <c r="G60" s="240">
        <v>3.96</v>
      </c>
    </row>
    <row r="61" spans="1:7" ht="14.25" x14ac:dyDescent="0.2">
      <c r="A61" s="237" t="s">
        <v>227</v>
      </c>
      <c r="B61" s="238" t="s">
        <v>2811</v>
      </c>
      <c r="C61" s="239" t="s">
        <v>27</v>
      </c>
      <c r="D61" s="240">
        <f t="shared" si="0"/>
        <v>12.661194814814815</v>
      </c>
      <c r="E61" s="226" t="s">
        <v>5222</v>
      </c>
      <c r="G61" s="240">
        <v>11.81</v>
      </c>
    </row>
    <row r="62" spans="1:7" ht="14.25" x14ac:dyDescent="0.2">
      <c r="A62" s="237" t="s">
        <v>255</v>
      </c>
      <c r="B62" s="238" t="s">
        <v>2812</v>
      </c>
      <c r="C62" s="239" t="s">
        <v>27</v>
      </c>
      <c r="D62" s="240">
        <f t="shared" si="0"/>
        <v>10.098937777777778</v>
      </c>
      <c r="E62" s="226" t="s">
        <v>5222</v>
      </c>
      <c r="G62" s="240">
        <v>9.42</v>
      </c>
    </row>
    <row r="63" spans="1:7" ht="14.25" x14ac:dyDescent="0.2">
      <c r="A63" s="237" t="s">
        <v>256</v>
      </c>
      <c r="B63" s="238" t="s">
        <v>2813</v>
      </c>
      <c r="C63" s="239" t="s">
        <v>43</v>
      </c>
      <c r="D63" s="240">
        <f t="shared" si="0"/>
        <v>6567.9974903703696</v>
      </c>
      <c r="E63" s="226" t="s">
        <v>5222</v>
      </c>
      <c r="G63" s="240">
        <v>6126.44</v>
      </c>
    </row>
    <row r="64" spans="1:7" ht="14.25" x14ac:dyDescent="0.2">
      <c r="A64" s="237" t="s">
        <v>219</v>
      </c>
      <c r="B64" s="238" t="s">
        <v>44</v>
      </c>
      <c r="C64" s="239" t="s">
        <v>45</v>
      </c>
      <c r="D64" s="240">
        <f t="shared" si="0"/>
        <v>71663.499050370374</v>
      </c>
      <c r="E64" s="226" t="s">
        <v>5222</v>
      </c>
      <c r="G64" s="240">
        <v>66845.66</v>
      </c>
    </row>
    <row r="65" spans="1:7" ht="14.25" x14ac:dyDescent="0.2">
      <c r="A65" s="237" t="s">
        <v>257</v>
      </c>
      <c r="B65" s="238" t="s">
        <v>1948</v>
      </c>
      <c r="C65" s="239" t="s">
        <v>28</v>
      </c>
      <c r="D65" s="240">
        <f t="shared" si="0"/>
        <v>173.54735111111108</v>
      </c>
      <c r="E65" s="226" t="s">
        <v>5222</v>
      </c>
      <c r="G65" s="240">
        <v>161.88</v>
      </c>
    </row>
    <row r="66" spans="1:7" ht="14.25" x14ac:dyDescent="0.2">
      <c r="A66" s="237" t="s">
        <v>218</v>
      </c>
      <c r="B66" s="238" t="s">
        <v>2814</v>
      </c>
      <c r="C66" s="239" t="s">
        <v>28</v>
      </c>
      <c r="D66" s="240">
        <f t="shared" si="0"/>
        <v>1530.2034881481479</v>
      </c>
      <c r="E66" s="226" t="s">
        <v>5222</v>
      </c>
      <c r="G66" s="240">
        <v>1427.33</v>
      </c>
    </row>
    <row r="67" spans="1:7" ht="14.25" x14ac:dyDescent="0.2">
      <c r="A67" s="237" t="s">
        <v>258</v>
      </c>
      <c r="B67" s="238" t="s">
        <v>2815</v>
      </c>
      <c r="C67" s="239" t="s">
        <v>28</v>
      </c>
      <c r="D67" s="240">
        <f t="shared" si="0"/>
        <v>2253.2745681481479</v>
      </c>
      <c r="E67" s="226" t="s">
        <v>5222</v>
      </c>
      <c r="G67" s="240">
        <v>2101.79</v>
      </c>
    </row>
    <row r="68" spans="1:7" ht="14.25" x14ac:dyDescent="0.2">
      <c r="A68" s="237" t="s">
        <v>259</v>
      </c>
      <c r="B68" s="238" t="s">
        <v>2816</v>
      </c>
      <c r="C68" s="239" t="s">
        <v>28</v>
      </c>
      <c r="D68" s="240">
        <f t="shared" si="0"/>
        <v>3721.5872199999994</v>
      </c>
      <c r="E68" s="226" t="s">
        <v>5222</v>
      </c>
      <c r="G68" s="240">
        <v>3471.39</v>
      </c>
    </row>
    <row r="69" spans="1:7" ht="14.25" x14ac:dyDescent="0.2">
      <c r="A69" s="237" t="s">
        <v>222</v>
      </c>
      <c r="B69" s="238" t="s">
        <v>2817</v>
      </c>
      <c r="C69" s="239" t="s">
        <v>46</v>
      </c>
      <c r="D69" s="240">
        <f t="shared" si="0"/>
        <v>40836.223465185183</v>
      </c>
      <c r="E69" s="226" t="s">
        <v>5222</v>
      </c>
      <c r="G69" s="240">
        <v>38090.86</v>
      </c>
    </row>
    <row r="70" spans="1:7" ht="14.25" x14ac:dyDescent="0.2">
      <c r="A70" s="237" t="s">
        <v>260</v>
      </c>
      <c r="B70" s="238" t="s">
        <v>2818</v>
      </c>
      <c r="C70" s="239" t="s">
        <v>47</v>
      </c>
      <c r="D70" s="240">
        <f t="shared" si="0"/>
        <v>1420.7876081481481</v>
      </c>
      <c r="E70" s="226" t="s">
        <v>5222</v>
      </c>
      <c r="G70" s="240">
        <v>1325.27</v>
      </c>
    </row>
    <row r="71" spans="1:7" ht="14.25" x14ac:dyDescent="0.2">
      <c r="A71" s="237" t="s">
        <v>2819</v>
      </c>
      <c r="B71" s="238" t="s">
        <v>2820</v>
      </c>
      <c r="C71" s="239" t="s">
        <v>47</v>
      </c>
      <c r="D71" s="240">
        <f t="shared" si="0"/>
        <v>4064.2649770370367</v>
      </c>
      <c r="E71" s="226" t="s">
        <v>5222</v>
      </c>
      <c r="G71" s="240">
        <v>3791.03</v>
      </c>
    </row>
    <row r="72" spans="1:7" ht="14.25" x14ac:dyDescent="0.2">
      <c r="A72" s="237" t="s">
        <v>2498</v>
      </c>
      <c r="B72" s="238" t="s">
        <v>2821</v>
      </c>
      <c r="C72" s="239" t="s">
        <v>33</v>
      </c>
      <c r="D72" s="240">
        <f t="shared" ref="D72:D135" si="1">(G72/(1+0.35))*(1+$D$3)</f>
        <v>8613.1074355555556</v>
      </c>
      <c r="E72" s="226" t="s">
        <v>5222</v>
      </c>
      <c r="G72" s="240">
        <v>8034.06</v>
      </c>
    </row>
    <row r="73" spans="1:7" ht="14.25" x14ac:dyDescent="0.2">
      <c r="A73" s="237" t="s">
        <v>226</v>
      </c>
      <c r="B73" s="238" t="s">
        <v>2822</v>
      </c>
      <c r="C73" s="239" t="s">
        <v>28</v>
      </c>
      <c r="D73" s="240">
        <f t="shared" si="1"/>
        <v>278.92151185185185</v>
      </c>
      <c r="E73" s="226" t="s">
        <v>5222</v>
      </c>
      <c r="G73" s="240">
        <v>260.17</v>
      </c>
    </row>
    <row r="74" spans="1:7" ht="14.25" x14ac:dyDescent="0.2">
      <c r="A74" s="237" t="s">
        <v>224</v>
      </c>
      <c r="B74" s="238" t="s">
        <v>1949</v>
      </c>
      <c r="C74" s="239" t="s">
        <v>47</v>
      </c>
      <c r="D74" s="240">
        <f t="shared" si="1"/>
        <v>9683.1874518518525</v>
      </c>
      <c r="E74" s="226" t="s">
        <v>5222</v>
      </c>
      <c r="G74" s="240">
        <v>9032.2000000000007</v>
      </c>
    </row>
    <row r="75" spans="1:7" ht="14.25" x14ac:dyDescent="0.2">
      <c r="A75" s="237" t="s">
        <v>2823</v>
      </c>
      <c r="B75" s="238" t="s">
        <v>2824</v>
      </c>
      <c r="C75" s="239" t="s">
        <v>47</v>
      </c>
      <c r="D75" s="240">
        <f t="shared" si="1"/>
        <v>46410.890722222219</v>
      </c>
      <c r="E75" s="226" t="s">
        <v>5222</v>
      </c>
      <c r="G75" s="240">
        <v>43290.75</v>
      </c>
    </row>
    <row r="76" spans="1:7" ht="14.25" x14ac:dyDescent="0.2">
      <c r="A76" s="237" t="s">
        <v>261</v>
      </c>
      <c r="B76" s="238" t="s">
        <v>48</v>
      </c>
      <c r="C76" s="239" t="s">
        <v>47</v>
      </c>
      <c r="D76" s="240">
        <f t="shared" si="1"/>
        <v>1964.0718659259257</v>
      </c>
      <c r="E76" s="226" t="s">
        <v>5222</v>
      </c>
      <c r="G76" s="240">
        <v>1832.03</v>
      </c>
    </row>
    <row r="77" spans="1:7" ht="14.25" x14ac:dyDescent="0.2">
      <c r="A77" s="237" t="s">
        <v>223</v>
      </c>
      <c r="B77" s="238" t="s">
        <v>49</v>
      </c>
      <c r="C77" s="239" t="s">
        <v>47</v>
      </c>
      <c r="D77" s="240">
        <f t="shared" si="1"/>
        <v>22505.021845925927</v>
      </c>
      <c r="E77" s="226" t="s">
        <v>5222</v>
      </c>
      <c r="G77" s="240">
        <v>20992.04</v>
      </c>
    </row>
    <row r="78" spans="1:7" ht="14.25" x14ac:dyDescent="0.2">
      <c r="A78" s="237" t="s">
        <v>225</v>
      </c>
      <c r="B78" s="238" t="s">
        <v>2825</v>
      </c>
      <c r="C78" s="239" t="s">
        <v>47</v>
      </c>
      <c r="D78" s="240">
        <f t="shared" si="1"/>
        <v>3230.8238711111107</v>
      </c>
      <c r="E78" s="226" t="s">
        <v>5222</v>
      </c>
      <c r="G78" s="240">
        <v>3013.62</v>
      </c>
    </row>
    <row r="79" spans="1:7" ht="14.25" x14ac:dyDescent="0.2">
      <c r="A79" s="237" t="s">
        <v>1950</v>
      </c>
      <c r="B79" s="238" t="s">
        <v>2826</v>
      </c>
      <c r="C79" s="239" t="s">
        <v>27</v>
      </c>
      <c r="D79" s="240">
        <f t="shared" si="1"/>
        <v>23.253286666666668</v>
      </c>
      <c r="E79" s="226" t="s">
        <v>5222</v>
      </c>
      <c r="G79" s="240">
        <v>21.69</v>
      </c>
    </row>
    <row r="80" spans="1:7" ht="14.25" x14ac:dyDescent="0.2">
      <c r="A80" s="237" t="s">
        <v>1951</v>
      </c>
      <c r="B80" s="238" t="s">
        <v>2827</v>
      </c>
      <c r="C80" s="239" t="s">
        <v>27</v>
      </c>
      <c r="D80" s="240">
        <f t="shared" si="1"/>
        <v>82.045828888888877</v>
      </c>
      <c r="E80" s="226" t="s">
        <v>5222</v>
      </c>
      <c r="G80" s="240">
        <v>76.53</v>
      </c>
    </row>
    <row r="81" spans="1:7" ht="14.25" x14ac:dyDescent="0.2">
      <c r="A81" s="237" t="s">
        <v>1952</v>
      </c>
      <c r="B81" s="238" t="s">
        <v>2828</v>
      </c>
      <c r="C81" s="239" t="s">
        <v>27</v>
      </c>
      <c r="D81" s="240">
        <f t="shared" si="1"/>
        <v>114.87273703703704</v>
      </c>
      <c r="E81" s="226" t="s">
        <v>5222</v>
      </c>
      <c r="G81" s="240">
        <v>107.15</v>
      </c>
    </row>
    <row r="82" spans="1:7" ht="14.25" x14ac:dyDescent="0.2">
      <c r="A82" s="237" t="s">
        <v>1953</v>
      </c>
      <c r="B82" s="238" t="s">
        <v>2829</v>
      </c>
      <c r="C82" s="239" t="s">
        <v>27</v>
      </c>
      <c r="D82" s="240">
        <f t="shared" si="1"/>
        <v>212.16345925925924</v>
      </c>
      <c r="E82" s="226" t="s">
        <v>5222</v>
      </c>
      <c r="G82" s="240">
        <v>197.9</v>
      </c>
    </row>
    <row r="83" spans="1:7" ht="14.25" x14ac:dyDescent="0.2">
      <c r="A83" s="237" t="s">
        <v>1954</v>
      </c>
      <c r="B83" s="238" t="s">
        <v>2830</v>
      </c>
      <c r="C83" s="239" t="s">
        <v>27</v>
      </c>
      <c r="D83" s="240">
        <f t="shared" si="1"/>
        <v>254.59615111111108</v>
      </c>
      <c r="E83" s="226" t="s">
        <v>5222</v>
      </c>
      <c r="G83" s="240">
        <v>237.48</v>
      </c>
    </row>
    <row r="84" spans="1:7" ht="14.25" x14ac:dyDescent="0.2">
      <c r="A84" s="237" t="s">
        <v>1955</v>
      </c>
      <c r="B84" s="238" t="s">
        <v>2831</v>
      </c>
      <c r="C84" s="239" t="s">
        <v>27</v>
      </c>
      <c r="D84" s="240">
        <f t="shared" si="1"/>
        <v>169.98806518518518</v>
      </c>
      <c r="E84" s="226" t="s">
        <v>5222</v>
      </c>
      <c r="G84" s="240">
        <v>158.56</v>
      </c>
    </row>
    <row r="85" spans="1:7" ht="14.25" x14ac:dyDescent="0.2">
      <c r="A85" s="237" t="s">
        <v>1956</v>
      </c>
      <c r="B85" s="238" t="s">
        <v>2832</v>
      </c>
      <c r="C85" s="239" t="s">
        <v>27</v>
      </c>
      <c r="D85" s="240">
        <f t="shared" si="1"/>
        <v>145.70558740740739</v>
      </c>
      <c r="E85" s="226" t="s">
        <v>5222</v>
      </c>
      <c r="G85" s="240">
        <v>135.91</v>
      </c>
    </row>
    <row r="86" spans="1:7" ht="14.25" x14ac:dyDescent="0.2">
      <c r="A86" s="237" t="s">
        <v>1957</v>
      </c>
      <c r="B86" s="238" t="s">
        <v>2833</v>
      </c>
      <c r="C86" s="239" t="s">
        <v>27</v>
      </c>
      <c r="D86" s="240">
        <f t="shared" si="1"/>
        <v>35.28195777777777</v>
      </c>
      <c r="E86" s="226" t="s">
        <v>5222</v>
      </c>
      <c r="G86" s="240">
        <v>32.909999999999997</v>
      </c>
    </row>
    <row r="87" spans="1:7" ht="14.25" x14ac:dyDescent="0.2">
      <c r="A87" s="237" t="s">
        <v>1958</v>
      </c>
      <c r="B87" s="238" t="s">
        <v>2834</v>
      </c>
      <c r="C87" s="239" t="s">
        <v>27</v>
      </c>
      <c r="D87" s="240">
        <f t="shared" si="1"/>
        <v>21.580851111111109</v>
      </c>
      <c r="E87" s="226" t="s">
        <v>5222</v>
      </c>
      <c r="G87" s="240">
        <v>20.13</v>
      </c>
    </row>
    <row r="88" spans="1:7" ht="14.25" x14ac:dyDescent="0.2">
      <c r="A88" s="237" t="s">
        <v>1959</v>
      </c>
      <c r="B88" s="238" t="s">
        <v>2835</v>
      </c>
      <c r="C88" s="239" t="s">
        <v>28</v>
      </c>
      <c r="D88" s="240">
        <f t="shared" si="1"/>
        <v>14.097774074074074</v>
      </c>
      <c r="E88" s="226" t="s">
        <v>5222</v>
      </c>
      <c r="G88" s="240">
        <v>13.15</v>
      </c>
    </row>
    <row r="89" spans="1:7" ht="14.25" x14ac:dyDescent="0.2">
      <c r="A89" s="237" t="s">
        <v>2499</v>
      </c>
      <c r="B89" s="238" t="s">
        <v>2836</v>
      </c>
      <c r="C89" s="239" t="s">
        <v>38</v>
      </c>
      <c r="D89" s="240">
        <f t="shared" si="1"/>
        <v>126.01158666666666</v>
      </c>
      <c r="E89" s="226" t="s">
        <v>5222</v>
      </c>
      <c r="G89" s="240">
        <v>117.54</v>
      </c>
    </row>
    <row r="90" spans="1:7" ht="14.25" x14ac:dyDescent="0.2">
      <c r="A90" s="237" t="s">
        <v>262</v>
      </c>
      <c r="B90" s="238" t="s">
        <v>2837</v>
      </c>
      <c r="C90" s="239" t="s">
        <v>38</v>
      </c>
      <c r="D90" s="240">
        <f t="shared" si="1"/>
        <v>125.00383703703703</v>
      </c>
      <c r="E90" s="226" t="s">
        <v>5222</v>
      </c>
      <c r="G90" s="240">
        <v>116.6</v>
      </c>
    </row>
    <row r="91" spans="1:7" ht="14.25" x14ac:dyDescent="0.2">
      <c r="A91" s="237" t="s">
        <v>2500</v>
      </c>
      <c r="B91" s="238" t="s">
        <v>2838</v>
      </c>
      <c r="C91" s="239" t="s">
        <v>38</v>
      </c>
      <c r="D91" s="240">
        <f t="shared" si="1"/>
        <v>71.989774074074077</v>
      </c>
      <c r="E91" s="226" t="s">
        <v>5222</v>
      </c>
      <c r="G91" s="240">
        <v>67.150000000000006</v>
      </c>
    </row>
    <row r="92" spans="1:7" ht="14.25" x14ac:dyDescent="0.2">
      <c r="A92" s="237" t="s">
        <v>2839</v>
      </c>
      <c r="B92" s="238" t="s">
        <v>2840</v>
      </c>
      <c r="C92" s="239" t="s">
        <v>50</v>
      </c>
      <c r="D92" s="240">
        <f t="shared" si="1"/>
        <v>328.65502814814812</v>
      </c>
      <c r="E92" s="226" t="s">
        <v>5222</v>
      </c>
      <c r="G92" s="240">
        <v>306.56</v>
      </c>
    </row>
    <row r="93" spans="1:7" ht="14.25" x14ac:dyDescent="0.2">
      <c r="A93" s="237" t="s">
        <v>5149</v>
      </c>
      <c r="B93" s="238" t="s">
        <v>5150</v>
      </c>
      <c r="C93" s="239" t="s">
        <v>28</v>
      </c>
      <c r="D93" s="240">
        <f t="shared" si="1"/>
        <v>103.43370666666667</v>
      </c>
      <c r="E93" s="226" t="s">
        <v>5222</v>
      </c>
      <c r="G93" s="240">
        <v>96.48</v>
      </c>
    </row>
    <row r="94" spans="1:7" ht="14.25" x14ac:dyDescent="0.2">
      <c r="A94" s="237" t="s">
        <v>1960</v>
      </c>
      <c r="B94" s="238" t="s">
        <v>2841</v>
      </c>
      <c r="C94" s="239" t="s">
        <v>27</v>
      </c>
      <c r="D94" s="240">
        <f t="shared" si="1"/>
        <v>91.13701703703704</v>
      </c>
      <c r="E94" s="226" t="s">
        <v>5222</v>
      </c>
      <c r="G94" s="240">
        <v>85.01</v>
      </c>
    </row>
    <row r="95" spans="1:7" ht="14.25" x14ac:dyDescent="0.2">
      <c r="A95" s="237" t="s">
        <v>1961</v>
      </c>
      <c r="B95" s="238" t="s">
        <v>2842</v>
      </c>
      <c r="C95" s="239" t="s">
        <v>27</v>
      </c>
      <c r="D95" s="240">
        <f t="shared" si="1"/>
        <v>102.08289333333333</v>
      </c>
      <c r="E95" s="226" t="s">
        <v>5222</v>
      </c>
      <c r="G95" s="240">
        <v>95.22</v>
      </c>
    </row>
    <row r="96" spans="1:7" ht="14.25" x14ac:dyDescent="0.2">
      <c r="A96" s="237" t="s">
        <v>1962</v>
      </c>
      <c r="B96" s="238" t="s">
        <v>2843</v>
      </c>
      <c r="C96" s="239" t="s">
        <v>27</v>
      </c>
      <c r="D96" s="240">
        <f t="shared" si="1"/>
        <v>42.100348888888888</v>
      </c>
      <c r="E96" s="226" t="s">
        <v>5222</v>
      </c>
      <c r="G96" s="240">
        <v>39.270000000000003</v>
      </c>
    </row>
    <row r="97" spans="1:7" ht="14.25" x14ac:dyDescent="0.2">
      <c r="A97" s="237" t="s">
        <v>1963</v>
      </c>
      <c r="B97" s="238" t="s">
        <v>2844</v>
      </c>
      <c r="C97" s="239" t="s">
        <v>50</v>
      </c>
      <c r="D97" s="240">
        <f t="shared" si="1"/>
        <v>593.6717392592592</v>
      </c>
      <c r="E97" s="226" t="s">
        <v>5222</v>
      </c>
      <c r="G97" s="240">
        <v>553.76</v>
      </c>
    </row>
    <row r="98" spans="1:7" ht="14.25" x14ac:dyDescent="0.2">
      <c r="A98" s="237" t="s">
        <v>1964</v>
      </c>
      <c r="B98" s="238" t="s">
        <v>2845</v>
      </c>
      <c r="C98" s="239" t="s">
        <v>50</v>
      </c>
      <c r="D98" s="240">
        <f t="shared" si="1"/>
        <v>326.18925777777775</v>
      </c>
      <c r="E98" s="226" t="s">
        <v>5222</v>
      </c>
      <c r="G98" s="240">
        <v>304.26</v>
      </c>
    </row>
    <row r="99" spans="1:7" ht="14.25" x14ac:dyDescent="0.2">
      <c r="A99" s="237" t="s">
        <v>1965</v>
      </c>
      <c r="B99" s="238" t="s">
        <v>2846</v>
      </c>
      <c r="C99" s="239" t="s">
        <v>50</v>
      </c>
      <c r="D99" s="240">
        <f t="shared" si="1"/>
        <v>331.71043925925926</v>
      </c>
      <c r="E99" s="226" t="s">
        <v>5222</v>
      </c>
      <c r="G99" s="240">
        <v>309.41000000000003</v>
      </c>
    </row>
    <row r="100" spans="1:7" ht="14.25" x14ac:dyDescent="0.2">
      <c r="A100" s="237" t="s">
        <v>1966</v>
      </c>
      <c r="B100" s="238" t="s">
        <v>2847</v>
      </c>
      <c r="C100" s="239" t="s">
        <v>38</v>
      </c>
      <c r="D100" s="240">
        <f t="shared" si="1"/>
        <v>81.874297037037039</v>
      </c>
      <c r="E100" s="226" t="s">
        <v>5222</v>
      </c>
      <c r="G100" s="240">
        <v>76.37</v>
      </c>
    </row>
    <row r="101" spans="1:7" ht="14.25" x14ac:dyDescent="0.2">
      <c r="A101" s="237" t="s">
        <v>1967</v>
      </c>
      <c r="B101" s="238" t="s">
        <v>2848</v>
      </c>
      <c r="C101" s="239" t="s">
        <v>38</v>
      </c>
      <c r="D101" s="240">
        <f t="shared" si="1"/>
        <v>33.169971851851848</v>
      </c>
      <c r="E101" s="226" t="s">
        <v>5222</v>
      </c>
      <c r="G101" s="240">
        <v>30.94</v>
      </c>
    </row>
    <row r="102" spans="1:7" ht="14.25" x14ac:dyDescent="0.2">
      <c r="A102" s="237" t="s">
        <v>1968</v>
      </c>
      <c r="B102" s="238" t="s">
        <v>2849</v>
      </c>
      <c r="C102" s="239" t="s">
        <v>50</v>
      </c>
      <c r="D102" s="240">
        <f t="shared" si="1"/>
        <v>59.618039259259255</v>
      </c>
      <c r="E102" s="226" t="s">
        <v>5222</v>
      </c>
      <c r="G102" s="240">
        <v>55.61</v>
      </c>
    </row>
    <row r="103" spans="1:7" ht="14.25" x14ac:dyDescent="0.2">
      <c r="A103" s="237" t="s">
        <v>1969</v>
      </c>
      <c r="B103" s="238" t="s">
        <v>2850</v>
      </c>
      <c r="C103" s="239" t="s">
        <v>27</v>
      </c>
      <c r="D103" s="240">
        <f t="shared" si="1"/>
        <v>1148.0841259259259</v>
      </c>
      <c r="E103" s="226" t="s">
        <v>5222</v>
      </c>
      <c r="G103" s="240">
        <v>1070.9000000000001</v>
      </c>
    </row>
    <row r="104" spans="1:7" ht="14.25" x14ac:dyDescent="0.2">
      <c r="A104" s="237" t="s">
        <v>1970</v>
      </c>
      <c r="B104" s="238" t="s">
        <v>2851</v>
      </c>
      <c r="C104" s="239" t="s">
        <v>28</v>
      </c>
      <c r="D104" s="240">
        <f t="shared" si="1"/>
        <v>53.560820740740738</v>
      </c>
      <c r="E104" s="226" t="s">
        <v>5222</v>
      </c>
      <c r="G104" s="240">
        <v>49.96</v>
      </c>
    </row>
    <row r="105" spans="1:7" ht="14.25" x14ac:dyDescent="0.2">
      <c r="A105" s="237" t="s">
        <v>1971</v>
      </c>
      <c r="B105" s="238" t="s">
        <v>2852</v>
      </c>
      <c r="C105" s="239" t="s">
        <v>28</v>
      </c>
      <c r="D105" s="240">
        <f t="shared" si="1"/>
        <v>114.7869711111111</v>
      </c>
      <c r="E105" s="226" t="s">
        <v>5222</v>
      </c>
      <c r="G105" s="240">
        <v>107.07</v>
      </c>
    </row>
    <row r="106" spans="1:7" ht="14.25" x14ac:dyDescent="0.2">
      <c r="A106" s="237" t="s">
        <v>1972</v>
      </c>
      <c r="B106" s="238" t="s">
        <v>2853</v>
      </c>
      <c r="C106" s="239" t="s">
        <v>28</v>
      </c>
      <c r="D106" s="240">
        <f t="shared" si="1"/>
        <v>298.50830518518518</v>
      </c>
      <c r="E106" s="226" t="s">
        <v>5222</v>
      </c>
      <c r="G106" s="240">
        <v>278.44</v>
      </c>
    </row>
    <row r="107" spans="1:7" ht="14.25" x14ac:dyDescent="0.2">
      <c r="A107" s="237" t="s">
        <v>1973</v>
      </c>
      <c r="B107" s="238" t="s">
        <v>2854</v>
      </c>
      <c r="C107" s="239" t="s">
        <v>28</v>
      </c>
      <c r="D107" s="240">
        <f t="shared" si="1"/>
        <v>413.28455555555553</v>
      </c>
      <c r="E107" s="226" t="s">
        <v>5222</v>
      </c>
      <c r="G107" s="240">
        <v>385.5</v>
      </c>
    </row>
    <row r="108" spans="1:7" ht="14.25" x14ac:dyDescent="0.2">
      <c r="A108" s="237" t="s">
        <v>1974</v>
      </c>
      <c r="B108" s="238" t="s">
        <v>2855</v>
      </c>
      <c r="C108" s="239" t="s">
        <v>28</v>
      </c>
      <c r="D108" s="240">
        <f t="shared" si="1"/>
        <v>459.22292962962968</v>
      </c>
      <c r="E108" s="226" t="s">
        <v>5222</v>
      </c>
      <c r="G108" s="240">
        <v>428.35</v>
      </c>
    </row>
    <row r="109" spans="1:7" ht="14.25" x14ac:dyDescent="0.2">
      <c r="A109" s="237" t="s">
        <v>1975</v>
      </c>
      <c r="B109" s="238" t="s">
        <v>2856</v>
      </c>
      <c r="C109" s="239" t="s">
        <v>51</v>
      </c>
      <c r="D109" s="240">
        <f t="shared" si="1"/>
        <v>581.68595111111108</v>
      </c>
      <c r="E109" s="226" t="s">
        <v>5222</v>
      </c>
      <c r="G109" s="240">
        <v>542.58000000000004</v>
      </c>
    </row>
    <row r="110" spans="1:7" ht="14.25" x14ac:dyDescent="0.2">
      <c r="A110" s="237" t="s">
        <v>1976</v>
      </c>
      <c r="B110" s="238" t="s">
        <v>2857</v>
      </c>
      <c r="C110" s="239" t="s">
        <v>28</v>
      </c>
      <c r="D110" s="240">
        <f t="shared" si="1"/>
        <v>206.65299851851847</v>
      </c>
      <c r="E110" s="226" t="s">
        <v>5222</v>
      </c>
      <c r="G110" s="240">
        <v>192.76</v>
      </c>
    </row>
    <row r="111" spans="1:7" ht="14.25" x14ac:dyDescent="0.2">
      <c r="A111" s="237" t="s">
        <v>1977</v>
      </c>
      <c r="B111" s="238" t="s">
        <v>2858</v>
      </c>
      <c r="C111" s="239" t="s">
        <v>28</v>
      </c>
      <c r="D111" s="240">
        <f t="shared" si="1"/>
        <v>336.77062888888889</v>
      </c>
      <c r="E111" s="226" t="s">
        <v>5222</v>
      </c>
      <c r="G111" s="240">
        <v>314.13</v>
      </c>
    </row>
    <row r="112" spans="1:7" ht="14.25" x14ac:dyDescent="0.2">
      <c r="A112" s="237" t="s">
        <v>1978</v>
      </c>
      <c r="B112" s="238" t="s">
        <v>2859</v>
      </c>
      <c r="C112" s="239" t="s">
        <v>28</v>
      </c>
      <c r="D112" s="240">
        <f t="shared" si="1"/>
        <v>198.97694814814813</v>
      </c>
      <c r="E112" s="226" t="s">
        <v>5222</v>
      </c>
      <c r="G112" s="240">
        <v>185.6</v>
      </c>
    </row>
    <row r="113" spans="1:7" ht="14.25" x14ac:dyDescent="0.2">
      <c r="A113" s="237" t="s">
        <v>1979</v>
      </c>
      <c r="B113" s="238" t="s">
        <v>2860</v>
      </c>
      <c r="C113" s="239" t="s">
        <v>28</v>
      </c>
      <c r="D113" s="240">
        <f t="shared" si="1"/>
        <v>153.06001555555557</v>
      </c>
      <c r="E113" s="226" t="s">
        <v>5222</v>
      </c>
      <c r="G113" s="240">
        <v>142.77000000000001</v>
      </c>
    </row>
    <row r="114" spans="1:7" ht="14.25" x14ac:dyDescent="0.2">
      <c r="A114" s="237" t="s">
        <v>1980</v>
      </c>
      <c r="B114" s="238" t="s">
        <v>2861</v>
      </c>
      <c r="C114" s="239" t="s">
        <v>27</v>
      </c>
      <c r="D114" s="240">
        <f t="shared" si="1"/>
        <v>1.8761296296296297</v>
      </c>
      <c r="E114" s="226" t="s">
        <v>5222</v>
      </c>
      <c r="G114" s="240">
        <v>1.75</v>
      </c>
    </row>
    <row r="115" spans="1:7" ht="14.25" x14ac:dyDescent="0.2">
      <c r="A115" s="237" t="s">
        <v>1981</v>
      </c>
      <c r="B115" s="238" t="s">
        <v>2862</v>
      </c>
      <c r="C115" s="239" t="s">
        <v>27</v>
      </c>
      <c r="D115" s="240">
        <f t="shared" si="1"/>
        <v>86.280521481481486</v>
      </c>
      <c r="E115" s="226" t="s">
        <v>5222</v>
      </c>
      <c r="G115" s="240">
        <v>80.48</v>
      </c>
    </row>
    <row r="116" spans="1:7" ht="14.25" x14ac:dyDescent="0.2">
      <c r="A116" s="237" t="s">
        <v>1982</v>
      </c>
      <c r="B116" s="238" t="s">
        <v>2863</v>
      </c>
      <c r="C116" s="239" t="s">
        <v>27</v>
      </c>
      <c r="D116" s="240">
        <f t="shared" si="1"/>
        <v>89.914852592592595</v>
      </c>
      <c r="E116" s="226" t="s">
        <v>5222</v>
      </c>
      <c r="G116" s="240">
        <v>83.87</v>
      </c>
    </row>
    <row r="117" spans="1:7" ht="14.25" x14ac:dyDescent="0.2">
      <c r="A117" s="237" t="s">
        <v>1983</v>
      </c>
      <c r="B117" s="238" t="s">
        <v>2864</v>
      </c>
      <c r="C117" s="239" t="s">
        <v>27</v>
      </c>
      <c r="D117" s="240">
        <f t="shared" si="1"/>
        <v>95.564682962962962</v>
      </c>
      <c r="E117" s="226" t="s">
        <v>5222</v>
      </c>
      <c r="G117" s="240">
        <v>89.14</v>
      </c>
    </row>
    <row r="118" spans="1:7" ht="14.25" x14ac:dyDescent="0.2">
      <c r="A118" s="237" t="s">
        <v>1984</v>
      </c>
      <c r="B118" s="238" t="s">
        <v>2865</v>
      </c>
      <c r="C118" s="239" t="s">
        <v>27</v>
      </c>
      <c r="D118" s="240">
        <f t="shared" si="1"/>
        <v>100.92505333333334</v>
      </c>
      <c r="E118" s="226" t="s">
        <v>5222</v>
      </c>
      <c r="G118" s="240">
        <v>94.14</v>
      </c>
    </row>
    <row r="119" spans="1:7" ht="14.25" x14ac:dyDescent="0.2">
      <c r="A119" s="237" t="s">
        <v>1985</v>
      </c>
      <c r="B119" s="238" t="s">
        <v>2866</v>
      </c>
      <c r="C119" s="239" t="s">
        <v>27</v>
      </c>
      <c r="D119" s="240">
        <f t="shared" si="1"/>
        <v>87.577731111111106</v>
      </c>
      <c r="E119" s="226" t="s">
        <v>5222</v>
      </c>
      <c r="G119" s="240">
        <v>81.69</v>
      </c>
    </row>
    <row r="120" spans="1:7" ht="14.25" x14ac:dyDescent="0.2">
      <c r="A120" s="237" t="s">
        <v>1986</v>
      </c>
      <c r="B120" s="238" t="s">
        <v>2867</v>
      </c>
      <c r="C120" s="239" t="s">
        <v>50</v>
      </c>
      <c r="D120" s="240">
        <f t="shared" si="1"/>
        <v>511.37933333333331</v>
      </c>
      <c r="E120" s="226" t="s">
        <v>5222</v>
      </c>
      <c r="G120" s="240">
        <v>477</v>
      </c>
    </row>
    <row r="121" spans="1:7" ht="14.25" x14ac:dyDescent="0.2">
      <c r="A121" s="237" t="s">
        <v>1987</v>
      </c>
      <c r="B121" s="238" t="s">
        <v>2868</v>
      </c>
      <c r="C121" s="239" t="s">
        <v>27</v>
      </c>
      <c r="D121" s="240">
        <f t="shared" si="1"/>
        <v>68.837876296296287</v>
      </c>
      <c r="E121" s="226" t="s">
        <v>5222</v>
      </c>
      <c r="G121" s="240">
        <v>64.209999999999994</v>
      </c>
    </row>
    <row r="122" spans="1:7" ht="14.25" x14ac:dyDescent="0.2">
      <c r="A122" s="237" t="s">
        <v>1988</v>
      </c>
      <c r="B122" s="238" t="s">
        <v>2869</v>
      </c>
      <c r="C122" s="239" t="s">
        <v>27</v>
      </c>
      <c r="D122" s="240">
        <f t="shared" si="1"/>
        <v>2.2513555555555556</v>
      </c>
      <c r="E122" s="226" t="s">
        <v>5222</v>
      </c>
      <c r="G122" s="240">
        <v>2.1</v>
      </c>
    </row>
    <row r="123" spans="1:7" ht="14.25" x14ac:dyDescent="0.2">
      <c r="A123" s="237" t="s">
        <v>5151</v>
      </c>
      <c r="B123" s="238" t="s">
        <v>5152</v>
      </c>
      <c r="C123" s="239" t="s">
        <v>27</v>
      </c>
      <c r="D123" s="240">
        <f t="shared" si="1"/>
        <v>144.41909851851852</v>
      </c>
      <c r="E123" s="226" t="s">
        <v>5222</v>
      </c>
      <c r="G123" s="240">
        <v>134.71</v>
      </c>
    </row>
    <row r="124" spans="1:7" ht="14.25" x14ac:dyDescent="0.2">
      <c r="A124" s="237" t="s">
        <v>5153</v>
      </c>
      <c r="B124" s="238" t="s">
        <v>5154</v>
      </c>
      <c r="C124" s="239" t="s">
        <v>27</v>
      </c>
      <c r="D124" s="240">
        <f t="shared" si="1"/>
        <v>76.203025185185183</v>
      </c>
      <c r="E124" s="226" t="s">
        <v>5222</v>
      </c>
      <c r="G124" s="240">
        <v>71.08</v>
      </c>
    </row>
    <row r="125" spans="1:7" ht="14.25" x14ac:dyDescent="0.2">
      <c r="A125" s="237" t="s">
        <v>5155</v>
      </c>
      <c r="B125" s="238" t="s">
        <v>5156</v>
      </c>
      <c r="C125" s="239" t="s">
        <v>28</v>
      </c>
      <c r="D125" s="240">
        <f t="shared" si="1"/>
        <v>501.16246740740741</v>
      </c>
      <c r="E125" s="226" t="s">
        <v>5222</v>
      </c>
      <c r="G125" s="240">
        <v>467.47</v>
      </c>
    </row>
    <row r="126" spans="1:7" ht="14.25" x14ac:dyDescent="0.2">
      <c r="A126" s="237" t="s">
        <v>1989</v>
      </c>
      <c r="B126" s="238" t="s">
        <v>2870</v>
      </c>
      <c r="C126" s="239" t="s">
        <v>38</v>
      </c>
      <c r="D126" s="240">
        <f t="shared" si="1"/>
        <v>0.57891999999999999</v>
      </c>
      <c r="E126" s="226" t="s">
        <v>5222</v>
      </c>
      <c r="G126" s="240">
        <v>0.54</v>
      </c>
    </row>
    <row r="127" spans="1:7" ht="14.25" x14ac:dyDescent="0.2">
      <c r="A127" s="237" t="s">
        <v>1990</v>
      </c>
      <c r="B127" s="238" t="s">
        <v>2871</v>
      </c>
      <c r="C127" s="239" t="s">
        <v>38</v>
      </c>
      <c r="D127" s="240">
        <f t="shared" si="1"/>
        <v>1.072074074074074</v>
      </c>
      <c r="E127" s="226" t="s">
        <v>5222</v>
      </c>
      <c r="G127" s="240">
        <v>1</v>
      </c>
    </row>
    <row r="128" spans="1:7" ht="14.25" x14ac:dyDescent="0.2">
      <c r="A128" s="237" t="s">
        <v>1991</v>
      </c>
      <c r="B128" s="238" t="s">
        <v>2872</v>
      </c>
      <c r="C128" s="239" t="s">
        <v>38</v>
      </c>
      <c r="D128" s="240">
        <f t="shared" si="1"/>
        <v>5.0709103703703713</v>
      </c>
      <c r="E128" s="226" t="s">
        <v>5222</v>
      </c>
      <c r="G128" s="240">
        <v>4.7300000000000004</v>
      </c>
    </row>
    <row r="129" spans="1:7" ht="14.25" x14ac:dyDescent="0.2">
      <c r="A129" s="237" t="s">
        <v>1992</v>
      </c>
      <c r="B129" s="238" t="s">
        <v>2873</v>
      </c>
      <c r="C129" s="239" t="s">
        <v>28</v>
      </c>
      <c r="D129" s="240">
        <f t="shared" si="1"/>
        <v>105.39560222222222</v>
      </c>
      <c r="E129" s="226" t="s">
        <v>5222</v>
      </c>
      <c r="G129" s="240">
        <v>98.31</v>
      </c>
    </row>
    <row r="130" spans="1:7" ht="14.25" x14ac:dyDescent="0.2">
      <c r="A130" s="237" t="s">
        <v>1993</v>
      </c>
      <c r="B130" s="238" t="s">
        <v>2874</v>
      </c>
      <c r="C130" s="239" t="s">
        <v>28</v>
      </c>
      <c r="D130" s="240">
        <f t="shared" si="1"/>
        <v>33.534477037037036</v>
      </c>
      <c r="E130" s="226" t="s">
        <v>5222</v>
      </c>
      <c r="G130" s="240">
        <v>31.28</v>
      </c>
    </row>
    <row r="131" spans="1:7" ht="14.25" x14ac:dyDescent="0.2">
      <c r="A131" s="237" t="s">
        <v>1994</v>
      </c>
      <c r="B131" s="238" t="s">
        <v>2875</v>
      </c>
      <c r="C131" s="239" t="s">
        <v>38</v>
      </c>
      <c r="D131" s="240">
        <f t="shared" si="1"/>
        <v>0.93270444444444434</v>
      </c>
      <c r="E131" s="226" t="s">
        <v>5222</v>
      </c>
      <c r="G131" s="240">
        <v>0.87</v>
      </c>
    </row>
    <row r="132" spans="1:7" ht="14.25" x14ac:dyDescent="0.2">
      <c r="A132" s="237" t="s">
        <v>5157</v>
      </c>
      <c r="B132" s="238" t="s">
        <v>5158</v>
      </c>
      <c r="C132" s="239" t="s">
        <v>50</v>
      </c>
      <c r="D132" s="240">
        <f t="shared" si="1"/>
        <v>4.3097377777777774</v>
      </c>
      <c r="E132" s="226" t="s">
        <v>5222</v>
      </c>
      <c r="G132" s="240">
        <v>4.0199999999999996</v>
      </c>
    </row>
    <row r="133" spans="1:7" ht="14.25" x14ac:dyDescent="0.2">
      <c r="A133" s="237" t="s">
        <v>1995</v>
      </c>
      <c r="B133" s="238" t="s">
        <v>2876</v>
      </c>
      <c r="C133" s="239" t="s">
        <v>50</v>
      </c>
      <c r="D133" s="240">
        <f t="shared" si="1"/>
        <v>11.331822962962962</v>
      </c>
      <c r="E133" s="226" t="s">
        <v>5222</v>
      </c>
      <c r="G133" s="240">
        <v>10.57</v>
      </c>
    </row>
    <row r="134" spans="1:7" ht="14.25" x14ac:dyDescent="0.2">
      <c r="A134" s="237" t="s">
        <v>1996</v>
      </c>
      <c r="B134" s="238" t="s">
        <v>2877</v>
      </c>
      <c r="C134" s="239" t="s">
        <v>50</v>
      </c>
      <c r="D134" s="240">
        <f t="shared" si="1"/>
        <v>36.868627407407402</v>
      </c>
      <c r="E134" s="226" t="s">
        <v>5222</v>
      </c>
      <c r="G134" s="240">
        <v>34.39</v>
      </c>
    </row>
    <row r="135" spans="1:7" ht="14.25" x14ac:dyDescent="0.2">
      <c r="A135" s="237" t="s">
        <v>1997</v>
      </c>
      <c r="B135" s="238" t="s">
        <v>2878</v>
      </c>
      <c r="C135" s="239" t="s">
        <v>50</v>
      </c>
      <c r="D135" s="240">
        <f t="shared" si="1"/>
        <v>58.320829629629621</v>
      </c>
      <c r="E135" s="226" t="s">
        <v>5222</v>
      </c>
      <c r="G135" s="240">
        <v>54.4</v>
      </c>
    </row>
    <row r="136" spans="1:7" ht="14.25" x14ac:dyDescent="0.2">
      <c r="A136" s="237" t="s">
        <v>1998</v>
      </c>
      <c r="B136" s="238" t="s">
        <v>2879</v>
      </c>
      <c r="C136" s="239" t="s">
        <v>50</v>
      </c>
      <c r="D136" s="240">
        <f t="shared" ref="D136:D199" si="2">(G136/(1+0.35))*(1+$D$3)</f>
        <v>24.61482074074074</v>
      </c>
      <c r="E136" s="226" t="s">
        <v>5222</v>
      </c>
      <c r="G136" s="240">
        <v>22.96</v>
      </c>
    </row>
    <row r="137" spans="1:7" ht="14.25" x14ac:dyDescent="0.2">
      <c r="A137" s="237" t="s">
        <v>1999</v>
      </c>
      <c r="B137" s="238" t="s">
        <v>2880</v>
      </c>
      <c r="C137" s="239" t="s">
        <v>50</v>
      </c>
      <c r="D137" s="240">
        <f t="shared" si="2"/>
        <v>4.3097377777777774</v>
      </c>
      <c r="E137" s="226" t="s">
        <v>5222</v>
      </c>
      <c r="G137" s="240">
        <v>4.0199999999999996</v>
      </c>
    </row>
    <row r="138" spans="1:7" ht="14.25" x14ac:dyDescent="0.2">
      <c r="A138" s="237" t="s">
        <v>2000</v>
      </c>
      <c r="B138" s="238" t="s">
        <v>2881</v>
      </c>
      <c r="C138" s="239" t="s">
        <v>50</v>
      </c>
      <c r="D138" s="240">
        <f t="shared" si="2"/>
        <v>10.345514814814814</v>
      </c>
      <c r="E138" s="226" t="s">
        <v>5222</v>
      </c>
      <c r="G138" s="240">
        <v>9.65</v>
      </c>
    </row>
    <row r="139" spans="1:7" ht="14.25" x14ac:dyDescent="0.2">
      <c r="A139" s="237" t="s">
        <v>2001</v>
      </c>
      <c r="B139" s="238" t="s">
        <v>2882</v>
      </c>
      <c r="C139" s="239" t="s">
        <v>50</v>
      </c>
      <c r="D139" s="240">
        <f t="shared" si="2"/>
        <v>9.0804674074074079</v>
      </c>
      <c r="E139" s="226" t="s">
        <v>5222</v>
      </c>
      <c r="G139" s="240">
        <v>8.4700000000000006</v>
      </c>
    </row>
    <row r="140" spans="1:7" ht="14.25" x14ac:dyDescent="0.2">
      <c r="A140" s="237" t="s">
        <v>2002</v>
      </c>
      <c r="B140" s="238" t="s">
        <v>2883</v>
      </c>
      <c r="C140" s="239" t="s">
        <v>50</v>
      </c>
      <c r="D140" s="240">
        <f t="shared" si="2"/>
        <v>4.4169451851851855</v>
      </c>
      <c r="E140" s="226" t="s">
        <v>5222</v>
      </c>
      <c r="G140" s="240">
        <v>4.12</v>
      </c>
    </row>
    <row r="141" spans="1:7" ht="14.25" x14ac:dyDescent="0.2">
      <c r="A141" s="237" t="s">
        <v>2003</v>
      </c>
      <c r="B141" s="238" t="s">
        <v>2884</v>
      </c>
      <c r="C141" s="239" t="s">
        <v>50</v>
      </c>
      <c r="D141" s="240">
        <f t="shared" si="2"/>
        <v>35.496372592592593</v>
      </c>
      <c r="E141" s="226" t="s">
        <v>5222</v>
      </c>
      <c r="G141" s="240">
        <v>33.11</v>
      </c>
    </row>
    <row r="142" spans="1:7" ht="14.25" x14ac:dyDescent="0.2">
      <c r="A142" s="237" t="s">
        <v>2004</v>
      </c>
      <c r="B142" s="238" t="s">
        <v>2885</v>
      </c>
      <c r="C142" s="239" t="s">
        <v>52</v>
      </c>
      <c r="D142" s="240">
        <f t="shared" si="2"/>
        <v>8.6945207407407388</v>
      </c>
      <c r="E142" s="226" t="s">
        <v>5222</v>
      </c>
      <c r="G142" s="240">
        <v>8.11</v>
      </c>
    </row>
    <row r="143" spans="1:7" ht="14.25" x14ac:dyDescent="0.2">
      <c r="A143" s="237" t="s">
        <v>2005</v>
      </c>
      <c r="B143" s="238" t="s">
        <v>2886</v>
      </c>
      <c r="C143" s="239" t="s">
        <v>52</v>
      </c>
      <c r="D143" s="240">
        <f t="shared" si="2"/>
        <v>5.1137933333333327</v>
      </c>
      <c r="E143" s="226" t="s">
        <v>5222</v>
      </c>
      <c r="G143" s="240">
        <v>4.7699999999999996</v>
      </c>
    </row>
    <row r="144" spans="1:7" ht="14.25" x14ac:dyDescent="0.2">
      <c r="A144" s="237" t="s">
        <v>2006</v>
      </c>
      <c r="B144" s="238" t="s">
        <v>2887</v>
      </c>
      <c r="C144" s="239" t="s">
        <v>52</v>
      </c>
      <c r="D144" s="240">
        <f t="shared" si="2"/>
        <v>3.9666740740740738</v>
      </c>
      <c r="E144" s="226" t="s">
        <v>5222</v>
      </c>
      <c r="G144" s="240">
        <v>3.7</v>
      </c>
    </row>
    <row r="145" spans="1:7" ht="14.25" x14ac:dyDescent="0.2">
      <c r="A145" s="237" t="s">
        <v>2007</v>
      </c>
      <c r="B145" s="238" t="s">
        <v>2888</v>
      </c>
      <c r="C145" s="239" t="s">
        <v>52</v>
      </c>
      <c r="D145" s="240">
        <f t="shared" si="2"/>
        <v>3.3234296296296297</v>
      </c>
      <c r="E145" s="226" t="s">
        <v>5222</v>
      </c>
      <c r="G145" s="240">
        <v>3.1</v>
      </c>
    </row>
    <row r="146" spans="1:7" ht="14.25" x14ac:dyDescent="0.2">
      <c r="A146" s="237" t="s">
        <v>2008</v>
      </c>
      <c r="B146" s="238" t="s">
        <v>2889</v>
      </c>
      <c r="C146" s="239" t="s">
        <v>52</v>
      </c>
      <c r="D146" s="240">
        <f t="shared" si="2"/>
        <v>2.926762222222222</v>
      </c>
      <c r="E146" s="226" t="s">
        <v>5222</v>
      </c>
      <c r="G146" s="240">
        <v>2.73</v>
      </c>
    </row>
    <row r="147" spans="1:7" ht="14.25" x14ac:dyDescent="0.2">
      <c r="A147" s="237" t="s">
        <v>2009</v>
      </c>
      <c r="B147" s="238" t="s">
        <v>2890</v>
      </c>
      <c r="C147" s="239" t="s">
        <v>52</v>
      </c>
      <c r="D147" s="240">
        <f t="shared" si="2"/>
        <v>2.3049592592592592</v>
      </c>
      <c r="E147" s="226" t="s">
        <v>5222</v>
      </c>
      <c r="G147" s="240">
        <v>2.15</v>
      </c>
    </row>
    <row r="148" spans="1:7" ht="14.25" x14ac:dyDescent="0.2">
      <c r="A148" s="237" t="s">
        <v>2010</v>
      </c>
      <c r="B148" s="238" t="s">
        <v>2891</v>
      </c>
      <c r="C148" s="239" t="s">
        <v>52</v>
      </c>
      <c r="D148" s="240">
        <f t="shared" si="2"/>
        <v>10.806506666666666</v>
      </c>
      <c r="E148" s="226" t="s">
        <v>5222</v>
      </c>
      <c r="G148" s="240">
        <v>10.08</v>
      </c>
    </row>
    <row r="149" spans="1:7" ht="14.25" x14ac:dyDescent="0.2">
      <c r="A149" s="237" t="s">
        <v>2011</v>
      </c>
      <c r="B149" s="238" t="s">
        <v>2892</v>
      </c>
      <c r="C149" s="239" t="s">
        <v>52</v>
      </c>
      <c r="D149" s="240">
        <f t="shared" si="2"/>
        <v>7.8904651851851852</v>
      </c>
      <c r="E149" s="226" t="s">
        <v>5222</v>
      </c>
      <c r="G149" s="240">
        <v>7.36</v>
      </c>
    </row>
    <row r="150" spans="1:7" ht="14.25" x14ac:dyDescent="0.2">
      <c r="A150" s="237" t="s">
        <v>2012</v>
      </c>
      <c r="B150" s="238" t="s">
        <v>2893</v>
      </c>
      <c r="C150" s="239" t="s">
        <v>52</v>
      </c>
      <c r="D150" s="240">
        <f t="shared" si="2"/>
        <v>8.1370422222222221</v>
      </c>
      <c r="E150" s="226" t="s">
        <v>5222</v>
      </c>
      <c r="G150" s="240">
        <v>7.59</v>
      </c>
    </row>
    <row r="151" spans="1:7" ht="14.25" x14ac:dyDescent="0.2">
      <c r="A151" s="237" t="s">
        <v>2013</v>
      </c>
      <c r="B151" s="238" t="s">
        <v>2894</v>
      </c>
      <c r="C151" s="239" t="s">
        <v>52</v>
      </c>
      <c r="D151" s="240">
        <f t="shared" si="2"/>
        <v>5.5962266666666665</v>
      </c>
      <c r="E151" s="226" t="s">
        <v>5222</v>
      </c>
      <c r="G151" s="240">
        <v>5.22</v>
      </c>
    </row>
    <row r="152" spans="1:7" ht="14.25" x14ac:dyDescent="0.2">
      <c r="A152" s="237" t="s">
        <v>2014</v>
      </c>
      <c r="B152" s="238" t="s">
        <v>2895</v>
      </c>
      <c r="C152" s="239" t="s">
        <v>52</v>
      </c>
      <c r="D152" s="240">
        <f t="shared" si="2"/>
        <v>9.2948822222222223</v>
      </c>
      <c r="E152" s="226" t="s">
        <v>5222</v>
      </c>
      <c r="G152" s="240">
        <v>8.67</v>
      </c>
    </row>
    <row r="153" spans="1:7" ht="14.25" x14ac:dyDescent="0.2">
      <c r="A153" s="237" t="s">
        <v>2015</v>
      </c>
      <c r="B153" s="238" t="s">
        <v>2896</v>
      </c>
      <c r="C153" s="239" t="s">
        <v>52</v>
      </c>
      <c r="D153" s="240">
        <f t="shared" si="2"/>
        <v>5.8106414814814809</v>
      </c>
      <c r="E153" s="226" t="s">
        <v>5222</v>
      </c>
      <c r="G153" s="240">
        <v>5.42</v>
      </c>
    </row>
    <row r="154" spans="1:7" ht="14.25" x14ac:dyDescent="0.2">
      <c r="A154" s="237" t="s">
        <v>2016</v>
      </c>
      <c r="B154" s="238" t="s">
        <v>2897</v>
      </c>
      <c r="C154" s="239" t="s">
        <v>50</v>
      </c>
      <c r="D154" s="240">
        <f t="shared" si="2"/>
        <v>6.5396518518518514</v>
      </c>
      <c r="E154" s="226" t="s">
        <v>5222</v>
      </c>
      <c r="G154" s="240">
        <v>6.1</v>
      </c>
    </row>
    <row r="155" spans="1:7" ht="14.25" x14ac:dyDescent="0.2">
      <c r="A155" s="237" t="s">
        <v>2017</v>
      </c>
      <c r="B155" s="238" t="s">
        <v>2898</v>
      </c>
      <c r="C155" s="239" t="s">
        <v>50</v>
      </c>
      <c r="D155" s="240">
        <f t="shared" si="2"/>
        <v>233.10106592592592</v>
      </c>
      <c r="E155" s="226" t="s">
        <v>5222</v>
      </c>
      <c r="G155" s="240">
        <v>217.43</v>
      </c>
    </row>
    <row r="156" spans="1:7" ht="14.25" x14ac:dyDescent="0.2">
      <c r="A156" s="237" t="s">
        <v>2018</v>
      </c>
      <c r="B156" s="238" t="s">
        <v>2899</v>
      </c>
      <c r="C156" s="239" t="s">
        <v>50</v>
      </c>
      <c r="D156" s="240">
        <f t="shared" si="2"/>
        <v>233.62638222222219</v>
      </c>
      <c r="E156" s="226" t="s">
        <v>5222</v>
      </c>
      <c r="G156" s="240">
        <v>217.92</v>
      </c>
    </row>
    <row r="157" spans="1:7" ht="14.25" x14ac:dyDescent="0.2">
      <c r="A157" s="237" t="s">
        <v>2501</v>
      </c>
      <c r="B157" s="238" t="s">
        <v>2900</v>
      </c>
      <c r="C157" s="239" t="s">
        <v>50</v>
      </c>
      <c r="D157" s="240">
        <f t="shared" si="2"/>
        <v>145.92000222222222</v>
      </c>
      <c r="E157" s="226" t="s">
        <v>5222</v>
      </c>
      <c r="G157" s="240">
        <v>136.11000000000001</v>
      </c>
    </row>
    <row r="158" spans="1:7" ht="14.25" x14ac:dyDescent="0.2">
      <c r="A158" s="237" t="s">
        <v>2019</v>
      </c>
      <c r="B158" s="238" t="s">
        <v>2901</v>
      </c>
      <c r="C158" s="239" t="s">
        <v>50</v>
      </c>
      <c r="D158" s="240">
        <f t="shared" si="2"/>
        <v>4.4169451851851855</v>
      </c>
      <c r="E158" s="226" t="s">
        <v>5222</v>
      </c>
      <c r="G158" s="240">
        <v>4.12</v>
      </c>
    </row>
    <row r="159" spans="1:7" ht="14.25" x14ac:dyDescent="0.2">
      <c r="A159" s="237" t="s">
        <v>2020</v>
      </c>
      <c r="B159" s="238" t="s">
        <v>2902</v>
      </c>
      <c r="C159" s="239" t="s">
        <v>27</v>
      </c>
      <c r="D159" s="240">
        <f t="shared" si="2"/>
        <v>11.932184444444445</v>
      </c>
      <c r="E159" s="226" t="s">
        <v>5222</v>
      </c>
      <c r="G159" s="240">
        <v>11.13</v>
      </c>
    </row>
    <row r="160" spans="1:7" ht="14.25" x14ac:dyDescent="0.2">
      <c r="A160" s="237" t="s">
        <v>2021</v>
      </c>
      <c r="B160" s="238" t="s">
        <v>2903</v>
      </c>
      <c r="C160" s="239" t="s">
        <v>38</v>
      </c>
      <c r="D160" s="240">
        <f t="shared" si="2"/>
        <v>29.106811111111107</v>
      </c>
      <c r="E160" s="226" t="s">
        <v>5222</v>
      </c>
      <c r="G160" s="240">
        <v>27.15</v>
      </c>
    </row>
    <row r="161" spans="1:7" ht="14.25" x14ac:dyDescent="0.2">
      <c r="A161" s="237" t="s">
        <v>2022</v>
      </c>
      <c r="B161" s="238" t="s">
        <v>2904</v>
      </c>
      <c r="C161" s="239" t="s">
        <v>38</v>
      </c>
      <c r="D161" s="240">
        <f t="shared" si="2"/>
        <v>33.330782962962964</v>
      </c>
      <c r="E161" s="226" t="s">
        <v>5222</v>
      </c>
      <c r="G161" s="240">
        <v>31.09</v>
      </c>
    </row>
    <row r="162" spans="1:7" ht="14.25" x14ac:dyDescent="0.2">
      <c r="A162" s="237" t="s">
        <v>2023</v>
      </c>
      <c r="B162" s="238" t="s">
        <v>2905</v>
      </c>
      <c r="C162" s="239" t="s">
        <v>38</v>
      </c>
      <c r="D162" s="240">
        <f t="shared" si="2"/>
        <v>37.576196296296288</v>
      </c>
      <c r="E162" s="226" t="s">
        <v>5222</v>
      </c>
      <c r="G162" s="240">
        <v>35.049999999999997</v>
      </c>
    </row>
    <row r="163" spans="1:7" ht="14.25" x14ac:dyDescent="0.2">
      <c r="A163" s="237" t="s">
        <v>2024</v>
      </c>
      <c r="B163" s="238" t="s">
        <v>2906</v>
      </c>
      <c r="C163" s="239" t="s">
        <v>38</v>
      </c>
      <c r="D163" s="240">
        <f t="shared" si="2"/>
        <v>45.466661481481474</v>
      </c>
      <c r="E163" s="226" t="s">
        <v>5222</v>
      </c>
      <c r="G163" s="240">
        <v>42.41</v>
      </c>
    </row>
    <row r="164" spans="1:7" ht="14.25" x14ac:dyDescent="0.2">
      <c r="A164" s="237" t="s">
        <v>2025</v>
      </c>
      <c r="B164" s="238" t="s">
        <v>2907</v>
      </c>
      <c r="C164" s="239" t="s">
        <v>38</v>
      </c>
      <c r="D164" s="240">
        <f t="shared" si="2"/>
        <v>48.093242962962961</v>
      </c>
      <c r="E164" s="226" t="s">
        <v>5222</v>
      </c>
      <c r="G164" s="240">
        <v>44.86</v>
      </c>
    </row>
    <row r="165" spans="1:7" ht="14.25" x14ac:dyDescent="0.2">
      <c r="A165" s="237" t="s">
        <v>2026</v>
      </c>
      <c r="B165" s="238" t="s">
        <v>2908</v>
      </c>
      <c r="C165" s="239" t="s">
        <v>38</v>
      </c>
      <c r="D165" s="240">
        <f t="shared" si="2"/>
        <v>53.421451111111104</v>
      </c>
      <c r="E165" s="226" t="s">
        <v>5222</v>
      </c>
      <c r="G165" s="240">
        <v>49.83</v>
      </c>
    </row>
    <row r="166" spans="1:7" ht="14.25" x14ac:dyDescent="0.2">
      <c r="A166" s="237" t="s">
        <v>2027</v>
      </c>
      <c r="B166" s="238" t="s">
        <v>2909</v>
      </c>
      <c r="C166" s="239" t="s">
        <v>38</v>
      </c>
      <c r="D166" s="240">
        <f t="shared" si="2"/>
        <v>30.725642962962961</v>
      </c>
      <c r="E166" s="226" t="s">
        <v>5222</v>
      </c>
      <c r="G166" s="240">
        <v>28.66</v>
      </c>
    </row>
    <row r="167" spans="1:7" ht="14.25" x14ac:dyDescent="0.2">
      <c r="A167" s="237" t="s">
        <v>2028</v>
      </c>
      <c r="B167" s="238" t="s">
        <v>2910</v>
      </c>
      <c r="C167" s="239" t="s">
        <v>38</v>
      </c>
      <c r="D167" s="240">
        <f t="shared" si="2"/>
        <v>35.217633333333332</v>
      </c>
      <c r="E167" s="226" t="s">
        <v>5222</v>
      </c>
      <c r="G167" s="240">
        <v>32.85</v>
      </c>
    </row>
    <row r="168" spans="1:7" ht="14.25" x14ac:dyDescent="0.2">
      <c r="A168" s="237" t="s">
        <v>2029</v>
      </c>
      <c r="B168" s="238" t="s">
        <v>2911</v>
      </c>
      <c r="C168" s="239" t="s">
        <v>38</v>
      </c>
      <c r="D168" s="240">
        <f t="shared" si="2"/>
        <v>39.656019999999998</v>
      </c>
      <c r="E168" s="226" t="s">
        <v>5222</v>
      </c>
      <c r="G168" s="240">
        <v>36.99</v>
      </c>
    </row>
    <row r="169" spans="1:7" ht="14.25" x14ac:dyDescent="0.2">
      <c r="A169" s="237" t="s">
        <v>2030</v>
      </c>
      <c r="B169" s="238" t="s">
        <v>2912</v>
      </c>
      <c r="C169" s="239" t="s">
        <v>38</v>
      </c>
      <c r="D169" s="240">
        <f t="shared" si="2"/>
        <v>44.148010370370372</v>
      </c>
      <c r="E169" s="226" t="s">
        <v>5222</v>
      </c>
      <c r="G169" s="240">
        <v>41.18</v>
      </c>
    </row>
    <row r="170" spans="1:7" ht="14.25" x14ac:dyDescent="0.2">
      <c r="A170" s="237" t="s">
        <v>2031</v>
      </c>
      <c r="B170" s="238" t="s">
        <v>2913</v>
      </c>
      <c r="C170" s="239" t="s">
        <v>38</v>
      </c>
      <c r="D170" s="240">
        <f t="shared" si="2"/>
        <v>50.848473333333331</v>
      </c>
      <c r="E170" s="226" t="s">
        <v>5222</v>
      </c>
      <c r="G170" s="240">
        <v>47.43</v>
      </c>
    </row>
    <row r="171" spans="1:7" ht="14.25" x14ac:dyDescent="0.2">
      <c r="A171" s="237" t="s">
        <v>2032</v>
      </c>
      <c r="B171" s="238" t="s">
        <v>2914</v>
      </c>
      <c r="C171" s="239" t="s">
        <v>38</v>
      </c>
      <c r="D171" s="240">
        <f t="shared" si="2"/>
        <v>56.423258518518523</v>
      </c>
      <c r="E171" s="226" t="s">
        <v>5222</v>
      </c>
      <c r="G171" s="240">
        <v>52.63</v>
      </c>
    </row>
    <row r="172" spans="1:7" ht="14.25" x14ac:dyDescent="0.2">
      <c r="A172" s="237" t="s">
        <v>2033</v>
      </c>
      <c r="B172" s="238" t="s">
        <v>2915</v>
      </c>
      <c r="C172" s="239" t="s">
        <v>38</v>
      </c>
      <c r="D172" s="240">
        <f t="shared" si="2"/>
        <v>32.355195555555554</v>
      </c>
      <c r="E172" s="226" t="s">
        <v>5222</v>
      </c>
      <c r="G172" s="240">
        <v>30.18</v>
      </c>
    </row>
    <row r="173" spans="1:7" ht="14.25" x14ac:dyDescent="0.2">
      <c r="A173" s="237" t="s">
        <v>2034</v>
      </c>
      <c r="B173" s="238" t="s">
        <v>2916</v>
      </c>
      <c r="C173" s="239" t="s">
        <v>38</v>
      </c>
      <c r="D173" s="240">
        <f t="shared" si="2"/>
        <v>37.072321481481474</v>
      </c>
      <c r="E173" s="226" t="s">
        <v>5222</v>
      </c>
      <c r="G173" s="240">
        <v>34.58</v>
      </c>
    </row>
    <row r="174" spans="1:7" ht="14.25" x14ac:dyDescent="0.2">
      <c r="A174" s="237" t="s">
        <v>2035</v>
      </c>
      <c r="B174" s="238" t="s">
        <v>2917</v>
      </c>
      <c r="C174" s="239" t="s">
        <v>38</v>
      </c>
      <c r="D174" s="240">
        <f t="shared" si="2"/>
        <v>45.466661481481474</v>
      </c>
      <c r="E174" s="226" t="s">
        <v>5222</v>
      </c>
      <c r="G174" s="240">
        <v>42.41</v>
      </c>
    </row>
    <row r="175" spans="1:7" ht="14.25" x14ac:dyDescent="0.2">
      <c r="A175" s="237" t="s">
        <v>2036</v>
      </c>
      <c r="B175" s="238" t="s">
        <v>2918</v>
      </c>
      <c r="C175" s="239" t="s">
        <v>38</v>
      </c>
      <c r="D175" s="240">
        <f t="shared" si="2"/>
        <v>46.506573333333336</v>
      </c>
      <c r="E175" s="226" t="s">
        <v>5222</v>
      </c>
      <c r="G175" s="240">
        <v>43.38</v>
      </c>
    </row>
    <row r="176" spans="1:7" ht="14.25" x14ac:dyDescent="0.2">
      <c r="A176" s="237" t="s">
        <v>2037</v>
      </c>
      <c r="B176" s="238" t="s">
        <v>2919</v>
      </c>
      <c r="C176" s="239" t="s">
        <v>38</v>
      </c>
      <c r="D176" s="240">
        <f t="shared" si="2"/>
        <v>53.571541481481482</v>
      </c>
      <c r="E176" s="226" t="s">
        <v>5222</v>
      </c>
      <c r="G176" s="240">
        <v>49.97</v>
      </c>
    </row>
    <row r="177" spans="1:7" ht="14.25" x14ac:dyDescent="0.2">
      <c r="A177" s="237" t="s">
        <v>2038</v>
      </c>
      <c r="B177" s="238" t="s">
        <v>2920</v>
      </c>
      <c r="C177" s="239" t="s">
        <v>38</v>
      </c>
      <c r="D177" s="240">
        <f t="shared" si="2"/>
        <v>59.510831851851847</v>
      </c>
      <c r="E177" s="226" t="s">
        <v>5222</v>
      </c>
      <c r="G177" s="240">
        <v>55.51</v>
      </c>
    </row>
    <row r="178" spans="1:7" ht="14.25" x14ac:dyDescent="0.2">
      <c r="A178" s="237" t="s">
        <v>2039</v>
      </c>
      <c r="B178" s="238" t="s">
        <v>2921</v>
      </c>
      <c r="C178" s="239" t="s">
        <v>38</v>
      </c>
      <c r="D178" s="240">
        <f t="shared" si="2"/>
        <v>33.802495555555552</v>
      </c>
      <c r="E178" s="226" t="s">
        <v>5222</v>
      </c>
      <c r="G178" s="240">
        <v>31.53</v>
      </c>
    </row>
    <row r="179" spans="1:7" ht="14.25" x14ac:dyDescent="0.2">
      <c r="A179" s="237" t="s">
        <v>2040</v>
      </c>
      <c r="B179" s="238" t="s">
        <v>2922</v>
      </c>
      <c r="C179" s="239" t="s">
        <v>38</v>
      </c>
      <c r="D179" s="240">
        <f t="shared" si="2"/>
        <v>38.937730370370367</v>
      </c>
      <c r="E179" s="226" t="s">
        <v>5222</v>
      </c>
      <c r="G179" s="240">
        <v>36.32</v>
      </c>
    </row>
    <row r="180" spans="1:7" ht="14.25" x14ac:dyDescent="0.2">
      <c r="A180" s="237" t="s">
        <v>2041</v>
      </c>
      <c r="B180" s="238" t="s">
        <v>2923</v>
      </c>
      <c r="C180" s="239" t="s">
        <v>38</v>
      </c>
      <c r="D180" s="240">
        <f t="shared" si="2"/>
        <v>43.879991851851848</v>
      </c>
      <c r="E180" s="226" t="s">
        <v>5222</v>
      </c>
      <c r="G180" s="240">
        <v>40.93</v>
      </c>
    </row>
    <row r="181" spans="1:7" ht="14.25" x14ac:dyDescent="0.2">
      <c r="A181" s="237" t="s">
        <v>2042</v>
      </c>
      <c r="B181" s="238" t="s">
        <v>2924</v>
      </c>
      <c r="C181" s="239" t="s">
        <v>38</v>
      </c>
      <c r="D181" s="240">
        <f t="shared" si="2"/>
        <v>48.854415555555555</v>
      </c>
      <c r="E181" s="226" t="s">
        <v>5222</v>
      </c>
      <c r="G181" s="240">
        <v>45.57</v>
      </c>
    </row>
    <row r="182" spans="1:7" ht="14.25" x14ac:dyDescent="0.2">
      <c r="A182" s="237" t="s">
        <v>2043</v>
      </c>
      <c r="B182" s="238" t="s">
        <v>2925</v>
      </c>
      <c r="C182" s="239" t="s">
        <v>38</v>
      </c>
      <c r="D182" s="240">
        <f t="shared" si="2"/>
        <v>56.283888888888889</v>
      </c>
      <c r="E182" s="226" t="s">
        <v>5222</v>
      </c>
      <c r="G182" s="240">
        <v>52.5</v>
      </c>
    </row>
    <row r="183" spans="1:7" ht="14.25" x14ac:dyDescent="0.2">
      <c r="A183" s="237" t="s">
        <v>2044</v>
      </c>
      <c r="B183" s="238" t="s">
        <v>2926</v>
      </c>
      <c r="C183" s="239" t="s">
        <v>38</v>
      </c>
      <c r="D183" s="240">
        <f t="shared" si="2"/>
        <v>62.501918518518515</v>
      </c>
      <c r="E183" s="226" t="s">
        <v>5222</v>
      </c>
      <c r="G183" s="240">
        <v>58.3</v>
      </c>
    </row>
    <row r="184" spans="1:7" ht="14.25" x14ac:dyDescent="0.2">
      <c r="A184" s="237" t="s">
        <v>2045</v>
      </c>
      <c r="B184" s="238" t="s">
        <v>2927</v>
      </c>
      <c r="C184" s="239" t="s">
        <v>38</v>
      </c>
      <c r="D184" s="240">
        <f t="shared" si="2"/>
        <v>44.491074074074078</v>
      </c>
      <c r="E184" s="226" t="s">
        <v>5222</v>
      </c>
      <c r="G184" s="240">
        <v>41.5</v>
      </c>
    </row>
    <row r="185" spans="1:7" ht="14.25" x14ac:dyDescent="0.2">
      <c r="A185" s="237" t="s">
        <v>2046</v>
      </c>
      <c r="B185" s="238" t="s">
        <v>2928</v>
      </c>
      <c r="C185" s="239" t="s">
        <v>38</v>
      </c>
      <c r="D185" s="240">
        <f t="shared" si="2"/>
        <v>50.205228888888882</v>
      </c>
      <c r="E185" s="226" t="s">
        <v>5222</v>
      </c>
      <c r="G185" s="240">
        <v>46.83</v>
      </c>
    </row>
    <row r="186" spans="1:7" ht="14.25" x14ac:dyDescent="0.2">
      <c r="A186" s="237" t="s">
        <v>2047</v>
      </c>
      <c r="B186" s="238" t="s">
        <v>2929</v>
      </c>
      <c r="C186" s="239" t="s">
        <v>38</v>
      </c>
      <c r="D186" s="240">
        <f t="shared" si="2"/>
        <v>55.908662962962957</v>
      </c>
      <c r="E186" s="226" t="s">
        <v>5222</v>
      </c>
      <c r="G186" s="240">
        <v>52.15</v>
      </c>
    </row>
    <row r="187" spans="1:7" ht="14.25" x14ac:dyDescent="0.2">
      <c r="A187" s="237" t="s">
        <v>2048</v>
      </c>
      <c r="B187" s="238" t="s">
        <v>2930</v>
      </c>
      <c r="C187" s="239" t="s">
        <v>38</v>
      </c>
      <c r="D187" s="240">
        <f t="shared" si="2"/>
        <v>64.485255555555554</v>
      </c>
      <c r="E187" s="226" t="s">
        <v>5222</v>
      </c>
      <c r="G187" s="240">
        <v>60.15</v>
      </c>
    </row>
    <row r="188" spans="1:7" ht="14.25" x14ac:dyDescent="0.2">
      <c r="A188" s="237" t="s">
        <v>2049</v>
      </c>
      <c r="B188" s="238" t="s">
        <v>2931</v>
      </c>
      <c r="C188" s="239" t="s">
        <v>38</v>
      </c>
      <c r="D188" s="240">
        <f t="shared" si="2"/>
        <v>71.689593333333335</v>
      </c>
      <c r="E188" s="226" t="s">
        <v>5222</v>
      </c>
      <c r="G188" s="240">
        <v>66.87</v>
      </c>
    </row>
    <row r="189" spans="1:7" ht="14.25" x14ac:dyDescent="0.2">
      <c r="A189" s="237" t="s">
        <v>2050</v>
      </c>
      <c r="B189" s="238" t="s">
        <v>2932</v>
      </c>
      <c r="C189" s="239" t="s">
        <v>38</v>
      </c>
      <c r="D189" s="240">
        <f t="shared" si="2"/>
        <v>96.014954074074083</v>
      </c>
      <c r="E189" s="226" t="s">
        <v>5222</v>
      </c>
      <c r="G189" s="240">
        <v>89.56</v>
      </c>
    </row>
    <row r="190" spans="1:7" ht="14.25" x14ac:dyDescent="0.2">
      <c r="A190" s="237" t="s">
        <v>2051</v>
      </c>
      <c r="B190" s="238" t="s">
        <v>2933</v>
      </c>
      <c r="C190" s="239" t="s">
        <v>38</v>
      </c>
      <c r="D190" s="240">
        <f t="shared" si="2"/>
        <v>105.9209185185185</v>
      </c>
      <c r="E190" s="226" t="s">
        <v>5222</v>
      </c>
      <c r="G190" s="240">
        <v>98.8</v>
      </c>
    </row>
    <row r="191" spans="1:7" ht="14.25" x14ac:dyDescent="0.2">
      <c r="A191" s="237" t="s">
        <v>2052</v>
      </c>
      <c r="B191" s="238" t="s">
        <v>2934</v>
      </c>
      <c r="C191" s="239" t="s">
        <v>38</v>
      </c>
      <c r="D191" s="240">
        <f t="shared" si="2"/>
        <v>113.37183333333333</v>
      </c>
      <c r="E191" s="226" t="s">
        <v>5222</v>
      </c>
      <c r="G191" s="240">
        <v>105.75</v>
      </c>
    </row>
    <row r="192" spans="1:7" ht="14.25" x14ac:dyDescent="0.2">
      <c r="A192" s="237" t="s">
        <v>2053</v>
      </c>
      <c r="B192" s="238" t="s">
        <v>2935</v>
      </c>
      <c r="C192" s="239" t="s">
        <v>38</v>
      </c>
      <c r="D192" s="240">
        <f t="shared" si="2"/>
        <v>110.88462148148149</v>
      </c>
      <c r="E192" s="226" t="s">
        <v>5222</v>
      </c>
      <c r="G192" s="240">
        <v>103.43</v>
      </c>
    </row>
    <row r="193" spans="1:7" ht="14.25" x14ac:dyDescent="0.2">
      <c r="A193" s="237" t="s">
        <v>2054</v>
      </c>
      <c r="B193" s="238" t="s">
        <v>2936</v>
      </c>
      <c r="C193" s="239" t="s">
        <v>38</v>
      </c>
      <c r="D193" s="240">
        <f t="shared" si="2"/>
        <v>120.79058592592592</v>
      </c>
      <c r="E193" s="226" t="s">
        <v>5222</v>
      </c>
      <c r="G193" s="240">
        <v>112.67</v>
      </c>
    </row>
    <row r="194" spans="1:7" ht="14.25" x14ac:dyDescent="0.2">
      <c r="A194" s="237" t="s">
        <v>2055</v>
      </c>
      <c r="B194" s="238" t="s">
        <v>2937</v>
      </c>
      <c r="C194" s="239" t="s">
        <v>38</v>
      </c>
      <c r="D194" s="240">
        <f t="shared" si="2"/>
        <v>125.78645111111109</v>
      </c>
      <c r="E194" s="226" t="s">
        <v>5222</v>
      </c>
      <c r="G194" s="240">
        <v>117.33</v>
      </c>
    </row>
    <row r="195" spans="1:7" ht="14.25" x14ac:dyDescent="0.2">
      <c r="A195" s="237" t="s">
        <v>2056</v>
      </c>
      <c r="B195" s="238" t="s">
        <v>2938</v>
      </c>
      <c r="C195" s="239" t="s">
        <v>38</v>
      </c>
      <c r="D195" s="240">
        <f t="shared" si="2"/>
        <v>32.355195555555554</v>
      </c>
      <c r="E195" s="226" t="s">
        <v>5222</v>
      </c>
      <c r="G195" s="240">
        <v>30.18</v>
      </c>
    </row>
    <row r="196" spans="1:7" ht="14.25" x14ac:dyDescent="0.2">
      <c r="A196" s="237" t="s">
        <v>2057</v>
      </c>
      <c r="B196" s="238" t="s">
        <v>2939</v>
      </c>
      <c r="C196" s="239" t="s">
        <v>38</v>
      </c>
      <c r="D196" s="240">
        <f t="shared" si="2"/>
        <v>37.072321481481474</v>
      </c>
      <c r="E196" s="226" t="s">
        <v>5222</v>
      </c>
      <c r="G196" s="240">
        <v>34.58</v>
      </c>
    </row>
    <row r="197" spans="1:7" ht="14.25" x14ac:dyDescent="0.2">
      <c r="A197" s="237" t="s">
        <v>2058</v>
      </c>
      <c r="B197" s="238" t="s">
        <v>2940</v>
      </c>
      <c r="C197" s="239" t="s">
        <v>38</v>
      </c>
      <c r="D197" s="240">
        <f t="shared" si="2"/>
        <v>45.466661481481474</v>
      </c>
      <c r="E197" s="226" t="s">
        <v>5222</v>
      </c>
      <c r="G197" s="240">
        <v>42.41</v>
      </c>
    </row>
    <row r="198" spans="1:7" ht="14.25" x14ac:dyDescent="0.2">
      <c r="A198" s="237" t="s">
        <v>2059</v>
      </c>
      <c r="B198" s="238" t="s">
        <v>2941</v>
      </c>
      <c r="C198" s="239" t="s">
        <v>38</v>
      </c>
      <c r="D198" s="240">
        <f t="shared" si="2"/>
        <v>46.506573333333336</v>
      </c>
      <c r="E198" s="226" t="s">
        <v>5222</v>
      </c>
      <c r="G198" s="240">
        <v>43.38</v>
      </c>
    </row>
    <row r="199" spans="1:7" ht="14.25" x14ac:dyDescent="0.2">
      <c r="A199" s="237" t="s">
        <v>2060</v>
      </c>
      <c r="B199" s="238" t="s">
        <v>2942</v>
      </c>
      <c r="C199" s="239" t="s">
        <v>38</v>
      </c>
      <c r="D199" s="240">
        <f t="shared" si="2"/>
        <v>33.941865185185179</v>
      </c>
      <c r="E199" s="226" t="s">
        <v>5222</v>
      </c>
      <c r="G199" s="240">
        <v>31.66</v>
      </c>
    </row>
    <row r="200" spans="1:7" ht="14.25" x14ac:dyDescent="0.2">
      <c r="A200" s="237" t="s">
        <v>2061</v>
      </c>
      <c r="B200" s="238" t="s">
        <v>2943</v>
      </c>
      <c r="C200" s="239" t="s">
        <v>38</v>
      </c>
      <c r="D200" s="240">
        <f t="shared" ref="D200:D263" si="3">(G200/(1+0.35))*(1+$D$3)</f>
        <v>38.937730370370367</v>
      </c>
      <c r="E200" s="226" t="s">
        <v>5222</v>
      </c>
      <c r="G200" s="240">
        <v>36.32</v>
      </c>
    </row>
    <row r="201" spans="1:7" ht="14.25" x14ac:dyDescent="0.2">
      <c r="A201" s="237" t="s">
        <v>2062</v>
      </c>
      <c r="B201" s="238" t="s">
        <v>2944</v>
      </c>
      <c r="C201" s="239" t="s">
        <v>38</v>
      </c>
      <c r="D201" s="240">
        <f t="shared" si="3"/>
        <v>43.879991851851848</v>
      </c>
      <c r="E201" s="226" t="s">
        <v>5222</v>
      </c>
      <c r="G201" s="240">
        <v>40.93</v>
      </c>
    </row>
    <row r="202" spans="1:7" ht="14.25" x14ac:dyDescent="0.2">
      <c r="A202" s="237" t="s">
        <v>2063</v>
      </c>
      <c r="B202" s="238" t="s">
        <v>2945</v>
      </c>
      <c r="C202" s="239" t="s">
        <v>38</v>
      </c>
      <c r="D202" s="240">
        <f t="shared" si="3"/>
        <v>48.854415555555555</v>
      </c>
      <c r="E202" s="226" t="s">
        <v>5222</v>
      </c>
      <c r="G202" s="240">
        <v>45.57</v>
      </c>
    </row>
    <row r="203" spans="1:7" ht="14.25" x14ac:dyDescent="0.2">
      <c r="A203" s="237" t="s">
        <v>2064</v>
      </c>
      <c r="B203" s="238" t="s">
        <v>2946</v>
      </c>
      <c r="C203" s="239" t="s">
        <v>38</v>
      </c>
      <c r="D203" s="240">
        <f t="shared" si="3"/>
        <v>2.840996296296296</v>
      </c>
      <c r="E203" s="226" t="s">
        <v>5222</v>
      </c>
      <c r="G203" s="240">
        <v>2.65</v>
      </c>
    </row>
    <row r="204" spans="1:7" ht="14.25" x14ac:dyDescent="0.2">
      <c r="A204" s="237" t="s">
        <v>2065</v>
      </c>
      <c r="B204" s="238" t="s">
        <v>2947</v>
      </c>
      <c r="C204" s="239" t="s">
        <v>38</v>
      </c>
      <c r="D204" s="240">
        <f t="shared" si="3"/>
        <v>3.4091955555555558</v>
      </c>
      <c r="E204" s="226" t="s">
        <v>5222</v>
      </c>
      <c r="G204" s="240">
        <v>3.18</v>
      </c>
    </row>
    <row r="205" spans="1:7" ht="14.25" x14ac:dyDescent="0.2">
      <c r="A205" s="237" t="s">
        <v>2066</v>
      </c>
      <c r="B205" s="238" t="s">
        <v>2948</v>
      </c>
      <c r="C205" s="239" t="s">
        <v>50</v>
      </c>
      <c r="D205" s="240">
        <f t="shared" si="3"/>
        <v>11.063804444444443</v>
      </c>
      <c r="E205" s="226" t="s">
        <v>5222</v>
      </c>
      <c r="G205" s="240">
        <v>10.32</v>
      </c>
    </row>
    <row r="206" spans="1:7" ht="14.25" x14ac:dyDescent="0.2">
      <c r="A206" s="237" t="s">
        <v>263</v>
      </c>
      <c r="B206" s="238" t="s">
        <v>2949</v>
      </c>
      <c r="C206" s="239" t="s">
        <v>52</v>
      </c>
      <c r="D206" s="240">
        <f t="shared" si="3"/>
        <v>9.0911881481481487</v>
      </c>
      <c r="E206" s="226" t="s">
        <v>5222</v>
      </c>
      <c r="G206" s="240">
        <v>8.48</v>
      </c>
    </row>
    <row r="207" spans="1:7" ht="14.25" x14ac:dyDescent="0.2">
      <c r="A207" s="237" t="s">
        <v>264</v>
      </c>
      <c r="B207" s="238" t="s">
        <v>2950</v>
      </c>
      <c r="C207" s="239" t="s">
        <v>52</v>
      </c>
      <c r="D207" s="240">
        <f t="shared" si="3"/>
        <v>6.378840740740741</v>
      </c>
      <c r="E207" s="226" t="s">
        <v>5222</v>
      </c>
      <c r="G207" s="240">
        <v>5.95</v>
      </c>
    </row>
    <row r="208" spans="1:7" ht="14.25" x14ac:dyDescent="0.2">
      <c r="A208" s="237" t="s">
        <v>265</v>
      </c>
      <c r="B208" s="238" t="s">
        <v>2951</v>
      </c>
      <c r="C208" s="239" t="s">
        <v>52</v>
      </c>
      <c r="D208" s="240">
        <f t="shared" si="3"/>
        <v>4.9744237037037031</v>
      </c>
      <c r="E208" s="226" t="s">
        <v>5222</v>
      </c>
      <c r="G208" s="240">
        <v>4.6399999999999997</v>
      </c>
    </row>
    <row r="209" spans="1:7" ht="14.25" x14ac:dyDescent="0.2">
      <c r="A209" s="237" t="s">
        <v>266</v>
      </c>
      <c r="B209" s="238" t="s">
        <v>2952</v>
      </c>
      <c r="C209" s="239" t="s">
        <v>52</v>
      </c>
      <c r="D209" s="240">
        <f t="shared" si="3"/>
        <v>4.1703681481481478</v>
      </c>
      <c r="E209" s="226" t="s">
        <v>5222</v>
      </c>
      <c r="G209" s="240">
        <v>3.89</v>
      </c>
    </row>
    <row r="210" spans="1:7" ht="14.25" x14ac:dyDescent="0.2">
      <c r="A210" s="237" t="s">
        <v>267</v>
      </c>
      <c r="B210" s="238" t="s">
        <v>2953</v>
      </c>
      <c r="C210" s="239" t="s">
        <v>52</v>
      </c>
      <c r="D210" s="240">
        <f t="shared" si="3"/>
        <v>3.6772140740740742</v>
      </c>
      <c r="E210" s="226" t="s">
        <v>5222</v>
      </c>
      <c r="G210" s="240">
        <v>3.43</v>
      </c>
    </row>
    <row r="211" spans="1:7" ht="14.25" x14ac:dyDescent="0.2">
      <c r="A211" s="237" t="s">
        <v>268</v>
      </c>
      <c r="B211" s="238" t="s">
        <v>2954</v>
      </c>
      <c r="C211" s="239" t="s">
        <v>52</v>
      </c>
      <c r="D211" s="240">
        <f t="shared" si="3"/>
        <v>2.8946000000000001</v>
      </c>
      <c r="E211" s="226" t="s">
        <v>5222</v>
      </c>
      <c r="G211" s="240">
        <v>2.7</v>
      </c>
    </row>
    <row r="212" spans="1:7" ht="14.25" x14ac:dyDescent="0.2">
      <c r="A212" s="237" t="s">
        <v>2067</v>
      </c>
      <c r="B212" s="238" t="s">
        <v>2955</v>
      </c>
      <c r="C212" s="239" t="s">
        <v>50</v>
      </c>
      <c r="D212" s="240">
        <f t="shared" si="3"/>
        <v>8.9303770370370366</v>
      </c>
      <c r="E212" s="226" t="s">
        <v>5222</v>
      </c>
      <c r="G212" s="240">
        <v>8.33</v>
      </c>
    </row>
    <row r="213" spans="1:7" ht="14.25" x14ac:dyDescent="0.2">
      <c r="A213" s="237" t="s">
        <v>2068</v>
      </c>
      <c r="B213" s="238" t="s">
        <v>2956</v>
      </c>
      <c r="C213" s="239" t="s">
        <v>50</v>
      </c>
      <c r="D213" s="240">
        <f t="shared" si="3"/>
        <v>8.0298348148148158</v>
      </c>
      <c r="E213" s="226" t="s">
        <v>5222</v>
      </c>
      <c r="G213" s="240">
        <v>7.49</v>
      </c>
    </row>
    <row r="214" spans="1:7" ht="14.25" x14ac:dyDescent="0.2">
      <c r="A214" s="237" t="s">
        <v>2957</v>
      </c>
      <c r="B214" s="238" t="s">
        <v>2958</v>
      </c>
      <c r="C214" s="239" t="s">
        <v>50</v>
      </c>
      <c r="D214" s="240">
        <f t="shared" si="3"/>
        <v>104.37713185185184</v>
      </c>
      <c r="E214" s="226" t="s">
        <v>5222</v>
      </c>
      <c r="G214" s="240">
        <v>97.36</v>
      </c>
    </row>
    <row r="215" spans="1:7" ht="14.25" x14ac:dyDescent="0.2">
      <c r="A215" s="237" t="s">
        <v>269</v>
      </c>
      <c r="B215" s="238" t="s">
        <v>2959</v>
      </c>
      <c r="C215" s="239" t="s">
        <v>50</v>
      </c>
      <c r="D215" s="240">
        <f t="shared" si="3"/>
        <v>159.54606370370368</v>
      </c>
      <c r="E215" s="226" t="s">
        <v>5222</v>
      </c>
      <c r="G215" s="240">
        <v>148.82</v>
      </c>
    </row>
    <row r="216" spans="1:7" ht="14.25" x14ac:dyDescent="0.2">
      <c r="A216" s="237" t="s">
        <v>270</v>
      </c>
      <c r="B216" s="238" t="s">
        <v>2960</v>
      </c>
      <c r="C216" s="239" t="s">
        <v>50</v>
      </c>
      <c r="D216" s="240">
        <f t="shared" si="3"/>
        <v>178.24303555555554</v>
      </c>
      <c r="E216" s="226" t="s">
        <v>5222</v>
      </c>
      <c r="G216" s="240">
        <v>166.26</v>
      </c>
    </row>
    <row r="217" spans="1:7" ht="14.25" x14ac:dyDescent="0.2">
      <c r="A217" s="237" t="s">
        <v>271</v>
      </c>
      <c r="B217" s="238" t="s">
        <v>2961</v>
      </c>
      <c r="C217" s="239" t="s">
        <v>50</v>
      </c>
      <c r="D217" s="240">
        <f t="shared" si="3"/>
        <v>196.94000740740736</v>
      </c>
      <c r="E217" s="226" t="s">
        <v>5222</v>
      </c>
      <c r="G217" s="240">
        <v>183.7</v>
      </c>
    </row>
    <row r="218" spans="1:7" ht="14.25" x14ac:dyDescent="0.2">
      <c r="A218" s="237" t="s">
        <v>272</v>
      </c>
      <c r="B218" s="238" t="s">
        <v>2962</v>
      </c>
      <c r="C218" s="239" t="s">
        <v>50</v>
      </c>
      <c r="D218" s="240">
        <f t="shared" si="3"/>
        <v>215.62625851851851</v>
      </c>
      <c r="E218" s="226" t="s">
        <v>5222</v>
      </c>
      <c r="G218" s="240">
        <v>201.13</v>
      </c>
    </row>
    <row r="219" spans="1:7" ht="14.25" x14ac:dyDescent="0.2">
      <c r="A219" s="237" t="s">
        <v>273</v>
      </c>
      <c r="B219" s="238" t="s">
        <v>2963</v>
      </c>
      <c r="C219" s="239" t="s">
        <v>50</v>
      </c>
      <c r="D219" s="240">
        <f t="shared" si="3"/>
        <v>234.32323037037034</v>
      </c>
      <c r="E219" s="226" t="s">
        <v>5222</v>
      </c>
      <c r="G219" s="240">
        <v>218.57</v>
      </c>
    </row>
    <row r="220" spans="1:7" ht="14.25" x14ac:dyDescent="0.2">
      <c r="A220" s="237" t="s">
        <v>274</v>
      </c>
      <c r="B220" s="238" t="s">
        <v>2964</v>
      </c>
      <c r="C220" s="239" t="s">
        <v>50</v>
      </c>
      <c r="D220" s="240">
        <f t="shared" si="3"/>
        <v>253.0202022222222</v>
      </c>
      <c r="E220" s="226" t="s">
        <v>5222</v>
      </c>
      <c r="G220" s="240">
        <v>236.01</v>
      </c>
    </row>
    <row r="221" spans="1:7" ht="14.25" x14ac:dyDescent="0.2">
      <c r="A221" s="237" t="s">
        <v>275</v>
      </c>
      <c r="B221" s="238" t="s">
        <v>2965</v>
      </c>
      <c r="C221" s="239" t="s">
        <v>50</v>
      </c>
      <c r="D221" s="240">
        <f t="shared" si="3"/>
        <v>271.70645333333334</v>
      </c>
      <c r="E221" s="226" t="s">
        <v>5222</v>
      </c>
      <c r="G221" s="240">
        <v>253.44</v>
      </c>
    </row>
    <row r="222" spans="1:7" ht="14.25" x14ac:dyDescent="0.2">
      <c r="A222" s="237" t="s">
        <v>276</v>
      </c>
      <c r="B222" s="238" t="s">
        <v>2966</v>
      </c>
      <c r="C222" s="239" t="s">
        <v>50</v>
      </c>
      <c r="D222" s="240">
        <f t="shared" si="3"/>
        <v>290.40342518518514</v>
      </c>
      <c r="E222" s="226" t="s">
        <v>5222</v>
      </c>
      <c r="G222" s="240">
        <v>270.88</v>
      </c>
    </row>
    <row r="223" spans="1:7" ht="14.25" x14ac:dyDescent="0.2">
      <c r="A223" s="237" t="s">
        <v>277</v>
      </c>
      <c r="B223" s="238" t="s">
        <v>2967</v>
      </c>
      <c r="C223" s="239" t="s">
        <v>50</v>
      </c>
      <c r="D223" s="240">
        <f t="shared" si="3"/>
        <v>309.100397037037</v>
      </c>
      <c r="E223" s="226" t="s">
        <v>5222</v>
      </c>
      <c r="G223" s="240">
        <v>288.32</v>
      </c>
    </row>
    <row r="224" spans="1:7" ht="14.25" x14ac:dyDescent="0.2">
      <c r="A224" s="237" t="s">
        <v>278</v>
      </c>
      <c r="B224" s="238" t="s">
        <v>2968</v>
      </c>
      <c r="C224" s="239" t="s">
        <v>50</v>
      </c>
      <c r="D224" s="240">
        <f t="shared" si="3"/>
        <v>327.79736888888891</v>
      </c>
      <c r="E224" s="226" t="s">
        <v>5222</v>
      </c>
      <c r="G224" s="240">
        <v>305.76</v>
      </c>
    </row>
    <row r="225" spans="1:7" ht="14.25" x14ac:dyDescent="0.2">
      <c r="A225" s="237" t="s">
        <v>279</v>
      </c>
      <c r="B225" s="238" t="s">
        <v>2969</v>
      </c>
      <c r="C225" s="239" t="s">
        <v>50</v>
      </c>
      <c r="D225" s="240">
        <f t="shared" si="3"/>
        <v>135.63881185185184</v>
      </c>
      <c r="E225" s="226" t="s">
        <v>5222</v>
      </c>
      <c r="G225" s="240">
        <v>126.52</v>
      </c>
    </row>
    <row r="226" spans="1:7" ht="14.25" x14ac:dyDescent="0.2">
      <c r="A226" s="237" t="s">
        <v>280</v>
      </c>
      <c r="B226" s="238" t="s">
        <v>2970</v>
      </c>
      <c r="C226" s="239" t="s">
        <v>50</v>
      </c>
      <c r="D226" s="240">
        <f t="shared" si="3"/>
        <v>154.32506296296296</v>
      </c>
      <c r="E226" s="226" t="s">
        <v>5222</v>
      </c>
      <c r="G226" s="240">
        <v>143.94999999999999</v>
      </c>
    </row>
    <row r="227" spans="1:7" ht="14.25" x14ac:dyDescent="0.2">
      <c r="A227" s="237" t="s">
        <v>281</v>
      </c>
      <c r="B227" s="238" t="s">
        <v>2971</v>
      </c>
      <c r="C227" s="239" t="s">
        <v>50</v>
      </c>
      <c r="D227" s="240">
        <f t="shared" si="3"/>
        <v>173.02203481481479</v>
      </c>
      <c r="E227" s="226" t="s">
        <v>5222</v>
      </c>
      <c r="G227" s="240">
        <v>161.38999999999999</v>
      </c>
    </row>
    <row r="228" spans="1:7" ht="14.25" x14ac:dyDescent="0.2">
      <c r="A228" s="237" t="s">
        <v>282</v>
      </c>
      <c r="B228" s="238" t="s">
        <v>2972</v>
      </c>
      <c r="C228" s="239" t="s">
        <v>50</v>
      </c>
      <c r="D228" s="240">
        <f t="shared" si="3"/>
        <v>191.71900666666667</v>
      </c>
      <c r="E228" s="226" t="s">
        <v>5222</v>
      </c>
      <c r="G228" s="240">
        <v>178.83</v>
      </c>
    </row>
    <row r="229" spans="1:7" ht="14.25" x14ac:dyDescent="0.2">
      <c r="A229" s="237" t="s">
        <v>283</v>
      </c>
      <c r="B229" s="238" t="s">
        <v>2973</v>
      </c>
      <c r="C229" s="239" t="s">
        <v>50</v>
      </c>
      <c r="D229" s="240">
        <f t="shared" si="3"/>
        <v>199.45938148148147</v>
      </c>
      <c r="E229" s="226" t="s">
        <v>5222</v>
      </c>
      <c r="G229" s="240">
        <v>186.05</v>
      </c>
    </row>
    <row r="230" spans="1:7" ht="14.25" x14ac:dyDescent="0.2">
      <c r="A230" s="237" t="s">
        <v>284</v>
      </c>
      <c r="B230" s="238" t="s">
        <v>2974</v>
      </c>
      <c r="C230" s="239" t="s">
        <v>50</v>
      </c>
      <c r="D230" s="240">
        <f t="shared" si="3"/>
        <v>205.39867185185184</v>
      </c>
      <c r="E230" s="226" t="s">
        <v>5222</v>
      </c>
      <c r="G230" s="240">
        <v>191.59</v>
      </c>
    </row>
    <row r="231" spans="1:7" ht="14.25" x14ac:dyDescent="0.2">
      <c r="A231" s="237" t="s">
        <v>285</v>
      </c>
      <c r="B231" s="238" t="s">
        <v>2975</v>
      </c>
      <c r="C231" s="239" t="s">
        <v>50</v>
      </c>
      <c r="D231" s="240">
        <f t="shared" si="3"/>
        <v>221.61915259259257</v>
      </c>
      <c r="E231" s="226" t="s">
        <v>5222</v>
      </c>
      <c r="G231" s="240">
        <v>206.72</v>
      </c>
    </row>
    <row r="232" spans="1:7" ht="14.25" x14ac:dyDescent="0.2">
      <c r="A232" s="237" t="s">
        <v>286</v>
      </c>
      <c r="B232" s="238" t="s">
        <v>2069</v>
      </c>
      <c r="C232" s="239" t="s">
        <v>50</v>
      </c>
      <c r="D232" s="240">
        <f t="shared" si="3"/>
        <v>239.47990666666664</v>
      </c>
      <c r="E232" s="226" t="s">
        <v>5222</v>
      </c>
      <c r="G232" s="240">
        <v>223.38</v>
      </c>
    </row>
    <row r="233" spans="1:7" ht="14.25" x14ac:dyDescent="0.2">
      <c r="A233" s="237" t="s">
        <v>287</v>
      </c>
      <c r="B233" s="238" t="s">
        <v>2070</v>
      </c>
      <c r="C233" s="239" t="s">
        <v>50</v>
      </c>
      <c r="D233" s="240">
        <f t="shared" si="3"/>
        <v>255.34660296296298</v>
      </c>
      <c r="E233" s="226" t="s">
        <v>5222</v>
      </c>
      <c r="G233" s="240">
        <v>238.18</v>
      </c>
    </row>
    <row r="234" spans="1:7" ht="14.25" x14ac:dyDescent="0.2">
      <c r="A234" s="237" t="s">
        <v>288</v>
      </c>
      <c r="B234" s="238" t="s">
        <v>2071</v>
      </c>
      <c r="C234" s="239" t="s">
        <v>50</v>
      </c>
      <c r="D234" s="240">
        <f t="shared" si="3"/>
        <v>272.7463651851852</v>
      </c>
      <c r="E234" s="226" t="s">
        <v>5222</v>
      </c>
      <c r="G234" s="240">
        <v>254.41</v>
      </c>
    </row>
    <row r="235" spans="1:7" ht="14.25" x14ac:dyDescent="0.2">
      <c r="A235" s="237" t="s">
        <v>289</v>
      </c>
      <c r="B235" s="238" t="s">
        <v>2976</v>
      </c>
      <c r="C235" s="239" t="s">
        <v>50</v>
      </c>
      <c r="D235" s="240">
        <f t="shared" si="3"/>
        <v>162.66579925925924</v>
      </c>
      <c r="E235" s="226" t="s">
        <v>5222</v>
      </c>
      <c r="G235" s="240">
        <v>151.72999999999999</v>
      </c>
    </row>
    <row r="236" spans="1:7" ht="14.25" x14ac:dyDescent="0.2">
      <c r="A236" s="237" t="s">
        <v>290</v>
      </c>
      <c r="B236" s="238" t="s">
        <v>2977</v>
      </c>
      <c r="C236" s="239" t="s">
        <v>50</v>
      </c>
      <c r="D236" s="240">
        <f t="shared" si="3"/>
        <v>268.53311407407404</v>
      </c>
      <c r="E236" s="226" t="s">
        <v>5222</v>
      </c>
      <c r="G236" s="240">
        <v>250.48</v>
      </c>
    </row>
    <row r="237" spans="1:7" ht="14.25" x14ac:dyDescent="0.2">
      <c r="A237" s="237" t="s">
        <v>291</v>
      </c>
      <c r="B237" s="238" t="s">
        <v>2072</v>
      </c>
      <c r="C237" s="239" t="s">
        <v>50</v>
      </c>
      <c r="D237" s="240">
        <f t="shared" si="3"/>
        <v>300.68461555555558</v>
      </c>
      <c r="E237" s="226" t="s">
        <v>5222</v>
      </c>
      <c r="G237" s="240">
        <v>280.47000000000003</v>
      </c>
    </row>
    <row r="238" spans="1:7" ht="14.25" x14ac:dyDescent="0.2">
      <c r="A238" s="237" t="s">
        <v>292</v>
      </c>
      <c r="B238" s="238" t="s">
        <v>53</v>
      </c>
      <c r="C238" s="239" t="s">
        <v>50</v>
      </c>
      <c r="D238" s="240">
        <f t="shared" si="3"/>
        <v>316.28329333333329</v>
      </c>
      <c r="E238" s="226" t="s">
        <v>5222</v>
      </c>
      <c r="G238" s="240">
        <v>295.02</v>
      </c>
    </row>
    <row r="239" spans="1:7" ht="14.25" x14ac:dyDescent="0.2">
      <c r="A239" s="237" t="s">
        <v>293</v>
      </c>
      <c r="B239" s="238" t="s">
        <v>2978</v>
      </c>
      <c r="C239" s="239" t="s">
        <v>50</v>
      </c>
      <c r="D239" s="240">
        <f t="shared" si="3"/>
        <v>331.87125037037038</v>
      </c>
      <c r="E239" s="226" t="s">
        <v>5222</v>
      </c>
      <c r="G239" s="240">
        <v>309.56</v>
      </c>
    </row>
    <row r="240" spans="1:7" ht="14.25" x14ac:dyDescent="0.2">
      <c r="A240" s="237" t="s">
        <v>294</v>
      </c>
      <c r="B240" s="238" t="s">
        <v>2073</v>
      </c>
      <c r="C240" s="239" t="s">
        <v>50</v>
      </c>
      <c r="D240" s="240">
        <f t="shared" si="3"/>
        <v>195.48198666666667</v>
      </c>
      <c r="E240" s="226" t="s">
        <v>5222</v>
      </c>
      <c r="G240" s="240">
        <v>182.34</v>
      </c>
    </row>
    <row r="241" spans="1:7" ht="14.25" x14ac:dyDescent="0.2">
      <c r="A241" s="237" t="s">
        <v>295</v>
      </c>
      <c r="B241" s="238" t="s">
        <v>2074</v>
      </c>
      <c r="C241" s="239" t="s">
        <v>50</v>
      </c>
      <c r="D241" s="240">
        <f t="shared" si="3"/>
        <v>195.48198666666667</v>
      </c>
      <c r="E241" s="226" t="s">
        <v>5222</v>
      </c>
      <c r="G241" s="240">
        <v>182.34</v>
      </c>
    </row>
    <row r="242" spans="1:7" ht="14.25" x14ac:dyDescent="0.2">
      <c r="A242" s="237" t="s">
        <v>296</v>
      </c>
      <c r="B242" s="238" t="s">
        <v>2075</v>
      </c>
      <c r="C242" s="239" t="s">
        <v>50</v>
      </c>
      <c r="D242" s="240">
        <f t="shared" si="3"/>
        <v>192.21216074074073</v>
      </c>
      <c r="E242" s="226" t="s">
        <v>5222</v>
      </c>
      <c r="G242" s="240">
        <v>179.29</v>
      </c>
    </row>
    <row r="243" spans="1:7" ht="14.25" x14ac:dyDescent="0.2">
      <c r="A243" s="237" t="s">
        <v>297</v>
      </c>
      <c r="B243" s="238" t="s">
        <v>2076</v>
      </c>
      <c r="C243" s="239" t="s">
        <v>50</v>
      </c>
      <c r="D243" s="240">
        <f t="shared" si="3"/>
        <v>234.14097777777778</v>
      </c>
      <c r="E243" s="226" t="s">
        <v>5222</v>
      </c>
      <c r="G243" s="240">
        <v>218.4</v>
      </c>
    </row>
    <row r="244" spans="1:7" ht="14.25" x14ac:dyDescent="0.2">
      <c r="A244" s="237" t="s">
        <v>298</v>
      </c>
      <c r="B244" s="238" t="s">
        <v>2077</v>
      </c>
      <c r="C244" s="239" t="s">
        <v>50</v>
      </c>
      <c r="D244" s="240">
        <f t="shared" si="3"/>
        <v>258.88444740740738</v>
      </c>
      <c r="E244" s="226" t="s">
        <v>5222</v>
      </c>
      <c r="G244" s="240">
        <v>241.48</v>
      </c>
    </row>
    <row r="245" spans="1:7" ht="14.25" x14ac:dyDescent="0.2">
      <c r="A245" s="237" t="s">
        <v>299</v>
      </c>
      <c r="B245" s="238" t="s">
        <v>2078</v>
      </c>
      <c r="C245" s="239" t="s">
        <v>50</v>
      </c>
      <c r="D245" s="240">
        <f t="shared" si="3"/>
        <v>275.44799185185184</v>
      </c>
      <c r="E245" s="226" t="s">
        <v>5222</v>
      </c>
      <c r="G245" s="240">
        <v>256.93</v>
      </c>
    </row>
    <row r="246" spans="1:7" ht="14.25" x14ac:dyDescent="0.2">
      <c r="A246" s="237" t="s">
        <v>300</v>
      </c>
      <c r="B246" s="238" t="s">
        <v>2979</v>
      </c>
      <c r="C246" s="239" t="s">
        <v>50</v>
      </c>
      <c r="D246" s="240">
        <f t="shared" si="3"/>
        <v>260.9964333333333</v>
      </c>
      <c r="E246" s="226" t="s">
        <v>5222</v>
      </c>
      <c r="G246" s="240">
        <v>243.45</v>
      </c>
    </row>
    <row r="247" spans="1:7" ht="14.25" x14ac:dyDescent="0.2">
      <c r="A247" s="237" t="s">
        <v>2079</v>
      </c>
      <c r="B247" s="238" t="s">
        <v>2980</v>
      </c>
      <c r="C247" s="239" t="s">
        <v>50</v>
      </c>
      <c r="D247" s="240">
        <f t="shared" si="3"/>
        <v>199.92037333333332</v>
      </c>
      <c r="E247" s="226" t="s">
        <v>5222</v>
      </c>
      <c r="G247" s="240">
        <v>186.48</v>
      </c>
    </row>
    <row r="248" spans="1:7" ht="14.25" x14ac:dyDescent="0.2">
      <c r="A248" s="237" t="s">
        <v>301</v>
      </c>
      <c r="B248" s="238" t="s">
        <v>2981</v>
      </c>
      <c r="C248" s="239" t="s">
        <v>50</v>
      </c>
      <c r="D248" s="240">
        <f t="shared" si="3"/>
        <v>221.4047377777778</v>
      </c>
      <c r="E248" s="226" t="s">
        <v>5222</v>
      </c>
      <c r="G248" s="240">
        <v>206.52</v>
      </c>
    </row>
    <row r="249" spans="1:7" ht="14.25" x14ac:dyDescent="0.2">
      <c r="A249" s="237" t="s">
        <v>302</v>
      </c>
      <c r="B249" s="238" t="s">
        <v>2982</v>
      </c>
      <c r="C249" s="239" t="s">
        <v>50</v>
      </c>
      <c r="D249" s="240">
        <f t="shared" si="3"/>
        <v>247.50974148148146</v>
      </c>
      <c r="E249" s="226" t="s">
        <v>5222</v>
      </c>
      <c r="G249" s="240">
        <v>230.87</v>
      </c>
    </row>
    <row r="250" spans="1:7" ht="14.25" x14ac:dyDescent="0.2">
      <c r="A250" s="237" t="s">
        <v>303</v>
      </c>
      <c r="B250" s="238" t="s">
        <v>2983</v>
      </c>
      <c r="C250" s="239" t="s">
        <v>50</v>
      </c>
      <c r="D250" s="240">
        <f t="shared" si="3"/>
        <v>254.9820977777778</v>
      </c>
      <c r="E250" s="226" t="s">
        <v>5222</v>
      </c>
      <c r="G250" s="240">
        <v>237.84</v>
      </c>
    </row>
    <row r="251" spans="1:7" ht="14.25" x14ac:dyDescent="0.2">
      <c r="A251" s="237" t="s">
        <v>304</v>
      </c>
      <c r="B251" s="238" t="s">
        <v>2984</v>
      </c>
      <c r="C251" s="239" t="s">
        <v>50</v>
      </c>
      <c r="D251" s="240">
        <f t="shared" si="3"/>
        <v>274.52600814814809</v>
      </c>
      <c r="E251" s="226" t="s">
        <v>5222</v>
      </c>
      <c r="G251" s="240">
        <v>256.07</v>
      </c>
    </row>
    <row r="252" spans="1:7" ht="14.25" x14ac:dyDescent="0.2">
      <c r="A252" s="237" t="s">
        <v>305</v>
      </c>
      <c r="B252" s="238" t="s">
        <v>2985</v>
      </c>
      <c r="C252" s="239" t="s">
        <v>50</v>
      </c>
      <c r="D252" s="240">
        <f t="shared" si="3"/>
        <v>294.06991851851853</v>
      </c>
      <c r="E252" s="226" t="s">
        <v>5222</v>
      </c>
      <c r="G252" s="240">
        <v>274.3</v>
      </c>
    </row>
    <row r="253" spans="1:7" ht="14.25" x14ac:dyDescent="0.2">
      <c r="A253" s="237" t="s">
        <v>306</v>
      </c>
      <c r="B253" s="238" t="s">
        <v>2986</v>
      </c>
      <c r="C253" s="239" t="s">
        <v>50</v>
      </c>
      <c r="D253" s="240">
        <f t="shared" si="3"/>
        <v>313.6138288888888</v>
      </c>
      <c r="E253" s="226" t="s">
        <v>5222</v>
      </c>
      <c r="G253" s="240">
        <v>292.52999999999997</v>
      </c>
    </row>
    <row r="254" spans="1:7" ht="14.25" x14ac:dyDescent="0.2">
      <c r="A254" s="237" t="s">
        <v>307</v>
      </c>
      <c r="B254" s="238" t="s">
        <v>2987</v>
      </c>
      <c r="C254" s="239" t="s">
        <v>50</v>
      </c>
      <c r="D254" s="240">
        <f t="shared" si="3"/>
        <v>349.17452592592588</v>
      </c>
      <c r="E254" s="226" t="s">
        <v>5222</v>
      </c>
      <c r="G254" s="240">
        <v>325.7</v>
      </c>
    </row>
    <row r="255" spans="1:7" ht="14.25" x14ac:dyDescent="0.2">
      <c r="A255" s="237" t="s">
        <v>308</v>
      </c>
      <c r="B255" s="238" t="s">
        <v>2988</v>
      </c>
      <c r="C255" s="239" t="s">
        <v>50</v>
      </c>
      <c r="D255" s="240">
        <f t="shared" si="3"/>
        <v>159.29948666666667</v>
      </c>
      <c r="E255" s="226" t="s">
        <v>5222</v>
      </c>
      <c r="G255" s="240">
        <v>148.59</v>
      </c>
    </row>
    <row r="256" spans="1:7" ht="14.25" x14ac:dyDescent="0.2">
      <c r="A256" s="237" t="s">
        <v>309</v>
      </c>
      <c r="B256" s="238" t="s">
        <v>2989</v>
      </c>
      <c r="C256" s="239" t="s">
        <v>50</v>
      </c>
      <c r="D256" s="240">
        <f t="shared" si="3"/>
        <v>232.28628962962958</v>
      </c>
      <c r="E256" s="226" t="s">
        <v>5222</v>
      </c>
      <c r="G256" s="240">
        <v>216.67</v>
      </c>
    </row>
    <row r="257" spans="1:7" ht="14.25" x14ac:dyDescent="0.2">
      <c r="A257" s="237" t="s">
        <v>310</v>
      </c>
      <c r="B257" s="238" t="s">
        <v>2990</v>
      </c>
      <c r="C257" s="239" t="s">
        <v>50</v>
      </c>
      <c r="D257" s="240">
        <f t="shared" si="3"/>
        <v>1268.4244407407407</v>
      </c>
      <c r="E257" s="226" t="s">
        <v>5222</v>
      </c>
      <c r="G257" s="240">
        <v>1183.1500000000001</v>
      </c>
    </row>
    <row r="258" spans="1:7" ht="14.25" x14ac:dyDescent="0.2">
      <c r="A258" s="237" t="s">
        <v>311</v>
      </c>
      <c r="B258" s="238" t="s">
        <v>2991</v>
      </c>
      <c r="C258" s="239" t="s">
        <v>50</v>
      </c>
      <c r="D258" s="240">
        <f t="shared" si="3"/>
        <v>242.22441629629625</v>
      </c>
      <c r="E258" s="226" t="s">
        <v>5222</v>
      </c>
      <c r="G258" s="240">
        <v>225.94</v>
      </c>
    </row>
    <row r="259" spans="1:7" ht="14.25" x14ac:dyDescent="0.2">
      <c r="A259" s="237" t="s">
        <v>312</v>
      </c>
      <c r="B259" s="238" t="s">
        <v>2992</v>
      </c>
      <c r="C259" s="239" t="s">
        <v>50</v>
      </c>
      <c r="D259" s="240">
        <f t="shared" si="3"/>
        <v>37.072321481481474</v>
      </c>
      <c r="E259" s="226" t="s">
        <v>5222</v>
      </c>
      <c r="G259" s="240">
        <v>34.58</v>
      </c>
    </row>
    <row r="260" spans="1:7" ht="14.25" x14ac:dyDescent="0.2">
      <c r="A260" s="237" t="s">
        <v>313</v>
      </c>
      <c r="B260" s="238" t="s">
        <v>2993</v>
      </c>
      <c r="C260" s="239" t="s">
        <v>50</v>
      </c>
      <c r="D260" s="240">
        <f t="shared" si="3"/>
        <v>75.420411111111093</v>
      </c>
      <c r="E260" s="226" t="s">
        <v>5222</v>
      </c>
      <c r="G260" s="240">
        <v>70.349999999999994</v>
      </c>
    </row>
    <row r="261" spans="1:7" ht="14.25" x14ac:dyDescent="0.2">
      <c r="A261" s="237" t="s">
        <v>2994</v>
      </c>
      <c r="B261" s="238" t="s">
        <v>2995</v>
      </c>
      <c r="C261" s="239" t="s">
        <v>50</v>
      </c>
      <c r="D261" s="240">
        <f t="shared" si="3"/>
        <v>49.004505925925926</v>
      </c>
      <c r="E261" s="226" t="s">
        <v>5222</v>
      </c>
      <c r="G261" s="240">
        <v>45.71</v>
      </c>
    </row>
    <row r="262" spans="1:7" ht="14.25" x14ac:dyDescent="0.2">
      <c r="A262" s="237" t="s">
        <v>2080</v>
      </c>
      <c r="B262" s="238" t="s">
        <v>2996</v>
      </c>
      <c r="C262" s="239" t="s">
        <v>38</v>
      </c>
      <c r="D262" s="240">
        <f t="shared" si="3"/>
        <v>14.451558518518517</v>
      </c>
      <c r="E262" s="226" t="s">
        <v>5222</v>
      </c>
      <c r="G262" s="240">
        <v>13.48</v>
      </c>
    </row>
    <row r="263" spans="1:7" ht="14.25" x14ac:dyDescent="0.2">
      <c r="A263" s="237" t="s">
        <v>314</v>
      </c>
      <c r="B263" s="238" t="s">
        <v>2997</v>
      </c>
      <c r="C263" s="239" t="s">
        <v>38</v>
      </c>
      <c r="D263" s="240">
        <f t="shared" si="3"/>
        <v>0.45027111111111107</v>
      </c>
      <c r="E263" s="226" t="s">
        <v>5222</v>
      </c>
      <c r="G263" s="240">
        <v>0.42</v>
      </c>
    </row>
    <row r="264" spans="1:7" ht="14.25" x14ac:dyDescent="0.2">
      <c r="A264" s="237" t="s">
        <v>2081</v>
      </c>
      <c r="B264" s="238" t="s">
        <v>2998</v>
      </c>
      <c r="C264" s="239" t="s">
        <v>38</v>
      </c>
      <c r="D264" s="240">
        <f t="shared" ref="D264:D327" si="4">(G264/(1+0.35))*(1+$D$3)</f>
        <v>5.5319022222222216</v>
      </c>
      <c r="E264" s="226" t="s">
        <v>5222</v>
      </c>
      <c r="G264" s="240">
        <v>5.16</v>
      </c>
    </row>
    <row r="265" spans="1:7" ht="14.25" x14ac:dyDescent="0.2">
      <c r="A265" s="237" t="s">
        <v>315</v>
      </c>
      <c r="B265" s="238" t="s">
        <v>2999</v>
      </c>
      <c r="C265" s="239" t="s">
        <v>38</v>
      </c>
      <c r="D265" s="240">
        <f t="shared" si="4"/>
        <v>0.33234296296296295</v>
      </c>
      <c r="E265" s="226" t="s">
        <v>5222</v>
      </c>
      <c r="G265" s="240">
        <v>0.31</v>
      </c>
    </row>
    <row r="266" spans="1:7" ht="14.25" x14ac:dyDescent="0.2">
      <c r="A266" s="237" t="s">
        <v>2082</v>
      </c>
      <c r="B266" s="238" t="s">
        <v>3000</v>
      </c>
      <c r="C266" s="239" t="s">
        <v>38</v>
      </c>
      <c r="D266" s="240">
        <f t="shared" si="4"/>
        <v>2.926762222222222</v>
      </c>
      <c r="E266" s="226" t="s">
        <v>5222</v>
      </c>
      <c r="G266" s="240">
        <v>2.73</v>
      </c>
    </row>
    <row r="267" spans="1:7" ht="14.25" x14ac:dyDescent="0.2">
      <c r="A267" s="237" t="s">
        <v>2083</v>
      </c>
      <c r="B267" s="238" t="s">
        <v>3001</v>
      </c>
      <c r="C267" s="239" t="s">
        <v>38</v>
      </c>
      <c r="D267" s="240">
        <f t="shared" si="4"/>
        <v>6.1537051851851849</v>
      </c>
      <c r="E267" s="226" t="s">
        <v>5222</v>
      </c>
      <c r="G267" s="240">
        <v>5.74</v>
      </c>
    </row>
    <row r="268" spans="1:7" ht="14.25" x14ac:dyDescent="0.2">
      <c r="A268" s="237" t="s">
        <v>2084</v>
      </c>
      <c r="B268" s="238" t="s">
        <v>3002</v>
      </c>
      <c r="C268" s="239" t="s">
        <v>38</v>
      </c>
      <c r="D268" s="240">
        <f t="shared" si="4"/>
        <v>12.768402222222221</v>
      </c>
      <c r="E268" s="226" t="s">
        <v>5222</v>
      </c>
      <c r="G268" s="240">
        <v>11.91</v>
      </c>
    </row>
    <row r="269" spans="1:7" ht="14.25" x14ac:dyDescent="0.2">
      <c r="A269" s="237" t="s">
        <v>2085</v>
      </c>
      <c r="B269" s="238" t="s">
        <v>3003</v>
      </c>
      <c r="C269" s="239" t="s">
        <v>50</v>
      </c>
      <c r="D269" s="240">
        <f t="shared" si="4"/>
        <v>1139.3896051851852</v>
      </c>
      <c r="E269" s="226" t="s">
        <v>5222</v>
      </c>
      <c r="G269" s="240">
        <v>1062.79</v>
      </c>
    </row>
    <row r="270" spans="1:7" ht="14.25" x14ac:dyDescent="0.2">
      <c r="A270" s="237" t="s">
        <v>2086</v>
      </c>
      <c r="B270" s="238" t="s">
        <v>3004</v>
      </c>
      <c r="C270" s="239" t="s">
        <v>50</v>
      </c>
      <c r="D270" s="240">
        <f t="shared" si="4"/>
        <v>1456.1982148148147</v>
      </c>
      <c r="E270" s="226" t="s">
        <v>5222</v>
      </c>
      <c r="G270" s="240">
        <v>1358.3</v>
      </c>
    </row>
    <row r="271" spans="1:7" ht="14.25" x14ac:dyDescent="0.2">
      <c r="A271" s="237" t="s">
        <v>2502</v>
      </c>
      <c r="B271" s="238" t="s">
        <v>3005</v>
      </c>
      <c r="C271" s="239" t="s">
        <v>38</v>
      </c>
      <c r="D271" s="240">
        <f t="shared" si="4"/>
        <v>34.542226666666664</v>
      </c>
      <c r="E271" s="226" t="s">
        <v>5222</v>
      </c>
      <c r="G271" s="240">
        <v>32.22</v>
      </c>
    </row>
    <row r="272" spans="1:7" ht="14.25" x14ac:dyDescent="0.2">
      <c r="A272" s="237" t="s">
        <v>2503</v>
      </c>
      <c r="B272" s="238" t="s">
        <v>3006</v>
      </c>
      <c r="C272" s="239" t="s">
        <v>38</v>
      </c>
      <c r="D272" s="240">
        <f t="shared" si="4"/>
        <v>32.140780740740738</v>
      </c>
      <c r="E272" s="226" t="s">
        <v>5222</v>
      </c>
      <c r="G272" s="240">
        <v>29.98</v>
      </c>
    </row>
    <row r="273" spans="1:7" ht="14.25" x14ac:dyDescent="0.2">
      <c r="A273" s="237" t="s">
        <v>2504</v>
      </c>
      <c r="B273" s="238" t="s">
        <v>3007</v>
      </c>
      <c r="C273" s="239" t="s">
        <v>38</v>
      </c>
      <c r="D273" s="240">
        <f t="shared" si="4"/>
        <v>34.542226666666664</v>
      </c>
      <c r="E273" s="226" t="s">
        <v>5222</v>
      </c>
      <c r="G273" s="240">
        <v>32.22</v>
      </c>
    </row>
    <row r="274" spans="1:7" ht="14.25" x14ac:dyDescent="0.2">
      <c r="A274" s="237" t="s">
        <v>316</v>
      </c>
      <c r="B274" s="238" t="s">
        <v>3008</v>
      </c>
      <c r="C274" s="239" t="s">
        <v>38</v>
      </c>
      <c r="D274" s="240">
        <f t="shared" si="4"/>
        <v>30.672039259259254</v>
      </c>
      <c r="E274" s="226" t="s">
        <v>5222</v>
      </c>
      <c r="G274" s="240">
        <v>28.61</v>
      </c>
    </row>
    <row r="275" spans="1:7" ht="14.25" x14ac:dyDescent="0.2">
      <c r="A275" s="237" t="s">
        <v>2087</v>
      </c>
      <c r="B275" s="238" t="s">
        <v>3009</v>
      </c>
      <c r="C275" s="239" t="s">
        <v>38</v>
      </c>
      <c r="D275" s="240">
        <f t="shared" si="4"/>
        <v>15.051919999999999</v>
      </c>
      <c r="E275" s="226" t="s">
        <v>5222</v>
      </c>
      <c r="G275" s="240">
        <v>14.04</v>
      </c>
    </row>
    <row r="276" spans="1:7" ht="14.25" x14ac:dyDescent="0.2">
      <c r="A276" s="237" t="s">
        <v>2088</v>
      </c>
      <c r="B276" s="238" t="s">
        <v>3010</v>
      </c>
      <c r="C276" s="239" t="s">
        <v>38</v>
      </c>
      <c r="D276" s="240">
        <f t="shared" si="4"/>
        <v>18.79345851851852</v>
      </c>
      <c r="E276" s="226" t="s">
        <v>5222</v>
      </c>
      <c r="G276" s="240">
        <v>17.53</v>
      </c>
    </row>
    <row r="277" spans="1:7" ht="14.25" x14ac:dyDescent="0.2">
      <c r="A277" s="237" t="s">
        <v>2089</v>
      </c>
      <c r="B277" s="238" t="s">
        <v>3011</v>
      </c>
      <c r="C277" s="239" t="s">
        <v>38</v>
      </c>
      <c r="D277" s="240">
        <f t="shared" si="4"/>
        <v>14.333630370370368</v>
      </c>
      <c r="E277" s="226" t="s">
        <v>5222</v>
      </c>
      <c r="G277" s="240">
        <v>13.37</v>
      </c>
    </row>
    <row r="278" spans="1:7" ht="14.25" x14ac:dyDescent="0.2">
      <c r="A278" s="237" t="s">
        <v>2090</v>
      </c>
      <c r="B278" s="238" t="s">
        <v>3012</v>
      </c>
      <c r="C278" s="239" t="s">
        <v>50</v>
      </c>
      <c r="D278" s="240">
        <f t="shared" si="4"/>
        <v>1406.6040681481481</v>
      </c>
      <c r="E278" s="226" t="s">
        <v>5222</v>
      </c>
      <c r="G278" s="240">
        <v>1312.04</v>
      </c>
    </row>
    <row r="279" spans="1:7" ht="14.25" x14ac:dyDescent="0.2">
      <c r="A279" s="237" t="s">
        <v>2091</v>
      </c>
      <c r="B279" s="238" t="s">
        <v>3013</v>
      </c>
      <c r="C279" s="239" t="s">
        <v>50</v>
      </c>
      <c r="D279" s="240">
        <f t="shared" si="4"/>
        <v>1644.4437014814816</v>
      </c>
      <c r="E279" s="226" t="s">
        <v>5222</v>
      </c>
      <c r="G279" s="240">
        <v>1533.89</v>
      </c>
    </row>
    <row r="280" spans="1:7" ht="14.25" x14ac:dyDescent="0.2">
      <c r="A280" s="237" t="s">
        <v>2093</v>
      </c>
      <c r="B280" s="238" t="s">
        <v>3014</v>
      </c>
      <c r="C280" s="239" t="s">
        <v>50</v>
      </c>
      <c r="D280" s="240">
        <f t="shared" si="4"/>
        <v>1402.766042962963</v>
      </c>
      <c r="E280" s="226" t="s">
        <v>5222</v>
      </c>
      <c r="G280" s="240">
        <v>1308.46</v>
      </c>
    </row>
    <row r="281" spans="1:7" ht="14.25" x14ac:dyDescent="0.2">
      <c r="A281" s="237" t="s">
        <v>317</v>
      </c>
      <c r="B281" s="238" t="s">
        <v>3015</v>
      </c>
      <c r="C281" s="239" t="s">
        <v>50</v>
      </c>
      <c r="D281" s="240">
        <f t="shared" si="4"/>
        <v>326.44655555555556</v>
      </c>
      <c r="E281" s="226" t="s">
        <v>5222</v>
      </c>
      <c r="G281" s="240">
        <v>304.5</v>
      </c>
    </row>
    <row r="282" spans="1:7" ht="14.25" x14ac:dyDescent="0.2">
      <c r="A282" s="237" t="s">
        <v>318</v>
      </c>
      <c r="B282" s="238" t="s">
        <v>3016</v>
      </c>
      <c r="C282" s="239" t="s">
        <v>50</v>
      </c>
      <c r="D282" s="240">
        <f t="shared" si="4"/>
        <v>159.58894666666666</v>
      </c>
      <c r="E282" s="226" t="s">
        <v>5222</v>
      </c>
      <c r="G282" s="240">
        <v>148.86000000000001</v>
      </c>
    </row>
    <row r="283" spans="1:7" ht="14.25" x14ac:dyDescent="0.2">
      <c r="A283" s="237" t="s">
        <v>2094</v>
      </c>
      <c r="B283" s="238" t="s">
        <v>3017</v>
      </c>
      <c r="C283" s="239" t="s">
        <v>50</v>
      </c>
      <c r="D283" s="240">
        <f t="shared" si="4"/>
        <v>1598.3123540740739</v>
      </c>
      <c r="E283" s="226" t="s">
        <v>5222</v>
      </c>
      <c r="G283" s="240">
        <v>1490.86</v>
      </c>
    </row>
    <row r="284" spans="1:7" ht="14.25" x14ac:dyDescent="0.2">
      <c r="A284" s="237" t="s">
        <v>319</v>
      </c>
      <c r="B284" s="238" t="s">
        <v>3018</v>
      </c>
      <c r="C284" s="239" t="s">
        <v>50</v>
      </c>
      <c r="D284" s="240">
        <f t="shared" si="4"/>
        <v>1518.3141866666665</v>
      </c>
      <c r="E284" s="226" t="s">
        <v>5222</v>
      </c>
      <c r="G284" s="240">
        <v>1416.24</v>
      </c>
    </row>
    <row r="285" spans="1:7" ht="14.25" x14ac:dyDescent="0.2">
      <c r="A285" s="237" t="s">
        <v>2095</v>
      </c>
      <c r="B285" s="238" t="s">
        <v>3019</v>
      </c>
      <c r="C285" s="239" t="s">
        <v>50</v>
      </c>
      <c r="D285" s="240">
        <f t="shared" si="4"/>
        <v>1766.7351911111109</v>
      </c>
      <c r="E285" s="226" t="s">
        <v>5222</v>
      </c>
      <c r="G285" s="240">
        <v>1647.96</v>
      </c>
    </row>
    <row r="286" spans="1:7" ht="14.25" x14ac:dyDescent="0.2">
      <c r="A286" s="237" t="s">
        <v>320</v>
      </c>
      <c r="B286" s="238" t="s">
        <v>3020</v>
      </c>
      <c r="C286" s="239" t="s">
        <v>50</v>
      </c>
      <c r="D286" s="240">
        <f t="shared" si="4"/>
        <v>1673.7113237037038</v>
      </c>
      <c r="E286" s="226" t="s">
        <v>5222</v>
      </c>
      <c r="G286" s="240">
        <v>1561.19</v>
      </c>
    </row>
    <row r="287" spans="1:7" ht="14.25" x14ac:dyDescent="0.2">
      <c r="A287" s="237" t="s">
        <v>321</v>
      </c>
      <c r="B287" s="238" t="s">
        <v>3021</v>
      </c>
      <c r="C287" s="239" t="s">
        <v>50</v>
      </c>
      <c r="D287" s="240">
        <f t="shared" si="4"/>
        <v>1755.3283229629631</v>
      </c>
      <c r="E287" s="226" t="s">
        <v>5222</v>
      </c>
      <c r="G287" s="240">
        <v>1637.32</v>
      </c>
    </row>
    <row r="288" spans="1:7" ht="14.25" x14ac:dyDescent="0.2">
      <c r="A288" s="237" t="s">
        <v>322</v>
      </c>
      <c r="B288" s="238" t="s">
        <v>3022</v>
      </c>
      <c r="C288" s="239" t="s">
        <v>50</v>
      </c>
      <c r="D288" s="240">
        <f t="shared" si="4"/>
        <v>1806.605625925926</v>
      </c>
      <c r="E288" s="226" t="s">
        <v>5222</v>
      </c>
      <c r="G288" s="240">
        <v>1685.15</v>
      </c>
    </row>
    <row r="289" spans="1:7" ht="14.25" x14ac:dyDescent="0.2">
      <c r="A289" s="237" t="s">
        <v>323</v>
      </c>
      <c r="B289" s="238" t="s">
        <v>3023</v>
      </c>
      <c r="C289" s="239" t="s">
        <v>50</v>
      </c>
      <c r="D289" s="240">
        <f t="shared" si="4"/>
        <v>1907.0696874074072</v>
      </c>
      <c r="E289" s="226" t="s">
        <v>5222</v>
      </c>
      <c r="G289" s="240">
        <v>1778.86</v>
      </c>
    </row>
    <row r="290" spans="1:7" ht="14.25" x14ac:dyDescent="0.2">
      <c r="A290" s="237" t="s">
        <v>324</v>
      </c>
      <c r="B290" s="238" t="s">
        <v>3024</v>
      </c>
      <c r="C290" s="239" t="s">
        <v>50</v>
      </c>
      <c r="D290" s="240">
        <f t="shared" si="4"/>
        <v>1844.5570481481479</v>
      </c>
      <c r="E290" s="226" t="s">
        <v>5222</v>
      </c>
      <c r="G290" s="240">
        <v>1720.55</v>
      </c>
    </row>
    <row r="291" spans="1:7" ht="14.25" x14ac:dyDescent="0.2">
      <c r="A291" s="237" t="s">
        <v>325</v>
      </c>
      <c r="B291" s="238" t="s">
        <v>3025</v>
      </c>
      <c r="C291" s="239" t="s">
        <v>50</v>
      </c>
      <c r="D291" s="240">
        <f t="shared" si="4"/>
        <v>1952.4613037037036</v>
      </c>
      <c r="E291" s="226" t="s">
        <v>5222</v>
      </c>
      <c r="G291" s="240">
        <v>1821.2</v>
      </c>
    </row>
    <row r="292" spans="1:7" ht="14.25" x14ac:dyDescent="0.2">
      <c r="A292" s="237" t="s">
        <v>326</v>
      </c>
      <c r="B292" s="238" t="s">
        <v>3026</v>
      </c>
      <c r="C292" s="239" t="s">
        <v>50</v>
      </c>
      <c r="D292" s="240">
        <f t="shared" si="4"/>
        <v>1829.9768407407407</v>
      </c>
      <c r="E292" s="226" t="s">
        <v>5222</v>
      </c>
      <c r="G292" s="240">
        <v>1706.95</v>
      </c>
    </row>
    <row r="293" spans="1:7" ht="14.25" x14ac:dyDescent="0.2">
      <c r="A293" s="237" t="s">
        <v>2096</v>
      </c>
      <c r="B293" s="238" t="s">
        <v>3027</v>
      </c>
      <c r="C293" s="239" t="s">
        <v>50</v>
      </c>
      <c r="D293" s="240">
        <f t="shared" si="4"/>
        <v>1792.818753333333</v>
      </c>
      <c r="E293" s="226" t="s">
        <v>5222</v>
      </c>
      <c r="G293" s="240">
        <v>1672.29</v>
      </c>
    </row>
    <row r="294" spans="1:7" ht="14.25" x14ac:dyDescent="0.2">
      <c r="A294" s="237" t="s">
        <v>327</v>
      </c>
      <c r="B294" s="238" t="s">
        <v>3028</v>
      </c>
      <c r="C294" s="239" t="s">
        <v>50</v>
      </c>
      <c r="D294" s="240">
        <f t="shared" si="4"/>
        <v>1598.1622637037037</v>
      </c>
      <c r="E294" s="226" t="s">
        <v>5222</v>
      </c>
      <c r="G294" s="240">
        <v>1490.72</v>
      </c>
    </row>
    <row r="295" spans="1:7" ht="14.25" x14ac:dyDescent="0.2">
      <c r="A295" s="237" t="s">
        <v>2097</v>
      </c>
      <c r="B295" s="238" t="s">
        <v>3029</v>
      </c>
      <c r="C295" s="239" t="s">
        <v>50</v>
      </c>
      <c r="D295" s="240">
        <f t="shared" si="4"/>
        <v>1926.5492733333333</v>
      </c>
      <c r="E295" s="226" t="s">
        <v>5222</v>
      </c>
      <c r="G295" s="240">
        <v>1797.03</v>
      </c>
    </row>
    <row r="296" spans="1:7" ht="14.25" x14ac:dyDescent="0.2">
      <c r="A296" s="237" t="s">
        <v>2098</v>
      </c>
      <c r="B296" s="238" t="s">
        <v>3030</v>
      </c>
      <c r="C296" s="239" t="s">
        <v>50</v>
      </c>
      <c r="D296" s="240">
        <f t="shared" si="4"/>
        <v>1971.4798977777778</v>
      </c>
      <c r="E296" s="226" t="s">
        <v>5222</v>
      </c>
      <c r="G296" s="240">
        <v>1838.94</v>
      </c>
    </row>
    <row r="297" spans="1:7" ht="14.25" x14ac:dyDescent="0.2">
      <c r="A297" s="237" t="s">
        <v>328</v>
      </c>
      <c r="B297" s="238" t="s">
        <v>3031</v>
      </c>
      <c r="C297" s="239" t="s">
        <v>50</v>
      </c>
      <c r="D297" s="240">
        <f t="shared" si="4"/>
        <v>1798.7473229629629</v>
      </c>
      <c r="E297" s="226" t="s">
        <v>5222</v>
      </c>
      <c r="G297" s="240">
        <v>1677.82</v>
      </c>
    </row>
    <row r="298" spans="1:7" ht="14.25" x14ac:dyDescent="0.2">
      <c r="A298" s="237" t="s">
        <v>329</v>
      </c>
      <c r="B298" s="238" t="s">
        <v>3032</v>
      </c>
      <c r="C298" s="239" t="s">
        <v>50</v>
      </c>
      <c r="D298" s="240">
        <f t="shared" si="4"/>
        <v>1836.2270325925924</v>
      </c>
      <c r="E298" s="226" t="s">
        <v>5222</v>
      </c>
      <c r="G298" s="240">
        <v>1712.78</v>
      </c>
    </row>
    <row r="299" spans="1:7" ht="14.25" x14ac:dyDescent="0.2">
      <c r="A299" s="237" t="s">
        <v>2099</v>
      </c>
      <c r="B299" s="238" t="s">
        <v>3033</v>
      </c>
      <c r="C299" s="239" t="s">
        <v>38</v>
      </c>
      <c r="D299" s="240">
        <f t="shared" si="4"/>
        <v>9.380648148148147</v>
      </c>
      <c r="E299" s="226" t="s">
        <v>5222</v>
      </c>
      <c r="G299" s="240">
        <v>8.75</v>
      </c>
    </row>
    <row r="300" spans="1:7" ht="14.25" x14ac:dyDescent="0.2">
      <c r="A300" s="237" t="s">
        <v>2100</v>
      </c>
      <c r="B300" s="238" t="s">
        <v>3034</v>
      </c>
      <c r="C300" s="239" t="s">
        <v>38</v>
      </c>
      <c r="D300" s="240">
        <f t="shared" si="4"/>
        <v>14.708856296296297</v>
      </c>
      <c r="E300" s="226" t="s">
        <v>5222</v>
      </c>
      <c r="G300" s="240">
        <v>13.72</v>
      </c>
    </row>
    <row r="301" spans="1:7" ht="14.25" x14ac:dyDescent="0.2">
      <c r="A301" s="237" t="s">
        <v>2101</v>
      </c>
      <c r="B301" s="238" t="s">
        <v>3035</v>
      </c>
      <c r="C301" s="239" t="s">
        <v>50</v>
      </c>
      <c r="D301" s="240">
        <f t="shared" si="4"/>
        <v>347.29839629629629</v>
      </c>
      <c r="E301" s="226" t="s">
        <v>5222</v>
      </c>
      <c r="G301" s="240">
        <v>323.95</v>
      </c>
    </row>
    <row r="302" spans="1:7" ht="14.25" x14ac:dyDescent="0.2">
      <c r="A302" s="237" t="s">
        <v>330</v>
      </c>
      <c r="B302" s="238" t="s">
        <v>3036</v>
      </c>
      <c r="C302" s="239" t="s">
        <v>50</v>
      </c>
      <c r="D302" s="240">
        <f t="shared" si="4"/>
        <v>1083.3415725925925</v>
      </c>
      <c r="E302" s="226" t="s">
        <v>5222</v>
      </c>
      <c r="G302" s="240">
        <v>1010.51</v>
      </c>
    </row>
    <row r="303" spans="1:7" ht="14.25" x14ac:dyDescent="0.2">
      <c r="A303" s="237" t="s">
        <v>2102</v>
      </c>
      <c r="B303" s="238" t="s">
        <v>3037</v>
      </c>
      <c r="C303" s="239" t="s">
        <v>50</v>
      </c>
      <c r="D303" s="240">
        <f t="shared" si="4"/>
        <v>2144.8986</v>
      </c>
      <c r="E303" s="226" t="s">
        <v>5222</v>
      </c>
      <c r="G303" s="240">
        <v>2000.7</v>
      </c>
    </row>
    <row r="304" spans="1:7" ht="14.25" x14ac:dyDescent="0.2">
      <c r="A304" s="237" t="s">
        <v>2103</v>
      </c>
      <c r="B304" s="238" t="s">
        <v>3038</v>
      </c>
      <c r="C304" s="239" t="s">
        <v>50</v>
      </c>
      <c r="D304" s="240">
        <f t="shared" si="4"/>
        <v>1139.4110466666666</v>
      </c>
      <c r="E304" s="226" t="s">
        <v>5222</v>
      </c>
      <c r="G304" s="240">
        <v>1062.81</v>
      </c>
    </row>
    <row r="305" spans="1:7" ht="14.25" x14ac:dyDescent="0.2">
      <c r="A305" s="237" t="s">
        <v>2104</v>
      </c>
      <c r="B305" s="238" t="s">
        <v>3039</v>
      </c>
      <c r="C305" s="239" t="s">
        <v>50</v>
      </c>
      <c r="D305" s="240">
        <f t="shared" si="4"/>
        <v>369.76906888888891</v>
      </c>
      <c r="E305" s="226" t="s">
        <v>5222</v>
      </c>
      <c r="G305" s="240">
        <v>344.91</v>
      </c>
    </row>
    <row r="306" spans="1:7" ht="14.25" x14ac:dyDescent="0.2">
      <c r="A306" s="237" t="s">
        <v>2105</v>
      </c>
      <c r="B306" s="238" t="s">
        <v>3040</v>
      </c>
      <c r="C306" s="239" t="s">
        <v>38</v>
      </c>
      <c r="D306" s="240">
        <f t="shared" si="4"/>
        <v>111.75300148148146</v>
      </c>
      <c r="E306" s="226" t="s">
        <v>5222</v>
      </c>
      <c r="G306" s="240">
        <v>104.24</v>
      </c>
    </row>
    <row r="307" spans="1:7" ht="14.25" x14ac:dyDescent="0.2">
      <c r="A307" s="237" t="s">
        <v>2106</v>
      </c>
      <c r="B307" s="238" t="s">
        <v>3041</v>
      </c>
      <c r="C307" s="239" t="s">
        <v>38</v>
      </c>
      <c r="D307" s="240">
        <f t="shared" si="4"/>
        <v>130.80375777777778</v>
      </c>
      <c r="E307" s="226" t="s">
        <v>5222</v>
      </c>
      <c r="G307" s="240">
        <v>122.01</v>
      </c>
    </row>
    <row r="308" spans="1:7" ht="14.25" x14ac:dyDescent="0.2">
      <c r="A308" s="237" t="s">
        <v>2107</v>
      </c>
      <c r="B308" s="238" t="s">
        <v>3042</v>
      </c>
      <c r="C308" s="239" t="s">
        <v>38</v>
      </c>
      <c r="D308" s="240">
        <f t="shared" si="4"/>
        <v>150.18685703703704</v>
      </c>
      <c r="E308" s="226" t="s">
        <v>5222</v>
      </c>
      <c r="G308" s="240">
        <v>140.09</v>
      </c>
    </row>
    <row r="309" spans="1:7" ht="14.25" x14ac:dyDescent="0.2">
      <c r="A309" s="237" t="s">
        <v>331</v>
      </c>
      <c r="B309" s="238" t="s">
        <v>3043</v>
      </c>
      <c r="C309" s="239" t="s">
        <v>50</v>
      </c>
      <c r="D309" s="240">
        <f t="shared" si="4"/>
        <v>180.58015703703703</v>
      </c>
      <c r="E309" s="226" t="s">
        <v>5222</v>
      </c>
      <c r="G309" s="240">
        <v>168.44</v>
      </c>
    </row>
    <row r="310" spans="1:7" ht="14.25" x14ac:dyDescent="0.2">
      <c r="A310" s="237" t="s">
        <v>332</v>
      </c>
      <c r="B310" s="238" t="s">
        <v>3044</v>
      </c>
      <c r="C310" s="239" t="s">
        <v>50</v>
      </c>
      <c r="D310" s="240">
        <f t="shared" si="4"/>
        <v>242.29946148148147</v>
      </c>
      <c r="E310" s="226" t="s">
        <v>5222</v>
      </c>
      <c r="G310" s="240">
        <v>226.01</v>
      </c>
    </row>
    <row r="311" spans="1:7" ht="14.25" x14ac:dyDescent="0.2">
      <c r="A311" s="237" t="s">
        <v>333</v>
      </c>
      <c r="B311" s="238" t="s">
        <v>3045</v>
      </c>
      <c r="C311" s="239" t="s">
        <v>50</v>
      </c>
      <c r="D311" s="240">
        <f t="shared" si="4"/>
        <v>224.25645481481479</v>
      </c>
      <c r="E311" s="226" t="s">
        <v>5222</v>
      </c>
      <c r="G311" s="240">
        <v>209.18</v>
      </c>
    </row>
    <row r="312" spans="1:7" ht="14.25" x14ac:dyDescent="0.2">
      <c r="A312" s="237" t="s">
        <v>334</v>
      </c>
      <c r="B312" s="238" t="s">
        <v>3046</v>
      </c>
      <c r="C312" s="239" t="s">
        <v>50</v>
      </c>
      <c r="D312" s="240">
        <f t="shared" si="4"/>
        <v>265.99229851851851</v>
      </c>
      <c r="E312" s="226" t="s">
        <v>5222</v>
      </c>
      <c r="G312" s="240">
        <v>248.11</v>
      </c>
    </row>
    <row r="313" spans="1:7" ht="14.25" x14ac:dyDescent="0.2">
      <c r="A313" s="237" t="s">
        <v>335</v>
      </c>
      <c r="B313" s="238" t="s">
        <v>3047</v>
      </c>
      <c r="C313" s="239" t="s">
        <v>50</v>
      </c>
      <c r="D313" s="240">
        <f t="shared" si="4"/>
        <v>140.76332592592593</v>
      </c>
      <c r="E313" s="226" t="s">
        <v>5222</v>
      </c>
      <c r="G313" s="240">
        <v>131.30000000000001</v>
      </c>
    </row>
    <row r="314" spans="1:7" ht="14.25" x14ac:dyDescent="0.2">
      <c r="A314" s="237" t="s">
        <v>2505</v>
      </c>
      <c r="B314" s="238" t="s">
        <v>3048</v>
      </c>
      <c r="C314" s="239" t="s">
        <v>50</v>
      </c>
      <c r="D314" s="240">
        <f t="shared" si="4"/>
        <v>184.86845333333332</v>
      </c>
      <c r="E314" s="226" t="s">
        <v>5222</v>
      </c>
      <c r="G314" s="240">
        <v>172.44</v>
      </c>
    </row>
    <row r="315" spans="1:7" ht="14.25" x14ac:dyDescent="0.2">
      <c r="A315" s="237" t="s">
        <v>336</v>
      </c>
      <c r="B315" s="238" t="s">
        <v>3049</v>
      </c>
      <c r="C315" s="239" t="s">
        <v>50</v>
      </c>
      <c r="D315" s="240">
        <f t="shared" si="4"/>
        <v>89.646834074074079</v>
      </c>
      <c r="E315" s="226" t="s">
        <v>5222</v>
      </c>
      <c r="G315" s="240">
        <v>83.62</v>
      </c>
    </row>
    <row r="316" spans="1:7" ht="14.25" x14ac:dyDescent="0.2">
      <c r="A316" s="237" t="s">
        <v>337</v>
      </c>
      <c r="B316" s="238" t="s">
        <v>3050</v>
      </c>
      <c r="C316" s="239" t="s">
        <v>50</v>
      </c>
      <c r="D316" s="240">
        <f t="shared" si="4"/>
        <v>152.32028444444444</v>
      </c>
      <c r="E316" s="226" t="s">
        <v>5222</v>
      </c>
      <c r="G316" s="240">
        <v>142.08000000000001</v>
      </c>
    </row>
    <row r="317" spans="1:7" ht="14.25" x14ac:dyDescent="0.2">
      <c r="A317" s="237" t="s">
        <v>338</v>
      </c>
      <c r="B317" s="238" t="s">
        <v>54</v>
      </c>
      <c r="C317" s="239" t="s">
        <v>50</v>
      </c>
      <c r="D317" s="240">
        <f t="shared" si="4"/>
        <v>891.92274666666663</v>
      </c>
      <c r="E317" s="226" t="s">
        <v>5222</v>
      </c>
      <c r="G317" s="240">
        <v>831.96</v>
      </c>
    </row>
    <row r="318" spans="1:7" ht="14.25" x14ac:dyDescent="0.2">
      <c r="A318" s="237" t="s">
        <v>339</v>
      </c>
      <c r="B318" s="238" t="s">
        <v>3051</v>
      </c>
      <c r="C318" s="239" t="s">
        <v>50</v>
      </c>
      <c r="D318" s="240">
        <f t="shared" si="4"/>
        <v>1050.7290792592594</v>
      </c>
      <c r="E318" s="226" t="s">
        <v>5222</v>
      </c>
      <c r="G318" s="240">
        <v>980.09</v>
      </c>
    </row>
    <row r="319" spans="1:7" ht="14.25" x14ac:dyDescent="0.2">
      <c r="A319" s="237" t="s">
        <v>2108</v>
      </c>
      <c r="B319" s="238" t="s">
        <v>3052</v>
      </c>
      <c r="C319" s="239" t="s">
        <v>50</v>
      </c>
      <c r="D319" s="240">
        <f t="shared" si="4"/>
        <v>19.190125925925923</v>
      </c>
      <c r="E319" s="226" t="s">
        <v>5222</v>
      </c>
      <c r="G319" s="240">
        <v>17.899999999999999</v>
      </c>
    </row>
    <row r="320" spans="1:7" ht="14.25" x14ac:dyDescent="0.2">
      <c r="A320" s="237" t="s">
        <v>2109</v>
      </c>
      <c r="B320" s="238" t="s">
        <v>3053</v>
      </c>
      <c r="C320" s="239" t="s">
        <v>50</v>
      </c>
      <c r="D320" s="240">
        <f t="shared" si="4"/>
        <v>87.684938518518521</v>
      </c>
      <c r="E320" s="226" t="s">
        <v>5222</v>
      </c>
      <c r="G320" s="240">
        <v>81.790000000000006</v>
      </c>
    </row>
    <row r="321" spans="1:7" ht="14.25" x14ac:dyDescent="0.2">
      <c r="A321" s="237" t="s">
        <v>2110</v>
      </c>
      <c r="B321" s="238" t="s">
        <v>3054</v>
      </c>
      <c r="C321" s="239" t="s">
        <v>50</v>
      </c>
      <c r="D321" s="240">
        <f t="shared" si="4"/>
        <v>19.265171111111108</v>
      </c>
      <c r="E321" s="226" t="s">
        <v>5222</v>
      </c>
      <c r="G321" s="240">
        <v>17.97</v>
      </c>
    </row>
    <row r="322" spans="1:7" ht="14.25" x14ac:dyDescent="0.2">
      <c r="A322" s="237" t="s">
        <v>2111</v>
      </c>
      <c r="B322" s="238" t="s">
        <v>3055</v>
      </c>
      <c r="C322" s="239" t="s">
        <v>50</v>
      </c>
      <c r="D322" s="240">
        <f t="shared" si="4"/>
        <v>89.014310370370367</v>
      </c>
      <c r="E322" s="226" t="s">
        <v>5222</v>
      </c>
      <c r="G322" s="240">
        <v>83.03</v>
      </c>
    </row>
    <row r="323" spans="1:7" ht="14.25" x14ac:dyDescent="0.2">
      <c r="A323" s="237" t="s">
        <v>2112</v>
      </c>
      <c r="B323" s="238" t="s">
        <v>3056</v>
      </c>
      <c r="C323" s="239" t="s">
        <v>50</v>
      </c>
      <c r="D323" s="240">
        <f t="shared" si="4"/>
        <v>19.265171111111108</v>
      </c>
      <c r="E323" s="226" t="s">
        <v>5222</v>
      </c>
      <c r="G323" s="240">
        <v>17.97</v>
      </c>
    </row>
    <row r="324" spans="1:7" ht="14.25" x14ac:dyDescent="0.2">
      <c r="A324" s="237" t="s">
        <v>2113</v>
      </c>
      <c r="B324" s="238" t="s">
        <v>3057</v>
      </c>
      <c r="C324" s="239" t="s">
        <v>50</v>
      </c>
      <c r="D324" s="240">
        <f t="shared" si="4"/>
        <v>89.014310370370367</v>
      </c>
      <c r="E324" s="226" t="s">
        <v>5222</v>
      </c>
      <c r="G324" s="240">
        <v>83.03</v>
      </c>
    </row>
    <row r="325" spans="1:7" ht="14.25" x14ac:dyDescent="0.2">
      <c r="A325" s="237" t="s">
        <v>2114</v>
      </c>
      <c r="B325" s="238" t="s">
        <v>3058</v>
      </c>
      <c r="C325" s="239" t="s">
        <v>50</v>
      </c>
      <c r="D325" s="240">
        <f t="shared" si="4"/>
        <v>105.58857555555555</v>
      </c>
      <c r="E325" s="226" t="s">
        <v>5222</v>
      </c>
      <c r="G325" s="240">
        <v>98.49</v>
      </c>
    </row>
    <row r="326" spans="1:7" ht="14.25" x14ac:dyDescent="0.2">
      <c r="A326" s="237" t="s">
        <v>2115</v>
      </c>
      <c r="B326" s="238" t="s">
        <v>3059</v>
      </c>
      <c r="C326" s="239" t="s">
        <v>50</v>
      </c>
      <c r="D326" s="240">
        <f t="shared" si="4"/>
        <v>21.623734074074076</v>
      </c>
      <c r="E326" s="226" t="s">
        <v>5222</v>
      </c>
      <c r="G326" s="240">
        <v>20.170000000000002</v>
      </c>
    </row>
    <row r="327" spans="1:7" ht="14.25" x14ac:dyDescent="0.2">
      <c r="A327" s="237" t="s">
        <v>2116</v>
      </c>
      <c r="B327" s="238" t="s">
        <v>3060</v>
      </c>
      <c r="C327" s="239" t="s">
        <v>50</v>
      </c>
      <c r="D327" s="240">
        <f t="shared" si="4"/>
        <v>354.70642814814818</v>
      </c>
      <c r="E327" s="226" t="s">
        <v>5222</v>
      </c>
      <c r="G327" s="240">
        <v>330.86</v>
      </c>
    </row>
    <row r="328" spans="1:7" ht="14.25" x14ac:dyDescent="0.2">
      <c r="A328" s="237" t="s">
        <v>2117</v>
      </c>
      <c r="B328" s="238" t="s">
        <v>3061</v>
      </c>
      <c r="C328" s="239" t="s">
        <v>50</v>
      </c>
      <c r="D328" s="240">
        <f t="shared" ref="D328:D391" si="5">(G328/(1+0.35))*(1+$D$3)</f>
        <v>32.151501481481475</v>
      </c>
      <c r="E328" s="226" t="s">
        <v>5222</v>
      </c>
      <c r="G328" s="240">
        <v>29.99</v>
      </c>
    </row>
    <row r="329" spans="1:7" ht="14.25" x14ac:dyDescent="0.2">
      <c r="A329" s="237" t="s">
        <v>2118</v>
      </c>
      <c r="B329" s="238" t="s">
        <v>3062</v>
      </c>
      <c r="C329" s="239" t="s">
        <v>50</v>
      </c>
      <c r="D329" s="240">
        <f t="shared" si="5"/>
        <v>90.61170074074073</v>
      </c>
      <c r="E329" s="226" t="s">
        <v>5222</v>
      </c>
      <c r="G329" s="240">
        <v>84.52</v>
      </c>
    </row>
    <row r="330" spans="1:7" ht="14.25" x14ac:dyDescent="0.2">
      <c r="A330" s="237" t="s">
        <v>2119</v>
      </c>
      <c r="B330" s="238" t="s">
        <v>3063</v>
      </c>
      <c r="C330" s="239" t="s">
        <v>50</v>
      </c>
      <c r="D330" s="240">
        <f t="shared" si="5"/>
        <v>17.860754074074073</v>
      </c>
      <c r="E330" s="226" t="s">
        <v>5222</v>
      </c>
      <c r="G330" s="240">
        <v>16.66</v>
      </c>
    </row>
    <row r="331" spans="1:7" ht="14.25" x14ac:dyDescent="0.2">
      <c r="A331" s="237" t="s">
        <v>2120</v>
      </c>
      <c r="B331" s="238" t="s">
        <v>3064</v>
      </c>
      <c r="C331" s="239" t="s">
        <v>50</v>
      </c>
      <c r="D331" s="240">
        <f t="shared" si="5"/>
        <v>298.15452074074074</v>
      </c>
      <c r="E331" s="226" t="s">
        <v>5222</v>
      </c>
      <c r="G331" s="240">
        <v>278.11</v>
      </c>
    </row>
    <row r="332" spans="1:7" ht="14.25" x14ac:dyDescent="0.2">
      <c r="A332" s="237" t="s">
        <v>2121</v>
      </c>
      <c r="B332" s="238" t="s">
        <v>3065</v>
      </c>
      <c r="C332" s="239" t="s">
        <v>50</v>
      </c>
      <c r="D332" s="240">
        <f t="shared" si="5"/>
        <v>32.151501481481475</v>
      </c>
      <c r="E332" s="226" t="s">
        <v>5222</v>
      </c>
      <c r="G332" s="240">
        <v>29.99</v>
      </c>
    </row>
    <row r="333" spans="1:7" ht="14.25" x14ac:dyDescent="0.2">
      <c r="A333" s="237" t="s">
        <v>2122</v>
      </c>
      <c r="B333" s="238" t="s">
        <v>3066</v>
      </c>
      <c r="C333" s="239" t="s">
        <v>38</v>
      </c>
      <c r="D333" s="240">
        <f t="shared" si="5"/>
        <v>497.71038888888887</v>
      </c>
      <c r="E333" s="226" t="s">
        <v>5222</v>
      </c>
      <c r="G333" s="240">
        <v>464.25</v>
      </c>
    </row>
    <row r="334" spans="1:7" ht="14.25" x14ac:dyDescent="0.2">
      <c r="A334" s="237" t="s">
        <v>2123</v>
      </c>
      <c r="B334" s="238" t="s">
        <v>3067</v>
      </c>
      <c r="C334" s="239" t="s">
        <v>38</v>
      </c>
      <c r="D334" s="240">
        <f t="shared" si="5"/>
        <v>697.41634740740733</v>
      </c>
      <c r="E334" s="226" t="s">
        <v>5222</v>
      </c>
      <c r="G334" s="240">
        <v>650.53</v>
      </c>
    </row>
    <row r="335" spans="1:7" ht="14.25" x14ac:dyDescent="0.2">
      <c r="A335" s="237" t="s">
        <v>2124</v>
      </c>
      <c r="B335" s="238" t="s">
        <v>3068</v>
      </c>
      <c r="C335" s="239" t="s">
        <v>38</v>
      </c>
      <c r="D335" s="240">
        <f t="shared" si="5"/>
        <v>1197.0243074074074</v>
      </c>
      <c r="E335" s="226" t="s">
        <v>5222</v>
      </c>
      <c r="G335" s="240">
        <v>1116.55</v>
      </c>
    </row>
    <row r="336" spans="1:7" ht="14.25" x14ac:dyDescent="0.2">
      <c r="A336" s="237" t="s">
        <v>2125</v>
      </c>
      <c r="B336" s="238" t="s">
        <v>3069</v>
      </c>
      <c r="C336" s="239" t="s">
        <v>50</v>
      </c>
      <c r="D336" s="240">
        <f t="shared" si="5"/>
        <v>87.513406666666654</v>
      </c>
      <c r="E336" s="226" t="s">
        <v>5222</v>
      </c>
      <c r="G336" s="240">
        <v>81.63</v>
      </c>
    </row>
    <row r="337" spans="1:7" ht="14.25" x14ac:dyDescent="0.2">
      <c r="A337" s="237" t="s">
        <v>2126</v>
      </c>
      <c r="B337" s="238" t="s">
        <v>3070</v>
      </c>
      <c r="C337" s="239" t="s">
        <v>50</v>
      </c>
      <c r="D337" s="240">
        <f t="shared" si="5"/>
        <v>3.8273044444444437</v>
      </c>
      <c r="E337" s="226" t="s">
        <v>5222</v>
      </c>
      <c r="G337" s="240">
        <v>3.57</v>
      </c>
    </row>
    <row r="338" spans="1:7" ht="14.25" x14ac:dyDescent="0.2">
      <c r="A338" s="237" t="s">
        <v>2127</v>
      </c>
      <c r="B338" s="238" t="s">
        <v>3071</v>
      </c>
      <c r="C338" s="239" t="s">
        <v>38</v>
      </c>
      <c r="D338" s="240">
        <f t="shared" si="5"/>
        <v>178.48961259259261</v>
      </c>
      <c r="E338" s="226" t="s">
        <v>5222</v>
      </c>
      <c r="G338" s="240">
        <v>166.49</v>
      </c>
    </row>
    <row r="339" spans="1:7" ht="14.25" x14ac:dyDescent="0.2">
      <c r="A339" s="237" t="s">
        <v>2128</v>
      </c>
      <c r="B339" s="238" t="s">
        <v>3072</v>
      </c>
      <c r="C339" s="239" t="s">
        <v>38</v>
      </c>
      <c r="D339" s="240">
        <f t="shared" si="5"/>
        <v>123.88888</v>
      </c>
      <c r="E339" s="226" t="s">
        <v>5222</v>
      </c>
      <c r="G339" s="240">
        <v>115.56</v>
      </c>
    </row>
    <row r="340" spans="1:7" ht="14.25" x14ac:dyDescent="0.2">
      <c r="A340" s="237" t="s">
        <v>2129</v>
      </c>
      <c r="B340" s="238" t="s">
        <v>3073</v>
      </c>
      <c r="C340" s="239" t="s">
        <v>38</v>
      </c>
      <c r="D340" s="240">
        <f t="shared" si="5"/>
        <v>99.038202962962941</v>
      </c>
      <c r="E340" s="226" t="s">
        <v>5222</v>
      </c>
      <c r="G340" s="240">
        <v>92.38</v>
      </c>
    </row>
    <row r="341" spans="1:7" ht="14.25" x14ac:dyDescent="0.2">
      <c r="A341" s="237" t="s">
        <v>2130</v>
      </c>
      <c r="B341" s="238" t="s">
        <v>3074</v>
      </c>
      <c r="C341" s="239" t="s">
        <v>50</v>
      </c>
      <c r="D341" s="240">
        <f t="shared" si="5"/>
        <v>80.759339999999995</v>
      </c>
      <c r="E341" s="226" t="s">
        <v>5222</v>
      </c>
      <c r="G341" s="240">
        <v>75.33</v>
      </c>
    </row>
    <row r="342" spans="1:7" ht="14.25" x14ac:dyDescent="0.2">
      <c r="A342" s="237" t="s">
        <v>2131</v>
      </c>
      <c r="B342" s="238" t="s">
        <v>3075</v>
      </c>
      <c r="C342" s="239" t="s">
        <v>50</v>
      </c>
      <c r="D342" s="240">
        <f t="shared" si="5"/>
        <v>123.30995999999999</v>
      </c>
      <c r="E342" s="226" t="s">
        <v>5222</v>
      </c>
      <c r="G342" s="240">
        <v>115.02</v>
      </c>
    </row>
    <row r="343" spans="1:7" ht="14.25" x14ac:dyDescent="0.2">
      <c r="A343" s="237" t="s">
        <v>2132</v>
      </c>
      <c r="B343" s="238" t="s">
        <v>3076</v>
      </c>
      <c r="C343" s="239" t="s">
        <v>50</v>
      </c>
      <c r="D343" s="240">
        <f t="shared" si="5"/>
        <v>33.663125925925925</v>
      </c>
      <c r="E343" s="226" t="s">
        <v>5222</v>
      </c>
      <c r="G343" s="240">
        <v>31.4</v>
      </c>
    </row>
    <row r="344" spans="1:7" ht="14.25" x14ac:dyDescent="0.2">
      <c r="A344" s="237" t="s">
        <v>2133</v>
      </c>
      <c r="B344" s="238" t="s">
        <v>3077</v>
      </c>
      <c r="C344" s="239" t="s">
        <v>50</v>
      </c>
      <c r="D344" s="240">
        <f t="shared" si="5"/>
        <v>37.597637777777777</v>
      </c>
      <c r="E344" s="226" t="s">
        <v>5222</v>
      </c>
      <c r="G344" s="240">
        <v>35.07</v>
      </c>
    </row>
    <row r="345" spans="1:7" ht="14.25" x14ac:dyDescent="0.2">
      <c r="A345" s="237" t="s">
        <v>2134</v>
      </c>
      <c r="B345" s="238" t="s">
        <v>3078</v>
      </c>
      <c r="C345" s="239" t="s">
        <v>38</v>
      </c>
      <c r="D345" s="240">
        <f t="shared" si="5"/>
        <v>162.24769037037038</v>
      </c>
      <c r="E345" s="226" t="s">
        <v>5222</v>
      </c>
      <c r="G345" s="240">
        <v>151.34</v>
      </c>
    </row>
    <row r="346" spans="1:7" ht="14.25" x14ac:dyDescent="0.2">
      <c r="A346" s="237" t="s">
        <v>2135</v>
      </c>
      <c r="B346" s="238" t="s">
        <v>3079</v>
      </c>
      <c r="C346" s="239" t="s">
        <v>38</v>
      </c>
      <c r="D346" s="240">
        <f t="shared" si="5"/>
        <v>194.18477703703704</v>
      </c>
      <c r="E346" s="226" t="s">
        <v>5222</v>
      </c>
      <c r="G346" s="240">
        <v>181.13</v>
      </c>
    </row>
    <row r="347" spans="1:7" ht="14.25" x14ac:dyDescent="0.2">
      <c r="A347" s="237" t="s">
        <v>2136</v>
      </c>
      <c r="B347" s="238" t="s">
        <v>3080</v>
      </c>
      <c r="C347" s="239" t="s">
        <v>55</v>
      </c>
      <c r="D347" s="240">
        <f t="shared" si="5"/>
        <v>22.149050370370368</v>
      </c>
      <c r="E347" s="226" t="s">
        <v>5222</v>
      </c>
      <c r="G347" s="240">
        <v>20.66</v>
      </c>
    </row>
    <row r="348" spans="1:7" ht="14.25" x14ac:dyDescent="0.2">
      <c r="A348" s="237" t="s">
        <v>2137</v>
      </c>
      <c r="B348" s="238" t="s">
        <v>3081</v>
      </c>
      <c r="C348" s="239" t="s">
        <v>55</v>
      </c>
      <c r="D348" s="240">
        <f t="shared" si="5"/>
        <v>18.418232592592592</v>
      </c>
      <c r="E348" s="226" t="s">
        <v>5222</v>
      </c>
      <c r="G348" s="240">
        <v>17.18</v>
      </c>
    </row>
    <row r="349" spans="1:7" ht="14.25" x14ac:dyDescent="0.2">
      <c r="A349" s="237" t="s">
        <v>2138</v>
      </c>
      <c r="B349" s="238" t="s">
        <v>3082</v>
      </c>
      <c r="C349" s="239" t="s">
        <v>55</v>
      </c>
      <c r="D349" s="240">
        <f t="shared" si="5"/>
        <v>23.092475555555552</v>
      </c>
      <c r="E349" s="226" t="s">
        <v>5222</v>
      </c>
      <c r="G349" s="240">
        <v>21.54</v>
      </c>
    </row>
    <row r="350" spans="1:7" ht="14.25" x14ac:dyDescent="0.2">
      <c r="A350" s="237" t="s">
        <v>2139</v>
      </c>
      <c r="B350" s="238" t="s">
        <v>3083</v>
      </c>
      <c r="C350" s="239" t="s">
        <v>55</v>
      </c>
      <c r="D350" s="240">
        <f t="shared" si="5"/>
        <v>21.344994814814815</v>
      </c>
      <c r="E350" s="226" t="s">
        <v>5222</v>
      </c>
      <c r="G350" s="240">
        <v>19.91</v>
      </c>
    </row>
    <row r="351" spans="1:7" ht="14.25" x14ac:dyDescent="0.2">
      <c r="A351" s="237" t="s">
        <v>2140</v>
      </c>
      <c r="B351" s="238" t="s">
        <v>3084</v>
      </c>
      <c r="C351" s="239" t="s">
        <v>50</v>
      </c>
      <c r="D351" s="240">
        <f t="shared" si="5"/>
        <v>652.22842518518507</v>
      </c>
      <c r="E351" s="226" t="s">
        <v>5222</v>
      </c>
      <c r="G351" s="240">
        <v>608.38</v>
      </c>
    </row>
    <row r="352" spans="1:7" ht="14.25" x14ac:dyDescent="0.2">
      <c r="A352" s="237" t="s">
        <v>2141</v>
      </c>
      <c r="B352" s="238" t="s">
        <v>3085</v>
      </c>
      <c r="C352" s="239" t="s">
        <v>50</v>
      </c>
      <c r="D352" s="240">
        <f t="shared" si="5"/>
        <v>711.34258962962952</v>
      </c>
      <c r="E352" s="226" t="s">
        <v>5222</v>
      </c>
      <c r="G352" s="240">
        <v>663.52</v>
      </c>
    </row>
    <row r="353" spans="1:7" ht="14.25" x14ac:dyDescent="0.2">
      <c r="A353" s="237" t="s">
        <v>2142</v>
      </c>
      <c r="B353" s="238" t="s">
        <v>3086</v>
      </c>
      <c r="C353" s="239" t="s">
        <v>50</v>
      </c>
      <c r="D353" s="240">
        <f t="shared" si="5"/>
        <v>728.96748740740736</v>
      </c>
      <c r="E353" s="226" t="s">
        <v>5222</v>
      </c>
      <c r="G353" s="240">
        <v>679.96</v>
      </c>
    </row>
    <row r="354" spans="1:7" ht="14.25" x14ac:dyDescent="0.2">
      <c r="A354" s="237" t="s">
        <v>2143</v>
      </c>
      <c r="B354" s="238" t="s">
        <v>3087</v>
      </c>
      <c r="C354" s="239" t="s">
        <v>50</v>
      </c>
      <c r="D354" s="240">
        <f t="shared" si="5"/>
        <v>754.6007785185185</v>
      </c>
      <c r="E354" s="226" t="s">
        <v>5222</v>
      </c>
      <c r="G354" s="240">
        <v>703.87</v>
      </c>
    </row>
    <row r="355" spans="1:7" ht="14.25" x14ac:dyDescent="0.2">
      <c r="A355" s="237" t="s">
        <v>2144</v>
      </c>
      <c r="B355" s="238" t="s">
        <v>3088</v>
      </c>
      <c r="C355" s="239" t="s">
        <v>50</v>
      </c>
      <c r="D355" s="240">
        <f t="shared" si="5"/>
        <v>773.13693925925918</v>
      </c>
      <c r="E355" s="226" t="s">
        <v>5222</v>
      </c>
      <c r="G355" s="240">
        <v>721.16</v>
      </c>
    </row>
    <row r="356" spans="1:7" ht="14.25" x14ac:dyDescent="0.2">
      <c r="A356" s="237" t="s">
        <v>2145</v>
      </c>
      <c r="B356" s="238" t="s">
        <v>3089</v>
      </c>
      <c r="C356" s="239" t="s">
        <v>50</v>
      </c>
      <c r="D356" s="240">
        <f t="shared" si="5"/>
        <v>797.0549118518519</v>
      </c>
      <c r="E356" s="226" t="s">
        <v>5222</v>
      </c>
      <c r="G356" s="240">
        <v>743.47</v>
      </c>
    </row>
    <row r="357" spans="1:7" ht="14.25" x14ac:dyDescent="0.2">
      <c r="A357" s="237" t="s">
        <v>2146</v>
      </c>
      <c r="B357" s="238" t="s">
        <v>3090</v>
      </c>
      <c r="C357" s="239" t="s">
        <v>50</v>
      </c>
      <c r="D357" s="240">
        <f t="shared" si="5"/>
        <v>653.7829325925926</v>
      </c>
      <c r="E357" s="226" t="s">
        <v>5222</v>
      </c>
      <c r="G357" s="240">
        <v>609.83000000000004</v>
      </c>
    </row>
    <row r="358" spans="1:7" ht="14.25" x14ac:dyDescent="0.2">
      <c r="A358" s="237" t="s">
        <v>2147</v>
      </c>
      <c r="B358" s="238" t="s">
        <v>3091</v>
      </c>
      <c r="C358" s="239" t="s">
        <v>50</v>
      </c>
      <c r="D358" s="240">
        <f t="shared" si="5"/>
        <v>97.998291111111115</v>
      </c>
      <c r="E358" s="226" t="s">
        <v>5222</v>
      </c>
      <c r="G358" s="240">
        <v>91.41</v>
      </c>
    </row>
    <row r="359" spans="1:7" ht="14.25" x14ac:dyDescent="0.2">
      <c r="A359" s="237" t="s">
        <v>5159</v>
      </c>
      <c r="B359" s="238" t="s">
        <v>5160</v>
      </c>
      <c r="C359" s="239" t="s">
        <v>13</v>
      </c>
      <c r="D359" s="240">
        <f t="shared" si="5"/>
        <v>264.84517925925928</v>
      </c>
      <c r="E359" s="226" t="s">
        <v>5222</v>
      </c>
      <c r="G359" s="240">
        <v>247.04</v>
      </c>
    </row>
    <row r="360" spans="1:7" ht="14.25" x14ac:dyDescent="0.2">
      <c r="A360" s="237" t="s">
        <v>2148</v>
      </c>
      <c r="B360" s="238" t="s">
        <v>3092</v>
      </c>
      <c r="C360" s="239" t="s">
        <v>50</v>
      </c>
      <c r="D360" s="240">
        <f t="shared" si="5"/>
        <v>810.42367555555552</v>
      </c>
      <c r="E360" s="226" t="s">
        <v>5222</v>
      </c>
      <c r="G360" s="240">
        <v>755.94</v>
      </c>
    </row>
    <row r="361" spans="1:7" ht="14.25" x14ac:dyDescent="0.2">
      <c r="A361" s="237" t="s">
        <v>2149</v>
      </c>
      <c r="B361" s="238" t="s">
        <v>3093</v>
      </c>
      <c r="C361" s="239" t="s">
        <v>50</v>
      </c>
      <c r="D361" s="240">
        <f t="shared" si="5"/>
        <v>855.01123629629626</v>
      </c>
      <c r="E361" s="226" t="s">
        <v>5222</v>
      </c>
      <c r="G361" s="240">
        <v>797.53</v>
      </c>
    </row>
    <row r="362" spans="1:7" ht="14.25" x14ac:dyDescent="0.2">
      <c r="A362" s="237" t="s">
        <v>2150</v>
      </c>
      <c r="B362" s="238" t="s">
        <v>3094</v>
      </c>
      <c r="C362" s="239" t="s">
        <v>50</v>
      </c>
      <c r="D362" s="240">
        <f t="shared" si="5"/>
        <v>975.85542592592594</v>
      </c>
      <c r="E362" s="226" t="s">
        <v>5222</v>
      </c>
      <c r="G362" s="240">
        <v>910.25</v>
      </c>
    </row>
    <row r="363" spans="1:7" ht="14.25" x14ac:dyDescent="0.2">
      <c r="A363" s="237" t="s">
        <v>2151</v>
      </c>
      <c r="B363" s="238" t="s">
        <v>3095</v>
      </c>
      <c r="C363" s="239" t="s">
        <v>50</v>
      </c>
      <c r="D363" s="240">
        <f t="shared" si="5"/>
        <v>1015.2863103703703</v>
      </c>
      <c r="E363" s="226" t="s">
        <v>5222</v>
      </c>
      <c r="G363" s="240">
        <v>947.03</v>
      </c>
    </row>
    <row r="364" spans="1:7" ht="14.25" x14ac:dyDescent="0.2">
      <c r="A364" s="237" t="s">
        <v>2152</v>
      </c>
      <c r="B364" s="238" t="s">
        <v>3096</v>
      </c>
      <c r="C364" s="239" t="s">
        <v>27</v>
      </c>
      <c r="D364" s="240">
        <f t="shared" si="5"/>
        <v>110.50939555555556</v>
      </c>
      <c r="E364" s="226" t="s">
        <v>5222</v>
      </c>
      <c r="G364" s="240">
        <v>103.08</v>
      </c>
    </row>
    <row r="365" spans="1:7" ht="14.25" x14ac:dyDescent="0.2">
      <c r="A365" s="237" t="s">
        <v>2153</v>
      </c>
      <c r="B365" s="238" t="s">
        <v>3097</v>
      </c>
      <c r="C365" s="239" t="s">
        <v>27</v>
      </c>
      <c r="D365" s="240">
        <f t="shared" si="5"/>
        <v>185.87620296296296</v>
      </c>
      <c r="E365" s="226" t="s">
        <v>5222</v>
      </c>
      <c r="G365" s="240">
        <v>173.38</v>
      </c>
    </row>
    <row r="366" spans="1:7" ht="14.25" x14ac:dyDescent="0.2">
      <c r="A366" s="237" t="s">
        <v>2154</v>
      </c>
      <c r="B366" s="238" t="s">
        <v>3098</v>
      </c>
      <c r="C366" s="239" t="s">
        <v>50</v>
      </c>
      <c r="D366" s="240">
        <f t="shared" si="5"/>
        <v>337.30666592592593</v>
      </c>
      <c r="E366" s="226" t="s">
        <v>5222</v>
      </c>
      <c r="G366" s="240">
        <v>314.63</v>
      </c>
    </row>
    <row r="367" spans="1:7" ht="14.25" x14ac:dyDescent="0.2">
      <c r="A367" s="237" t="s">
        <v>2155</v>
      </c>
      <c r="B367" s="238" t="s">
        <v>3099</v>
      </c>
      <c r="C367" s="239" t="s">
        <v>50</v>
      </c>
      <c r="D367" s="240">
        <f t="shared" si="5"/>
        <v>512.06546074074072</v>
      </c>
      <c r="E367" s="226" t="s">
        <v>5222</v>
      </c>
      <c r="G367" s="240">
        <v>477.64</v>
      </c>
    </row>
    <row r="368" spans="1:7" ht="14.25" x14ac:dyDescent="0.2">
      <c r="A368" s="237" t="s">
        <v>2156</v>
      </c>
      <c r="B368" s="238" t="s">
        <v>3100</v>
      </c>
      <c r="C368" s="239" t="s">
        <v>50</v>
      </c>
      <c r="D368" s="240">
        <f t="shared" si="5"/>
        <v>210.8340874074074</v>
      </c>
      <c r="E368" s="226" t="s">
        <v>5222</v>
      </c>
      <c r="G368" s="240">
        <v>196.66</v>
      </c>
    </row>
    <row r="369" spans="1:7" ht="14.25" x14ac:dyDescent="0.2">
      <c r="A369" s="237" t="s">
        <v>2506</v>
      </c>
      <c r="B369" s="238" t="s">
        <v>3101</v>
      </c>
      <c r="C369" s="239" t="s">
        <v>50</v>
      </c>
      <c r="D369" s="240">
        <f t="shared" si="5"/>
        <v>733.26650444444442</v>
      </c>
      <c r="E369" s="226" t="s">
        <v>5222</v>
      </c>
      <c r="G369" s="240">
        <v>683.97</v>
      </c>
    </row>
    <row r="370" spans="1:7" ht="14.25" x14ac:dyDescent="0.2">
      <c r="A370" s="237" t="s">
        <v>2507</v>
      </c>
      <c r="B370" s="238" t="s">
        <v>2508</v>
      </c>
      <c r="C370" s="239" t="s">
        <v>50</v>
      </c>
      <c r="D370" s="240">
        <f t="shared" si="5"/>
        <v>849.71519037037035</v>
      </c>
      <c r="E370" s="226" t="s">
        <v>5222</v>
      </c>
      <c r="G370" s="240">
        <v>792.59</v>
      </c>
    </row>
    <row r="371" spans="1:7" ht="14.25" x14ac:dyDescent="0.2">
      <c r="A371" s="237" t="s">
        <v>2509</v>
      </c>
      <c r="B371" s="238" t="s">
        <v>2510</v>
      </c>
      <c r="C371" s="239" t="s">
        <v>50</v>
      </c>
      <c r="D371" s="240">
        <f t="shared" si="5"/>
        <v>1110.4436051851851</v>
      </c>
      <c r="E371" s="226" t="s">
        <v>5222</v>
      </c>
      <c r="G371" s="240">
        <v>1035.79</v>
      </c>
    </row>
    <row r="372" spans="1:7" ht="14.25" x14ac:dyDescent="0.2">
      <c r="A372" s="237" t="s">
        <v>2511</v>
      </c>
      <c r="B372" s="238" t="s">
        <v>2512</v>
      </c>
      <c r="C372" s="239" t="s">
        <v>50</v>
      </c>
      <c r="D372" s="240">
        <f t="shared" si="5"/>
        <v>678.7515377777778</v>
      </c>
      <c r="E372" s="226" t="s">
        <v>5222</v>
      </c>
      <c r="G372" s="240">
        <v>633.12</v>
      </c>
    </row>
    <row r="373" spans="1:7" ht="14.25" x14ac:dyDescent="0.2">
      <c r="A373" s="237" t="s">
        <v>2513</v>
      </c>
      <c r="B373" s="238" t="s">
        <v>2514</v>
      </c>
      <c r="C373" s="239" t="s">
        <v>50</v>
      </c>
      <c r="D373" s="240">
        <f t="shared" si="5"/>
        <v>863.255485925926</v>
      </c>
      <c r="E373" s="226" t="s">
        <v>5222</v>
      </c>
      <c r="G373" s="240">
        <v>805.22</v>
      </c>
    </row>
    <row r="374" spans="1:7" ht="14.25" x14ac:dyDescent="0.2">
      <c r="A374" s="237" t="s">
        <v>2515</v>
      </c>
      <c r="B374" s="238" t="s">
        <v>3102</v>
      </c>
      <c r="C374" s="239" t="s">
        <v>50</v>
      </c>
      <c r="D374" s="240">
        <f t="shared" si="5"/>
        <v>611.98276444444446</v>
      </c>
      <c r="E374" s="226" t="s">
        <v>5222</v>
      </c>
      <c r="G374" s="240">
        <v>570.84</v>
      </c>
    </row>
    <row r="375" spans="1:7" ht="14.25" x14ac:dyDescent="0.2">
      <c r="A375" s="237" t="s">
        <v>2516</v>
      </c>
      <c r="B375" s="238" t="s">
        <v>2517</v>
      </c>
      <c r="C375" s="239" t="s">
        <v>38</v>
      </c>
      <c r="D375" s="240">
        <f t="shared" si="5"/>
        <v>506.75869407407407</v>
      </c>
      <c r="E375" s="226" t="s">
        <v>5222</v>
      </c>
      <c r="G375" s="240">
        <v>472.69</v>
      </c>
    </row>
    <row r="376" spans="1:7" ht="14.25" x14ac:dyDescent="0.2">
      <c r="A376" s="237" t="s">
        <v>2518</v>
      </c>
      <c r="B376" s="238" t="s">
        <v>2519</v>
      </c>
      <c r="C376" s="239" t="s">
        <v>38</v>
      </c>
      <c r="D376" s="240">
        <f t="shared" si="5"/>
        <v>435.12270444444448</v>
      </c>
      <c r="E376" s="226" t="s">
        <v>5222</v>
      </c>
      <c r="G376" s="240">
        <v>405.87</v>
      </c>
    </row>
    <row r="377" spans="1:7" ht="14.25" x14ac:dyDescent="0.2">
      <c r="A377" s="237" t="s">
        <v>2520</v>
      </c>
      <c r="B377" s="238" t="s">
        <v>2521</v>
      </c>
      <c r="C377" s="239" t="s">
        <v>38</v>
      </c>
      <c r="D377" s="240">
        <f t="shared" si="5"/>
        <v>527.89999481481482</v>
      </c>
      <c r="E377" s="226" t="s">
        <v>5222</v>
      </c>
      <c r="G377" s="240">
        <v>492.41</v>
      </c>
    </row>
    <row r="378" spans="1:7" ht="14.25" x14ac:dyDescent="0.2">
      <c r="A378" s="237" t="s">
        <v>2522</v>
      </c>
      <c r="B378" s="238" t="s">
        <v>2523</v>
      </c>
      <c r="C378" s="239" t="s">
        <v>38</v>
      </c>
      <c r="D378" s="240">
        <f t="shared" si="5"/>
        <v>447.38723185185182</v>
      </c>
      <c r="E378" s="226" t="s">
        <v>5222</v>
      </c>
      <c r="G378" s="240">
        <v>417.31</v>
      </c>
    </row>
    <row r="379" spans="1:7" ht="14.25" x14ac:dyDescent="0.2">
      <c r="A379" s="237" t="s">
        <v>2524</v>
      </c>
      <c r="B379" s="238" t="s">
        <v>2525</v>
      </c>
      <c r="C379" s="239" t="s">
        <v>38</v>
      </c>
      <c r="D379" s="240">
        <f t="shared" si="5"/>
        <v>549.05201629629619</v>
      </c>
      <c r="E379" s="226" t="s">
        <v>5222</v>
      </c>
      <c r="G379" s="240">
        <v>512.14</v>
      </c>
    </row>
    <row r="380" spans="1:7" ht="14.25" x14ac:dyDescent="0.2">
      <c r="A380" s="237" t="s">
        <v>2526</v>
      </c>
      <c r="B380" s="238" t="s">
        <v>2527</v>
      </c>
      <c r="C380" s="239" t="s">
        <v>38</v>
      </c>
      <c r="D380" s="240">
        <f t="shared" si="5"/>
        <v>463.46834296296294</v>
      </c>
      <c r="E380" s="226" t="s">
        <v>5222</v>
      </c>
      <c r="G380" s="240">
        <v>432.31</v>
      </c>
    </row>
    <row r="381" spans="1:7" ht="14.25" x14ac:dyDescent="0.2">
      <c r="A381" s="237" t="s">
        <v>2528</v>
      </c>
      <c r="B381" s="238" t="s">
        <v>3103</v>
      </c>
      <c r="C381" s="239" t="s">
        <v>50</v>
      </c>
      <c r="D381" s="240">
        <f t="shared" si="5"/>
        <v>903.4261014814814</v>
      </c>
      <c r="E381" s="226" t="s">
        <v>5222</v>
      </c>
      <c r="G381" s="240">
        <v>842.69</v>
      </c>
    </row>
    <row r="382" spans="1:7" ht="14.25" x14ac:dyDescent="0.2">
      <c r="A382" s="237" t="s">
        <v>2529</v>
      </c>
      <c r="B382" s="238" t="s">
        <v>3104</v>
      </c>
      <c r="C382" s="239" t="s">
        <v>50</v>
      </c>
      <c r="D382" s="240">
        <f t="shared" si="5"/>
        <v>707.55816814814807</v>
      </c>
      <c r="E382" s="226" t="s">
        <v>5222</v>
      </c>
      <c r="G382" s="240">
        <v>659.99</v>
      </c>
    </row>
    <row r="383" spans="1:7" ht="14.25" x14ac:dyDescent="0.2">
      <c r="A383" s="237" t="s">
        <v>2157</v>
      </c>
      <c r="B383" s="238" t="s">
        <v>3105</v>
      </c>
      <c r="C383" s="239" t="s">
        <v>50</v>
      </c>
      <c r="D383" s="240">
        <f t="shared" si="5"/>
        <v>182.85295407407406</v>
      </c>
      <c r="E383" s="226" t="s">
        <v>5222</v>
      </c>
      <c r="G383" s="240">
        <v>170.56</v>
      </c>
    </row>
    <row r="384" spans="1:7" ht="14.25" x14ac:dyDescent="0.2">
      <c r="A384" s="237" t="s">
        <v>2158</v>
      </c>
      <c r="B384" s="238" t="s">
        <v>3106</v>
      </c>
      <c r="C384" s="239" t="s">
        <v>50</v>
      </c>
      <c r="D384" s="240">
        <f t="shared" si="5"/>
        <v>1018.0844237037036</v>
      </c>
      <c r="E384" s="226" t="s">
        <v>5222</v>
      </c>
      <c r="G384" s="240">
        <v>949.64</v>
      </c>
    </row>
    <row r="385" spans="1:7" ht="14.25" x14ac:dyDescent="0.2">
      <c r="A385" s="237" t="s">
        <v>2159</v>
      </c>
      <c r="B385" s="238" t="s">
        <v>3107</v>
      </c>
      <c r="C385" s="239" t="s">
        <v>50</v>
      </c>
      <c r="D385" s="240">
        <f t="shared" si="5"/>
        <v>956.01133481481486</v>
      </c>
      <c r="E385" s="226" t="s">
        <v>5222</v>
      </c>
      <c r="G385" s="240">
        <v>891.74</v>
      </c>
    </row>
    <row r="386" spans="1:7" ht="14.25" x14ac:dyDescent="0.2">
      <c r="A386" s="237" t="s">
        <v>2160</v>
      </c>
      <c r="B386" s="238" t="s">
        <v>3108</v>
      </c>
      <c r="C386" s="239" t="s">
        <v>50</v>
      </c>
      <c r="D386" s="240">
        <f t="shared" si="5"/>
        <v>1428.6887940740742</v>
      </c>
      <c r="E386" s="226" t="s">
        <v>5222</v>
      </c>
      <c r="G386" s="240">
        <v>1332.64</v>
      </c>
    </row>
    <row r="387" spans="1:7" ht="14.25" x14ac:dyDescent="0.2">
      <c r="A387" s="237" t="s">
        <v>2161</v>
      </c>
      <c r="B387" s="238" t="s">
        <v>3109</v>
      </c>
      <c r="C387" s="239" t="s">
        <v>50</v>
      </c>
      <c r="D387" s="240">
        <f t="shared" si="5"/>
        <v>479.47440888888889</v>
      </c>
      <c r="E387" s="226" t="s">
        <v>5222</v>
      </c>
      <c r="G387" s="240">
        <v>447.24</v>
      </c>
    </row>
    <row r="388" spans="1:7" ht="14.25" x14ac:dyDescent="0.2">
      <c r="A388" s="237" t="s">
        <v>2162</v>
      </c>
      <c r="B388" s="238" t="s">
        <v>3110</v>
      </c>
      <c r="C388" s="239" t="s">
        <v>50</v>
      </c>
      <c r="D388" s="240">
        <f t="shared" si="5"/>
        <v>864.05954148148146</v>
      </c>
      <c r="E388" s="226" t="s">
        <v>5222</v>
      </c>
      <c r="G388" s="240">
        <v>805.97</v>
      </c>
    </row>
    <row r="389" spans="1:7" ht="14.25" x14ac:dyDescent="0.2">
      <c r="A389" s="237" t="s">
        <v>2163</v>
      </c>
      <c r="B389" s="238" t="s">
        <v>3111</v>
      </c>
      <c r="C389" s="239" t="s">
        <v>50</v>
      </c>
      <c r="D389" s="240">
        <f t="shared" si="5"/>
        <v>744.72697629629636</v>
      </c>
      <c r="E389" s="226" t="s">
        <v>5222</v>
      </c>
      <c r="G389" s="240">
        <v>694.66</v>
      </c>
    </row>
    <row r="390" spans="1:7" ht="14.25" x14ac:dyDescent="0.2">
      <c r="A390" s="237" t="s">
        <v>2164</v>
      </c>
      <c r="B390" s="238" t="s">
        <v>3112</v>
      </c>
      <c r="C390" s="239" t="s">
        <v>38</v>
      </c>
      <c r="D390" s="240">
        <f t="shared" si="5"/>
        <v>56.466141481481479</v>
      </c>
      <c r="E390" s="226" t="s">
        <v>5222</v>
      </c>
      <c r="G390" s="240">
        <v>52.67</v>
      </c>
    </row>
    <row r="391" spans="1:7" ht="14.25" x14ac:dyDescent="0.2">
      <c r="A391" s="237" t="s">
        <v>340</v>
      </c>
      <c r="B391" s="238" t="s">
        <v>3113</v>
      </c>
      <c r="C391" s="239" t="s">
        <v>50</v>
      </c>
      <c r="D391" s="240">
        <f t="shared" si="5"/>
        <v>139.83062148148147</v>
      </c>
      <c r="E391" s="226" t="s">
        <v>5222</v>
      </c>
      <c r="G391" s="240">
        <v>130.43</v>
      </c>
    </row>
    <row r="392" spans="1:7" ht="14.25" x14ac:dyDescent="0.2">
      <c r="A392" s="237" t="s">
        <v>341</v>
      </c>
      <c r="B392" s="238" t="s">
        <v>3114</v>
      </c>
      <c r="C392" s="239" t="s">
        <v>50</v>
      </c>
      <c r="D392" s="240">
        <f t="shared" ref="D392:D455" si="6">(G392/(1+0.35))*(1+$D$3)</f>
        <v>151.15172370370371</v>
      </c>
      <c r="E392" s="226" t="s">
        <v>5222</v>
      </c>
      <c r="G392" s="240">
        <v>140.99</v>
      </c>
    </row>
    <row r="393" spans="1:7" ht="14.25" x14ac:dyDescent="0.2">
      <c r="A393" s="237" t="s">
        <v>342</v>
      </c>
      <c r="B393" s="238" t="s">
        <v>3115</v>
      </c>
      <c r="C393" s="239" t="s">
        <v>50</v>
      </c>
      <c r="D393" s="240">
        <f t="shared" si="6"/>
        <v>153.22082666666665</v>
      </c>
      <c r="E393" s="226" t="s">
        <v>5222</v>
      </c>
      <c r="G393" s="240">
        <v>142.91999999999999</v>
      </c>
    </row>
    <row r="394" spans="1:7" ht="14.25" x14ac:dyDescent="0.2">
      <c r="A394" s="237" t="s">
        <v>2165</v>
      </c>
      <c r="B394" s="238" t="s">
        <v>3116</v>
      </c>
      <c r="C394" s="239" t="s">
        <v>50</v>
      </c>
      <c r="D394" s="240">
        <f t="shared" si="6"/>
        <v>233.62638222222219</v>
      </c>
      <c r="E394" s="226" t="s">
        <v>5222</v>
      </c>
      <c r="G394" s="240">
        <v>217.92</v>
      </c>
    </row>
    <row r="395" spans="1:7" ht="14.25" x14ac:dyDescent="0.2">
      <c r="A395" s="237" t="s">
        <v>2166</v>
      </c>
      <c r="B395" s="238" t="s">
        <v>3117</v>
      </c>
      <c r="C395" s="239" t="s">
        <v>50</v>
      </c>
      <c r="D395" s="240">
        <f t="shared" si="6"/>
        <v>132.86214000000001</v>
      </c>
      <c r="E395" s="226" t="s">
        <v>5222</v>
      </c>
      <c r="G395" s="240">
        <v>123.93</v>
      </c>
    </row>
    <row r="396" spans="1:7" ht="14.25" x14ac:dyDescent="0.2">
      <c r="A396" s="237" t="s">
        <v>3118</v>
      </c>
      <c r="B396" s="238" t="s">
        <v>3119</v>
      </c>
      <c r="C396" s="239" t="s">
        <v>50</v>
      </c>
      <c r="D396" s="240">
        <f t="shared" si="6"/>
        <v>131.63997555555554</v>
      </c>
      <c r="E396" s="226" t="s">
        <v>5222</v>
      </c>
      <c r="G396" s="240">
        <v>122.79</v>
      </c>
    </row>
    <row r="397" spans="1:7" ht="14.25" x14ac:dyDescent="0.2">
      <c r="A397" s="237" t="s">
        <v>5161</v>
      </c>
      <c r="B397" s="238" t="s">
        <v>5162</v>
      </c>
      <c r="C397" s="239" t="s">
        <v>50</v>
      </c>
      <c r="D397" s="240">
        <f t="shared" si="6"/>
        <v>120.15806222222221</v>
      </c>
      <c r="E397" s="226" t="s">
        <v>5222</v>
      </c>
      <c r="G397" s="240">
        <v>112.08</v>
      </c>
    </row>
    <row r="398" spans="1:7" ht="14.25" x14ac:dyDescent="0.2">
      <c r="A398" s="237" t="s">
        <v>2167</v>
      </c>
      <c r="B398" s="238" t="s">
        <v>3120</v>
      </c>
      <c r="C398" s="239" t="s">
        <v>50</v>
      </c>
      <c r="D398" s="240">
        <f t="shared" si="6"/>
        <v>192.93045037037035</v>
      </c>
      <c r="E398" s="226" t="s">
        <v>5222</v>
      </c>
      <c r="G398" s="240">
        <v>179.96</v>
      </c>
    </row>
    <row r="399" spans="1:7" ht="14.25" x14ac:dyDescent="0.2">
      <c r="A399" s="237" t="s">
        <v>2168</v>
      </c>
      <c r="B399" s="238" t="s">
        <v>3121</v>
      </c>
      <c r="C399" s="239" t="s">
        <v>50</v>
      </c>
      <c r="D399" s="240">
        <f t="shared" si="6"/>
        <v>41.307014074074075</v>
      </c>
      <c r="E399" s="226" t="s">
        <v>5222</v>
      </c>
      <c r="G399" s="240">
        <v>38.53</v>
      </c>
    </row>
    <row r="400" spans="1:7" ht="14.25" x14ac:dyDescent="0.2">
      <c r="A400" s="237" t="s">
        <v>2169</v>
      </c>
      <c r="B400" s="238" t="s">
        <v>3122</v>
      </c>
      <c r="C400" s="239" t="s">
        <v>38</v>
      </c>
      <c r="D400" s="240">
        <f t="shared" si="6"/>
        <v>20.648146666666669</v>
      </c>
      <c r="E400" s="226" t="s">
        <v>5222</v>
      </c>
      <c r="G400" s="240">
        <v>19.260000000000002</v>
      </c>
    </row>
    <row r="401" spans="1:7" ht="14.25" x14ac:dyDescent="0.2">
      <c r="A401" s="237" t="s">
        <v>343</v>
      </c>
      <c r="B401" s="238" t="s">
        <v>3123</v>
      </c>
      <c r="C401" s="239" t="s">
        <v>50</v>
      </c>
      <c r="D401" s="240">
        <f t="shared" si="6"/>
        <v>94.503329629629619</v>
      </c>
      <c r="E401" s="226" t="s">
        <v>5222</v>
      </c>
      <c r="G401" s="240">
        <v>88.15</v>
      </c>
    </row>
    <row r="402" spans="1:7" ht="14.25" x14ac:dyDescent="0.2">
      <c r="A402" s="237" t="s">
        <v>344</v>
      </c>
      <c r="B402" s="238" t="s">
        <v>3124</v>
      </c>
      <c r="C402" s="239" t="s">
        <v>50</v>
      </c>
      <c r="D402" s="240">
        <f t="shared" si="6"/>
        <v>139.23026000000002</v>
      </c>
      <c r="E402" s="226" t="s">
        <v>5222</v>
      </c>
      <c r="G402" s="240">
        <v>129.87</v>
      </c>
    </row>
    <row r="403" spans="1:7" ht="14.25" x14ac:dyDescent="0.2">
      <c r="A403" s="237" t="s">
        <v>345</v>
      </c>
      <c r="B403" s="238" t="s">
        <v>3125</v>
      </c>
      <c r="C403" s="239" t="s">
        <v>50</v>
      </c>
      <c r="D403" s="240">
        <f t="shared" si="6"/>
        <v>316.91581703703707</v>
      </c>
      <c r="E403" s="226" t="s">
        <v>5222</v>
      </c>
      <c r="G403" s="240">
        <v>295.61</v>
      </c>
    </row>
    <row r="404" spans="1:7" ht="14.25" x14ac:dyDescent="0.2">
      <c r="A404" s="237" t="s">
        <v>346</v>
      </c>
      <c r="B404" s="238" t="s">
        <v>3126</v>
      </c>
      <c r="C404" s="239" t="s">
        <v>50</v>
      </c>
      <c r="D404" s="240">
        <f t="shared" si="6"/>
        <v>34.724479259259255</v>
      </c>
      <c r="E404" s="226" t="s">
        <v>5222</v>
      </c>
      <c r="G404" s="240">
        <v>32.39</v>
      </c>
    </row>
    <row r="405" spans="1:7" ht="14.25" x14ac:dyDescent="0.2">
      <c r="A405" s="237" t="s">
        <v>347</v>
      </c>
      <c r="B405" s="238" t="s">
        <v>3127</v>
      </c>
      <c r="C405" s="239" t="s">
        <v>50</v>
      </c>
      <c r="D405" s="240">
        <f t="shared" si="6"/>
        <v>46.302879259259257</v>
      </c>
      <c r="E405" s="226" t="s">
        <v>5222</v>
      </c>
      <c r="G405" s="240">
        <v>43.19</v>
      </c>
    </row>
    <row r="406" spans="1:7" ht="14.25" x14ac:dyDescent="0.2">
      <c r="A406" s="237" t="s">
        <v>348</v>
      </c>
      <c r="B406" s="238" t="s">
        <v>3128</v>
      </c>
      <c r="C406" s="239" t="s">
        <v>50</v>
      </c>
      <c r="D406" s="240">
        <f t="shared" si="6"/>
        <v>220.12896962962961</v>
      </c>
      <c r="E406" s="226" t="s">
        <v>5222</v>
      </c>
      <c r="G406" s="240">
        <v>205.33</v>
      </c>
    </row>
    <row r="407" spans="1:7" ht="14.25" x14ac:dyDescent="0.2">
      <c r="A407" s="237" t="s">
        <v>349</v>
      </c>
      <c r="B407" s="238" t="s">
        <v>3129</v>
      </c>
      <c r="C407" s="239" t="s">
        <v>50</v>
      </c>
      <c r="D407" s="240">
        <f t="shared" si="6"/>
        <v>194.74225555555554</v>
      </c>
      <c r="E407" s="226" t="s">
        <v>5222</v>
      </c>
      <c r="G407" s="240">
        <v>181.65</v>
      </c>
    </row>
    <row r="408" spans="1:7" ht="14.25" x14ac:dyDescent="0.2">
      <c r="A408" s="237" t="s">
        <v>350</v>
      </c>
      <c r="B408" s="238" t="s">
        <v>3130</v>
      </c>
      <c r="C408" s="239" t="s">
        <v>38</v>
      </c>
      <c r="D408" s="240">
        <f t="shared" si="6"/>
        <v>8.4801059259259262</v>
      </c>
      <c r="E408" s="226" t="s">
        <v>5222</v>
      </c>
      <c r="G408" s="240">
        <v>7.91</v>
      </c>
    </row>
    <row r="409" spans="1:7" ht="14.25" x14ac:dyDescent="0.2">
      <c r="A409" s="237" t="s">
        <v>351</v>
      </c>
      <c r="B409" s="238" t="s">
        <v>3131</v>
      </c>
      <c r="C409" s="239" t="s">
        <v>38</v>
      </c>
      <c r="D409" s="240">
        <f t="shared" si="6"/>
        <v>9.1340711111111101</v>
      </c>
      <c r="E409" s="226" t="s">
        <v>5222</v>
      </c>
      <c r="G409" s="240">
        <v>8.52</v>
      </c>
    </row>
    <row r="410" spans="1:7" ht="14.25" x14ac:dyDescent="0.2">
      <c r="A410" s="237" t="s">
        <v>352</v>
      </c>
      <c r="B410" s="238" t="s">
        <v>3132</v>
      </c>
      <c r="C410" s="239" t="s">
        <v>38</v>
      </c>
      <c r="D410" s="240">
        <f t="shared" si="6"/>
        <v>10.58137111111111</v>
      </c>
      <c r="E410" s="226" t="s">
        <v>5222</v>
      </c>
      <c r="G410" s="240">
        <v>9.8699999999999992</v>
      </c>
    </row>
    <row r="411" spans="1:7" ht="14.25" x14ac:dyDescent="0.2">
      <c r="A411" s="237" t="s">
        <v>353</v>
      </c>
      <c r="B411" s="238" t="s">
        <v>3133</v>
      </c>
      <c r="C411" s="239" t="s">
        <v>38</v>
      </c>
      <c r="D411" s="240">
        <f t="shared" si="6"/>
        <v>18.343187407407406</v>
      </c>
      <c r="E411" s="226" t="s">
        <v>5222</v>
      </c>
      <c r="G411" s="240">
        <v>17.11</v>
      </c>
    </row>
    <row r="412" spans="1:7" ht="14.25" x14ac:dyDescent="0.2">
      <c r="A412" s="237" t="s">
        <v>354</v>
      </c>
      <c r="B412" s="238" t="s">
        <v>3134</v>
      </c>
      <c r="C412" s="239" t="s">
        <v>38</v>
      </c>
      <c r="D412" s="240">
        <f t="shared" si="6"/>
        <v>14.087053333333332</v>
      </c>
      <c r="E412" s="226" t="s">
        <v>5222</v>
      </c>
      <c r="G412" s="240">
        <v>13.14</v>
      </c>
    </row>
    <row r="413" spans="1:7" ht="14.25" x14ac:dyDescent="0.2">
      <c r="A413" s="237" t="s">
        <v>355</v>
      </c>
      <c r="B413" s="238" t="s">
        <v>3135</v>
      </c>
      <c r="C413" s="239" t="s">
        <v>38</v>
      </c>
      <c r="D413" s="240">
        <f t="shared" si="6"/>
        <v>16.542102962962961</v>
      </c>
      <c r="E413" s="226" t="s">
        <v>5222</v>
      </c>
      <c r="G413" s="240">
        <v>15.43</v>
      </c>
    </row>
    <row r="414" spans="1:7" ht="14.25" x14ac:dyDescent="0.2">
      <c r="A414" s="237" t="s">
        <v>356</v>
      </c>
      <c r="B414" s="238" t="s">
        <v>3136</v>
      </c>
      <c r="C414" s="239" t="s">
        <v>38</v>
      </c>
      <c r="D414" s="240">
        <f t="shared" si="6"/>
        <v>21.484364444444441</v>
      </c>
      <c r="E414" s="226" t="s">
        <v>5222</v>
      </c>
      <c r="G414" s="240">
        <v>20.04</v>
      </c>
    </row>
    <row r="415" spans="1:7" ht="14.25" x14ac:dyDescent="0.2">
      <c r="A415" s="237" t="s">
        <v>357</v>
      </c>
      <c r="B415" s="238" t="s">
        <v>3137</v>
      </c>
      <c r="C415" s="239" t="s">
        <v>38</v>
      </c>
      <c r="D415" s="240">
        <f t="shared" si="6"/>
        <v>26.405184444444444</v>
      </c>
      <c r="E415" s="226" t="s">
        <v>5222</v>
      </c>
      <c r="G415" s="240">
        <v>24.63</v>
      </c>
    </row>
    <row r="416" spans="1:7" ht="14.25" x14ac:dyDescent="0.2">
      <c r="A416" s="237" t="s">
        <v>358</v>
      </c>
      <c r="B416" s="238" t="s">
        <v>3138</v>
      </c>
      <c r="C416" s="239" t="s">
        <v>38</v>
      </c>
      <c r="D416" s="240">
        <f t="shared" si="6"/>
        <v>31.347445925925925</v>
      </c>
      <c r="E416" s="226" t="s">
        <v>5222</v>
      </c>
      <c r="G416" s="240">
        <v>29.24</v>
      </c>
    </row>
    <row r="417" spans="1:7" ht="14.25" x14ac:dyDescent="0.2">
      <c r="A417" s="237" t="s">
        <v>359</v>
      </c>
      <c r="B417" s="238" t="s">
        <v>3139</v>
      </c>
      <c r="C417" s="239" t="s">
        <v>38</v>
      </c>
      <c r="D417" s="240">
        <f t="shared" si="6"/>
        <v>11.932184444444445</v>
      </c>
      <c r="E417" s="226" t="s">
        <v>5222</v>
      </c>
      <c r="G417" s="240">
        <v>11.13</v>
      </c>
    </row>
    <row r="418" spans="1:7" ht="14.25" x14ac:dyDescent="0.2">
      <c r="A418" s="237" t="s">
        <v>360</v>
      </c>
      <c r="B418" s="238" t="s">
        <v>3140</v>
      </c>
      <c r="C418" s="239" t="s">
        <v>38</v>
      </c>
      <c r="D418" s="240">
        <f t="shared" si="6"/>
        <v>30.425462222222219</v>
      </c>
      <c r="E418" s="226" t="s">
        <v>5222</v>
      </c>
      <c r="G418" s="240">
        <v>28.38</v>
      </c>
    </row>
    <row r="419" spans="1:7" ht="14.25" x14ac:dyDescent="0.2">
      <c r="A419" s="237" t="s">
        <v>2170</v>
      </c>
      <c r="B419" s="238" t="s">
        <v>3141</v>
      </c>
      <c r="C419" s="239" t="s">
        <v>38</v>
      </c>
      <c r="D419" s="240">
        <f t="shared" si="6"/>
        <v>69.684814814814814</v>
      </c>
      <c r="E419" s="226" t="s">
        <v>5222</v>
      </c>
      <c r="G419" s="240">
        <v>65</v>
      </c>
    </row>
    <row r="420" spans="1:7" ht="14.25" x14ac:dyDescent="0.2">
      <c r="A420" s="237" t="s">
        <v>361</v>
      </c>
      <c r="B420" s="238" t="s">
        <v>3142</v>
      </c>
      <c r="C420" s="239" t="s">
        <v>55</v>
      </c>
      <c r="D420" s="240">
        <f t="shared" si="6"/>
        <v>87.416920000000005</v>
      </c>
      <c r="E420" s="226" t="s">
        <v>5222</v>
      </c>
      <c r="G420" s="240">
        <v>81.540000000000006</v>
      </c>
    </row>
    <row r="421" spans="1:7" ht="14.25" x14ac:dyDescent="0.2">
      <c r="A421" s="237" t="s">
        <v>362</v>
      </c>
      <c r="B421" s="238" t="s">
        <v>3143</v>
      </c>
      <c r="C421" s="239" t="s">
        <v>27</v>
      </c>
      <c r="D421" s="240">
        <f t="shared" si="6"/>
        <v>94.749906666666647</v>
      </c>
      <c r="E421" s="226" t="s">
        <v>5222</v>
      </c>
      <c r="G421" s="240">
        <v>88.38</v>
      </c>
    </row>
    <row r="422" spans="1:7" ht="14.25" x14ac:dyDescent="0.2">
      <c r="A422" s="237" t="s">
        <v>363</v>
      </c>
      <c r="B422" s="238" t="s">
        <v>3144</v>
      </c>
      <c r="C422" s="239" t="s">
        <v>27</v>
      </c>
      <c r="D422" s="240">
        <f t="shared" si="6"/>
        <v>94.0745</v>
      </c>
      <c r="E422" s="226" t="s">
        <v>5222</v>
      </c>
      <c r="G422" s="240">
        <v>87.75</v>
      </c>
    </row>
    <row r="423" spans="1:7" ht="14.25" x14ac:dyDescent="0.2">
      <c r="A423" s="237" t="s">
        <v>364</v>
      </c>
      <c r="B423" s="238" t="s">
        <v>3145</v>
      </c>
      <c r="C423" s="239" t="s">
        <v>27</v>
      </c>
      <c r="D423" s="240">
        <f t="shared" si="6"/>
        <v>86.291242222222209</v>
      </c>
      <c r="E423" s="226" t="s">
        <v>5222</v>
      </c>
      <c r="G423" s="240">
        <v>80.489999999999995</v>
      </c>
    </row>
    <row r="424" spans="1:7" ht="14.25" x14ac:dyDescent="0.2">
      <c r="A424" s="237" t="s">
        <v>365</v>
      </c>
      <c r="B424" s="238" t="s">
        <v>3146</v>
      </c>
      <c r="C424" s="239" t="s">
        <v>27</v>
      </c>
      <c r="D424" s="240">
        <f t="shared" si="6"/>
        <v>115.83760370370369</v>
      </c>
      <c r="E424" s="226" t="s">
        <v>5222</v>
      </c>
      <c r="G424" s="240">
        <v>108.05</v>
      </c>
    </row>
    <row r="425" spans="1:7" ht="14.25" x14ac:dyDescent="0.2">
      <c r="A425" s="237" t="s">
        <v>366</v>
      </c>
      <c r="B425" s="238" t="s">
        <v>3147</v>
      </c>
      <c r="C425" s="239" t="s">
        <v>27</v>
      </c>
      <c r="D425" s="240">
        <f t="shared" si="6"/>
        <v>27.605907407407408</v>
      </c>
      <c r="E425" s="226" t="s">
        <v>5222</v>
      </c>
      <c r="G425" s="240">
        <v>25.75</v>
      </c>
    </row>
    <row r="426" spans="1:7" ht="14.25" x14ac:dyDescent="0.2">
      <c r="A426" s="237" t="s">
        <v>367</v>
      </c>
      <c r="B426" s="238" t="s">
        <v>3148</v>
      </c>
      <c r="C426" s="239" t="s">
        <v>27</v>
      </c>
      <c r="D426" s="240">
        <f t="shared" si="6"/>
        <v>208.36831703703706</v>
      </c>
      <c r="E426" s="226" t="s">
        <v>5222</v>
      </c>
      <c r="G426" s="240">
        <v>194.36</v>
      </c>
    </row>
    <row r="427" spans="1:7" ht="14.25" x14ac:dyDescent="0.2">
      <c r="A427" s="237" t="s">
        <v>368</v>
      </c>
      <c r="B427" s="238" t="s">
        <v>3149</v>
      </c>
      <c r="C427" s="239" t="s">
        <v>27</v>
      </c>
      <c r="D427" s="240">
        <f t="shared" si="6"/>
        <v>113.54336518518517</v>
      </c>
      <c r="E427" s="226" t="s">
        <v>5222</v>
      </c>
      <c r="G427" s="240">
        <v>105.91</v>
      </c>
    </row>
    <row r="428" spans="1:7" ht="14.25" x14ac:dyDescent="0.2">
      <c r="A428" s="237" t="s">
        <v>369</v>
      </c>
      <c r="B428" s="238" t="s">
        <v>3150</v>
      </c>
      <c r="C428" s="239" t="s">
        <v>27</v>
      </c>
      <c r="D428" s="240">
        <f t="shared" si="6"/>
        <v>153.39235851851853</v>
      </c>
      <c r="E428" s="226" t="s">
        <v>5222</v>
      </c>
      <c r="G428" s="240">
        <v>143.08000000000001</v>
      </c>
    </row>
    <row r="429" spans="1:7" ht="14.25" x14ac:dyDescent="0.2">
      <c r="A429" s="237" t="s">
        <v>370</v>
      </c>
      <c r="B429" s="238" t="s">
        <v>3151</v>
      </c>
      <c r="C429" s="239" t="s">
        <v>27</v>
      </c>
      <c r="D429" s="240">
        <f t="shared" si="6"/>
        <v>364.78392444444444</v>
      </c>
      <c r="E429" s="226" t="s">
        <v>5222</v>
      </c>
      <c r="G429" s="240">
        <v>340.26</v>
      </c>
    </row>
    <row r="430" spans="1:7" ht="14.25" x14ac:dyDescent="0.2">
      <c r="A430" s="237" t="s">
        <v>371</v>
      </c>
      <c r="B430" s="238" t="s">
        <v>3152</v>
      </c>
      <c r="C430" s="239" t="s">
        <v>27</v>
      </c>
      <c r="D430" s="240">
        <f t="shared" si="6"/>
        <v>244.50793407407406</v>
      </c>
      <c r="E430" s="226" t="s">
        <v>5222</v>
      </c>
      <c r="G430" s="240">
        <v>228.07</v>
      </c>
    </row>
    <row r="431" spans="1:7" ht="14.25" x14ac:dyDescent="0.2">
      <c r="A431" s="237" t="s">
        <v>372</v>
      </c>
      <c r="B431" s="238" t="s">
        <v>3153</v>
      </c>
      <c r="C431" s="239" t="s">
        <v>27</v>
      </c>
      <c r="D431" s="240">
        <f t="shared" si="6"/>
        <v>43.558369629629631</v>
      </c>
      <c r="E431" s="226" t="s">
        <v>5222</v>
      </c>
      <c r="G431" s="240">
        <v>40.630000000000003</v>
      </c>
    </row>
    <row r="432" spans="1:7" ht="14.25" x14ac:dyDescent="0.2">
      <c r="A432" s="237" t="s">
        <v>373</v>
      </c>
      <c r="B432" s="238" t="s">
        <v>3154</v>
      </c>
      <c r="C432" s="239" t="s">
        <v>27</v>
      </c>
      <c r="D432" s="240">
        <f t="shared" si="6"/>
        <v>155.79380444444442</v>
      </c>
      <c r="E432" s="226" t="s">
        <v>5222</v>
      </c>
      <c r="G432" s="240">
        <v>145.32</v>
      </c>
    </row>
    <row r="433" spans="1:7" ht="14.25" x14ac:dyDescent="0.2">
      <c r="A433" s="237" t="s">
        <v>374</v>
      </c>
      <c r="B433" s="238" t="s">
        <v>3155</v>
      </c>
      <c r="C433" s="239" t="s">
        <v>27</v>
      </c>
      <c r="D433" s="240">
        <f t="shared" si="6"/>
        <v>215.4654474074074</v>
      </c>
      <c r="E433" s="226" t="s">
        <v>5222</v>
      </c>
      <c r="G433" s="240">
        <v>200.98</v>
      </c>
    </row>
    <row r="434" spans="1:7" ht="14.25" x14ac:dyDescent="0.2">
      <c r="A434" s="237" t="s">
        <v>375</v>
      </c>
      <c r="B434" s="238" t="s">
        <v>3156</v>
      </c>
      <c r="C434" s="239" t="s">
        <v>27</v>
      </c>
      <c r="D434" s="240">
        <f t="shared" si="6"/>
        <v>239.95161925925922</v>
      </c>
      <c r="E434" s="226" t="s">
        <v>5222</v>
      </c>
      <c r="G434" s="240">
        <v>223.82</v>
      </c>
    </row>
    <row r="435" spans="1:7" ht="14.25" x14ac:dyDescent="0.2">
      <c r="A435" s="237" t="s">
        <v>376</v>
      </c>
      <c r="B435" s="238" t="s">
        <v>3157</v>
      </c>
      <c r="C435" s="239" t="s">
        <v>27</v>
      </c>
      <c r="D435" s="240">
        <f t="shared" si="6"/>
        <v>50.151625185185189</v>
      </c>
      <c r="E435" s="226" t="s">
        <v>5222</v>
      </c>
      <c r="G435" s="240">
        <v>46.78</v>
      </c>
    </row>
    <row r="436" spans="1:7" ht="14.25" x14ac:dyDescent="0.2">
      <c r="A436" s="237" t="s">
        <v>377</v>
      </c>
      <c r="B436" s="238" t="s">
        <v>3158</v>
      </c>
      <c r="C436" s="239" t="s">
        <v>27</v>
      </c>
      <c r="D436" s="240">
        <f t="shared" si="6"/>
        <v>66.532917037037038</v>
      </c>
      <c r="E436" s="226" t="s">
        <v>5222</v>
      </c>
      <c r="G436" s="240">
        <v>62.06</v>
      </c>
    </row>
    <row r="437" spans="1:7" ht="14.25" x14ac:dyDescent="0.2">
      <c r="A437" s="237" t="s">
        <v>378</v>
      </c>
      <c r="B437" s="238" t="s">
        <v>3159</v>
      </c>
      <c r="C437" s="239" t="s">
        <v>27</v>
      </c>
      <c r="D437" s="240">
        <f t="shared" si="6"/>
        <v>114.69048444444444</v>
      </c>
      <c r="E437" s="226" t="s">
        <v>5222</v>
      </c>
      <c r="G437" s="240">
        <v>106.98</v>
      </c>
    </row>
    <row r="438" spans="1:7" ht="14.25" x14ac:dyDescent="0.2">
      <c r="A438" s="237" t="s">
        <v>379</v>
      </c>
      <c r="B438" s="238" t="s">
        <v>3160</v>
      </c>
      <c r="C438" s="239" t="s">
        <v>27</v>
      </c>
      <c r="D438" s="240">
        <f t="shared" si="6"/>
        <v>33.148530370370374</v>
      </c>
      <c r="E438" s="226" t="s">
        <v>5222</v>
      </c>
      <c r="G438" s="240">
        <v>30.92</v>
      </c>
    </row>
    <row r="439" spans="1:7" ht="14.25" x14ac:dyDescent="0.2">
      <c r="A439" s="237" t="s">
        <v>380</v>
      </c>
      <c r="B439" s="238" t="s">
        <v>3161</v>
      </c>
      <c r="C439" s="239" t="s">
        <v>27</v>
      </c>
      <c r="D439" s="240">
        <f t="shared" si="6"/>
        <v>53.882442962962962</v>
      </c>
      <c r="E439" s="226" t="s">
        <v>5222</v>
      </c>
      <c r="G439" s="240">
        <v>50.26</v>
      </c>
    </row>
    <row r="440" spans="1:7" ht="14.25" x14ac:dyDescent="0.2">
      <c r="A440" s="237" t="s">
        <v>381</v>
      </c>
      <c r="B440" s="238" t="s">
        <v>3162</v>
      </c>
      <c r="C440" s="239" t="s">
        <v>27</v>
      </c>
      <c r="D440" s="240">
        <f t="shared" si="6"/>
        <v>65.235707407407403</v>
      </c>
      <c r="E440" s="226" t="s">
        <v>5222</v>
      </c>
      <c r="G440" s="240">
        <v>60.85</v>
      </c>
    </row>
    <row r="441" spans="1:7" ht="14.25" x14ac:dyDescent="0.2">
      <c r="A441" s="237" t="s">
        <v>382</v>
      </c>
      <c r="B441" s="238" t="s">
        <v>3163</v>
      </c>
      <c r="C441" s="239" t="s">
        <v>27</v>
      </c>
      <c r="D441" s="240">
        <f t="shared" si="6"/>
        <v>133.35529407407407</v>
      </c>
      <c r="E441" s="226" t="s">
        <v>5222</v>
      </c>
      <c r="G441" s="240">
        <v>124.39</v>
      </c>
    </row>
    <row r="442" spans="1:7" ht="14.25" x14ac:dyDescent="0.2">
      <c r="A442" s="237" t="s">
        <v>383</v>
      </c>
      <c r="B442" s="238" t="s">
        <v>3164</v>
      </c>
      <c r="C442" s="239" t="s">
        <v>27</v>
      </c>
      <c r="D442" s="240">
        <f t="shared" si="6"/>
        <v>240.76639555555556</v>
      </c>
      <c r="E442" s="226" t="s">
        <v>5222</v>
      </c>
      <c r="G442" s="240">
        <v>224.58</v>
      </c>
    </row>
    <row r="443" spans="1:7" ht="14.25" x14ac:dyDescent="0.2">
      <c r="A443" s="237" t="s">
        <v>384</v>
      </c>
      <c r="B443" s="238" t="s">
        <v>3165</v>
      </c>
      <c r="C443" s="239" t="s">
        <v>27</v>
      </c>
      <c r="D443" s="240">
        <f t="shared" si="6"/>
        <v>229.23087851851852</v>
      </c>
      <c r="E443" s="226" t="s">
        <v>5222</v>
      </c>
      <c r="G443" s="240">
        <v>213.82</v>
      </c>
    </row>
    <row r="444" spans="1:7" ht="14.25" x14ac:dyDescent="0.2">
      <c r="A444" s="237" t="s">
        <v>2171</v>
      </c>
      <c r="B444" s="238" t="s">
        <v>3166</v>
      </c>
      <c r="C444" s="239" t="s">
        <v>27</v>
      </c>
      <c r="D444" s="240">
        <f t="shared" si="6"/>
        <v>321.28987925925924</v>
      </c>
      <c r="E444" s="226" t="s">
        <v>5222</v>
      </c>
      <c r="G444" s="240">
        <v>299.69</v>
      </c>
    </row>
    <row r="445" spans="1:7" ht="14.25" x14ac:dyDescent="0.2">
      <c r="A445" s="237" t="s">
        <v>385</v>
      </c>
      <c r="B445" s="238" t="s">
        <v>3167</v>
      </c>
      <c r="C445" s="239" t="s">
        <v>27</v>
      </c>
      <c r="D445" s="240">
        <f t="shared" si="6"/>
        <v>294.00559407407405</v>
      </c>
      <c r="E445" s="226" t="s">
        <v>5222</v>
      </c>
      <c r="G445" s="240">
        <v>274.24</v>
      </c>
    </row>
    <row r="446" spans="1:7" ht="14.25" x14ac:dyDescent="0.2">
      <c r="A446" s="237" t="s">
        <v>386</v>
      </c>
      <c r="B446" s="238" t="s">
        <v>3168</v>
      </c>
      <c r="C446" s="239" t="s">
        <v>27</v>
      </c>
      <c r="D446" s="240">
        <f t="shared" si="6"/>
        <v>346.61226888888888</v>
      </c>
      <c r="E446" s="226" t="s">
        <v>5222</v>
      </c>
      <c r="G446" s="240">
        <v>323.31</v>
      </c>
    </row>
    <row r="447" spans="1:7" ht="14.25" x14ac:dyDescent="0.2">
      <c r="A447" s="237" t="s">
        <v>387</v>
      </c>
      <c r="B447" s="238" t="s">
        <v>3169</v>
      </c>
      <c r="C447" s="239" t="s">
        <v>27</v>
      </c>
      <c r="D447" s="240">
        <f t="shared" si="6"/>
        <v>372.55646148148145</v>
      </c>
      <c r="E447" s="226" t="s">
        <v>5222</v>
      </c>
      <c r="G447" s="240">
        <v>347.51</v>
      </c>
    </row>
    <row r="448" spans="1:7" ht="14.25" x14ac:dyDescent="0.2">
      <c r="A448" s="237" t="s">
        <v>388</v>
      </c>
      <c r="B448" s="238" t="s">
        <v>3170</v>
      </c>
      <c r="C448" s="239" t="s">
        <v>27</v>
      </c>
      <c r="D448" s="240">
        <f t="shared" si="6"/>
        <v>363.10076814814812</v>
      </c>
      <c r="E448" s="226" t="s">
        <v>5222</v>
      </c>
      <c r="G448" s="240">
        <v>338.69</v>
      </c>
    </row>
    <row r="449" spans="1:7" ht="14.25" x14ac:dyDescent="0.2">
      <c r="A449" s="237" t="s">
        <v>389</v>
      </c>
      <c r="B449" s="238" t="s">
        <v>3171</v>
      </c>
      <c r="C449" s="239" t="s">
        <v>27</v>
      </c>
      <c r="D449" s="240">
        <f t="shared" si="6"/>
        <v>351.15786296296295</v>
      </c>
      <c r="E449" s="226" t="s">
        <v>5222</v>
      </c>
      <c r="G449" s="240">
        <v>327.55</v>
      </c>
    </row>
    <row r="450" spans="1:7" ht="14.25" x14ac:dyDescent="0.2">
      <c r="A450" s="237" t="s">
        <v>390</v>
      </c>
      <c r="B450" s="238" t="s">
        <v>3172</v>
      </c>
      <c r="C450" s="239" t="s">
        <v>27</v>
      </c>
      <c r="D450" s="240">
        <f t="shared" si="6"/>
        <v>437.08460000000002</v>
      </c>
      <c r="E450" s="226" t="s">
        <v>5222</v>
      </c>
      <c r="G450" s="240">
        <v>407.7</v>
      </c>
    </row>
    <row r="451" spans="1:7" ht="14.25" x14ac:dyDescent="0.2">
      <c r="A451" s="237" t="s">
        <v>391</v>
      </c>
      <c r="B451" s="238" t="s">
        <v>3173</v>
      </c>
      <c r="C451" s="239" t="s">
        <v>27</v>
      </c>
      <c r="D451" s="240">
        <f t="shared" si="6"/>
        <v>401.6954348148148</v>
      </c>
      <c r="E451" s="226" t="s">
        <v>5222</v>
      </c>
      <c r="G451" s="240">
        <v>374.69</v>
      </c>
    </row>
    <row r="452" spans="1:7" ht="14.25" x14ac:dyDescent="0.2">
      <c r="A452" s="237" t="s">
        <v>392</v>
      </c>
      <c r="B452" s="238" t="s">
        <v>3174</v>
      </c>
      <c r="C452" s="239" t="s">
        <v>27</v>
      </c>
      <c r="D452" s="240">
        <f t="shared" si="6"/>
        <v>570.38629037037038</v>
      </c>
      <c r="E452" s="226" t="s">
        <v>5222</v>
      </c>
      <c r="G452" s="240">
        <v>532.04</v>
      </c>
    </row>
    <row r="453" spans="1:7" ht="14.25" x14ac:dyDescent="0.2">
      <c r="A453" s="237" t="s">
        <v>393</v>
      </c>
      <c r="B453" s="238" t="s">
        <v>3175</v>
      </c>
      <c r="C453" s="239" t="s">
        <v>27</v>
      </c>
      <c r="D453" s="240">
        <f t="shared" si="6"/>
        <v>638.44155259259253</v>
      </c>
      <c r="E453" s="226" t="s">
        <v>5222</v>
      </c>
      <c r="G453" s="240">
        <v>595.52</v>
      </c>
    </row>
    <row r="454" spans="1:7" ht="14.25" x14ac:dyDescent="0.2">
      <c r="A454" s="237" t="s">
        <v>394</v>
      </c>
      <c r="B454" s="238" t="s">
        <v>3176</v>
      </c>
      <c r="C454" s="239" t="s">
        <v>27</v>
      </c>
      <c r="D454" s="240">
        <f t="shared" si="6"/>
        <v>704.62068518518515</v>
      </c>
      <c r="E454" s="226" t="s">
        <v>5222</v>
      </c>
      <c r="G454" s="240">
        <v>657.25</v>
      </c>
    </row>
    <row r="455" spans="1:7" ht="14.25" x14ac:dyDescent="0.2">
      <c r="A455" s="237" t="s">
        <v>395</v>
      </c>
      <c r="B455" s="238" t="s">
        <v>3177</v>
      </c>
      <c r="C455" s="239" t="s">
        <v>27</v>
      </c>
      <c r="D455" s="240">
        <f t="shared" si="6"/>
        <v>647.42553333333331</v>
      </c>
      <c r="E455" s="226" t="s">
        <v>5222</v>
      </c>
      <c r="G455" s="240">
        <v>603.9</v>
      </c>
    </row>
    <row r="456" spans="1:7" ht="14.25" x14ac:dyDescent="0.2">
      <c r="A456" s="237" t="s">
        <v>396</v>
      </c>
      <c r="B456" s="238" t="s">
        <v>3178</v>
      </c>
      <c r="C456" s="239" t="s">
        <v>27</v>
      </c>
      <c r="D456" s="240">
        <f t="shared" ref="D456:D519" si="7">(G456/(1+0.35))*(1+$D$3)</f>
        <v>765.5573755555555</v>
      </c>
      <c r="E456" s="226" t="s">
        <v>5222</v>
      </c>
      <c r="G456" s="240">
        <v>714.09</v>
      </c>
    </row>
    <row r="457" spans="1:7" ht="14.25" x14ac:dyDescent="0.2">
      <c r="A457" s="237" t="s">
        <v>397</v>
      </c>
      <c r="B457" s="238" t="s">
        <v>3179</v>
      </c>
      <c r="C457" s="239" t="s">
        <v>27</v>
      </c>
      <c r="D457" s="240">
        <f t="shared" si="7"/>
        <v>837.09687851851845</v>
      </c>
      <c r="E457" s="226" t="s">
        <v>5222</v>
      </c>
      <c r="G457" s="240">
        <v>780.82</v>
      </c>
    </row>
    <row r="458" spans="1:7" ht="14.25" x14ac:dyDescent="0.2">
      <c r="A458" s="237" t="s">
        <v>398</v>
      </c>
      <c r="B458" s="238" t="s">
        <v>3180</v>
      </c>
      <c r="C458" s="239" t="s">
        <v>27</v>
      </c>
      <c r="D458" s="240">
        <f t="shared" si="7"/>
        <v>969.98045999999988</v>
      </c>
      <c r="E458" s="226" t="s">
        <v>5222</v>
      </c>
      <c r="G458" s="240">
        <v>904.77</v>
      </c>
    </row>
    <row r="459" spans="1:7" ht="14.25" x14ac:dyDescent="0.2">
      <c r="A459" s="237" t="s">
        <v>399</v>
      </c>
      <c r="B459" s="238" t="s">
        <v>3181</v>
      </c>
      <c r="C459" s="239" t="s">
        <v>27</v>
      </c>
      <c r="D459" s="240">
        <f t="shared" si="7"/>
        <v>903.31889407407414</v>
      </c>
      <c r="E459" s="226" t="s">
        <v>5222</v>
      </c>
      <c r="G459" s="240">
        <v>842.59</v>
      </c>
    </row>
    <row r="460" spans="1:7" ht="14.25" x14ac:dyDescent="0.2">
      <c r="A460" s="237" t="s">
        <v>400</v>
      </c>
      <c r="B460" s="238" t="s">
        <v>3182</v>
      </c>
      <c r="C460" s="239" t="s">
        <v>27</v>
      </c>
      <c r="D460" s="240">
        <f t="shared" si="7"/>
        <v>1201.966568888889</v>
      </c>
      <c r="E460" s="226" t="s">
        <v>5222</v>
      </c>
      <c r="G460" s="240">
        <v>1121.1600000000001</v>
      </c>
    </row>
    <row r="461" spans="1:7" ht="14.25" x14ac:dyDescent="0.2">
      <c r="A461" s="237" t="s">
        <v>401</v>
      </c>
      <c r="B461" s="238" t="s">
        <v>3183</v>
      </c>
      <c r="C461" s="239" t="s">
        <v>27</v>
      </c>
      <c r="D461" s="240">
        <f t="shared" si="7"/>
        <v>1250.8102637037036</v>
      </c>
      <c r="E461" s="226" t="s">
        <v>5222</v>
      </c>
      <c r="G461" s="240">
        <v>1166.72</v>
      </c>
    </row>
    <row r="462" spans="1:7" ht="14.25" x14ac:dyDescent="0.2">
      <c r="A462" s="237" t="s">
        <v>402</v>
      </c>
      <c r="B462" s="238" t="s">
        <v>3184</v>
      </c>
      <c r="C462" s="239" t="s">
        <v>27</v>
      </c>
      <c r="D462" s="240">
        <f t="shared" si="7"/>
        <v>1445.4881948148147</v>
      </c>
      <c r="E462" s="226" t="s">
        <v>5222</v>
      </c>
      <c r="G462" s="240">
        <v>1348.31</v>
      </c>
    </row>
    <row r="463" spans="1:7" ht="14.25" x14ac:dyDescent="0.2">
      <c r="A463" s="237" t="s">
        <v>403</v>
      </c>
      <c r="B463" s="238" t="s">
        <v>3185</v>
      </c>
      <c r="C463" s="239" t="s">
        <v>27</v>
      </c>
      <c r="D463" s="240">
        <f t="shared" si="7"/>
        <v>1363.8819162962961</v>
      </c>
      <c r="E463" s="226" t="s">
        <v>5222</v>
      </c>
      <c r="G463" s="240">
        <v>1272.19</v>
      </c>
    </row>
    <row r="464" spans="1:7" ht="14.25" x14ac:dyDescent="0.2">
      <c r="A464" s="237" t="s">
        <v>404</v>
      </c>
      <c r="B464" s="238" t="s">
        <v>3186</v>
      </c>
      <c r="C464" s="239" t="s">
        <v>27</v>
      </c>
      <c r="D464" s="240">
        <f t="shared" si="7"/>
        <v>1700.1057874074074</v>
      </c>
      <c r="E464" s="226" t="s">
        <v>5222</v>
      </c>
      <c r="G464" s="240">
        <v>1585.81</v>
      </c>
    </row>
    <row r="465" spans="1:7" ht="14.25" x14ac:dyDescent="0.2">
      <c r="A465" s="237" t="s">
        <v>405</v>
      </c>
      <c r="B465" s="238" t="s">
        <v>3187</v>
      </c>
      <c r="C465" s="239" t="s">
        <v>27</v>
      </c>
      <c r="D465" s="240">
        <f t="shared" si="7"/>
        <v>1901.2912081481479</v>
      </c>
      <c r="E465" s="226" t="s">
        <v>5222</v>
      </c>
      <c r="G465" s="240">
        <v>1773.47</v>
      </c>
    </row>
    <row r="466" spans="1:7" ht="14.25" x14ac:dyDescent="0.2">
      <c r="A466" s="237" t="s">
        <v>406</v>
      </c>
      <c r="B466" s="238" t="s">
        <v>3188</v>
      </c>
      <c r="C466" s="239" t="s">
        <v>27</v>
      </c>
      <c r="D466" s="240">
        <f t="shared" si="7"/>
        <v>2134.4458777777777</v>
      </c>
      <c r="E466" s="226" t="s">
        <v>5222</v>
      </c>
      <c r="G466" s="240">
        <v>1990.95</v>
      </c>
    </row>
    <row r="467" spans="1:7" ht="14.25" x14ac:dyDescent="0.2">
      <c r="A467" s="237" t="s">
        <v>407</v>
      </c>
      <c r="B467" s="238" t="s">
        <v>3189</v>
      </c>
      <c r="C467" s="239" t="s">
        <v>27</v>
      </c>
      <c r="D467" s="240">
        <f t="shared" si="7"/>
        <v>2028.2998237037039</v>
      </c>
      <c r="E467" s="226" t="s">
        <v>5222</v>
      </c>
      <c r="G467" s="240">
        <v>1891.94</v>
      </c>
    </row>
    <row r="468" spans="1:7" ht="14.25" x14ac:dyDescent="0.2">
      <c r="A468" s="237" t="s">
        <v>408</v>
      </c>
      <c r="B468" s="238" t="s">
        <v>3190</v>
      </c>
      <c r="C468" s="239" t="s">
        <v>27</v>
      </c>
      <c r="D468" s="240">
        <f t="shared" si="7"/>
        <v>138.72638518518519</v>
      </c>
      <c r="E468" s="226" t="s">
        <v>5222</v>
      </c>
      <c r="G468" s="240">
        <v>129.4</v>
      </c>
    </row>
    <row r="469" spans="1:7" ht="14.25" x14ac:dyDescent="0.2">
      <c r="A469" s="237" t="s">
        <v>409</v>
      </c>
      <c r="B469" s="238" t="s">
        <v>3191</v>
      </c>
      <c r="C469" s="239" t="s">
        <v>27</v>
      </c>
      <c r="D469" s="240">
        <f t="shared" si="7"/>
        <v>212.61373037037035</v>
      </c>
      <c r="E469" s="226" t="s">
        <v>5222</v>
      </c>
      <c r="G469" s="240">
        <v>198.32</v>
      </c>
    </row>
    <row r="470" spans="1:7" ht="14.25" x14ac:dyDescent="0.2">
      <c r="A470" s="237" t="s">
        <v>410</v>
      </c>
      <c r="B470" s="238" t="s">
        <v>3192</v>
      </c>
      <c r="C470" s="239" t="s">
        <v>27</v>
      </c>
      <c r="D470" s="240">
        <f t="shared" si="7"/>
        <v>75.699150370370361</v>
      </c>
      <c r="E470" s="226" t="s">
        <v>5222</v>
      </c>
      <c r="G470" s="240">
        <v>70.61</v>
      </c>
    </row>
    <row r="471" spans="1:7" ht="14.25" x14ac:dyDescent="0.2">
      <c r="A471" s="237" t="s">
        <v>411</v>
      </c>
      <c r="B471" s="238" t="s">
        <v>3193</v>
      </c>
      <c r="C471" s="239" t="s">
        <v>27</v>
      </c>
      <c r="D471" s="240">
        <f t="shared" si="7"/>
        <v>126.21528074074074</v>
      </c>
      <c r="E471" s="226" t="s">
        <v>5222</v>
      </c>
      <c r="G471" s="240">
        <v>117.73</v>
      </c>
    </row>
    <row r="472" spans="1:7" ht="14.25" x14ac:dyDescent="0.2">
      <c r="A472" s="237" t="s">
        <v>412</v>
      </c>
      <c r="B472" s="238" t="s">
        <v>3194</v>
      </c>
      <c r="C472" s="239" t="s">
        <v>27</v>
      </c>
      <c r="D472" s="240">
        <f t="shared" si="7"/>
        <v>213.72868740740742</v>
      </c>
      <c r="E472" s="226" t="s">
        <v>5222</v>
      </c>
      <c r="G472" s="240">
        <v>199.36</v>
      </c>
    </row>
    <row r="473" spans="1:7" ht="14.25" x14ac:dyDescent="0.2">
      <c r="A473" s="237" t="s">
        <v>2172</v>
      </c>
      <c r="B473" s="238" t="s">
        <v>3195</v>
      </c>
      <c r="C473" s="239" t="s">
        <v>27</v>
      </c>
      <c r="D473" s="240">
        <f t="shared" si="7"/>
        <v>65.964717777777778</v>
      </c>
      <c r="E473" s="226" t="s">
        <v>5222</v>
      </c>
      <c r="G473" s="240">
        <v>61.53</v>
      </c>
    </row>
    <row r="474" spans="1:7" ht="14.25" x14ac:dyDescent="0.2">
      <c r="A474" s="237" t="s">
        <v>413</v>
      </c>
      <c r="B474" s="238" t="s">
        <v>3196</v>
      </c>
      <c r="C474" s="239" t="s">
        <v>50</v>
      </c>
      <c r="D474" s="240">
        <f t="shared" si="7"/>
        <v>1001.7567355555555</v>
      </c>
      <c r="E474" s="226" t="s">
        <v>5222</v>
      </c>
      <c r="G474" s="240">
        <v>934.41</v>
      </c>
    </row>
    <row r="475" spans="1:7" ht="14.25" x14ac:dyDescent="0.2">
      <c r="A475" s="237" t="s">
        <v>414</v>
      </c>
      <c r="B475" s="238" t="s">
        <v>3197</v>
      </c>
      <c r="C475" s="239" t="s">
        <v>50</v>
      </c>
      <c r="D475" s="240">
        <f t="shared" si="7"/>
        <v>1263.4178548148147</v>
      </c>
      <c r="E475" s="226" t="s">
        <v>5222</v>
      </c>
      <c r="G475" s="240">
        <v>1178.48</v>
      </c>
    </row>
    <row r="476" spans="1:7" ht="14.25" x14ac:dyDescent="0.2">
      <c r="A476" s="237" t="s">
        <v>415</v>
      </c>
      <c r="B476" s="238" t="s">
        <v>3198</v>
      </c>
      <c r="C476" s="239" t="s">
        <v>28</v>
      </c>
      <c r="D476" s="240">
        <f t="shared" si="7"/>
        <v>599.09643407407407</v>
      </c>
      <c r="E476" s="226" t="s">
        <v>5222</v>
      </c>
      <c r="G476" s="240">
        <v>558.82000000000005</v>
      </c>
    </row>
    <row r="477" spans="1:7" ht="14.25" x14ac:dyDescent="0.2">
      <c r="A477" s="237" t="s">
        <v>416</v>
      </c>
      <c r="B477" s="238" t="s">
        <v>3199</v>
      </c>
      <c r="C477" s="239" t="s">
        <v>28</v>
      </c>
      <c r="D477" s="240">
        <f t="shared" si="7"/>
        <v>344.59676962962965</v>
      </c>
      <c r="E477" s="226" t="s">
        <v>5222</v>
      </c>
      <c r="G477" s="240">
        <v>321.43</v>
      </c>
    </row>
    <row r="478" spans="1:7" ht="14.25" x14ac:dyDescent="0.2">
      <c r="A478" s="237" t="s">
        <v>417</v>
      </c>
      <c r="B478" s="238" t="s">
        <v>3200</v>
      </c>
      <c r="C478" s="239" t="s">
        <v>28</v>
      </c>
      <c r="D478" s="240">
        <f t="shared" si="7"/>
        <v>460.95968962962962</v>
      </c>
      <c r="E478" s="226" t="s">
        <v>5222</v>
      </c>
      <c r="G478" s="240">
        <v>429.97</v>
      </c>
    </row>
    <row r="479" spans="1:7" ht="14.25" x14ac:dyDescent="0.2">
      <c r="A479" s="237" t="s">
        <v>418</v>
      </c>
      <c r="B479" s="238" t="s">
        <v>3201</v>
      </c>
      <c r="C479" s="239" t="s">
        <v>55</v>
      </c>
      <c r="D479" s="240">
        <f t="shared" si="7"/>
        <v>84.24358074074074</v>
      </c>
      <c r="E479" s="226" t="s">
        <v>5222</v>
      </c>
      <c r="G479" s="240">
        <v>78.58</v>
      </c>
    </row>
    <row r="480" spans="1:7" ht="14.25" x14ac:dyDescent="0.2">
      <c r="A480" s="237" t="s">
        <v>419</v>
      </c>
      <c r="B480" s="238" t="s">
        <v>3202</v>
      </c>
      <c r="C480" s="239" t="s">
        <v>55</v>
      </c>
      <c r="D480" s="240">
        <f t="shared" si="7"/>
        <v>85.916016296296291</v>
      </c>
      <c r="E480" s="226" t="s">
        <v>5222</v>
      </c>
      <c r="G480" s="240">
        <v>80.14</v>
      </c>
    </row>
    <row r="481" spans="1:7" ht="14.25" x14ac:dyDescent="0.2">
      <c r="A481" s="237" t="s">
        <v>420</v>
      </c>
      <c r="B481" s="238" t="s">
        <v>3203</v>
      </c>
      <c r="C481" s="239" t="s">
        <v>55</v>
      </c>
      <c r="D481" s="240">
        <f t="shared" si="7"/>
        <v>56.884250370370374</v>
      </c>
      <c r="E481" s="226" t="s">
        <v>5222</v>
      </c>
      <c r="G481" s="240">
        <v>53.06</v>
      </c>
    </row>
    <row r="482" spans="1:7" ht="14.25" x14ac:dyDescent="0.2">
      <c r="A482" s="237" t="s">
        <v>421</v>
      </c>
      <c r="B482" s="238" t="s">
        <v>3204</v>
      </c>
      <c r="C482" s="239" t="s">
        <v>55</v>
      </c>
      <c r="D482" s="240">
        <f t="shared" si="7"/>
        <v>57.495332592592597</v>
      </c>
      <c r="E482" s="226" t="s">
        <v>5222</v>
      </c>
      <c r="G482" s="240">
        <v>53.63</v>
      </c>
    </row>
    <row r="483" spans="1:7" ht="14.25" x14ac:dyDescent="0.2">
      <c r="A483" s="237" t="s">
        <v>422</v>
      </c>
      <c r="B483" s="238" t="s">
        <v>3205</v>
      </c>
      <c r="C483" s="239" t="s">
        <v>27</v>
      </c>
      <c r="D483" s="240">
        <f t="shared" si="7"/>
        <v>81.917179999999988</v>
      </c>
      <c r="E483" s="226" t="s">
        <v>5222</v>
      </c>
      <c r="G483" s="240">
        <v>76.41</v>
      </c>
    </row>
    <row r="484" spans="1:7" ht="14.25" x14ac:dyDescent="0.2">
      <c r="A484" s="237" t="s">
        <v>423</v>
      </c>
      <c r="B484" s="238" t="s">
        <v>3206</v>
      </c>
      <c r="C484" s="239" t="s">
        <v>27</v>
      </c>
      <c r="D484" s="240">
        <f t="shared" si="7"/>
        <v>125.46482888888889</v>
      </c>
      <c r="E484" s="226" t="s">
        <v>5222</v>
      </c>
      <c r="G484" s="240">
        <v>117.03</v>
      </c>
    </row>
    <row r="485" spans="1:7" ht="14.25" x14ac:dyDescent="0.2">
      <c r="A485" s="237" t="s">
        <v>424</v>
      </c>
      <c r="B485" s="238" t="s">
        <v>3207</v>
      </c>
      <c r="C485" s="239" t="s">
        <v>27</v>
      </c>
      <c r="D485" s="240">
        <f t="shared" si="7"/>
        <v>47.68585481481481</v>
      </c>
      <c r="E485" s="226" t="s">
        <v>5222</v>
      </c>
      <c r="G485" s="240">
        <v>44.48</v>
      </c>
    </row>
    <row r="486" spans="1:7" ht="14.25" x14ac:dyDescent="0.2">
      <c r="A486" s="237" t="s">
        <v>425</v>
      </c>
      <c r="B486" s="238" t="s">
        <v>3208</v>
      </c>
      <c r="C486" s="239" t="s">
        <v>38</v>
      </c>
      <c r="D486" s="240">
        <f t="shared" si="7"/>
        <v>251.7551548148148</v>
      </c>
      <c r="E486" s="226" t="s">
        <v>5222</v>
      </c>
      <c r="G486" s="240">
        <v>234.83</v>
      </c>
    </row>
    <row r="487" spans="1:7" ht="14.25" x14ac:dyDescent="0.2">
      <c r="A487" s="237" t="s">
        <v>426</v>
      </c>
      <c r="B487" s="238" t="s">
        <v>3209</v>
      </c>
      <c r="C487" s="239" t="s">
        <v>50</v>
      </c>
      <c r="D487" s="240">
        <f t="shared" si="7"/>
        <v>863.42701777777779</v>
      </c>
      <c r="E487" s="226" t="s">
        <v>5222</v>
      </c>
      <c r="G487" s="240">
        <v>805.38</v>
      </c>
    </row>
    <row r="488" spans="1:7" ht="14.25" x14ac:dyDescent="0.2">
      <c r="A488" s="237" t="s">
        <v>427</v>
      </c>
      <c r="B488" s="238" t="s">
        <v>3210</v>
      </c>
      <c r="C488" s="239" t="s">
        <v>38</v>
      </c>
      <c r="D488" s="240">
        <f t="shared" si="7"/>
        <v>29.106811111111107</v>
      </c>
      <c r="E488" s="226" t="s">
        <v>5222</v>
      </c>
      <c r="G488" s="240">
        <v>27.15</v>
      </c>
    </row>
    <row r="489" spans="1:7" ht="14.25" x14ac:dyDescent="0.2">
      <c r="A489" s="237" t="s">
        <v>428</v>
      </c>
      <c r="B489" s="238" t="s">
        <v>3211</v>
      </c>
      <c r="C489" s="239" t="s">
        <v>38</v>
      </c>
      <c r="D489" s="240">
        <f t="shared" si="7"/>
        <v>33.330782962962964</v>
      </c>
      <c r="E489" s="226" t="s">
        <v>5222</v>
      </c>
      <c r="G489" s="240">
        <v>31.09</v>
      </c>
    </row>
    <row r="490" spans="1:7" ht="14.25" x14ac:dyDescent="0.2">
      <c r="A490" s="237" t="s">
        <v>429</v>
      </c>
      <c r="B490" s="238" t="s">
        <v>3212</v>
      </c>
      <c r="C490" s="239" t="s">
        <v>38</v>
      </c>
      <c r="D490" s="240">
        <f t="shared" si="7"/>
        <v>37.576196296296288</v>
      </c>
      <c r="E490" s="226" t="s">
        <v>5222</v>
      </c>
      <c r="G490" s="240">
        <v>35.049999999999997</v>
      </c>
    </row>
    <row r="491" spans="1:7" ht="14.25" x14ac:dyDescent="0.2">
      <c r="A491" s="237" t="s">
        <v>430</v>
      </c>
      <c r="B491" s="238" t="s">
        <v>3213</v>
      </c>
      <c r="C491" s="239" t="s">
        <v>38</v>
      </c>
      <c r="D491" s="240">
        <f t="shared" si="7"/>
        <v>45.466661481481474</v>
      </c>
      <c r="E491" s="226" t="s">
        <v>5222</v>
      </c>
      <c r="G491" s="240">
        <v>42.41</v>
      </c>
    </row>
    <row r="492" spans="1:7" ht="14.25" x14ac:dyDescent="0.2">
      <c r="A492" s="237" t="s">
        <v>431</v>
      </c>
      <c r="B492" s="238" t="s">
        <v>3214</v>
      </c>
      <c r="C492" s="239" t="s">
        <v>38</v>
      </c>
      <c r="D492" s="240">
        <f t="shared" si="7"/>
        <v>48.093242962962961</v>
      </c>
      <c r="E492" s="226" t="s">
        <v>5222</v>
      </c>
      <c r="G492" s="240">
        <v>44.86</v>
      </c>
    </row>
    <row r="493" spans="1:7" ht="14.25" x14ac:dyDescent="0.2">
      <c r="A493" s="237" t="s">
        <v>432</v>
      </c>
      <c r="B493" s="238" t="s">
        <v>3215</v>
      </c>
      <c r="C493" s="239" t="s">
        <v>27</v>
      </c>
      <c r="D493" s="240">
        <f t="shared" si="7"/>
        <v>30.725642962962961</v>
      </c>
      <c r="E493" s="226" t="s">
        <v>5222</v>
      </c>
      <c r="G493" s="240">
        <v>28.66</v>
      </c>
    </row>
    <row r="494" spans="1:7" ht="14.25" x14ac:dyDescent="0.2">
      <c r="A494" s="237" t="s">
        <v>433</v>
      </c>
      <c r="B494" s="238" t="s">
        <v>3216</v>
      </c>
      <c r="C494" s="239" t="s">
        <v>27</v>
      </c>
      <c r="D494" s="240">
        <f t="shared" si="7"/>
        <v>35.217633333333332</v>
      </c>
      <c r="E494" s="226" t="s">
        <v>5222</v>
      </c>
      <c r="G494" s="240">
        <v>32.85</v>
      </c>
    </row>
    <row r="495" spans="1:7" ht="14.25" x14ac:dyDescent="0.2">
      <c r="A495" s="237" t="s">
        <v>434</v>
      </c>
      <c r="B495" s="238" t="s">
        <v>3217</v>
      </c>
      <c r="C495" s="239" t="s">
        <v>27</v>
      </c>
      <c r="D495" s="240">
        <f t="shared" si="7"/>
        <v>39.656019999999998</v>
      </c>
      <c r="E495" s="226" t="s">
        <v>5222</v>
      </c>
      <c r="G495" s="240">
        <v>36.99</v>
      </c>
    </row>
    <row r="496" spans="1:7" ht="14.25" x14ac:dyDescent="0.2">
      <c r="A496" s="237" t="s">
        <v>435</v>
      </c>
      <c r="B496" s="238" t="s">
        <v>3218</v>
      </c>
      <c r="C496" s="239" t="s">
        <v>27</v>
      </c>
      <c r="D496" s="240">
        <f t="shared" si="7"/>
        <v>71.743197037037035</v>
      </c>
      <c r="E496" s="226" t="s">
        <v>5222</v>
      </c>
      <c r="G496" s="240">
        <v>66.92</v>
      </c>
    </row>
    <row r="497" spans="1:7" ht="14.25" x14ac:dyDescent="0.2">
      <c r="A497" s="237" t="s">
        <v>436</v>
      </c>
      <c r="B497" s="238" t="s">
        <v>3219</v>
      </c>
      <c r="C497" s="239" t="s">
        <v>27</v>
      </c>
      <c r="D497" s="240">
        <f t="shared" si="7"/>
        <v>73.029685925925932</v>
      </c>
      <c r="E497" s="226" t="s">
        <v>5222</v>
      </c>
      <c r="G497" s="240">
        <v>68.12</v>
      </c>
    </row>
    <row r="498" spans="1:7" ht="14.25" x14ac:dyDescent="0.2">
      <c r="A498" s="237" t="s">
        <v>437</v>
      </c>
      <c r="B498" s="238" t="s">
        <v>3220</v>
      </c>
      <c r="C498" s="239" t="s">
        <v>27</v>
      </c>
      <c r="D498" s="240">
        <f t="shared" si="7"/>
        <v>78.164920740740726</v>
      </c>
      <c r="E498" s="226" t="s">
        <v>5222</v>
      </c>
      <c r="G498" s="240">
        <v>72.91</v>
      </c>
    </row>
    <row r="499" spans="1:7" ht="14.25" x14ac:dyDescent="0.2">
      <c r="A499" s="237" t="s">
        <v>438</v>
      </c>
      <c r="B499" s="238" t="s">
        <v>3221</v>
      </c>
      <c r="C499" s="239" t="s">
        <v>27</v>
      </c>
      <c r="D499" s="240">
        <f t="shared" si="7"/>
        <v>82.024387407407417</v>
      </c>
      <c r="E499" s="226" t="s">
        <v>5222</v>
      </c>
      <c r="G499" s="240">
        <v>76.510000000000005</v>
      </c>
    </row>
    <row r="500" spans="1:7" ht="14.25" x14ac:dyDescent="0.2">
      <c r="A500" s="237" t="s">
        <v>439</v>
      </c>
      <c r="B500" s="238" t="s">
        <v>3222</v>
      </c>
      <c r="C500" s="239" t="s">
        <v>27</v>
      </c>
      <c r="D500" s="240">
        <f t="shared" si="7"/>
        <v>70.928420740740734</v>
      </c>
      <c r="E500" s="226" t="s">
        <v>5222</v>
      </c>
      <c r="G500" s="240">
        <v>66.16</v>
      </c>
    </row>
    <row r="501" spans="1:7" ht="14.25" x14ac:dyDescent="0.2">
      <c r="A501" s="237" t="s">
        <v>440</v>
      </c>
      <c r="B501" s="238" t="s">
        <v>3223</v>
      </c>
      <c r="C501" s="239" t="s">
        <v>27</v>
      </c>
      <c r="D501" s="240">
        <f t="shared" si="7"/>
        <v>75.141671851851854</v>
      </c>
      <c r="E501" s="226" t="s">
        <v>5222</v>
      </c>
      <c r="G501" s="240">
        <v>70.09</v>
      </c>
    </row>
    <row r="502" spans="1:7" ht="14.25" x14ac:dyDescent="0.2">
      <c r="A502" s="237" t="s">
        <v>441</v>
      </c>
      <c r="B502" s="238" t="s">
        <v>3224</v>
      </c>
      <c r="C502" s="239" t="s">
        <v>27</v>
      </c>
      <c r="D502" s="240">
        <f t="shared" si="7"/>
        <v>86.151872592592582</v>
      </c>
      <c r="E502" s="226" t="s">
        <v>5222</v>
      </c>
      <c r="G502" s="240">
        <v>80.36</v>
      </c>
    </row>
    <row r="503" spans="1:7" ht="14.25" x14ac:dyDescent="0.2">
      <c r="A503" s="237" t="s">
        <v>442</v>
      </c>
      <c r="B503" s="238" t="s">
        <v>3225</v>
      </c>
      <c r="C503" s="239" t="s">
        <v>27</v>
      </c>
      <c r="D503" s="240">
        <f t="shared" si="7"/>
        <v>94.417563703703692</v>
      </c>
      <c r="E503" s="226" t="s">
        <v>5222</v>
      </c>
      <c r="G503" s="240">
        <v>88.07</v>
      </c>
    </row>
    <row r="504" spans="1:7" ht="14.25" x14ac:dyDescent="0.2">
      <c r="A504" s="237" t="s">
        <v>443</v>
      </c>
      <c r="B504" s="238" t="s">
        <v>56</v>
      </c>
      <c r="C504" s="239" t="s">
        <v>27</v>
      </c>
      <c r="D504" s="240">
        <f t="shared" si="7"/>
        <v>78.164920740740726</v>
      </c>
      <c r="E504" s="226" t="s">
        <v>5222</v>
      </c>
      <c r="G504" s="240">
        <v>72.91</v>
      </c>
    </row>
    <row r="505" spans="1:7" ht="14.25" x14ac:dyDescent="0.2">
      <c r="A505" s="237" t="s">
        <v>5163</v>
      </c>
      <c r="B505" s="238" t="s">
        <v>5164</v>
      </c>
      <c r="C505" s="239" t="s">
        <v>27</v>
      </c>
      <c r="D505" s="240">
        <f t="shared" si="7"/>
        <v>7214.9941940740737</v>
      </c>
      <c r="E505" s="226" t="s">
        <v>5222</v>
      </c>
      <c r="G505" s="240">
        <v>6729.94</v>
      </c>
    </row>
    <row r="506" spans="1:7" ht="14.25" x14ac:dyDescent="0.2">
      <c r="A506" s="237" t="s">
        <v>5165</v>
      </c>
      <c r="B506" s="238" t="s">
        <v>5166</v>
      </c>
      <c r="C506" s="239" t="s">
        <v>27</v>
      </c>
      <c r="D506" s="240">
        <f t="shared" si="7"/>
        <v>11108.413446666667</v>
      </c>
      <c r="E506" s="226" t="s">
        <v>5222</v>
      </c>
      <c r="G506" s="240">
        <v>10361.61</v>
      </c>
    </row>
    <row r="507" spans="1:7" ht="14.25" x14ac:dyDescent="0.2">
      <c r="A507" s="237" t="s">
        <v>5167</v>
      </c>
      <c r="B507" s="238" t="s">
        <v>5168</v>
      </c>
      <c r="C507" s="239" t="s">
        <v>27</v>
      </c>
      <c r="D507" s="240">
        <f t="shared" si="7"/>
        <v>16631.267363703704</v>
      </c>
      <c r="E507" s="226" t="s">
        <v>5222</v>
      </c>
      <c r="G507" s="240">
        <v>15513.17</v>
      </c>
    </row>
    <row r="508" spans="1:7" ht="14.25" x14ac:dyDescent="0.2">
      <c r="A508" s="237" t="s">
        <v>5169</v>
      </c>
      <c r="B508" s="238" t="s">
        <v>5170</v>
      </c>
      <c r="C508" s="239" t="s">
        <v>27</v>
      </c>
      <c r="D508" s="240">
        <f t="shared" si="7"/>
        <v>23882.025948888888</v>
      </c>
      <c r="E508" s="226" t="s">
        <v>5222</v>
      </c>
      <c r="G508" s="240">
        <v>22276.47</v>
      </c>
    </row>
    <row r="509" spans="1:7" ht="14.25" x14ac:dyDescent="0.2">
      <c r="A509" s="237" t="s">
        <v>5171</v>
      </c>
      <c r="B509" s="238" t="s">
        <v>5172</v>
      </c>
      <c r="C509" s="239" t="s">
        <v>27</v>
      </c>
      <c r="D509" s="240">
        <f t="shared" si="7"/>
        <v>28428.134618518521</v>
      </c>
      <c r="E509" s="226" t="s">
        <v>5222</v>
      </c>
      <c r="G509" s="240">
        <v>26516.95</v>
      </c>
    </row>
    <row r="510" spans="1:7" ht="14.25" x14ac:dyDescent="0.2">
      <c r="A510" s="237" t="s">
        <v>5173</v>
      </c>
      <c r="B510" s="238" t="s">
        <v>5174</v>
      </c>
      <c r="C510" s="239" t="s">
        <v>27</v>
      </c>
      <c r="D510" s="240">
        <f t="shared" si="7"/>
        <v>39716.174076296295</v>
      </c>
      <c r="E510" s="226" t="s">
        <v>5222</v>
      </c>
      <c r="G510" s="240">
        <v>37046.11</v>
      </c>
    </row>
    <row r="511" spans="1:7" ht="14.25" x14ac:dyDescent="0.2">
      <c r="A511" s="237" t="s">
        <v>5175</v>
      </c>
      <c r="B511" s="238" t="s">
        <v>5176</v>
      </c>
      <c r="C511" s="239" t="s">
        <v>28</v>
      </c>
      <c r="D511" s="240">
        <f t="shared" si="7"/>
        <v>22908.100256296297</v>
      </c>
      <c r="E511" s="226" t="s">
        <v>5222</v>
      </c>
      <c r="G511" s="240">
        <v>21368.02</v>
      </c>
    </row>
    <row r="512" spans="1:7" ht="14.25" x14ac:dyDescent="0.2">
      <c r="A512" s="237" t="s">
        <v>2173</v>
      </c>
      <c r="B512" s="238" t="s">
        <v>3052</v>
      </c>
      <c r="C512" s="239" t="s">
        <v>50</v>
      </c>
      <c r="D512" s="240">
        <f t="shared" si="7"/>
        <v>19.190125925925923</v>
      </c>
      <c r="E512" s="226" t="s">
        <v>5222</v>
      </c>
      <c r="G512" s="240">
        <v>17.899999999999999</v>
      </c>
    </row>
    <row r="513" spans="1:7" ht="14.25" x14ac:dyDescent="0.2">
      <c r="A513" s="237" t="s">
        <v>2174</v>
      </c>
      <c r="B513" s="238" t="s">
        <v>3226</v>
      </c>
      <c r="C513" s="239" t="s">
        <v>50</v>
      </c>
      <c r="D513" s="240">
        <f t="shared" si="7"/>
        <v>90.268637037037038</v>
      </c>
      <c r="E513" s="226" t="s">
        <v>5222</v>
      </c>
      <c r="G513" s="240">
        <v>84.2</v>
      </c>
    </row>
    <row r="514" spans="1:7" ht="14.25" x14ac:dyDescent="0.2">
      <c r="A514" s="237" t="s">
        <v>2175</v>
      </c>
      <c r="B514" s="238" t="s">
        <v>3227</v>
      </c>
      <c r="C514" s="239" t="s">
        <v>50</v>
      </c>
      <c r="D514" s="240">
        <f t="shared" si="7"/>
        <v>80.469880000000003</v>
      </c>
      <c r="E514" s="226" t="s">
        <v>5222</v>
      </c>
      <c r="G514" s="240">
        <v>75.06</v>
      </c>
    </row>
    <row r="515" spans="1:7" ht="14.25" x14ac:dyDescent="0.2">
      <c r="A515" s="237" t="s">
        <v>444</v>
      </c>
      <c r="B515" s="238" t="s">
        <v>3228</v>
      </c>
      <c r="C515" s="239" t="s">
        <v>50</v>
      </c>
      <c r="D515" s="240">
        <f t="shared" si="7"/>
        <v>145.24459555555555</v>
      </c>
      <c r="E515" s="226" t="s">
        <v>5222</v>
      </c>
      <c r="G515" s="240">
        <v>135.47999999999999</v>
      </c>
    </row>
    <row r="516" spans="1:7" ht="14.25" x14ac:dyDescent="0.2">
      <c r="A516" s="237" t="s">
        <v>2176</v>
      </c>
      <c r="B516" s="238" t="s">
        <v>3229</v>
      </c>
      <c r="C516" s="239" t="s">
        <v>50</v>
      </c>
      <c r="D516" s="240">
        <f t="shared" si="7"/>
        <v>87.684938518518521</v>
      </c>
      <c r="E516" s="226" t="s">
        <v>5222</v>
      </c>
      <c r="G516" s="240">
        <v>81.790000000000006</v>
      </c>
    </row>
    <row r="517" spans="1:7" ht="14.25" x14ac:dyDescent="0.2">
      <c r="A517" s="237" t="s">
        <v>2177</v>
      </c>
      <c r="B517" s="238" t="s">
        <v>3054</v>
      </c>
      <c r="C517" s="239" t="s">
        <v>50</v>
      </c>
      <c r="D517" s="240">
        <f t="shared" si="7"/>
        <v>19.265171111111108</v>
      </c>
      <c r="E517" s="226" t="s">
        <v>5222</v>
      </c>
      <c r="G517" s="240">
        <v>17.97</v>
      </c>
    </row>
    <row r="518" spans="1:7" ht="14.25" x14ac:dyDescent="0.2">
      <c r="A518" s="237" t="s">
        <v>2178</v>
      </c>
      <c r="B518" s="238" t="s">
        <v>3055</v>
      </c>
      <c r="C518" s="239" t="s">
        <v>50</v>
      </c>
      <c r="D518" s="240">
        <f t="shared" si="7"/>
        <v>89.014310370370367</v>
      </c>
      <c r="E518" s="226" t="s">
        <v>5222</v>
      </c>
      <c r="G518" s="240">
        <v>83.03</v>
      </c>
    </row>
    <row r="519" spans="1:7" ht="14.25" x14ac:dyDescent="0.2">
      <c r="A519" s="237" t="s">
        <v>2179</v>
      </c>
      <c r="B519" s="238" t="s">
        <v>3056</v>
      </c>
      <c r="C519" s="239" t="s">
        <v>50</v>
      </c>
      <c r="D519" s="240">
        <f t="shared" si="7"/>
        <v>19.265171111111108</v>
      </c>
      <c r="E519" s="226" t="s">
        <v>5222</v>
      </c>
      <c r="G519" s="240">
        <v>17.97</v>
      </c>
    </row>
    <row r="520" spans="1:7" ht="14.25" x14ac:dyDescent="0.2">
      <c r="A520" s="237" t="s">
        <v>2180</v>
      </c>
      <c r="B520" s="238" t="s">
        <v>3057</v>
      </c>
      <c r="C520" s="239" t="s">
        <v>50</v>
      </c>
      <c r="D520" s="240">
        <f t="shared" ref="D520:D583" si="8">(G520/(1+0.35))*(1+$D$3)</f>
        <v>89.014310370370367</v>
      </c>
      <c r="E520" s="226" t="s">
        <v>5222</v>
      </c>
      <c r="G520" s="240">
        <v>83.03</v>
      </c>
    </row>
    <row r="521" spans="1:7" ht="14.25" x14ac:dyDescent="0.2">
      <c r="A521" s="237" t="s">
        <v>2181</v>
      </c>
      <c r="B521" s="238" t="s">
        <v>3058</v>
      </c>
      <c r="C521" s="239" t="s">
        <v>50</v>
      </c>
      <c r="D521" s="240">
        <f t="shared" si="8"/>
        <v>105.58857555555555</v>
      </c>
      <c r="E521" s="226" t="s">
        <v>5222</v>
      </c>
      <c r="G521" s="240">
        <v>98.49</v>
      </c>
    </row>
    <row r="522" spans="1:7" ht="14.25" x14ac:dyDescent="0.2">
      <c r="A522" s="237" t="s">
        <v>2182</v>
      </c>
      <c r="B522" s="238" t="s">
        <v>3059</v>
      </c>
      <c r="C522" s="239" t="s">
        <v>50</v>
      </c>
      <c r="D522" s="240">
        <f t="shared" si="8"/>
        <v>21.623734074074076</v>
      </c>
      <c r="E522" s="226" t="s">
        <v>5222</v>
      </c>
      <c r="G522" s="240">
        <v>20.170000000000002</v>
      </c>
    </row>
    <row r="523" spans="1:7" ht="14.25" x14ac:dyDescent="0.2">
      <c r="A523" s="237" t="s">
        <v>2183</v>
      </c>
      <c r="B523" s="238" t="s">
        <v>3060</v>
      </c>
      <c r="C523" s="239" t="s">
        <v>50</v>
      </c>
      <c r="D523" s="240">
        <f t="shared" si="8"/>
        <v>354.70642814814818</v>
      </c>
      <c r="E523" s="226" t="s">
        <v>5222</v>
      </c>
      <c r="G523" s="240">
        <v>330.86</v>
      </c>
    </row>
    <row r="524" spans="1:7" ht="14.25" x14ac:dyDescent="0.2">
      <c r="A524" s="237" t="s">
        <v>2184</v>
      </c>
      <c r="B524" s="238" t="s">
        <v>3061</v>
      </c>
      <c r="C524" s="239" t="s">
        <v>50</v>
      </c>
      <c r="D524" s="240">
        <f t="shared" si="8"/>
        <v>32.151501481481475</v>
      </c>
      <c r="E524" s="226" t="s">
        <v>5222</v>
      </c>
      <c r="G524" s="240">
        <v>29.99</v>
      </c>
    </row>
    <row r="525" spans="1:7" ht="14.25" x14ac:dyDescent="0.2">
      <c r="A525" s="237" t="s">
        <v>2185</v>
      </c>
      <c r="B525" s="238" t="s">
        <v>3230</v>
      </c>
      <c r="C525" s="239" t="s">
        <v>50</v>
      </c>
      <c r="D525" s="240">
        <f t="shared" si="8"/>
        <v>90.61170074074073</v>
      </c>
      <c r="E525" s="226" t="s">
        <v>5222</v>
      </c>
      <c r="G525" s="240">
        <v>84.52</v>
      </c>
    </row>
    <row r="526" spans="1:7" ht="14.25" x14ac:dyDescent="0.2">
      <c r="A526" s="237" t="s">
        <v>2186</v>
      </c>
      <c r="B526" s="238" t="s">
        <v>3231</v>
      </c>
      <c r="C526" s="239" t="s">
        <v>50</v>
      </c>
      <c r="D526" s="240">
        <f t="shared" si="8"/>
        <v>17.860754074074073</v>
      </c>
      <c r="E526" s="226" t="s">
        <v>5222</v>
      </c>
      <c r="G526" s="240">
        <v>16.66</v>
      </c>
    </row>
    <row r="527" spans="1:7" ht="14.25" x14ac:dyDescent="0.2">
      <c r="A527" s="237" t="s">
        <v>2187</v>
      </c>
      <c r="B527" s="238" t="s">
        <v>3232</v>
      </c>
      <c r="C527" s="239" t="s">
        <v>50</v>
      </c>
      <c r="D527" s="240">
        <f t="shared" si="8"/>
        <v>298.15452074074074</v>
      </c>
      <c r="E527" s="226" t="s">
        <v>5222</v>
      </c>
      <c r="G527" s="240">
        <v>278.11</v>
      </c>
    </row>
    <row r="528" spans="1:7" ht="14.25" x14ac:dyDescent="0.2">
      <c r="A528" s="237" t="s">
        <v>2188</v>
      </c>
      <c r="B528" s="238" t="s">
        <v>3065</v>
      </c>
      <c r="C528" s="239" t="s">
        <v>50</v>
      </c>
      <c r="D528" s="240">
        <f t="shared" si="8"/>
        <v>32.151501481481475</v>
      </c>
      <c r="E528" s="226" t="s">
        <v>5222</v>
      </c>
      <c r="G528" s="240">
        <v>29.99</v>
      </c>
    </row>
    <row r="529" spans="1:7" ht="14.25" x14ac:dyDescent="0.2">
      <c r="A529" s="237" t="s">
        <v>2189</v>
      </c>
      <c r="B529" s="238" t="s">
        <v>3066</v>
      </c>
      <c r="C529" s="239" t="s">
        <v>38</v>
      </c>
      <c r="D529" s="240">
        <f t="shared" si="8"/>
        <v>497.71038888888887</v>
      </c>
      <c r="E529" s="226" t="s">
        <v>5222</v>
      </c>
      <c r="G529" s="240">
        <v>464.25</v>
      </c>
    </row>
    <row r="530" spans="1:7" ht="14.25" x14ac:dyDescent="0.2">
      <c r="A530" s="237" t="s">
        <v>2190</v>
      </c>
      <c r="B530" s="238" t="s">
        <v>3067</v>
      </c>
      <c r="C530" s="239" t="s">
        <v>38</v>
      </c>
      <c r="D530" s="240">
        <f t="shared" si="8"/>
        <v>697.41634740740733</v>
      </c>
      <c r="E530" s="226" t="s">
        <v>5222</v>
      </c>
      <c r="G530" s="240">
        <v>650.53</v>
      </c>
    </row>
    <row r="531" spans="1:7" ht="14.25" x14ac:dyDescent="0.2">
      <c r="A531" s="237" t="s">
        <v>2191</v>
      </c>
      <c r="B531" s="238" t="s">
        <v>3068</v>
      </c>
      <c r="C531" s="239" t="s">
        <v>38</v>
      </c>
      <c r="D531" s="240">
        <f t="shared" si="8"/>
        <v>1197.0243074074074</v>
      </c>
      <c r="E531" s="226" t="s">
        <v>5222</v>
      </c>
      <c r="G531" s="240">
        <v>1116.55</v>
      </c>
    </row>
    <row r="532" spans="1:7" ht="14.25" x14ac:dyDescent="0.2">
      <c r="A532" s="237" t="s">
        <v>2192</v>
      </c>
      <c r="B532" s="238" t="s">
        <v>3069</v>
      </c>
      <c r="C532" s="239" t="s">
        <v>50</v>
      </c>
      <c r="D532" s="240">
        <f t="shared" si="8"/>
        <v>87.513406666666654</v>
      </c>
      <c r="E532" s="226" t="s">
        <v>5222</v>
      </c>
      <c r="G532" s="240">
        <v>81.63</v>
      </c>
    </row>
    <row r="533" spans="1:7" ht="14.25" x14ac:dyDescent="0.2">
      <c r="A533" s="237" t="s">
        <v>445</v>
      </c>
      <c r="B533" s="238" t="s">
        <v>3233</v>
      </c>
      <c r="C533" s="239" t="s">
        <v>50</v>
      </c>
      <c r="D533" s="240">
        <f t="shared" si="8"/>
        <v>605.20725629629624</v>
      </c>
      <c r="E533" s="226" t="s">
        <v>5222</v>
      </c>
      <c r="G533" s="240">
        <v>564.52</v>
      </c>
    </row>
    <row r="534" spans="1:7" ht="14.25" x14ac:dyDescent="0.2">
      <c r="A534" s="237" t="s">
        <v>446</v>
      </c>
      <c r="B534" s="238" t="s">
        <v>3234</v>
      </c>
      <c r="C534" s="239" t="s">
        <v>50</v>
      </c>
      <c r="D534" s="240">
        <f t="shared" si="8"/>
        <v>256.32219037037038</v>
      </c>
      <c r="E534" s="226" t="s">
        <v>5222</v>
      </c>
      <c r="G534" s="240">
        <v>239.09</v>
      </c>
    </row>
    <row r="535" spans="1:7" ht="14.25" x14ac:dyDescent="0.2">
      <c r="A535" s="237" t="s">
        <v>447</v>
      </c>
      <c r="B535" s="238" t="s">
        <v>3235</v>
      </c>
      <c r="C535" s="239" t="s">
        <v>50</v>
      </c>
      <c r="D535" s="240">
        <f t="shared" si="8"/>
        <v>286.01864222222224</v>
      </c>
      <c r="E535" s="226" t="s">
        <v>5222</v>
      </c>
      <c r="G535" s="240">
        <v>266.79000000000002</v>
      </c>
    </row>
    <row r="536" spans="1:7" ht="14.25" x14ac:dyDescent="0.2">
      <c r="A536" s="237" t="s">
        <v>2530</v>
      </c>
      <c r="B536" s="238" t="s">
        <v>3236</v>
      </c>
      <c r="C536" s="239" t="s">
        <v>50</v>
      </c>
      <c r="D536" s="240">
        <f t="shared" si="8"/>
        <v>315.72581481481478</v>
      </c>
      <c r="E536" s="226" t="s">
        <v>5222</v>
      </c>
      <c r="G536" s="240">
        <v>294.5</v>
      </c>
    </row>
    <row r="537" spans="1:7" ht="14.25" x14ac:dyDescent="0.2">
      <c r="A537" s="237" t="s">
        <v>2193</v>
      </c>
      <c r="B537" s="238" t="s">
        <v>3070</v>
      </c>
      <c r="C537" s="239" t="s">
        <v>50</v>
      </c>
      <c r="D537" s="240">
        <f t="shared" si="8"/>
        <v>3.8273044444444437</v>
      </c>
      <c r="E537" s="226" t="s">
        <v>5222</v>
      </c>
      <c r="G537" s="240">
        <v>3.57</v>
      </c>
    </row>
    <row r="538" spans="1:7" ht="14.25" x14ac:dyDescent="0.2">
      <c r="A538" s="237" t="s">
        <v>2194</v>
      </c>
      <c r="B538" s="238" t="s">
        <v>3071</v>
      </c>
      <c r="C538" s="239" t="s">
        <v>38</v>
      </c>
      <c r="D538" s="240">
        <f t="shared" si="8"/>
        <v>178.48961259259261</v>
      </c>
      <c r="E538" s="226" t="s">
        <v>5222</v>
      </c>
      <c r="G538" s="240">
        <v>166.49</v>
      </c>
    </row>
    <row r="539" spans="1:7" ht="14.25" x14ac:dyDescent="0.2">
      <c r="A539" s="237" t="s">
        <v>2195</v>
      </c>
      <c r="B539" s="238" t="s">
        <v>3072</v>
      </c>
      <c r="C539" s="239" t="s">
        <v>38</v>
      </c>
      <c r="D539" s="240">
        <f t="shared" si="8"/>
        <v>123.88888</v>
      </c>
      <c r="E539" s="226" t="s">
        <v>5222</v>
      </c>
      <c r="G539" s="240">
        <v>115.56</v>
      </c>
    </row>
    <row r="540" spans="1:7" ht="14.25" x14ac:dyDescent="0.2">
      <c r="A540" s="237" t="s">
        <v>2196</v>
      </c>
      <c r="B540" s="238" t="s">
        <v>3073</v>
      </c>
      <c r="C540" s="239" t="s">
        <v>38</v>
      </c>
      <c r="D540" s="240">
        <f t="shared" si="8"/>
        <v>99.038202962962941</v>
      </c>
      <c r="E540" s="226" t="s">
        <v>5222</v>
      </c>
      <c r="G540" s="240">
        <v>92.38</v>
      </c>
    </row>
    <row r="541" spans="1:7" ht="14.25" x14ac:dyDescent="0.2">
      <c r="A541" s="237" t="s">
        <v>3237</v>
      </c>
      <c r="B541" s="238" t="s">
        <v>3238</v>
      </c>
      <c r="C541" s="239" t="s">
        <v>52</v>
      </c>
      <c r="D541" s="240">
        <f t="shared" si="8"/>
        <v>5.1673970370370368</v>
      </c>
      <c r="E541" s="226" t="s">
        <v>5222</v>
      </c>
      <c r="G541" s="240">
        <v>4.82</v>
      </c>
    </row>
    <row r="542" spans="1:7" ht="14.25" x14ac:dyDescent="0.2">
      <c r="A542" s="237" t="s">
        <v>2197</v>
      </c>
      <c r="B542" s="238" t="s">
        <v>3239</v>
      </c>
      <c r="C542" s="239" t="s">
        <v>27</v>
      </c>
      <c r="D542" s="240">
        <f t="shared" si="8"/>
        <v>151.62343629629629</v>
      </c>
      <c r="E542" s="226" t="s">
        <v>5222</v>
      </c>
      <c r="G542" s="240">
        <v>141.43</v>
      </c>
    </row>
    <row r="543" spans="1:7" ht="14.25" x14ac:dyDescent="0.2">
      <c r="A543" s="237" t="s">
        <v>2198</v>
      </c>
      <c r="B543" s="238" t="s">
        <v>3240</v>
      </c>
      <c r="C543" s="239" t="s">
        <v>27</v>
      </c>
      <c r="D543" s="240">
        <f t="shared" si="8"/>
        <v>147.80685259259261</v>
      </c>
      <c r="E543" s="226" t="s">
        <v>5222</v>
      </c>
      <c r="G543" s="240">
        <v>137.87</v>
      </c>
    </row>
    <row r="544" spans="1:7" ht="14.25" x14ac:dyDescent="0.2">
      <c r="A544" s="237" t="s">
        <v>2199</v>
      </c>
      <c r="B544" s="238" t="s">
        <v>3241</v>
      </c>
      <c r="C544" s="239" t="s">
        <v>27</v>
      </c>
      <c r="D544" s="240">
        <f t="shared" si="8"/>
        <v>177.29961037037035</v>
      </c>
      <c r="E544" s="226" t="s">
        <v>5222</v>
      </c>
      <c r="G544" s="240">
        <v>165.38</v>
      </c>
    </row>
    <row r="545" spans="1:7" ht="14.25" x14ac:dyDescent="0.2">
      <c r="A545" s="237" t="s">
        <v>2200</v>
      </c>
      <c r="B545" s="238" t="s">
        <v>3242</v>
      </c>
      <c r="C545" s="239" t="s">
        <v>27</v>
      </c>
      <c r="D545" s="240">
        <f t="shared" si="8"/>
        <v>201.50704296296294</v>
      </c>
      <c r="E545" s="226" t="s">
        <v>5222</v>
      </c>
      <c r="G545" s="240">
        <v>187.96</v>
      </c>
    </row>
    <row r="546" spans="1:7" ht="14.25" x14ac:dyDescent="0.2">
      <c r="A546" s="237" t="s">
        <v>2201</v>
      </c>
      <c r="B546" s="238" t="s">
        <v>3243</v>
      </c>
      <c r="C546" s="239" t="s">
        <v>27</v>
      </c>
      <c r="D546" s="240">
        <f t="shared" si="8"/>
        <v>222.44464962962962</v>
      </c>
      <c r="E546" s="226" t="s">
        <v>5222</v>
      </c>
      <c r="G546" s="240">
        <v>207.49</v>
      </c>
    </row>
    <row r="547" spans="1:7" ht="14.25" x14ac:dyDescent="0.2">
      <c r="A547" s="237" t="s">
        <v>2202</v>
      </c>
      <c r="B547" s="238" t="s">
        <v>3244</v>
      </c>
      <c r="C547" s="239" t="s">
        <v>55</v>
      </c>
      <c r="D547" s="240">
        <f t="shared" si="8"/>
        <v>38.57322518518518</v>
      </c>
      <c r="E547" s="226" t="s">
        <v>5222</v>
      </c>
      <c r="G547" s="240">
        <v>35.979999999999997</v>
      </c>
    </row>
    <row r="548" spans="1:7" ht="14.25" x14ac:dyDescent="0.2">
      <c r="A548" s="237" t="s">
        <v>2203</v>
      </c>
      <c r="B548" s="238" t="s">
        <v>3245</v>
      </c>
      <c r="C548" s="239" t="s">
        <v>27</v>
      </c>
      <c r="D548" s="240">
        <f t="shared" si="8"/>
        <v>180.80529259259259</v>
      </c>
      <c r="E548" s="226" t="s">
        <v>5222</v>
      </c>
      <c r="G548" s="240">
        <v>168.65</v>
      </c>
    </row>
    <row r="549" spans="1:7" ht="14.25" x14ac:dyDescent="0.2">
      <c r="A549" s="237" t="s">
        <v>2204</v>
      </c>
      <c r="B549" s="238" t="s">
        <v>3246</v>
      </c>
      <c r="C549" s="239" t="s">
        <v>27</v>
      </c>
      <c r="D549" s="240">
        <f t="shared" si="8"/>
        <v>190.26098592592592</v>
      </c>
      <c r="E549" s="226" t="s">
        <v>5222</v>
      </c>
      <c r="G549" s="240">
        <v>177.47</v>
      </c>
    </row>
    <row r="550" spans="1:7" ht="14.25" x14ac:dyDescent="0.2">
      <c r="A550" s="237" t="s">
        <v>2205</v>
      </c>
      <c r="B550" s="238" t="s">
        <v>3247</v>
      </c>
      <c r="C550" s="239" t="s">
        <v>27</v>
      </c>
      <c r="D550" s="240">
        <f t="shared" si="8"/>
        <v>344.90767111111109</v>
      </c>
      <c r="E550" s="226" t="s">
        <v>5222</v>
      </c>
      <c r="G550" s="240">
        <v>321.72000000000003</v>
      </c>
    </row>
    <row r="551" spans="1:7" ht="14.25" x14ac:dyDescent="0.2">
      <c r="A551" s="237" t="s">
        <v>2206</v>
      </c>
      <c r="B551" s="238" t="s">
        <v>3248</v>
      </c>
      <c r="C551" s="239" t="s">
        <v>27</v>
      </c>
      <c r="D551" s="240">
        <f t="shared" si="8"/>
        <v>366.89591037037036</v>
      </c>
      <c r="E551" s="226" t="s">
        <v>5222</v>
      </c>
      <c r="G551" s="240">
        <v>342.23</v>
      </c>
    </row>
    <row r="552" spans="1:7" ht="14.25" x14ac:dyDescent="0.2">
      <c r="A552" s="237" t="s">
        <v>2207</v>
      </c>
      <c r="B552" s="238" t="s">
        <v>3249</v>
      </c>
      <c r="C552" s="239" t="s">
        <v>27</v>
      </c>
      <c r="D552" s="240">
        <f t="shared" si="8"/>
        <v>457.75418814814816</v>
      </c>
      <c r="E552" s="226" t="s">
        <v>5222</v>
      </c>
      <c r="G552" s="240">
        <v>426.98</v>
      </c>
    </row>
    <row r="553" spans="1:7" ht="14.25" x14ac:dyDescent="0.2">
      <c r="A553" s="237" t="s">
        <v>2208</v>
      </c>
      <c r="B553" s="238" t="s">
        <v>3250</v>
      </c>
      <c r="C553" s="239" t="s">
        <v>27</v>
      </c>
      <c r="D553" s="240">
        <f t="shared" si="8"/>
        <v>576.63648222222218</v>
      </c>
      <c r="E553" s="226" t="s">
        <v>5222</v>
      </c>
      <c r="G553" s="240">
        <v>537.87</v>
      </c>
    </row>
    <row r="554" spans="1:7" ht="14.25" x14ac:dyDescent="0.2">
      <c r="A554" s="237" t="s">
        <v>2209</v>
      </c>
      <c r="B554" s="238" t="s">
        <v>3251</v>
      </c>
      <c r="C554" s="239" t="s">
        <v>27</v>
      </c>
      <c r="D554" s="240">
        <f t="shared" si="8"/>
        <v>730.21109333333334</v>
      </c>
      <c r="E554" s="226" t="s">
        <v>5222</v>
      </c>
      <c r="G554" s="240">
        <v>681.12</v>
      </c>
    </row>
    <row r="555" spans="1:7" ht="14.25" x14ac:dyDescent="0.2">
      <c r="A555" s="237" t="s">
        <v>2210</v>
      </c>
      <c r="B555" s="238" t="s">
        <v>3252</v>
      </c>
      <c r="C555" s="239" t="s">
        <v>27</v>
      </c>
      <c r="D555" s="240">
        <f t="shared" si="8"/>
        <v>1021.4400155555554</v>
      </c>
      <c r="E555" s="226" t="s">
        <v>5222</v>
      </c>
      <c r="G555" s="240">
        <v>952.77</v>
      </c>
    </row>
    <row r="556" spans="1:7" ht="14.25" x14ac:dyDescent="0.2">
      <c r="A556" s="237" t="s">
        <v>2211</v>
      </c>
      <c r="B556" s="238" t="s">
        <v>3253</v>
      </c>
      <c r="C556" s="239" t="s">
        <v>27</v>
      </c>
      <c r="D556" s="240">
        <f t="shared" si="8"/>
        <v>619.38007555555555</v>
      </c>
      <c r="E556" s="226" t="s">
        <v>5222</v>
      </c>
      <c r="G556" s="240">
        <v>577.74</v>
      </c>
    </row>
    <row r="557" spans="1:7" ht="14.25" x14ac:dyDescent="0.2">
      <c r="A557" s="237" t="s">
        <v>2212</v>
      </c>
      <c r="B557" s="238" t="s">
        <v>3254</v>
      </c>
      <c r="C557" s="239" t="s">
        <v>27</v>
      </c>
      <c r="D557" s="240">
        <f t="shared" si="8"/>
        <v>655.06942148148141</v>
      </c>
      <c r="E557" s="226" t="s">
        <v>5222</v>
      </c>
      <c r="G557" s="240">
        <v>611.03</v>
      </c>
    </row>
    <row r="558" spans="1:7" ht="14.25" x14ac:dyDescent="0.2">
      <c r="A558" s="237" t="s">
        <v>2213</v>
      </c>
      <c r="B558" s="238" t="s">
        <v>3255</v>
      </c>
      <c r="C558" s="239" t="s">
        <v>27</v>
      </c>
      <c r="D558" s="240">
        <f t="shared" si="8"/>
        <v>764.42097703703689</v>
      </c>
      <c r="E558" s="226" t="s">
        <v>5222</v>
      </c>
      <c r="G558" s="240">
        <v>713.03</v>
      </c>
    </row>
    <row r="559" spans="1:7" ht="14.25" x14ac:dyDescent="0.2">
      <c r="A559" s="237" t="s">
        <v>2214</v>
      </c>
      <c r="B559" s="238" t="s">
        <v>3256</v>
      </c>
      <c r="C559" s="239" t="s">
        <v>27</v>
      </c>
      <c r="D559" s="240">
        <f t="shared" si="8"/>
        <v>928.1374088888889</v>
      </c>
      <c r="E559" s="226" t="s">
        <v>5222</v>
      </c>
      <c r="G559" s="240">
        <v>865.74</v>
      </c>
    </row>
    <row r="560" spans="1:7" ht="14.25" x14ac:dyDescent="0.2">
      <c r="A560" s="237" t="s">
        <v>2215</v>
      </c>
      <c r="B560" s="238" t="s">
        <v>3257</v>
      </c>
      <c r="C560" s="239" t="s">
        <v>27</v>
      </c>
      <c r="D560" s="240">
        <f t="shared" si="8"/>
        <v>1244.4528644444442</v>
      </c>
      <c r="E560" s="226" t="s">
        <v>5222</v>
      </c>
      <c r="G560" s="240">
        <v>1160.79</v>
      </c>
    </row>
    <row r="561" spans="1:7" ht="14.25" x14ac:dyDescent="0.2">
      <c r="A561" s="237" t="s">
        <v>2216</v>
      </c>
      <c r="B561" s="238" t="s">
        <v>3258</v>
      </c>
      <c r="C561" s="239" t="s">
        <v>27</v>
      </c>
      <c r="D561" s="240">
        <f t="shared" si="8"/>
        <v>1619.1427533333331</v>
      </c>
      <c r="E561" s="226" t="s">
        <v>5222</v>
      </c>
      <c r="G561" s="240">
        <v>1510.29</v>
      </c>
    </row>
    <row r="562" spans="1:7" ht="14.25" x14ac:dyDescent="0.2">
      <c r="A562" s="237" t="s">
        <v>2217</v>
      </c>
      <c r="B562" s="238" t="s">
        <v>3259</v>
      </c>
      <c r="C562" s="239" t="s">
        <v>28</v>
      </c>
      <c r="D562" s="240">
        <f t="shared" si="8"/>
        <v>23398.016666666666</v>
      </c>
      <c r="E562" s="226" t="s">
        <v>5222</v>
      </c>
      <c r="G562" s="240">
        <v>21825</v>
      </c>
    </row>
    <row r="563" spans="1:7" ht="14.25" x14ac:dyDescent="0.2">
      <c r="A563" s="237" t="s">
        <v>448</v>
      </c>
      <c r="B563" s="238" t="s">
        <v>3260</v>
      </c>
      <c r="C563" s="239" t="s">
        <v>27</v>
      </c>
      <c r="D563" s="240">
        <f t="shared" si="8"/>
        <v>121.91626370370369</v>
      </c>
      <c r="E563" s="226" t="s">
        <v>5222</v>
      </c>
      <c r="G563" s="240">
        <v>113.72</v>
      </c>
    </row>
    <row r="564" spans="1:7" ht="14.25" x14ac:dyDescent="0.2">
      <c r="A564" s="237" t="s">
        <v>2218</v>
      </c>
      <c r="B564" s="238" t="s">
        <v>3261</v>
      </c>
      <c r="C564" s="239" t="s">
        <v>28</v>
      </c>
      <c r="D564" s="240">
        <f t="shared" si="8"/>
        <v>11057.693622222221</v>
      </c>
      <c r="E564" s="226" t="s">
        <v>5222</v>
      </c>
      <c r="G564" s="240">
        <v>10314.299999999999</v>
      </c>
    </row>
    <row r="565" spans="1:7" ht="14.25" x14ac:dyDescent="0.2">
      <c r="A565" s="237" t="s">
        <v>2531</v>
      </c>
      <c r="B565" s="238" t="s">
        <v>3262</v>
      </c>
      <c r="C565" s="239" t="s">
        <v>27</v>
      </c>
      <c r="D565" s="240">
        <f t="shared" si="8"/>
        <v>3828.2049866666666</v>
      </c>
      <c r="E565" s="226" t="s">
        <v>5222</v>
      </c>
      <c r="G565" s="240">
        <v>3570.84</v>
      </c>
    </row>
    <row r="566" spans="1:7" ht="14.25" x14ac:dyDescent="0.2">
      <c r="A566" s="237" t="s">
        <v>2532</v>
      </c>
      <c r="B566" s="238" t="s">
        <v>3263</v>
      </c>
      <c r="C566" s="239" t="s">
        <v>27</v>
      </c>
      <c r="D566" s="240">
        <f t="shared" si="8"/>
        <v>1901.2590459259259</v>
      </c>
      <c r="E566" s="226" t="s">
        <v>5222</v>
      </c>
      <c r="G566" s="240">
        <v>1773.44</v>
      </c>
    </row>
    <row r="567" spans="1:7" ht="14.25" x14ac:dyDescent="0.2">
      <c r="A567" s="237" t="s">
        <v>2533</v>
      </c>
      <c r="B567" s="238" t="s">
        <v>3264</v>
      </c>
      <c r="C567" s="239" t="s">
        <v>27</v>
      </c>
      <c r="D567" s="240">
        <f t="shared" si="8"/>
        <v>3338.4172251851855</v>
      </c>
      <c r="E567" s="226" t="s">
        <v>5222</v>
      </c>
      <c r="G567" s="240">
        <v>3113.98</v>
      </c>
    </row>
    <row r="568" spans="1:7" ht="14.25" x14ac:dyDescent="0.2">
      <c r="A568" s="237" t="s">
        <v>2534</v>
      </c>
      <c r="B568" s="238" t="s">
        <v>3265</v>
      </c>
      <c r="C568" s="239" t="s">
        <v>27</v>
      </c>
      <c r="D568" s="240">
        <f t="shared" si="8"/>
        <v>1686.1902659259258</v>
      </c>
      <c r="E568" s="226" t="s">
        <v>5222</v>
      </c>
      <c r="G568" s="240">
        <v>1572.83</v>
      </c>
    </row>
    <row r="569" spans="1:7" ht="14.25" x14ac:dyDescent="0.2">
      <c r="A569" s="237" t="s">
        <v>2219</v>
      </c>
      <c r="B569" s="238" t="s">
        <v>3076</v>
      </c>
      <c r="C569" s="239" t="s">
        <v>50</v>
      </c>
      <c r="D569" s="240">
        <f t="shared" si="8"/>
        <v>33.663125925925925</v>
      </c>
      <c r="E569" s="226" t="s">
        <v>5222</v>
      </c>
      <c r="G569" s="240">
        <v>31.4</v>
      </c>
    </row>
    <row r="570" spans="1:7" ht="14.25" x14ac:dyDescent="0.2">
      <c r="A570" s="237" t="s">
        <v>2220</v>
      </c>
      <c r="B570" s="238" t="s">
        <v>3077</v>
      </c>
      <c r="C570" s="239" t="s">
        <v>50</v>
      </c>
      <c r="D570" s="240">
        <f t="shared" si="8"/>
        <v>37.597637777777777</v>
      </c>
      <c r="E570" s="226" t="s">
        <v>5222</v>
      </c>
      <c r="G570" s="240">
        <v>35.07</v>
      </c>
    </row>
    <row r="571" spans="1:7" ht="14.25" x14ac:dyDescent="0.2">
      <c r="A571" s="237" t="s">
        <v>2221</v>
      </c>
      <c r="B571" s="238" t="s">
        <v>3266</v>
      </c>
      <c r="C571" s="239" t="s">
        <v>38</v>
      </c>
      <c r="D571" s="240">
        <f t="shared" si="8"/>
        <v>162.24769037037038</v>
      </c>
      <c r="E571" s="226" t="s">
        <v>5222</v>
      </c>
      <c r="G571" s="240">
        <v>151.34</v>
      </c>
    </row>
    <row r="572" spans="1:7" ht="14.25" x14ac:dyDescent="0.2">
      <c r="A572" s="237" t="s">
        <v>2222</v>
      </c>
      <c r="B572" s="238" t="s">
        <v>3267</v>
      </c>
      <c r="C572" s="239" t="s">
        <v>38</v>
      </c>
      <c r="D572" s="240">
        <f t="shared" si="8"/>
        <v>194.18477703703704</v>
      </c>
      <c r="E572" s="226" t="s">
        <v>5222</v>
      </c>
      <c r="G572" s="240">
        <v>181.13</v>
      </c>
    </row>
    <row r="573" spans="1:7" ht="14.25" x14ac:dyDescent="0.2">
      <c r="A573" s="237" t="s">
        <v>2223</v>
      </c>
      <c r="B573" s="238" t="s">
        <v>3080</v>
      </c>
      <c r="C573" s="239" t="s">
        <v>55</v>
      </c>
      <c r="D573" s="240">
        <f t="shared" si="8"/>
        <v>22.149050370370368</v>
      </c>
      <c r="E573" s="226" t="s">
        <v>5222</v>
      </c>
      <c r="G573" s="240">
        <v>20.66</v>
      </c>
    </row>
    <row r="574" spans="1:7" ht="14.25" x14ac:dyDescent="0.2">
      <c r="A574" s="237" t="s">
        <v>2224</v>
      </c>
      <c r="B574" s="238" t="s">
        <v>3081</v>
      </c>
      <c r="C574" s="239" t="s">
        <v>55</v>
      </c>
      <c r="D574" s="240">
        <f t="shared" si="8"/>
        <v>18.418232592592592</v>
      </c>
      <c r="E574" s="226" t="s">
        <v>5222</v>
      </c>
      <c r="G574" s="240">
        <v>17.18</v>
      </c>
    </row>
    <row r="575" spans="1:7" ht="14.25" x14ac:dyDescent="0.2">
      <c r="A575" s="237" t="s">
        <v>2225</v>
      </c>
      <c r="B575" s="238" t="s">
        <v>3082</v>
      </c>
      <c r="C575" s="239" t="s">
        <v>55</v>
      </c>
      <c r="D575" s="240">
        <f t="shared" si="8"/>
        <v>23.092475555555552</v>
      </c>
      <c r="E575" s="226" t="s">
        <v>5222</v>
      </c>
      <c r="G575" s="240">
        <v>21.54</v>
      </c>
    </row>
    <row r="576" spans="1:7" ht="14.25" x14ac:dyDescent="0.2">
      <c r="A576" s="237" t="s">
        <v>2226</v>
      </c>
      <c r="B576" s="238" t="s">
        <v>3268</v>
      </c>
      <c r="C576" s="239" t="s">
        <v>55</v>
      </c>
      <c r="D576" s="240">
        <f t="shared" si="8"/>
        <v>37.554754814814814</v>
      </c>
      <c r="E576" s="226" t="s">
        <v>5222</v>
      </c>
      <c r="G576" s="240">
        <v>35.03</v>
      </c>
    </row>
    <row r="577" spans="1:7" ht="14.25" x14ac:dyDescent="0.2">
      <c r="A577" s="237" t="s">
        <v>2227</v>
      </c>
      <c r="B577" s="238" t="s">
        <v>3083</v>
      </c>
      <c r="C577" s="239" t="s">
        <v>55</v>
      </c>
      <c r="D577" s="240">
        <f t="shared" si="8"/>
        <v>21.344994814814815</v>
      </c>
      <c r="E577" s="226" t="s">
        <v>5222</v>
      </c>
      <c r="G577" s="240">
        <v>19.91</v>
      </c>
    </row>
    <row r="578" spans="1:7" ht="14.25" x14ac:dyDescent="0.2">
      <c r="A578" s="237" t="s">
        <v>2228</v>
      </c>
      <c r="B578" s="238" t="s">
        <v>3269</v>
      </c>
      <c r="C578" s="239" t="s">
        <v>55</v>
      </c>
      <c r="D578" s="240">
        <f t="shared" si="8"/>
        <v>102.95127333333332</v>
      </c>
      <c r="E578" s="226" t="s">
        <v>5222</v>
      </c>
      <c r="G578" s="240">
        <v>96.03</v>
      </c>
    </row>
    <row r="579" spans="1:7" ht="14.25" x14ac:dyDescent="0.2">
      <c r="A579" s="237" t="s">
        <v>2229</v>
      </c>
      <c r="B579" s="238" t="s">
        <v>3270</v>
      </c>
      <c r="C579" s="239" t="s">
        <v>28</v>
      </c>
      <c r="D579" s="240">
        <f t="shared" si="8"/>
        <v>887.97751407407407</v>
      </c>
      <c r="E579" s="226" t="s">
        <v>5222</v>
      </c>
      <c r="G579" s="240">
        <v>828.28</v>
      </c>
    </row>
    <row r="580" spans="1:7" ht="14.25" x14ac:dyDescent="0.2">
      <c r="A580" s="237" t="s">
        <v>2230</v>
      </c>
      <c r="B580" s="238" t="s">
        <v>3271</v>
      </c>
      <c r="C580" s="239" t="s">
        <v>28</v>
      </c>
      <c r="D580" s="240">
        <f t="shared" si="8"/>
        <v>716.4992659259259</v>
      </c>
      <c r="E580" s="226" t="s">
        <v>5222</v>
      </c>
      <c r="G580" s="240">
        <v>668.33</v>
      </c>
    </row>
    <row r="581" spans="1:7" ht="14.25" x14ac:dyDescent="0.2">
      <c r="A581" s="237" t="s">
        <v>2231</v>
      </c>
      <c r="B581" s="238" t="s">
        <v>3272</v>
      </c>
      <c r="C581" s="239" t="s">
        <v>28</v>
      </c>
      <c r="D581" s="240">
        <f t="shared" si="8"/>
        <v>1163.7149659259258</v>
      </c>
      <c r="E581" s="226" t="s">
        <v>5222</v>
      </c>
      <c r="G581" s="240">
        <v>1085.48</v>
      </c>
    </row>
    <row r="582" spans="1:7" ht="14.25" x14ac:dyDescent="0.2">
      <c r="A582" s="237" t="s">
        <v>2232</v>
      </c>
      <c r="B582" s="238" t="s">
        <v>3273</v>
      </c>
      <c r="C582" s="239" t="s">
        <v>28</v>
      </c>
      <c r="D582" s="240">
        <f t="shared" si="8"/>
        <v>1995.6551681481481</v>
      </c>
      <c r="E582" s="226" t="s">
        <v>5222</v>
      </c>
      <c r="G582" s="240">
        <v>1861.49</v>
      </c>
    </row>
    <row r="583" spans="1:7" ht="14.25" x14ac:dyDescent="0.2">
      <c r="A583" s="237" t="s">
        <v>2233</v>
      </c>
      <c r="B583" s="238" t="s">
        <v>3274</v>
      </c>
      <c r="C583" s="239" t="s">
        <v>28</v>
      </c>
      <c r="D583" s="240">
        <f t="shared" si="8"/>
        <v>4270.3712177777779</v>
      </c>
      <c r="E583" s="226" t="s">
        <v>5222</v>
      </c>
      <c r="G583" s="240">
        <v>3983.28</v>
      </c>
    </row>
    <row r="584" spans="1:7" ht="14.25" x14ac:dyDescent="0.2">
      <c r="A584" s="237" t="s">
        <v>2234</v>
      </c>
      <c r="B584" s="238" t="s">
        <v>3275</v>
      </c>
      <c r="C584" s="239" t="s">
        <v>28</v>
      </c>
      <c r="D584" s="240">
        <f t="shared" ref="D584:D647" si="9">(G584/(1+0.35))*(1+$D$3)</f>
        <v>5682.1534037037027</v>
      </c>
      <c r="E584" s="226" t="s">
        <v>5222</v>
      </c>
      <c r="G584" s="240">
        <v>5300.15</v>
      </c>
    </row>
    <row r="585" spans="1:7" ht="14.25" x14ac:dyDescent="0.2">
      <c r="A585" s="237" t="s">
        <v>2235</v>
      </c>
      <c r="B585" s="238" t="s">
        <v>3276</v>
      </c>
      <c r="C585" s="239" t="s">
        <v>28</v>
      </c>
      <c r="D585" s="240">
        <f t="shared" si="9"/>
        <v>133.97709703703703</v>
      </c>
      <c r="E585" s="226" t="s">
        <v>5222</v>
      </c>
      <c r="G585" s="240">
        <v>124.97</v>
      </c>
    </row>
    <row r="586" spans="1:7" ht="14.25" x14ac:dyDescent="0.2">
      <c r="A586" s="237" t="s">
        <v>2236</v>
      </c>
      <c r="B586" s="238" t="s">
        <v>3277</v>
      </c>
      <c r="C586" s="239" t="s">
        <v>28</v>
      </c>
      <c r="D586" s="240">
        <f t="shared" si="9"/>
        <v>186.06917629629629</v>
      </c>
      <c r="E586" s="226" t="s">
        <v>5222</v>
      </c>
      <c r="G586" s="240">
        <v>173.56</v>
      </c>
    </row>
    <row r="587" spans="1:7" ht="14.25" x14ac:dyDescent="0.2">
      <c r="A587" s="237" t="s">
        <v>2237</v>
      </c>
      <c r="B587" s="238" t="s">
        <v>3278</v>
      </c>
      <c r="C587" s="239" t="s">
        <v>28</v>
      </c>
      <c r="D587" s="240">
        <f t="shared" si="9"/>
        <v>3460.0761911111108</v>
      </c>
      <c r="E587" s="226" t="s">
        <v>5222</v>
      </c>
      <c r="G587" s="240">
        <v>3227.46</v>
      </c>
    </row>
    <row r="588" spans="1:7" ht="14.25" x14ac:dyDescent="0.2">
      <c r="A588" s="237" t="s">
        <v>2238</v>
      </c>
      <c r="B588" s="238" t="s">
        <v>3279</v>
      </c>
      <c r="C588" s="239" t="s">
        <v>28</v>
      </c>
      <c r="D588" s="240">
        <f t="shared" si="9"/>
        <v>416.91888666666665</v>
      </c>
      <c r="E588" s="226" t="s">
        <v>5222</v>
      </c>
      <c r="G588" s="240">
        <v>388.89</v>
      </c>
    </row>
    <row r="589" spans="1:7" ht="14.25" x14ac:dyDescent="0.2">
      <c r="A589" s="237" t="s">
        <v>449</v>
      </c>
      <c r="B589" s="238" t="s">
        <v>3280</v>
      </c>
      <c r="C589" s="239" t="s">
        <v>28</v>
      </c>
      <c r="D589" s="240">
        <f t="shared" si="9"/>
        <v>1100.3017844444444</v>
      </c>
      <c r="E589" s="226" t="s">
        <v>5222</v>
      </c>
      <c r="G589" s="240">
        <v>1026.33</v>
      </c>
    </row>
    <row r="590" spans="1:7" ht="14.25" x14ac:dyDescent="0.2">
      <c r="A590" s="237" t="s">
        <v>450</v>
      </c>
      <c r="B590" s="238" t="s">
        <v>3281</v>
      </c>
      <c r="C590" s="239" t="s">
        <v>28</v>
      </c>
      <c r="D590" s="240">
        <f t="shared" si="9"/>
        <v>3734.6450822222218</v>
      </c>
      <c r="E590" s="226" t="s">
        <v>5222</v>
      </c>
      <c r="G590" s="240">
        <v>3483.57</v>
      </c>
    </row>
    <row r="591" spans="1:7" ht="14.25" x14ac:dyDescent="0.2">
      <c r="A591" s="237" t="s">
        <v>451</v>
      </c>
      <c r="B591" s="238" t="s">
        <v>3282</v>
      </c>
      <c r="C591" s="239" t="s">
        <v>28</v>
      </c>
      <c r="D591" s="240">
        <f t="shared" si="9"/>
        <v>5142.9430274074066</v>
      </c>
      <c r="E591" s="226" t="s">
        <v>5222</v>
      </c>
      <c r="G591" s="240">
        <v>4797.1899999999996</v>
      </c>
    </row>
    <row r="592" spans="1:7" ht="14.25" x14ac:dyDescent="0.2">
      <c r="A592" s="237" t="s">
        <v>452</v>
      </c>
      <c r="B592" s="238" t="s">
        <v>3283</v>
      </c>
      <c r="C592" s="239" t="s">
        <v>28</v>
      </c>
      <c r="D592" s="240">
        <f t="shared" si="9"/>
        <v>6328.0351503703696</v>
      </c>
      <c r="E592" s="226" t="s">
        <v>5222</v>
      </c>
      <c r="G592" s="240">
        <v>5902.61</v>
      </c>
    </row>
    <row r="593" spans="1:7" ht="14.25" x14ac:dyDescent="0.2">
      <c r="A593" s="237" t="s">
        <v>453</v>
      </c>
      <c r="B593" s="238" t="s">
        <v>3284</v>
      </c>
      <c r="C593" s="239" t="s">
        <v>27</v>
      </c>
      <c r="D593" s="240">
        <f t="shared" si="9"/>
        <v>398.80083481481478</v>
      </c>
      <c r="E593" s="226" t="s">
        <v>5222</v>
      </c>
      <c r="G593" s="240">
        <v>371.99</v>
      </c>
    </row>
    <row r="594" spans="1:7" ht="14.25" x14ac:dyDescent="0.2">
      <c r="A594" s="237" t="s">
        <v>454</v>
      </c>
      <c r="B594" s="238" t="s">
        <v>3285</v>
      </c>
      <c r="C594" s="239" t="s">
        <v>27</v>
      </c>
      <c r="D594" s="240">
        <f t="shared" si="9"/>
        <v>469.7185348148148</v>
      </c>
      <c r="E594" s="226" t="s">
        <v>5222</v>
      </c>
      <c r="G594" s="240">
        <v>438.14</v>
      </c>
    </row>
    <row r="595" spans="1:7" ht="14.25" x14ac:dyDescent="0.2">
      <c r="A595" s="237" t="s">
        <v>455</v>
      </c>
      <c r="B595" s="238" t="s">
        <v>3286</v>
      </c>
      <c r="C595" s="239" t="s">
        <v>27</v>
      </c>
      <c r="D595" s="240">
        <f t="shared" si="9"/>
        <v>547.21876962962961</v>
      </c>
      <c r="E595" s="226" t="s">
        <v>5222</v>
      </c>
      <c r="G595" s="240">
        <v>510.43</v>
      </c>
    </row>
    <row r="596" spans="1:7" ht="14.25" x14ac:dyDescent="0.2">
      <c r="A596" s="237" t="s">
        <v>456</v>
      </c>
      <c r="B596" s="238" t="s">
        <v>3287</v>
      </c>
      <c r="C596" s="239" t="s">
        <v>27</v>
      </c>
      <c r="D596" s="240">
        <f t="shared" si="9"/>
        <v>607.08338592592588</v>
      </c>
      <c r="E596" s="226" t="s">
        <v>5222</v>
      </c>
      <c r="G596" s="240">
        <v>566.27</v>
      </c>
    </row>
    <row r="597" spans="1:7" ht="14.25" x14ac:dyDescent="0.2">
      <c r="A597" s="237" t="s">
        <v>457</v>
      </c>
      <c r="B597" s="238" t="s">
        <v>3288</v>
      </c>
      <c r="C597" s="239" t="s">
        <v>28</v>
      </c>
      <c r="D597" s="240">
        <f t="shared" si="9"/>
        <v>2103.9346496296293</v>
      </c>
      <c r="E597" s="226" t="s">
        <v>5222</v>
      </c>
      <c r="G597" s="240">
        <v>1962.49</v>
      </c>
    </row>
    <row r="598" spans="1:7" ht="14.25" x14ac:dyDescent="0.2">
      <c r="A598" s="237" t="s">
        <v>458</v>
      </c>
      <c r="B598" s="238" t="s">
        <v>3289</v>
      </c>
      <c r="C598" s="239" t="s">
        <v>28</v>
      </c>
      <c r="D598" s="240">
        <f t="shared" si="9"/>
        <v>2662.0671333333335</v>
      </c>
      <c r="E598" s="226" t="s">
        <v>5222</v>
      </c>
      <c r="G598" s="240">
        <v>2483.1</v>
      </c>
    </row>
    <row r="599" spans="1:7" ht="14.25" x14ac:dyDescent="0.2">
      <c r="A599" s="237" t="s">
        <v>459</v>
      </c>
      <c r="B599" s="238" t="s">
        <v>3290</v>
      </c>
      <c r="C599" s="239" t="s">
        <v>28</v>
      </c>
      <c r="D599" s="240">
        <f t="shared" si="9"/>
        <v>3128.8053022222221</v>
      </c>
      <c r="E599" s="226" t="s">
        <v>5222</v>
      </c>
      <c r="G599" s="240">
        <v>2918.46</v>
      </c>
    </row>
    <row r="600" spans="1:7" ht="14.25" x14ac:dyDescent="0.2">
      <c r="A600" s="237" t="s">
        <v>460</v>
      </c>
      <c r="B600" s="238" t="s">
        <v>3291</v>
      </c>
      <c r="C600" s="239" t="s">
        <v>28</v>
      </c>
      <c r="D600" s="240">
        <f t="shared" si="9"/>
        <v>2940.1095444444441</v>
      </c>
      <c r="E600" s="226" t="s">
        <v>5222</v>
      </c>
      <c r="G600" s="240">
        <v>2742.45</v>
      </c>
    </row>
    <row r="601" spans="1:7" ht="14.25" x14ac:dyDescent="0.2">
      <c r="A601" s="237" t="s">
        <v>2239</v>
      </c>
      <c r="B601" s="238" t="s">
        <v>3084</v>
      </c>
      <c r="C601" s="239" t="s">
        <v>50</v>
      </c>
      <c r="D601" s="240">
        <f t="shared" si="9"/>
        <v>652.22842518518507</v>
      </c>
      <c r="E601" s="226" t="s">
        <v>5222</v>
      </c>
      <c r="G601" s="240">
        <v>608.38</v>
      </c>
    </row>
    <row r="602" spans="1:7" ht="14.25" x14ac:dyDescent="0.2">
      <c r="A602" s="237" t="s">
        <v>2240</v>
      </c>
      <c r="B602" s="238" t="s">
        <v>3085</v>
      </c>
      <c r="C602" s="239" t="s">
        <v>50</v>
      </c>
      <c r="D602" s="240">
        <f t="shared" si="9"/>
        <v>711.34258962962952</v>
      </c>
      <c r="E602" s="226" t="s">
        <v>5222</v>
      </c>
      <c r="G602" s="240">
        <v>663.52</v>
      </c>
    </row>
    <row r="603" spans="1:7" ht="14.25" x14ac:dyDescent="0.2">
      <c r="A603" s="237" t="s">
        <v>2241</v>
      </c>
      <c r="B603" s="238" t="s">
        <v>3086</v>
      </c>
      <c r="C603" s="239" t="s">
        <v>50</v>
      </c>
      <c r="D603" s="240">
        <f t="shared" si="9"/>
        <v>728.96748740740736</v>
      </c>
      <c r="E603" s="226" t="s">
        <v>5222</v>
      </c>
      <c r="G603" s="240">
        <v>679.96</v>
      </c>
    </row>
    <row r="604" spans="1:7" ht="14.25" x14ac:dyDescent="0.2">
      <c r="A604" s="237" t="s">
        <v>2242</v>
      </c>
      <c r="B604" s="238" t="s">
        <v>3087</v>
      </c>
      <c r="C604" s="239" t="s">
        <v>50</v>
      </c>
      <c r="D604" s="240">
        <f t="shared" si="9"/>
        <v>754.6007785185185</v>
      </c>
      <c r="E604" s="226" t="s">
        <v>5222</v>
      </c>
      <c r="G604" s="240">
        <v>703.87</v>
      </c>
    </row>
    <row r="605" spans="1:7" ht="14.25" x14ac:dyDescent="0.2">
      <c r="A605" s="237" t="s">
        <v>2243</v>
      </c>
      <c r="B605" s="238" t="s">
        <v>3088</v>
      </c>
      <c r="C605" s="239" t="s">
        <v>50</v>
      </c>
      <c r="D605" s="240">
        <f t="shared" si="9"/>
        <v>773.13693925925918</v>
      </c>
      <c r="E605" s="226" t="s">
        <v>5222</v>
      </c>
      <c r="G605" s="240">
        <v>721.16</v>
      </c>
    </row>
    <row r="606" spans="1:7" ht="14.25" x14ac:dyDescent="0.2">
      <c r="A606" s="237" t="s">
        <v>2244</v>
      </c>
      <c r="B606" s="238" t="s">
        <v>3089</v>
      </c>
      <c r="C606" s="239" t="s">
        <v>50</v>
      </c>
      <c r="D606" s="240">
        <f t="shared" si="9"/>
        <v>797.0549118518519</v>
      </c>
      <c r="E606" s="226" t="s">
        <v>5222</v>
      </c>
      <c r="G606" s="240">
        <v>743.47</v>
      </c>
    </row>
    <row r="607" spans="1:7" ht="14.25" x14ac:dyDescent="0.2">
      <c r="A607" s="237" t="s">
        <v>2245</v>
      </c>
      <c r="B607" s="238" t="s">
        <v>3092</v>
      </c>
      <c r="C607" s="239" t="s">
        <v>50</v>
      </c>
      <c r="D607" s="240">
        <f t="shared" si="9"/>
        <v>810.42367555555552</v>
      </c>
      <c r="E607" s="226" t="s">
        <v>5222</v>
      </c>
      <c r="G607" s="240">
        <v>755.94</v>
      </c>
    </row>
    <row r="608" spans="1:7" ht="14.25" x14ac:dyDescent="0.2">
      <c r="A608" s="237" t="s">
        <v>2246</v>
      </c>
      <c r="B608" s="238" t="s">
        <v>3090</v>
      </c>
      <c r="C608" s="239" t="s">
        <v>50</v>
      </c>
      <c r="D608" s="240">
        <f t="shared" si="9"/>
        <v>653.7829325925926</v>
      </c>
      <c r="E608" s="226" t="s">
        <v>5222</v>
      </c>
      <c r="G608" s="240">
        <v>609.83000000000004</v>
      </c>
    </row>
    <row r="609" spans="1:7" ht="14.25" x14ac:dyDescent="0.2">
      <c r="A609" s="237" t="s">
        <v>2247</v>
      </c>
      <c r="B609" s="238" t="s">
        <v>3292</v>
      </c>
      <c r="C609" s="239" t="s">
        <v>50</v>
      </c>
      <c r="D609" s="240">
        <f t="shared" si="9"/>
        <v>2379.2968755555557</v>
      </c>
      <c r="E609" s="226" t="s">
        <v>5222</v>
      </c>
      <c r="G609" s="240">
        <v>2219.34</v>
      </c>
    </row>
    <row r="610" spans="1:7" ht="14.25" x14ac:dyDescent="0.2">
      <c r="A610" s="237" t="s">
        <v>2248</v>
      </c>
      <c r="B610" s="238" t="s">
        <v>3293</v>
      </c>
      <c r="C610" s="239" t="s">
        <v>50</v>
      </c>
      <c r="D610" s="240">
        <f t="shared" si="9"/>
        <v>97.998291111111115</v>
      </c>
      <c r="E610" s="226" t="s">
        <v>5222</v>
      </c>
      <c r="G610" s="240">
        <v>91.41</v>
      </c>
    </row>
    <row r="611" spans="1:7" ht="14.25" x14ac:dyDescent="0.2">
      <c r="A611" s="237" t="s">
        <v>2249</v>
      </c>
      <c r="B611" s="238" t="s">
        <v>3294</v>
      </c>
      <c r="C611" s="239" t="s">
        <v>55</v>
      </c>
      <c r="D611" s="240">
        <f t="shared" si="9"/>
        <v>4.5991977777777775</v>
      </c>
      <c r="E611" s="226" t="s">
        <v>5222</v>
      </c>
      <c r="G611" s="240">
        <v>4.29</v>
      </c>
    </row>
    <row r="612" spans="1:7" ht="14.25" x14ac:dyDescent="0.2">
      <c r="A612" s="237" t="s">
        <v>2250</v>
      </c>
      <c r="B612" s="238" t="s">
        <v>3093</v>
      </c>
      <c r="C612" s="239" t="s">
        <v>50</v>
      </c>
      <c r="D612" s="240">
        <f t="shared" si="9"/>
        <v>855.01123629629626</v>
      </c>
      <c r="E612" s="226" t="s">
        <v>5222</v>
      </c>
      <c r="G612" s="240">
        <v>797.53</v>
      </c>
    </row>
    <row r="613" spans="1:7" ht="14.25" x14ac:dyDescent="0.2">
      <c r="A613" s="237" t="s">
        <v>2251</v>
      </c>
      <c r="B613" s="238" t="s">
        <v>3094</v>
      </c>
      <c r="C613" s="239" t="s">
        <v>50</v>
      </c>
      <c r="D613" s="240">
        <f t="shared" si="9"/>
        <v>975.85542592592594</v>
      </c>
      <c r="E613" s="226" t="s">
        <v>5222</v>
      </c>
      <c r="G613" s="240">
        <v>910.25</v>
      </c>
    </row>
    <row r="614" spans="1:7" ht="14.25" x14ac:dyDescent="0.2">
      <c r="A614" s="237" t="s">
        <v>2252</v>
      </c>
      <c r="B614" s="238" t="s">
        <v>3295</v>
      </c>
      <c r="C614" s="239" t="s">
        <v>50</v>
      </c>
      <c r="D614" s="240">
        <f t="shared" si="9"/>
        <v>1015.2863103703703</v>
      </c>
      <c r="E614" s="226" t="s">
        <v>5222</v>
      </c>
      <c r="G614" s="240">
        <v>947.03</v>
      </c>
    </row>
    <row r="615" spans="1:7" ht="14.25" x14ac:dyDescent="0.2">
      <c r="A615" s="237" t="s">
        <v>2253</v>
      </c>
      <c r="B615" s="238" t="s">
        <v>3296</v>
      </c>
      <c r="C615" s="239" t="s">
        <v>27</v>
      </c>
      <c r="D615" s="240">
        <f t="shared" si="9"/>
        <v>261.31805555555553</v>
      </c>
      <c r="E615" s="226" t="s">
        <v>5222</v>
      </c>
      <c r="G615" s="240">
        <v>243.75</v>
      </c>
    </row>
    <row r="616" spans="1:7" ht="14.25" x14ac:dyDescent="0.2">
      <c r="A616" s="237" t="s">
        <v>2254</v>
      </c>
      <c r="B616" s="238" t="s">
        <v>3297</v>
      </c>
      <c r="C616" s="239" t="s">
        <v>27</v>
      </c>
      <c r="D616" s="240">
        <f t="shared" si="9"/>
        <v>267.13941777777779</v>
      </c>
      <c r="E616" s="226" t="s">
        <v>5222</v>
      </c>
      <c r="G616" s="240">
        <v>249.18</v>
      </c>
    </row>
    <row r="617" spans="1:7" ht="14.25" x14ac:dyDescent="0.2">
      <c r="A617" s="237" t="s">
        <v>2255</v>
      </c>
      <c r="B617" s="238" t="s">
        <v>3298</v>
      </c>
      <c r="C617" s="239" t="s">
        <v>27</v>
      </c>
      <c r="D617" s="240">
        <f t="shared" si="9"/>
        <v>281.41944444444442</v>
      </c>
      <c r="E617" s="226" t="s">
        <v>5222</v>
      </c>
      <c r="G617" s="240">
        <v>262.5</v>
      </c>
    </row>
    <row r="618" spans="1:7" ht="14.25" x14ac:dyDescent="0.2">
      <c r="A618" s="237" t="s">
        <v>2256</v>
      </c>
      <c r="B618" s="238" t="s">
        <v>3299</v>
      </c>
      <c r="C618" s="239" t="s">
        <v>27</v>
      </c>
      <c r="D618" s="240">
        <f t="shared" si="9"/>
        <v>287.20864444444442</v>
      </c>
      <c r="E618" s="226" t="s">
        <v>5222</v>
      </c>
      <c r="G618" s="240">
        <v>267.89999999999998</v>
      </c>
    </row>
    <row r="619" spans="1:7" ht="14.25" x14ac:dyDescent="0.2">
      <c r="A619" s="237" t="s">
        <v>2257</v>
      </c>
      <c r="B619" s="238" t="s">
        <v>3300</v>
      </c>
      <c r="C619" s="239" t="s">
        <v>27</v>
      </c>
      <c r="D619" s="240">
        <f t="shared" si="9"/>
        <v>729.76082222222226</v>
      </c>
      <c r="E619" s="226" t="s">
        <v>5222</v>
      </c>
      <c r="G619" s="240">
        <v>680.7</v>
      </c>
    </row>
    <row r="620" spans="1:7" ht="14.25" x14ac:dyDescent="0.2">
      <c r="A620" s="237" t="s">
        <v>2258</v>
      </c>
      <c r="B620" s="238" t="s">
        <v>3301</v>
      </c>
      <c r="C620" s="239" t="s">
        <v>27</v>
      </c>
      <c r="D620" s="240">
        <f t="shared" si="9"/>
        <v>928.52335555555555</v>
      </c>
      <c r="E620" s="226" t="s">
        <v>5222</v>
      </c>
      <c r="G620" s="240">
        <v>866.1</v>
      </c>
    </row>
    <row r="621" spans="1:7" ht="14.25" x14ac:dyDescent="0.2">
      <c r="A621" s="237" t="s">
        <v>2259</v>
      </c>
      <c r="B621" s="238" t="s">
        <v>3302</v>
      </c>
      <c r="C621" s="239" t="s">
        <v>27</v>
      </c>
      <c r="D621" s="240">
        <f t="shared" si="9"/>
        <v>1081.9049933333333</v>
      </c>
      <c r="E621" s="226" t="s">
        <v>5222</v>
      </c>
      <c r="G621" s="240">
        <v>1009.17</v>
      </c>
    </row>
    <row r="622" spans="1:7" ht="14.25" x14ac:dyDescent="0.2">
      <c r="A622" s="237" t="s">
        <v>2260</v>
      </c>
      <c r="B622" s="238" t="s">
        <v>3303</v>
      </c>
      <c r="C622" s="239" t="s">
        <v>27</v>
      </c>
      <c r="D622" s="240">
        <f t="shared" si="9"/>
        <v>1346.2677392592591</v>
      </c>
      <c r="E622" s="226" t="s">
        <v>5222</v>
      </c>
      <c r="G622" s="240">
        <v>1255.76</v>
      </c>
    </row>
    <row r="623" spans="1:7" ht="14.25" x14ac:dyDescent="0.2">
      <c r="A623" s="237" t="s">
        <v>2261</v>
      </c>
      <c r="B623" s="238" t="s">
        <v>3304</v>
      </c>
      <c r="C623" s="239" t="s">
        <v>27</v>
      </c>
      <c r="D623" s="240">
        <f t="shared" si="9"/>
        <v>1107.012968148148</v>
      </c>
      <c r="E623" s="226" t="s">
        <v>5222</v>
      </c>
      <c r="G623" s="240">
        <v>1032.5899999999999</v>
      </c>
    </row>
    <row r="624" spans="1:7" ht="14.25" x14ac:dyDescent="0.2">
      <c r="A624" s="237" t="s">
        <v>2262</v>
      </c>
      <c r="B624" s="238" t="s">
        <v>3305</v>
      </c>
      <c r="C624" s="239" t="s">
        <v>27</v>
      </c>
      <c r="D624" s="240">
        <f t="shared" si="9"/>
        <v>1403.6665851851851</v>
      </c>
      <c r="E624" s="226" t="s">
        <v>5222</v>
      </c>
      <c r="G624" s="240">
        <v>1309.3</v>
      </c>
    </row>
    <row r="625" spans="1:7" ht="14.25" x14ac:dyDescent="0.2">
      <c r="A625" s="237" t="s">
        <v>2263</v>
      </c>
      <c r="B625" s="238" t="s">
        <v>3306</v>
      </c>
      <c r="C625" s="239" t="s">
        <v>27</v>
      </c>
      <c r="D625" s="240">
        <f t="shared" si="9"/>
        <v>1629.616917037037</v>
      </c>
      <c r="E625" s="226" t="s">
        <v>5222</v>
      </c>
      <c r="G625" s="240">
        <v>1520.06</v>
      </c>
    </row>
    <row r="626" spans="1:7" ht="14.25" x14ac:dyDescent="0.2">
      <c r="A626" s="237" t="s">
        <v>2264</v>
      </c>
      <c r="B626" s="238" t="s">
        <v>3307</v>
      </c>
      <c r="C626" s="239" t="s">
        <v>27</v>
      </c>
      <c r="D626" s="240">
        <f t="shared" si="9"/>
        <v>2008.9917696296295</v>
      </c>
      <c r="E626" s="226" t="s">
        <v>5222</v>
      </c>
      <c r="G626" s="240">
        <v>1873.93</v>
      </c>
    </row>
    <row r="627" spans="1:7" ht="14.25" x14ac:dyDescent="0.2">
      <c r="A627" s="237" t="s">
        <v>2265</v>
      </c>
      <c r="B627" s="238" t="s">
        <v>3308</v>
      </c>
      <c r="C627" s="239" t="s">
        <v>27</v>
      </c>
      <c r="D627" s="240">
        <f t="shared" si="9"/>
        <v>16.853004444444444</v>
      </c>
      <c r="E627" s="226" t="s">
        <v>5222</v>
      </c>
      <c r="G627" s="240">
        <v>15.72</v>
      </c>
    </row>
    <row r="628" spans="1:7" ht="14.25" x14ac:dyDescent="0.2">
      <c r="A628" s="237" t="s">
        <v>2266</v>
      </c>
      <c r="B628" s="238" t="s">
        <v>3309</v>
      </c>
      <c r="C628" s="239" t="s">
        <v>27</v>
      </c>
      <c r="D628" s="240">
        <f t="shared" si="9"/>
        <v>24.561217037037036</v>
      </c>
      <c r="E628" s="226" t="s">
        <v>5222</v>
      </c>
      <c r="G628" s="240">
        <v>22.91</v>
      </c>
    </row>
    <row r="629" spans="1:7" ht="14.25" x14ac:dyDescent="0.2">
      <c r="A629" s="237" t="s">
        <v>2267</v>
      </c>
      <c r="B629" s="238" t="s">
        <v>3098</v>
      </c>
      <c r="C629" s="239" t="s">
        <v>50</v>
      </c>
      <c r="D629" s="240">
        <f t="shared" si="9"/>
        <v>337.30666592592593</v>
      </c>
      <c r="E629" s="226" t="s">
        <v>5222</v>
      </c>
      <c r="G629" s="240">
        <v>314.63</v>
      </c>
    </row>
    <row r="630" spans="1:7" ht="14.25" x14ac:dyDescent="0.2">
      <c r="A630" s="237" t="s">
        <v>2268</v>
      </c>
      <c r="B630" s="238" t="s">
        <v>3099</v>
      </c>
      <c r="C630" s="239" t="s">
        <v>50</v>
      </c>
      <c r="D630" s="240">
        <f t="shared" si="9"/>
        <v>512.06546074074072</v>
      </c>
      <c r="E630" s="226" t="s">
        <v>5222</v>
      </c>
      <c r="G630" s="240">
        <v>477.64</v>
      </c>
    </row>
    <row r="631" spans="1:7" ht="14.25" x14ac:dyDescent="0.2">
      <c r="A631" s="237" t="s">
        <v>3310</v>
      </c>
      <c r="B631" s="238" t="s">
        <v>3100</v>
      </c>
      <c r="C631" s="239" t="s">
        <v>50</v>
      </c>
      <c r="D631" s="240">
        <f t="shared" si="9"/>
        <v>210.8340874074074</v>
      </c>
      <c r="E631" s="226" t="s">
        <v>5222</v>
      </c>
      <c r="G631" s="240">
        <v>196.66</v>
      </c>
    </row>
    <row r="632" spans="1:7" ht="14.25" x14ac:dyDescent="0.2">
      <c r="A632" s="237" t="s">
        <v>2535</v>
      </c>
      <c r="B632" s="238" t="s">
        <v>3101</v>
      </c>
      <c r="C632" s="239" t="s">
        <v>50</v>
      </c>
      <c r="D632" s="240">
        <f t="shared" si="9"/>
        <v>733.26650444444442</v>
      </c>
      <c r="E632" s="226" t="s">
        <v>5222</v>
      </c>
      <c r="G632" s="240">
        <v>683.97</v>
      </c>
    </row>
    <row r="633" spans="1:7" ht="14.25" x14ac:dyDescent="0.2">
      <c r="A633" s="237" t="s">
        <v>2536</v>
      </c>
      <c r="B633" s="238" t="s">
        <v>2508</v>
      </c>
      <c r="C633" s="239" t="s">
        <v>50</v>
      </c>
      <c r="D633" s="240">
        <f t="shared" si="9"/>
        <v>849.71519037037035</v>
      </c>
      <c r="E633" s="226" t="s">
        <v>5222</v>
      </c>
      <c r="G633" s="240">
        <v>792.59</v>
      </c>
    </row>
    <row r="634" spans="1:7" ht="14.25" x14ac:dyDescent="0.2">
      <c r="A634" s="237" t="s">
        <v>2537</v>
      </c>
      <c r="B634" s="238" t="s">
        <v>2510</v>
      </c>
      <c r="C634" s="239" t="s">
        <v>50</v>
      </c>
      <c r="D634" s="240">
        <f t="shared" si="9"/>
        <v>1110.4436051851851</v>
      </c>
      <c r="E634" s="226" t="s">
        <v>5222</v>
      </c>
      <c r="G634" s="240">
        <v>1035.79</v>
      </c>
    </row>
    <row r="635" spans="1:7" ht="14.25" x14ac:dyDescent="0.2">
      <c r="A635" s="237" t="s">
        <v>2538</v>
      </c>
      <c r="B635" s="238" t="s">
        <v>3102</v>
      </c>
      <c r="C635" s="239" t="s">
        <v>50</v>
      </c>
      <c r="D635" s="240">
        <f t="shared" si="9"/>
        <v>611.98276444444446</v>
      </c>
      <c r="E635" s="226" t="s">
        <v>5222</v>
      </c>
      <c r="G635" s="240">
        <v>570.84</v>
      </c>
    </row>
    <row r="636" spans="1:7" ht="14.25" x14ac:dyDescent="0.2">
      <c r="A636" s="237" t="s">
        <v>2539</v>
      </c>
      <c r="B636" s="238" t="s">
        <v>2512</v>
      </c>
      <c r="C636" s="239" t="s">
        <v>50</v>
      </c>
      <c r="D636" s="240">
        <f t="shared" si="9"/>
        <v>678.7515377777778</v>
      </c>
      <c r="E636" s="226" t="s">
        <v>5222</v>
      </c>
      <c r="G636" s="240">
        <v>633.12</v>
      </c>
    </row>
    <row r="637" spans="1:7" ht="14.25" x14ac:dyDescent="0.2">
      <c r="A637" s="237" t="s">
        <v>2540</v>
      </c>
      <c r="B637" s="238" t="s">
        <v>2514</v>
      </c>
      <c r="C637" s="239" t="s">
        <v>50</v>
      </c>
      <c r="D637" s="240">
        <f t="shared" si="9"/>
        <v>863.255485925926</v>
      </c>
      <c r="E637" s="226" t="s">
        <v>5222</v>
      </c>
      <c r="G637" s="240">
        <v>805.22</v>
      </c>
    </row>
    <row r="638" spans="1:7" ht="14.25" x14ac:dyDescent="0.2">
      <c r="A638" s="237" t="s">
        <v>2541</v>
      </c>
      <c r="B638" s="238" t="s">
        <v>2517</v>
      </c>
      <c r="C638" s="239" t="s">
        <v>38</v>
      </c>
      <c r="D638" s="240">
        <f t="shared" si="9"/>
        <v>506.75869407407407</v>
      </c>
      <c r="E638" s="226" t="s">
        <v>5222</v>
      </c>
      <c r="G638" s="240">
        <v>472.69</v>
      </c>
    </row>
    <row r="639" spans="1:7" ht="14.25" x14ac:dyDescent="0.2">
      <c r="A639" s="237" t="s">
        <v>2542</v>
      </c>
      <c r="B639" s="238" t="s">
        <v>2519</v>
      </c>
      <c r="C639" s="239" t="s">
        <v>38</v>
      </c>
      <c r="D639" s="240">
        <f t="shared" si="9"/>
        <v>435.12270444444448</v>
      </c>
      <c r="E639" s="226" t="s">
        <v>5222</v>
      </c>
      <c r="G639" s="240">
        <v>405.87</v>
      </c>
    </row>
    <row r="640" spans="1:7" ht="14.25" x14ac:dyDescent="0.2">
      <c r="A640" s="237" t="s">
        <v>2543</v>
      </c>
      <c r="B640" s="238" t="s">
        <v>2521</v>
      </c>
      <c r="C640" s="239" t="s">
        <v>38</v>
      </c>
      <c r="D640" s="240">
        <f t="shared" si="9"/>
        <v>527.89999481481482</v>
      </c>
      <c r="E640" s="226" t="s">
        <v>5222</v>
      </c>
      <c r="G640" s="240">
        <v>492.41</v>
      </c>
    </row>
    <row r="641" spans="1:7" ht="14.25" x14ac:dyDescent="0.2">
      <c r="A641" s="237" t="s">
        <v>2544</v>
      </c>
      <c r="B641" s="238" t="s">
        <v>2523</v>
      </c>
      <c r="C641" s="239" t="s">
        <v>38</v>
      </c>
      <c r="D641" s="240">
        <f t="shared" si="9"/>
        <v>447.38723185185182</v>
      </c>
      <c r="E641" s="226" t="s">
        <v>5222</v>
      </c>
      <c r="G641" s="240">
        <v>417.31</v>
      </c>
    </row>
    <row r="642" spans="1:7" ht="14.25" x14ac:dyDescent="0.2">
      <c r="A642" s="237" t="s">
        <v>2545</v>
      </c>
      <c r="B642" s="238" t="s">
        <v>2525</v>
      </c>
      <c r="C642" s="239" t="s">
        <v>38</v>
      </c>
      <c r="D642" s="240">
        <f t="shared" si="9"/>
        <v>549.05201629629619</v>
      </c>
      <c r="E642" s="226" t="s">
        <v>5222</v>
      </c>
      <c r="G642" s="240">
        <v>512.14</v>
      </c>
    </row>
    <row r="643" spans="1:7" ht="14.25" x14ac:dyDescent="0.2">
      <c r="A643" s="237" t="s">
        <v>2546</v>
      </c>
      <c r="B643" s="238" t="s">
        <v>2527</v>
      </c>
      <c r="C643" s="239" t="s">
        <v>38</v>
      </c>
      <c r="D643" s="240">
        <f t="shared" si="9"/>
        <v>463.46834296296294</v>
      </c>
      <c r="E643" s="226" t="s">
        <v>5222</v>
      </c>
      <c r="G643" s="240">
        <v>432.31</v>
      </c>
    </row>
    <row r="644" spans="1:7" ht="14.25" x14ac:dyDescent="0.2">
      <c r="A644" s="237" t="s">
        <v>2547</v>
      </c>
      <c r="B644" s="238" t="s">
        <v>3103</v>
      </c>
      <c r="C644" s="239" t="s">
        <v>50</v>
      </c>
      <c r="D644" s="240">
        <f t="shared" si="9"/>
        <v>903.4261014814814</v>
      </c>
      <c r="E644" s="226" t="s">
        <v>5222</v>
      </c>
      <c r="G644" s="240">
        <v>842.69</v>
      </c>
    </row>
    <row r="645" spans="1:7" ht="14.25" x14ac:dyDescent="0.2">
      <c r="A645" s="237" t="s">
        <v>2548</v>
      </c>
      <c r="B645" s="238" t="s">
        <v>3104</v>
      </c>
      <c r="C645" s="239" t="s">
        <v>38</v>
      </c>
      <c r="D645" s="240">
        <f t="shared" si="9"/>
        <v>707.55816814814807</v>
      </c>
      <c r="E645" s="226" t="s">
        <v>5222</v>
      </c>
      <c r="G645" s="240">
        <v>659.99</v>
      </c>
    </row>
    <row r="646" spans="1:7" ht="14.25" x14ac:dyDescent="0.2">
      <c r="A646" s="237" t="s">
        <v>2269</v>
      </c>
      <c r="B646" s="238" t="s">
        <v>3106</v>
      </c>
      <c r="C646" s="239" t="s">
        <v>50</v>
      </c>
      <c r="D646" s="240">
        <f t="shared" si="9"/>
        <v>1018.0844237037036</v>
      </c>
      <c r="E646" s="226" t="s">
        <v>5222</v>
      </c>
      <c r="G646" s="240">
        <v>949.64</v>
      </c>
    </row>
    <row r="647" spans="1:7" ht="14.25" x14ac:dyDescent="0.2">
      <c r="A647" s="237" t="s">
        <v>2270</v>
      </c>
      <c r="B647" s="238" t="s">
        <v>3107</v>
      </c>
      <c r="C647" s="239" t="s">
        <v>50</v>
      </c>
      <c r="D647" s="240">
        <f t="shared" si="9"/>
        <v>956.01133481481486</v>
      </c>
      <c r="E647" s="226" t="s">
        <v>5222</v>
      </c>
      <c r="G647" s="240">
        <v>891.74</v>
      </c>
    </row>
    <row r="648" spans="1:7" ht="14.25" x14ac:dyDescent="0.2">
      <c r="A648" s="237" t="s">
        <v>461</v>
      </c>
      <c r="B648" s="238" t="s">
        <v>3108</v>
      </c>
      <c r="C648" s="239" t="s">
        <v>50</v>
      </c>
      <c r="D648" s="240">
        <f t="shared" ref="D648:D711" si="10">(G648/(1+0.35))*(1+$D$3)</f>
        <v>1428.6887940740742</v>
      </c>
      <c r="E648" s="226" t="s">
        <v>5222</v>
      </c>
      <c r="G648" s="240">
        <v>1332.64</v>
      </c>
    </row>
    <row r="649" spans="1:7" ht="14.25" x14ac:dyDescent="0.2">
      <c r="A649" s="237" t="s">
        <v>462</v>
      </c>
      <c r="B649" s="238" t="s">
        <v>3109</v>
      </c>
      <c r="C649" s="239" t="s">
        <v>50</v>
      </c>
      <c r="D649" s="240">
        <f t="shared" si="10"/>
        <v>479.47440888888889</v>
      </c>
      <c r="E649" s="226" t="s">
        <v>5222</v>
      </c>
      <c r="G649" s="240">
        <v>447.24</v>
      </c>
    </row>
    <row r="650" spans="1:7" ht="14.25" x14ac:dyDescent="0.2">
      <c r="A650" s="237" t="s">
        <v>463</v>
      </c>
      <c r="B650" s="238" t="s">
        <v>3110</v>
      </c>
      <c r="C650" s="239" t="s">
        <v>50</v>
      </c>
      <c r="D650" s="240">
        <f t="shared" si="10"/>
        <v>864.05954148148146</v>
      </c>
      <c r="E650" s="226" t="s">
        <v>5222</v>
      </c>
      <c r="G650" s="240">
        <v>805.97</v>
      </c>
    </row>
    <row r="651" spans="1:7" ht="14.25" x14ac:dyDescent="0.2">
      <c r="A651" s="237" t="s">
        <v>464</v>
      </c>
      <c r="B651" s="238" t="s">
        <v>3111</v>
      </c>
      <c r="C651" s="239" t="s">
        <v>50</v>
      </c>
      <c r="D651" s="240">
        <f t="shared" si="10"/>
        <v>744.72697629629636</v>
      </c>
      <c r="E651" s="226" t="s">
        <v>5222</v>
      </c>
      <c r="G651" s="240">
        <v>694.66</v>
      </c>
    </row>
    <row r="652" spans="1:7" ht="14.25" x14ac:dyDescent="0.2">
      <c r="A652" s="237" t="s">
        <v>465</v>
      </c>
      <c r="B652" s="238" t="s">
        <v>3112</v>
      </c>
      <c r="C652" s="239" t="s">
        <v>38</v>
      </c>
      <c r="D652" s="240">
        <f t="shared" si="10"/>
        <v>56.466141481481479</v>
      </c>
      <c r="E652" s="226" t="s">
        <v>5222</v>
      </c>
      <c r="G652" s="240">
        <v>52.67</v>
      </c>
    </row>
    <row r="653" spans="1:7" ht="14.25" x14ac:dyDescent="0.2">
      <c r="A653" s="237" t="s">
        <v>466</v>
      </c>
      <c r="B653" s="238" t="s">
        <v>3142</v>
      </c>
      <c r="C653" s="239" t="s">
        <v>55</v>
      </c>
      <c r="D653" s="240">
        <f t="shared" si="10"/>
        <v>87.416920000000005</v>
      </c>
      <c r="E653" s="226" t="s">
        <v>5222</v>
      </c>
      <c r="G653" s="240">
        <v>81.540000000000006</v>
      </c>
    </row>
    <row r="654" spans="1:7" ht="14.25" x14ac:dyDescent="0.2">
      <c r="A654" s="237" t="s">
        <v>467</v>
      </c>
      <c r="B654" s="238" t="s">
        <v>3311</v>
      </c>
      <c r="C654" s="239" t="s">
        <v>27</v>
      </c>
      <c r="D654" s="240">
        <f t="shared" si="10"/>
        <v>58.020648888888879</v>
      </c>
      <c r="E654" s="226" t="s">
        <v>5222</v>
      </c>
      <c r="G654" s="240">
        <v>54.12</v>
      </c>
    </row>
    <row r="655" spans="1:7" ht="14.25" x14ac:dyDescent="0.2">
      <c r="A655" s="237" t="s">
        <v>468</v>
      </c>
      <c r="B655" s="238" t="s">
        <v>3312</v>
      </c>
      <c r="C655" s="239" t="s">
        <v>27</v>
      </c>
      <c r="D655" s="240">
        <f t="shared" si="10"/>
        <v>54.47208370370371</v>
      </c>
      <c r="E655" s="226" t="s">
        <v>5222</v>
      </c>
      <c r="G655" s="240">
        <v>50.81</v>
      </c>
    </row>
    <row r="656" spans="1:7" ht="14.25" x14ac:dyDescent="0.2">
      <c r="A656" s="237" t="s">
        <v>469</v>
      </c>
      <c r="B656" s="238" t="s">
        <v>3313</v>
      </c>
      <c r="C656" s="239" t="s">
        <v>27</v>
      </c>
      <c r="D656" s="240">
        <f t="shared" si="10"/>
        <v>43.95503703703703</v>
      </c>
      <c r="E656" s="226" t="s">
        <v>5222</v>
      </c>
      <c r="G656" s="240">
        <v>41</v>
      </c>
    </row>
    <row r="657" spans="1:7" ht="14.25" x14ac:dyDescent="0.2">
      <c r="A657" s="237" t="s">
        <v>470</v>
      </c>
      <c r="B657" s="238" t="s">
        <v>3314</v>
      </c>
      <c r="C657" s="239" t="s">
        <v>27</v>
      </c>
      <c r="D657" s="240">
        <f t="shared" si="10"/>
        <v>65.042734074074062</v>
      </c>
      <c r="E657" s="226" t="s">
        <v>5222</v>
      </c>
      <c r="G657" s="240">
        <v>60.67</v>
      </c>
    </row>
    <row r="658" spans="1:7" ht="14.25" x14ac:dyDescent="0.2">
      <c r="A658" s="237" t="s">
        <v>471</v>
      </c>
      <c r="B658" s="238" t="s">
        <v>3315</v>
      </c>
      <c r="C658" s="239" t="s">
        <v>27</v>
      </c>
      <c r="D658" s="240">
        <f t="shared" si="10"/>
        <v>45.123597777777775</v>
      </c>
      <c r="E658" s="226" t="s">
        <v>5222</v>
      </c>
      <c r="G658" s="240">
        <v>42.09</v>
      </c>
    </row>
    <row r="659" spans="1:7" ht="14.25" x14ac:dyDescent="0.2">
      <c r="A659" s="237" t="s">
        <v>472</v>
      </c>
      <c r="B659" s="238" t="s">
        <v>3316</v>
      </c>
      <c r="C659" s="239" t="s">
        <v>27</v>
      </c>
      <c r="D659" s="240">
        <f t="shared" si="10"/>
        <v>53.710911111111109</v>
      </c>
      <c r="E659" s="226" t="s">
        <v>5222</v>
      </c>
      <c r="G659" s="240">
        <v>50.1</v>
      </c>
    </row>
    <row r="660" spans="1:7" ht="14.25" x14ac:dyDescent="0.2">
      <c r="A660" s="237" t="s">
        <v>473</v>
      </c>
      <c r="B660" s="238" t="s">
        <v>3317</v>
      </c>
      <c r="C660" s="239" t="s">
        <v>27</v>
      </c>
      <c r="D660" s="240">
        <f t="shared" si="10"/>
        <v>42.336205185185186</v>
      </c>
      <c r="E660" s="226" t="s">
        <v>5222</v>
      </c>
      <c r="G660" s="240">
        <v>39.49</v>
      </c>
    </row>
    <row r="661" spans="1:7" ht="14.25" x14ac:dyDescent="0.2">
      <c r="A661" s="237" t="s">
        <v>474</v>
      </c>
      <c r="B661" s="238" t="s">
        <v>3318</v>
      </c>
      <c r="C661" s="239" t="s">
        <v>27</v>
      </c>
      <c r="D661" s="240">
        <f t="shared" si="10"/>
        <v>50.805590370370368</v>
      </c>
      <c r="E661" s="226" t="s">
        <v>5222</v>
      </c>
      <c r="G661" s="240">
        <v>47.39</v>
      </c>
    </row>
    <row r="662" spans="1:7" ht="14.25" x14ac:dyDescent="0.2">
      <c r="A662" s="237" t="s">
        <v>475</v>
      </c>
      <c r="B662" s="238" t="s">
        <v>3319</v>
      </c>
      <c r="C662" s="239" t="s">
        <v>27</v>
      </c>
      <c r="D662" s="240">
        <f t="shared" si="10"/>
        <v>27.605907407407408</v>
      </c>
      <c r="E662" s="226" t="s">
        <v>5222</v>
      </c>
      <c r="G662" s="240">
        <v>25.75</v>
      </c>
    </row>
    <row r="663" spans="1:7" ht="14.25" x14ac:dyDescent="0.2">
      <c r="A663" s="237" t="s">
        <v>476</v>
      </c>
      <c r="B663" s="238" t="s">
        <v>3320</v>
      </c>
      <c r="C663" s="239" t="s">
        <v>27</v>
      </c>
      <c r="D663" s="240">
        <f t="shared" si="10"/>
        <v>122.19500296296296</v>
      </c>
      <c r="E663" s="226" t="s">
        <v>5222</v>
      </c>
      <c r="G663" s="240">
        <v>113.98</v>
      </c>
    </row>
    <row r="664" spans="1:7" ht="14.25" x14ac:dyDescent="0.2">
      <c r="A664" s="237" t="s">
        <v>477</v>
      </c>
      <c r="B664" s="238" t="s">
        <v>3148</v>
      </c>
      <c r="C664" s="239" t="s">
        <v>27</v>
      </c>
      <c r="D664" s="240">
        <f t="shared" si="10"/>
        <v>208.36831703703706</v>
      </c>
      <c r="E664" s="226" t="s">
        <v>5222</v>
      </c>
      <c r="G664" s="240">
        <v>194.36</v>
      </c>
    </row>
    <row r="665" spans="1:7" ht="14.25" x14ac:dyDescent="0.2">
      <c r="A665" s="237" t="s">
        <v>478</v>
      </c>
      <c r="B665" s="238" t="s">
        <v>3149</v>
      </c>
      <c r="C665" s="239" t="s">
        <v>27</v>
      </c>
      <c r="D665" s="240">
        <f t="shared" si="10"/>
        <v>113.54336518518517</v>
      </c>
      <c r="E665" s="226" t="s">
        <v>5222</v>
      </c>
      <c r="G665" s="240">
        <v>105.91</v>
      </c>
    </row>
    <row r="666" spans="1:7" ht="14.25" x14ac:dyDescent="0.2">
      <c r="A666" s="237" t="s">
        <v>479</v>
      </c>
      <c r="B666" s="238" t="s">
        <v>3150</v>
      </c>
      <c r="C666" s="239" t="s">
        <v>27</v>
      </c>
      <c r="D666" s="240">
        <f t="shared" si="10"/>
        <v>153.39235851851853</v>
      </c>
      <c r="E666" s="226" t="s">
        <v>5222</v>
      </c>
      <c r="G666" s="240">
        <v>143.08000000000001</v>
      </c>
    </row>
    <row r="667" spans="1:7" ht="14.25" x14ac:dyDescent="0.2">
      <c r="A667" s="237" t="s">
        <v>480</v>
      </c>
      <c r="B667" s="238" t="s">
        <v>3321</v>
      </c>
      <c r="C667" s="239" t="s">
        <v>50</v>
      </c>
      <c r="D667" s="240">
        <f t="shared" si="10"/>
        <v>96.904775555555545</v>
      </c>
      <c r="E667" s="226" t="s">
        <v>5222</v>
      </c>
      <c r="G667" s="240">
        <v>90.39</v>
      </c>
    </row>
    <row r="668" spans="1:7" ht="14.25" x14ac:dyDescent="0.2">
      <c r="A668" s="237" t="s">
        <v>481</v>
      </c>
      <c r="B668" s="238" t="s">
        <v>3322</v>
      </c>
      <c r="C668" s="239" t="s">
        <v>38</v>
      </c>
      <c r="D668" s="240">
        <f t="shared" si="10"/>
        <v>869.15189333333331</v>
      </c>
      <c r="E668" s="226" t="s">
        <v>5222</v>
      </c>
      <c r="G668" s="240">
        <v>810.72</v>
      </c>
    </row>
    <row r="669" spans="1:7" ht="14.25" x14ac:dyDescent="0.2">
      <c r="A669" s="237" t="s">
        <v>482</v>
      </c>
      <c r="B669" s="238" t="s">
        <v>3323</v>
      </c>
      <c r="C669" s="239" t="s">
        <v>38</v>
      </c>
      <c r="D669" s="240">
        <f t="shared" si="10"/>
        <v>1060.2383762962963</v>
      </c>
      <c r="E669" s="226" t="s">
        <v>5222</v>
      </c>
      <c r="G669" s="240">
        <v>988.96</v>
      </c>
    </row>
    <row r="670" spans="1:7" ht="14.25" x14ac:dyDescent="0.2">
      <c r="A670" s="237" t="s">
        <v>483</v>
      </c>
      <c r="B670" s="238" t="s">
        <v>3324</v>
      </c>
      <c r="C670" s="239" t="s">
        <v>38</v>
      </c>
      <c r="D670" s="240">
        <f t="shared" si="10"/>
        <v>1265.6156066666665</v>
      </c>
      <c r="E670" s="226" t="s">
        <v>5222</v>
      </c>
      <c r="G670" s="240">
        <v>1180.53</v>
      </c>
    </row>
    <row r="671" spans="1:7" ht="14.25" x14ac:dyDescent="0.2">
      <c r="A671" s="237" t="s">
        <v>484</v>
      </c>
      <c r="B671" s="238" t="s">
        <v>3325</v>
      </c>
      <c r="C671" s="239" t="s">
        <v>38</v>
      </c>
      <c r="D671" s="240">
        <f t="shared" si="10"/>
        <v>1534.8026859259257</v>
      </c>
      <c r="E671" s="226" t="s">
        <v>5222</v>
      </c>
      <c r="G671" s="240">
        <v>1431.62</v>
      </c>
    </row>
    <row r="672" spans="1:7" ht="14.25" x14ac:dyDescent="0.2">
      <c r="A672" s="237" t="s">
        <v>485</v>
      </c>
      <c r="B672" s="238" t="s">
        <v>3326</v>
      </c>
      <c r="C672" s="239" t="s">
        <v>38</v>
      </c>
      <c r="D672" s="240">
        <f t="shared" si="10"/>
        <v>1348.2510762962961</v>
      </c>
      <c r="E672" s="226" t="s">
        <v>5222</v>
      </c>
      <c r="G672" s="240">
        <v>1257.6099999999999</v>
      </c>
    </row>
    <row r="673" spans="1:7" ht="14.25" x14ac:dyDescent="0.2">
      <c r="A673" s="237" t="s">
        <v>486</v>
      </c>
      <c r="B673" s="238" t="s">
        <v>3327</v>
      </c>
      <c r="C673" s="239" t="s">
        <v>38</v>
      </c>
      <c r="D673" s="240">
        <f t="shared" si="10"/>
        <v>1629.2738533333334</v>
      </c>
      <c r="E673" s="226" t="s">
        <v>5222</v>
      </c>
      <c r="G673" s="240">
        <v>1519.74</v>
      </c>
    </row>
    <row r="674" spans="1:7" ht="14.25" x14ac:dyDescent="0.2">
      <c r="A674" s="237" t="s">
        <v>487</v>
      </c>
      <c r="B674" s="238" t="s">
        <v>3328</v>
      </c>
      <c r="C674" s="239" t="s">
        <v>38</v>
      </c>
      <c r="D674" s="240">
        <f t="shared" si="10"/>
        <v>1912.4300577777774</v>
      </c>
      <c r="E674" s="226" t="s">
        <v>5222</v>
      </c>
      <c r="G674" s="240">
        <v>1783.86</v>
      </c>
    </row>
    <row r="675" spans="1:7" ht="14.25" x14ac:dyDescent="0.2">
      <c r="A675" s="237" t="s">
        <v>488</v>
      </c>
      <c r="B675" s="238" t="s">
        <v>3329</v>
      </c>
      <c r="C675" s="239" t="s">
        <v>38</v>
      </c>
      <c r="D675" s="240">
        <f t="shared" si="10"/>
        <v>2396.643034074074</v>
      </c>
      <c r="E675" s="226" t="s">
        <v>5222</v>
      </c>
      <c r="G675" s="240">
        <v>2235.52</v>
      </c>
    </row>
    <row r="676" spans="1:7" ht="14.25" x14ac:dyDescent="0.2">
      <c r="A676" s="237" t="s">
        <v>489</v>
      </c>
      <c r="B676" s="238" t="s">
        <v>3330</v>
      </c>
      <c r="C676" s="239" t="s">
        <v>38</v>
      </c>
      <c r="D676" s="240">
        <f t="shared" si="10"/>
        <v>1008.2320629629629</v>
      </c>
      <c r="E676" s="226" t="s">
        <v>5222</v>
      </c>
      <c r="G676" s="240">
        <v>940.45</v>
      </c>
    </row>
    <row r="677" spans="1:7" ht="14.25" x14ac:dyDescent="0.2">
      <c r="A677" s="237" t="s">
        <v>490</v>
      </c>
      <c r="B677" s="238" t="s">
        <v>3331</v>
      </c>
      <c r="C677" s="239" t="s">
        <v>38</v>
      </c>
      <c r="D677" s="240">
        <f t="shared" si="10"/>
        <v>1053.0983629629629</v>
      </c>
      <c r="E677" s="226" t="s">
        <v>5222</v>
      </c>
      <c r="G677" s="240">
        <v>982.3</v>
      </c>
    </row>
    <row r="678" spans="1:7" ht="14.25" x14ac:dyDescent="0.2">
      <c r="A678" s="237" t="s">
        <v>491</v>
      </c>
      <c r="B678" s="238" t="s">
        <v>3332</v>
      </c>
      <c r="C678" s="239" t="s">
        <v>38</v>
      </c>
      <c r="D678" s="240">
        <f t="shared" si="10"/>
        <v>1270.3434533333334</v>
      </c>
      <c r="E678" s="226" t="s">
        <v>5222</v>
      </c>
      <c r="G678" s="240">
        <v>1184.94</v>
      </c>
    </row>
    <row r="679" spans="1:7" ht="14.25" x14ac:dyDescent="0.2">
      <c r="A679" s="237" t="s">
        <v>492</v>
      </c>
      <c r="B679" s="238" t="s">
        <v>3333</v>
      </c>
      <c r="C679" s="239" t="s">
        <v>38</v>
      </c>
      <c r="D679" s="240">
        <f t="shared" si="10"/>
        <v>1105.072514074074</v>
      </c>
      <c r="E679" s="226" t="s">
        <v>5222</v>
      </c>
      <c r="G679" s="240">
        <v>1030.78</v>
      </c>
    </row>
    <row r="680" spans="1:7" ht="14.25" x14ac:dyDescent="0.2">
      <c r="A680" s="237" t="s">
        <v>493</v>
      </c>
      <c r="B680" s="238" t="s">
        <v>3334</v>
      </c>
      <c r="C680" s="239" t="s">
        <v>38</v>
      </c>
      <c r="D680" s="240">
        <f t="shared" si="10"/>
        <v>1270.3434533333334</v>
      </c>
      <c r="E680" s="226" t="s">
        <v>5222</v>
      </c>
      <c r="G680" s="240">
        <v>1184.94</v>
      </c>
    </row>
    <row r="681" spans="1:7" ht="14.25" x14ac:dyDescent="0.2">
      <c r="A681" s="237" t="s">
        <v>494</v>
      </c>
      <c r="B681" s="238" t="s">
        <v>3335</v>
      </c>
      <c r="C681" s="239" t="s">
        <v>38</v>
      </c>
      <c r="D681" s="240">
        <f t="shared" si="10"/>
        <v>1334.1425814814816</v>
      </c>
      <c r="E681" s="226" t="s">
        <v>5222</v>
      </c>
      <c r="G681" s="240">
        <v>1244.45</v>
      </c>
    </row>
    <row r="682" spans="1:7" ht="14.25" x14ac:dyDescent="0.2">
      <c r="A682" s="237" t="s">
        <v>495</v>
      </c>
      <c r="B682" s="238" t="s">
        <v>3336</v>
      </c>
      <c r="C682" s="239" t="s">
        <v>38</v>
      </c>
      <c r="D682" s="240">
        <f t="shared" si="10"/>
        <v>1334.1425814814816</v>
      </c>
      <c r="E682" s="226" t="s">
        <v>5222</v>
      </c>
      <c r="G682" s="240">
        <v>1244.45</v>
      </c>
    </row>
    <row r="683" spans="1:7" ht="14.25" x14ac:dyDescent="0.2">
      <c r="A683" s="237" t="s">
        <v>496</v>
      </c>
      <c r="B683" s="238" t="s">
        <v>3337</v>
      </c>
      <c r="C683" s="239" t="s">
        <v>38</v>
      </c>
      <c r="D683" s="240">
        <f t="shared" si="10"/>
        <v>1539.519811851852</v>
      </c>
      <c r="E683" s="226" t="s">
        <v>5222</v>
      </c>
      <c r="G683" s="240">
        <v>1436.02</v>
      </c>
    </row>
    <row r="684" spans="1:7" ht="14.25" x14ac:dyDescent="0.2">
      <c r="A684" s="237" t="s">
        <v>497</v>
      </c>
      <c r="B684" s="238" t="s">
        <v>3338</v>
      </c>
      <c r="C684" s="239" t="s">
        <v>38</v>
      </c>
      <c r="D684" s="240">
        <f t="shared" si="10"/>
        <v>1539.519811851852</v>
      </c>
      <c r="E684" s="226" t="s">
        <v>5222</v>
      </c>
      <c r="G684" s="240">
        <v>1436.02</v>
      </c>
    </row>
    <row r="685" spans="1:7" ht="14.25" x14ac:dyDescent="0.2">
      <c r="A685" s="237" t="s">
        <v>498</v>
      </c>
      <c r="B685" s="238" t="s">
        <v>3339</v>
      </c>
      <c r="C685" s="239" t="s">
        <v>38</v>
      </c>
      <c r="D685" s="240">
        <f t="shared" si="10"/>
        <v>1617.4703177777778</v>
      </c>
      <c r="E685" s="226" t="s">
        <v>5222</v>
      </c>
      <c r="G685" s="240">
        <v>1508.73</v>
      </c>
    </row>
    <row r="686" spans="1:7" ht="14.25" x14ac:dyDescent="0.2">
      <c r="A686" s="237" t="s">
        <v>499</v>
      </c>
      <c r="B686" s="238" t="s">
        <v>3340</v>
      </c>
      <c r="C686" s="239" t="s">
        <v>38</v>
      </c>
      <c r="D686" s="240">
        <f t="shared" si="10"/>
        <v>1737.0709014814813</v>
      </c>
      <c r="E686" s="226" t="s">
        <v>5222</v>
      </c>
      <c r="G686" s="240">
        <v>1620.29</v>
      </c>
    </row>
    <row r="687" spans="1:7" ht="14.25" x14ac:dyDescent="0.2">
      <c r="A687" s="237" t="s">
        <v>500</v>
      </c>
      <c r="B687" s="238" t="s">
        <v>3341</v>
      </c>
      <c r="C687" s="239" t="s">
        <v>38</v>
      </c>
      <c r="D687" s="240">
        <f t="shared" si="10"/>
        <v>1787.4476622222221</v>
      </c>
      <c r="E687" s="226" t="s">
        <v>5222</v>
      </c>
      <c r="G687" s="240">
        <v>1667.28</v>
      </c>
    </row>
    <row r="688" spans="1:7" ht="14.25" x14ac:dyDescent="0.2">
      <c r="A688" s="237" t="s">
        <v>501</v>
      </c>
      <c r="B688" s="238" t="s">
        <v>57</v>
      </c>
      <c r="C688" s="239" t="s">
        <v>38</v>
      </c>
      <c r="D688" s="240">
        <f t="shared" si="10"/>
        <v>790.99769333333336</v>
      </c>
      <c r="E688" s="226" t="s">
        <v>5222</v>
      </c>
      <c r="G688" s="240">
        <v>737.82</v>
      </c>
    </row>
    <row r="689" spans="1:7" ht="14.25" x14ac:dyDescent="0.2">
      <c r="A689" s="237" t="s">
        <v>502</v>
      </c>
      <c r="B689" s="238" t="s">
        <v>58</v>
      </c>
      <c r="C689" s="239" t="s">
        <v>38</v>
      </c>
      <c r="D689" s="240">
        <f t="shared" si="10"/>
        <v>845.73779555555552</v>
      </c>
      <c r="E689" s="226" t="s">
        <v>5222</v>
      </c>
      <c r="G689" s="240">
        <v>788.88</v>
      </c>
    </row>
    <row r="690" spans="1:7" ht="14.25" x14ac:dyDescent="0.2">
      <c r="A690" s="237" t="s">
        <v>503</v>
      </c>
      <c r="B690" s="238" t="s">
        <v>59</v>
      </c>
      <c r="C690" s="239" t="s">
        <v>38</v>
      </c>
      <c r="D690" s="240">
        <f t="shared" si="10"/>
        <v>1021.6544303703703</v>
      </c>
      <c r="E690" s="226" t="s">
        <v>5222</v>
      </c>
      <c r="G690" s="240">
        <v>952.97</v>
      </c>
    </row>
    <row r="691" spans="1:7" ht="14.25" x14ac:dyDescent="0.2">
      <c r="A691" s="237" t="s">
        <v>504</v>
      </c>
      <c r="B691" s="238" t="s">
        <v>2271</v>
      </c>
      <c r="C691" s="239" t="s">
        <v>38</v>
      </c>
      <c r="D691" s="240">
        <f t="shared" si="10"/>
        <v>1219.2162407407407</v>
      </c>
      <c r="E691" s="226" t="s">
        <v>5222</v>
      </c>
      <c r="G691" s="240">
        <v>1137.25</v>
      </c>
    </row>
    <row r="692" spans="1:7" ht="14.25" x14ac:dyDescent="0.2">
      <c r="A692" s="237" t="s">
        <v>505</v>
      </c>
      <c r="B692" s="238" t="s">
        <v>2272</v>
      </c>
      <c r="C692" s="239" t="s">
        <v>38</v>
      </c>
      <c r="D692" s="240">
        <f t="shared" si="10"/>
        <v>1548.5681170370369</v>
      </c>
      <c r="E692" s="226" t="s">
        <v>5222</v>
      </c>
      <c r="G692" s="240">
        <v>1444.46</v>
      </c>
    </row>
    <row r="693" spans="1:7" ht="14.25" x14ac:dyDescent="0.2">
      <c r="A693" s="237" t="s">
        <v>506</v>
      </c>
      <c r="B693" s="238" t="s">
        <v>60</v>
      </c>
      <c r="C693" s="239" t="s">
        <v>38</v>
      </c>
      <c r="D693" s="240">
        <f t="shared" si="10"/>
        <v>1082.9449051851852</v>
      </c>
      <c r="E693" s="226" t="s">
        <v>5222</v>
      </c>
      <c r="G693" s="240">
        <v>1010.14</v>
      </c>
    </row>
    <row r="694" spans="1:7" ht="14.25" x14ac:dyDescent="0.2">
      <c r="A694" s="237" t="s">
        <v>507</v>
      </c>
      <c r="B694" s="238" t="s">
        <v>61</v>
      </c>
      <c r="C694" s="239" t="s">
        <v>38</v>
      </c>
      <c r="D694" s="240">
        <f t="shared" si="10"/>
        <v>1339.4493481481481</v>
      </c>
      <c r="E694" s="226" t="s">
        <v>5222</v>
      </c>
      <c r="G694" s="240">
        <v>1249.4000000000001</v>
      </c>
    </row>
    <row r="695" spans="1:7" ht="14.25" x14ac:dyDescent="0.2">
      <c r="A695" s="237" t="s">
        <v>508</v>
      </c>
      <c r="B695" s="238" t="s">
        <v>2273</v>
      </c>
      <c r="C695" s="239" t="s">
        <v>38</v>
      </c>
      <c r="D695" s="240">
        <f t="shared" si="10"/>
        <v>1545.255408148148</v>
      </c>
      <c r="E695" s="226" t="s">
        <v>5222</v>
      </c>
      <c r="G695" s="240">
        <v>1441.37</v>
      </c>
    </row>
    <row r="696" spans="1:7" ht="14.25" x14ac:dyDescent="0.2">
      <c r="A696" s="237" t="s">
        <v>509</v>
      </c>
      <c r="B696" s="238" t="s">
        <v>62</v>
      </c>
      <c r="C696" s="239" t="s">
        <v>38</v>
      </c>
      <c r="D696" s="240">
        <f t="shared" si="10"/>
        <v>1968.1671888888886</v>
      </c>
      <c r="E696" s="226" t="s">
        <v>5222</v>
      </c>
      <c r="G696" s="240">
        <v>1835.85</v>
      </c>
    </row>
    <row r="697" spans="1:7" ht="14.25" x14ac:dyDescent="0.2">
      <c r="A697" s="237" t="s">
        <v>510</v>
      </c>
      <c r="B697" s="238" t="s">
        <v>63</v>
      </c>
      <c r="C697" s="239" t="s">
        <v>38</v>
      </c>
      <c r="D697" s="240">
        <f t="shared" si="10"/>
        <v>2378.2140807407409</v>
      </c>
      <c r="E697" s="226" t="s">
        <v>5222</v>
      </c>
      <c r="G697" s="240">
        <v>2218.33</v>
      </c>
    </row>
    <row r="698" spans="1:7" ht="14.25" x14ac:dyDescent="0.2">
      <c r="A698" s="237" t="s">
        <v>511</v>
      </c>
      <c r="B698" s="238" t="s">
        <v>3342</v>
      </c>
      <c r="C698" s="239" t="s">
        <v>38</v>
      </c>
      <c r="D698" s="240">
        <f t="shared" si="10"/>
        <v>786.37705407407395</v>
      </c>
      <c r="E698" s="226" t="s">
        <v>5222</v>
      </c>
      <c r="G698" s="240">
        <v>733.51</v>
      </c>
    </row>
    <row r="699" spans="1:7" ht="14.25" x14ac:dyDescent="0.2">
      <c r="A699" s="237" t="s">
        <v>512</v>
      </c>
      <c r="B699" s="238" t="s">
        <v>3343</v>
      </c>
      <c r="C699" s="239" t="s">
        <v>38</v>
      </c>
      <c r="D699" s="240">
        <f t="shared" si="10"/>
        <v>840.76337185185173</v>
      </c>
      <c r="E699" s="226" t="s">
        <v>5222</v>
      </c>
      <c r="G699" s="240">
        <v>784.24</v>
      </c>
    </row>
    <row r="700" spans="1:7" ht="14.25" x14ac:dyDescent="0.2">
      <c r="A700" s="237" t="s">
        <v>513</v>
      </c>
      <c r="B700" s="238" t="s">
        <v>3344</v>
      </c>
      <c r="C700" s="239" t="s">
        <v>38</v>
      </c>
      <c r="D700" s="240">
        <f t="shared" si="10"/>
        <v>891.38670962962965</v>
      </c>
      <c r="E700" s="226" t="s">
        <v>5222</v>
      </c>
      <c r="G700" s="240">
        <v>831.46</v>
      </c>
    </row>
    <row r="701" spans="1:7" ht="14.25" x14ac:dyDescent="0.2">
      <c r="A701" s="237" t="s">
        <v>514</v>
      </c>
      <c r="B701" s="238" t="s">
        <v>3345</v>
      </c>
      <c r="C701" s="239" t="s">
        <v>38</v>
      </c>
      <c r="D701" s="240">
        <f t="shared" si="10"/>
        <v>888.23481185185176</v>
      </c>
      <c r="E701" s="226" t="s">
        <v>5222</v>
      </c>
      <c r="G701" s="240">
        <v>828.52</v>
      </c>
    </row>
    <row r="702" spans="1:7" ht="14.25" x14ac:dyDescent="0.2">
      <c r="A702" s="237" t="s">
        <v>515</v>
      </c>
      <c r="B702" s="238" t="s">
        <v>3346</v>
      </c>
      <c r="C702" s="239" t="s">
        <v>38</v>
      </c>
      <c r="D702" s="240">
        <f t="shared" si="10"/>
        <v>1013.7854066666665</v>
      </c>
      <c r="E702" s="226" t="s">
        <v>5222</v>
      </c>
      <c r="G702" s="240">
        <v>945.63</v>
      </c>
    </row>
    <row r="703" spans="1:7" ht="14.25" x14ac:dyDescent="0.2">
      <c r="A703" s="237" t="s">
        <v>516</v>
      </c>
      <c r="B703" s="238" t="s">
        <v>3347</v>
      </c>
      <c r="C703" s="239" t="s">
        <v>38</v>
      </c>
      <c r="D703" s="240">
        <f t="shared" si="10"/>
        <v>1119.5240725925926</v>
      </c>
      <c r="E703" s="226" t="s">
        <v>5222</v>
      </c>
      <c r="G703" s="240">
        <v>1044.26</v>
      </c>
    </row>
    <row r="704" spans="1:7" ht="14.25" x14ac:dyDescent="0.2">
      <c r="A704" s="237" t="s">
        <v>517</v>
      </c>
      <c r="B704" s="238" t="s">
        <v>3348</v>
      </c>
      <c r="C704" s="239" t="s">
        <v>38</v>
      </c>
      <c r="D704" s="240">
        <f t="shared" si="10"/>
        <v>1092.3255533333331</v>
      </c>
      <c r="E704" s="226" t="s">
        <v>5222</v>
      </c>
      <c r="G704" s="240">
        <v>1018.89</v>
      </c>
    </row>
    <row r="705" spans="1:7" ht="14.25" x14ac:dyDescent="0.2">
      <c r="A705" s="237" t="s">
        <v>518</v>
      </c>
      <c r="B705" s="238" t="s">
        <v>3349</v>
      </c>
      <c r="C705" s="239" t="s">
        <v>38</v>
      </c>
      <c r="D705" s="240">
        <f t="shared" si="10"/>
        <v>1250.4993622222223</v>
      </c>
      <c r="E705" s="226" t="s">
        <v>5222</v>
      </c>
      <c r="G705" s="240">
        <v>1166.43</v>
      </c>
    </row>
    <row r="706" spans="1:7" ht="14.25" x14ac:dyDescent="0.2">
      <c r="A706" s="237" t="s">
        <v>519</v>
      </c>
      <c r="B706" s="238" t="s">
        <v>2274</v>
      </c>
      <c r="C706" s="239" t="s">
        <v>38</v>
      </c>
      <c r="D706" s="240">
        <f t="shared" si="10"/>
        <v>1336.5761896296297</v>
      </c>
      <c r="E706" s="226" t="s">
        <v>5222</v>
      </c>
      <c r="G706" s="240">
        <v>1246.72</v>
      </c>
    </row>
    <row r="707" spans="1:7" ht="14.25" x14ac:dyDescent="0.2">
      <c r="A707" s="237" t="s">
        <v>520</v>
      </c>
      <c r="B707" s="238" t="s">
        <v>3350</v>
      </c>
      <c r="C707" s="239" t="s">
        <v>38</v>
      </c>
      <c r="D707" s="240">
        <f t="shared" si="10"/>
        <v>1298.9892725925927</v>
      </c>
      <c r="E707" s="226" t="s">
        <v>5222</v>
      </c>
      <c r="G707" s="240">
        <v>1211.6600000000001</v>
      </c>
    </row>
    <row r="708" spans="1:7" ht="14.25" x14ac:dyDescent="0.2">
      <c r="A708" s="237" t="s">
        <v>521</v>
      </c>
      <c r="B708" s="238" t="s">
        <v>3351</v>
      </c>
      <c r="C708" s="239" t="s">
        <v>38</v>
      </c>
      <c r="D708" s="240">
        <f t="shared" si="10"/>
        <v>1424.1217585185186</v>
      </c>
      <c r="E708" s="226" t="s">
        <v>5222</v>
      </c>
      <c r="G708" s="240">
        <v>1328.38</v>
      </c>
    </row>
    <row r="709" spans="1:7" ht="14.25" x14ac:dyDescent="0.2">
      <c r="A709" s="237" t="s">
        <v>522</v>
      </c>
      <c r="B709" s="238" t="s">
        <v>3352</v>
      </c>
      <c r="C709" s="239" t="s">
        <v>38</v>
      </c>
      <c r="D709" s="240">
        <f t="shared" si="10"/>
        <v>1475.452665185185</v>
      </c>
      <c r="E709" s="226" t="s">
        <v>5222</v>
      </c>
      <c r="G709" s="240">
        <v>1376.26</v>
      </c>
    </row>
    <row r="710" spans="1:7" ht="14.25" x14ac:dyDescent="0.2">
      <c r="A710" s="237" t="s">
        <v>523</v>
      </c>
      <c r="B710" s="238" t="s">
        <v>3353</v>
      </c>
      <c r="C710" s="239" t="s">
        <v>38</v>
      </c>
      <c r="D710" s="240">
        <f t="shared" si="10"/>
        <v>1442.6900814814815</v>
      </c>
      <c r="E710" s="226" t="s">
        <v>5222</v>
      </c>
      <c r="G710" s="240">
        <v>1345.7</v>
      </c>
    </row>
    <row r="711" spans="1:7" ht="14.25" x14ac:dyDescent="0.2">
      <c r="A711" s="237" t="s">
        <v>524</v>
      </c>
      <c r="B711" s="238" t="s">
        <v>3354</v>
      </c>
      <c r="C711" s="239" t="s">
        <v>38</v>
      </c>
      <c r="D711" s="240">
        <f t="shared" si="10"/>
        <v>1710.0975177777777</v>
      </c>
      <c r="E711" s="226" t="s">
        <v>5222</v>
      </c>
      <c r="G711" s="240">
        <v>1595.13</v>
      </c>
    </row>
    <row r="712" spans="1:7" ht="14.25" x14ac:dyDescent="0.2">
      <c r="A712" s="237" t="s">
        <v>525</v>
      </c>
      <c r="B712" s="238" t="s">
        <v>2275</v>
      </c>
      <c r="C712" s="239" t="s">
        <v>38</v>
      </c>
      <c r="D712" s="240">
        <f t="shared" ref="D712:D775" si="11">(G712/(1+0.35))*(1+$D$3)</f>
        <v>2105.6178059259255</v>
      </c>
      <c r="E712" s="226" t="s">
        <v>5222</v>
      </c>
      <c r="G712" s="240">
        <v>1964.06</v>
      </c>
    </row>
    <row r="713" spans="1:7" ht="14.25" x14ac:dyDescent="0.2">
      <c r="A713" s="237" t="s">
        <v>526</v>
      </c>
      <c r="B713" s="238" t="s">
        <v>64</v>
      </c>
      <c r="C713" s="239" t="s">
        <v>38</v>
      </c>
      <c r="D713" s="240">
        <f t="shared" si="11"/>
        <v>628.73928222222219</v>
      </c>
      <c r="E713" s="226" t="s">
        <v>5222</v>
      </c>
      <c r="G713" s="240">
        <v>586.47</v>
      </c>
    </row>
    <row r="714" spans="1:7" ht="14.25" x14ac:dyDescent="0.2">
      <c r="A714" s="237" t="s">
        <v>527</v>
      </c>
      <c r="B714" s="238" t="s">
        <v>65</v>
      </c>
      <c r="C714" s="239" t="s">
        <v>38</v>
      </c>
      <c r="D714" s="240">
        <f t="shared" si="11"/>
        <v>776.20307111111094</v>
      </c>
      <c r="E714" s="226" t="s">
        <v>5222</v>
      </c>
      <c r="G714" s="240">
        <v>724.02</v>
      </c>
    </row>
    <row r="715" spans="1:7" ht="14.25" x14ac:dyDescent="0.2">
      <c r="A715" s="237" t="s">
        <v>528</v>
      </c>
      <c r="B715" s="238" t="s">
        <v>66</v>
      </c>
      <c r="C715" s="239" t="s">
        <v>38</v>
      </c>
      <c r="D715" s="240">
        <f t="shared" si="11"/>
        <v>908.70070592592594</v>
      </c>
      <c r="E715" s="226" t="s">
        <v>5222</v>
      </c>
      <c r="G715" s="240">
        <v>847.61</v>
      </c>
    </row>
    <row r="716" spans="1:7" ht="14.25" x14ac:dyDescent="0.2">
      <c r="A716" s="237" t="s">
        <v>529</v>
      </c>
      <c r="B716" s="238" t="s">
        <v>67</v>
      </c>
      <c r="C716" s="239" t="s">
        <v>38</v>
      </c>
      <c r="D716" s="240">
        <f t="shared" si="11"/>
        <v>1033.5115696296295</v>
      </c>
      <c r="E716" s="226" t="s">
        <v>5222</v>
      </c>
      <c r="G716" s="240">
        <v>964.03</v>
      </c>
    </row>
    <row r="717" spans="1:7" ht="14.25" x14ac:dyDescent="0.2">
      <c r="A717" s="237" t="s">
        <v>530</v>
      </c>
      <c r="B717" s="238" t="s">
        <v>68</v>
      </c>
      <c r="C717" s="239" t="s">
        <v>38</v>
      </c>
      <c r="D717" s="240">
        <f t="shared" si="11"/>
        <v>1158.4081992592592</v>
      </c>
      <c r="E717" s="226" t="s">
        <v>5222</v>
      </c>
      <c r="G717" s="240">
        <v>1080.53</v>
      </c>
    </row>
    <row r="718" spans="1:7" ht="14.25" x14ac:dyDescent="0.2">
      <c r="A718" s="237" t="s">
        <v>531</v>
      </c>
      <c r="B718" s="238" t="s">
        <v>69</v>
      </c>
      <c r="C718" s="239" t="s">
        <v>38</v>
      </c>
      <c r="D718" s="240">
        <f t="shared" si="11"/>
        <v>693.95354814814812</v>
      </c>
      <c r="E718" s="226" t="s">
        <v>5222</v>
      </c>
      <c r="G718" s="240">
        <v>647.29999999999995</v>
      </c>
    </row>
    <row r="719" spans="1:7" ht="14.25" x14ac:dyDescent="0.2">
      <c r="A719" s="237" t="s">
        <v>532</v>
      </c>
      <c r="B719" s="238" t="s">
        <v>70</v>
      </c>
      <c r="C719" s="239" t="s">
        <v>38</v>
      </c>
      <c r="D719" s="240">
        <f t="shared" si="11"/>
        <v>776.20307111111094</v>
      </c>
      <c r="E719" s="226" t="s">
        <v>5222</v>
      </c>
      <c r="G719" s="240">
        <v>724.02</v>
      </c>
    </row>
    <row r="720" spans="1:7" ht="14.25" x14ac:dyDescent="0.2">
      <c r="A720" s="237" t="s">
        <v>533</v>
      </c>
      <c r="B720" s="238" t="s">
        <v>2276</v>
      </c>
      <c r="C720" s="239" t="s">
        <v>38</v>
      </c>
      <c r="D720" s="240">
        <f t="shared" si="11"/>
        <v>908.70070592592594</v>
      </c>
      <c r="E720" s="226" t="s">
        <v>5222</v>
      </c>
      <c r="G720" s="240">
        <v>847.61</v>
      </c>
    </row>
    <row r="721" spans="1:7" ht="14.25" x14ac:dyDescent="0.2">
      <c r="A721" s="237" t="s">
        <v>534</v>
      </c>
      <c r="B721" s="238" t="s">
        <v>71</v>
      </c>
      <c r="C721" s="239" t="s">
        <v>38</v>
      </c>
      <c r="D721" s="240">
        <f t="shared" si="11"/>
        <v>840.95634518518511</v>
      </c>
      <c r="E721" s="226" t="s">
        <v>5222</v>
      </c>
      <c r="G721" s="240">
        <v>784.42</v>
      </c>
    </row>
    <row r="722" spans="1:7" ht="14.25" x14ac:dyDescent="0.2">
      <c r="A722" s="237" t="s">
        <v>535</v>
      </c>
      <c r="B722" s="238" t="s">
        <v>72</v>
      </c>
      <c r="C722" s="239" t="s">
        <v>38</v>
      </c>
      <c r="D722" s="240">
        <f t="shared" si="11"/>
        <v>908.70070592592594</v>
      </c>
      <c r="E722" s="226" t="s">
        <v>5222</v>
      </c>
      <c r="G722" s="240">
        <v>847.61</v>
      </c>
    </row>
    <row r="723" spans="1:7" ht="14.25" x14ac:dyDescent="0.2">
      <c r="A723" s="237" t="s">
        <v>536</v>
      </c>
      <c r="B723" s="238" t="s">
        <v>73</v>
      </c>
      <c r="C723" s="239" t="s">
        <v>38</v>
      </c>
      <c r="D723" s="240">
        <f t="shared" si="11"/>
        <v>1033.5115696296295</v>
      </c>
      <c r="E723" s="226" t="s">
        <v>5222</v>
      </c>
      <c r="G723" s="240">
        <v>964.03</v>
      </c>
    </row>
    <row r="724" spans="1:7" ht="14.25" x14ac:dyDescent="0.2">
      <c r="A724" s="237" t="s">
        <v>537</v>
      </c>
      <c r="B724" s="238" t="s">
        <v>2277</v>
      </c>
      <c r="C724" s="239" t="s">
        <v>38</v>
      </c>
      <c r="D724" s="240">
        <f t="shared" si="11"/>
        <v>971.12757925925928</v>
      </c>
      <c r="E724" s="226" t="s">
        <v>5222</v>
      </c>
      <c r="G724" s="240">
        <v>905.84</v>
      </c>
    </row>
    <row r="725" spans="1:7" ht="14.25" x14ac:dyDescent="0.2">
      <c r="A725" s="237" t="s">
        <v>538</v>
      </c>
      <c r="B725" s="238" t="s">
        <v>2278</v>
      </c>
      <c r="C725" s="239" t="s">
        <v>38</v>
      </c>
      <c r="D725" s="240">
        <f t="shared" si="11"/>
        <v>1095.8633977777779</v>
      </c>
      <c r="E725" s="226" t="s">
        <v>5222</v>
      </c>
      <c r="G725" s="240">
        <v>1022.19</v>
      </c>
    </row>
    <row r="726" spans="1:7" ht="14.25" x14ac:dyDescent="0.2">
      <c r="A726" s="237" t="s">
        <v>539</v>
      </c>
      <c r="B726" s="238" t="s">
        <v>2279</v>
      </c>
      <c r="C726" s="239" t="s">
        <v>38</v>
      </c>
      <c r="D726" s="240">
        <f t="shared" si="11"/>
        <v>1200.4549444444444</v>
      </c>
      <c r="E726" s="226" t="s">
        <v>5222</v>
      </c>
      <c r="G726" s="240">
        <v>1119.75</v>
      </c>
    </row>
    <row r="727" spans="1:7" ht="14.25" x14ac:dyDescent="0.2">
      <c r="A727" s="237" t="s">
        <v>540</v>
      </c>
      <c r="B727" s="238" t="s">
        <v>74</v>
      </c>
      <c r="C727" s="239" t="s">
        <v>38</v>
      </c>
      <c r="D727" s="240">
        <f t="shared" si="11"/>
        <v>1095.8633977777779</v>
      </c>
      <c r="E727" s="226" t="s">
        <v>5222</v>
      </c>
      <c r="G727" s="240">
        <v>1022.19</v>
      </c>
    </row>
    <row r="728" spans="1:7" ht="14.25" x14ac:dyDescent="0.2">
      <c r="A728" s="237" t="s">
        <v>541</v>
      </c>
      <c r="B728" s="238" t="s">
        <v>75</v>
      </c>
      <c r="C728" s="239" t="s">
        <v>38</v>
      </c>
      <c r="D728" s="240">
        <f t="shared" si="11"/>
        <v>1227.0423814814815</v>
      </c>
      <c r="E728" s="226" t="s">
        <v>5222</v>
      </c>
      <c r="G728" s="240">
        <v>1144.55</v>
      </c>
    </row>
    <row r="729" spans="1:7" ht="14.25" x14ac:dyDescent="0.2">
      <c r="A729" s="237" t="s">
        <v>542</v>
      </c>
      <c r="B729" s="238" t="s">
        <v>2280</v>
      </c>
      <c r="C729" s="239" t="s">
        <v>38</v>
      </c>
      <c r="D729" s="240">
        <f t="shared" si="11"/>
        <v>1332.4379837037034</v>
      </c>
      <c r="E729" s="226" t="s">
        <v>5222</v>
      </c>
      <c r="G729" s="240">
        <v>1242.8599999999999</v>
      </c>
    </row>
    <row r="730" spans="1:7" ht="14.25" x14ac:dyDescent="0.2">
      <c r="A730" s="237" t="s">
        <v>543</v>
      </c>
      <c r="B730" s="238" t="s">
        <v>76</v>
      </c>
      <c r="C730" s="239" t="s">
        <v>38</v>
      </c>
      <c r="D730" s="240">
        <f t="shared" si="11"/>
        <v>1220.6313785185184</v>
      </c>
      <c r="E730" s="226" t="s">
        <v>5222</v>
      </c>
      <c r="G730" s="240">
        <v>1138.57</v>
      </c>
    </row>
    <row r="731" spans="1:7" ht="14.25" x14ac:dyDescent="0.2">
      <c r="A731" s="237" t="s">
        <v>544</v>
      </c>
      <c r="B731" s="238" t="s">
        <v>77</v>
      </c>
      <c r="C731" s="239" t="s">
        <v>38</v>
      </c>
      <c r="D731" s="240">
        <f t="shared" si="11"/>
        <v>1502.4153281481481</v>
      </c>
      <c r="E731" s="226" t="s">
        <v>5222</v>
      </c>
      <c r="G731" s="240">
        <v>1401.41</v>
      </c>
    </row>
    <row r="732" spans="1:7" ht="14.25" x14ac:dyDescent="0.2">
      <c r="A732" s="237" t="s">
        <v>545</v>
      </c>
      <c r="B732" s="238" t="s">
        <v>78</v>
      </c>
      <c r="C732" s="239" t="s">
        <v>38</v>
      </c>
      <c r="D732" s="240">
        <f t="shared" si="11"/>
        <v>1595.4070333333332</v>
      </c>
      <c r="E732" s="226" t="s">
        <v>5222</v>
      </c>
      <c r="G732" s="240">
        <v>1488.15</v>
      </c>
    </row>
    <row r="733" spans="1:7" ht="14.25" x14ac:dyDescent="0.2">
      <c r="A733" s="237" t="s">
        <v>2281</v>
      </c>
      <c r="B733" s="238" t="s">
        <v>2282</v>
      </c>
      <c r="C733" s="239" t="s">
        <v>38</v>
      </c>
      <c r="D733" s="240">
        <f t="shared" si="11"/>
        <v>1106.0588222222223</v>
      </c>
      <c r="E733" s="226" t="s">
        <v>5222</v>
      </c>
      <c r="G733" s="240">
        <v>1031.7</v>
      </c>
    </row>
    <row r="734" spans="1:7" ht="14.25" x14ac:dyDescent="0.2">
      <c r="A734" s="237" t="s">
        <v>2549</v>
      </c>
      <c r="B734" s="238" t="s">
        <v>2550</v>
      </c>
      <c r="C734" s="239" t="s">
        <v>38</v>
      </c>
      <c r="D734" s="240">
        <f t="shared" si="11"/>
        <v>1084.2742770370369</v>
      </c>
      <c r="E734" s="226" t="s">
        <v>5222</v>
      </c>
      <c r="G734" s="240">
        <v>1011.38</v>
      </c>
    </row>
    <row r="735" spans="1:7" ht="14.25" x14ac:dyDescent="0.2">
      <c r="A735" s="237" t="s">
        <v>2551</v>
      </c>
      <c r="B735" s="238" t="s">
        <v>2552</v>
      </c>
      <c r="C735" s="239" t="s">
        <v>38</v>
      </c>
      <c r="D735" s="240">
        <f t="shared" si="11"/>
        <v>1055.0173755555554</v>
      </c>
      <c r="E735" s="226" t="s">
        <v>5222</v>
      </c>
      <c r="G735" s="240">
        <v>984.09</v>
      </c>
    </row>
    <row r="736" spans="1:7" ht="14.25" x14ac:dyDescent="0.2">
      <c r="A736" s="237" t="s">
        <v>2553</v>
      </c>
      <c r="B736" s="238" t="s">
        <v>2554</v>
      </c>
      <c r="C736" s="239" t="s">
        <v>38</v>
      </c>
      <c r="D736" s="240">
        <f t="shared" si="11"/>
        <v>1036.6741881481482</v>
      </c>
      <c r="E736" s="226" t="s">
        <v>5222</v>
      </c>
      <c r="G736" s="240">
        <v>966.98</v>
      </c>
    </row>
    <row r="737" spans="1:7" ht="14.25" x14ac:dyDescent="0.2">
      <c r="A737" s="237" t="s">
        <v>2555</v>
      </c>
      <c r="B737" s="238" t="s">
        <v>3355</v>
      </c>
      <c r="C737" s="239" t="s">
        <v>38</v>
      </c>
      <c r="D737" s="240">
        <f t="shared" si="11"/>
        <v>486.8073955555555</v>
      </c>
      <c r="E737" s="226" t="s">
        <v>5222</v>
      </c>
      <c r="G737" s="240">
        <v>454.08</v>
      </c>
    </row>
    <row r="738" spans="1:7" ht="14.25" x14ac:dyDescent="0.2">
      <c r="A738" s="237" t="s">
        <v>2556</v>
      </c>
      <c r="B738" s="238" t="s">
        <v>2557</v>
      </c>
      <c r="C738" s="239" t="s">
        <v>38</v>
      </c>
      <c r="D738" s="240">
        <f t="shared" si="11"/>
        <v>995.57086814814807</v>
      </c>
      <c r="E738" s="226" t="s">
        <v>5222</v>
      </c>
      <c r="G738" s="240">
        <v>928.64</v>
      </c>
    </row>
    <row r="739" spans="1:7" ht="14.25" x14ac:dyDescent="0.2">
      <c r="A739" s="237" t="s">
        <v>2558</v>
      </c>
      <c r="B739" s="238" t="s">
        <v>2559</v>
      </c>
      <c r="C739" s="239" t="s">
        <v>38</v>
      </c>
      <c r="D739" s="240">
        <f t="shared" si="11"/>
        <v>1020.0355985185184</v>
      </c>
      <c r="E739" s="226" t="s">
        <v>5222</v>
      </c>
      <c r="G739" s="240">
        <v>951.46</v>
      </c>
    </row>
    <row r="740" spans="1:7" ht="14.25" x14ac:dyDescent="0.2">
      <c r="A740" s="237" t="s">
        <v>2560</v>
      </c>
      <c r="B740" s="238" t="s">
        <v>2561</v>
      </c>
      <c r="C740" s="239" t="s">
        <v>38</v>
      </c>
      <c r="D740" s="240">
        <f t="shared" si="11"/>
        <v>1036.2668000000001</v>
      </c>
      <c r="E740" s="226" t="s">
        <v>5222</v>
      </c>
      <c r="G740" s="240">
        <v>966.6</v>
      </c>
    </row>
    <row r="741" spans="1:7" ht="14.25" x14ac:dyDescent="0.2">
      <c r="A741" s="237" t="s">
        <v>2562</v>
      </c>
      <c r="B741" s="238" t="s">
        <v>2563</v>
      </c>
      <c r="C741" s="239" t="s">
        <v>38</v>
      </c>
      <c r="D741" s="240">
        <f t="shared" si="11"/>
        <v>1098.1790777777778</v>
      </c>
      <c r="E741" s="226" t="s">
        <v>5222</v>
      </c>
      <c r="G741" s="240">
        <v>1024.3499999999999</v>
      </c>
    </row>
    <row r="742" spans="1:7" ht="14.25" x14ac:dyDescent="0.2">
      <c r="A742" s="237" t="s">
        <v>2564</v>
      </c>
      <c r="B742" s="238" t="s">
        <v>2565</v>
      </c>
      <c r="C742" s="239" t="s">
        <v>38</v>
      </c>
      <c r="D742" s="240">
        <f t="shared" si="11"/>
        <v>1008.9396318518518</v>
      </c>
      <c r="E742" s="226" t="s">
        <v>5222</v>
      </c>
      <c r="G742" s="240">
        <v>941.11</v>
      </c>
    </row>
    <row r="743" spans="1:7" ht="14.25" x14ac:dyDescent="0.2">
      <c r="A743" s="237" t="s">
        <v>2566</v>
      </c>
      <c r="B743" s="238" t="s">
        <v>2567</v>
      </c>
      <c r="C743" s="239" t="s">
        <v>38</v>
      </c>
      <c r="D743" s="240">
        <f t="shared" si="11"/>
        <v>1027.9367844444444</v>
      </c>
      <c r="E743" s="226" t="s">
        <v>5222</v>
      </c>
      <c r="G743" s="240">
        <v>958.83</v>
      </c>
    </row>
    <row r="744" spans="1:7" ht="14.25" x14ac:dyDescent="0.2">
      <c r="A744" s="237" t="s">
        <v>2568</v>
      </c>
      <c r="B744" s="238" t="s">
        <v>2569</v>
      </c>
      <c r="C744" s="239" t="s">
        <v>38</v>
      </c>
      <c r="D744" s="240">
        <f t="shared" si="11"/>
        <v>1053.7094451851851</v>
      </c>
      <c r="E744" s="226" t="s">
        <v>5222</v>
      </c>
      <c r="G744" s="240">
        <v>982.87</v>
      </c>
    </row>
    <row r="745" spans="1:7" ht="14.25" x14ac:dyDescent="0.2">
      <c r="A745" s="237" t="s">
        <v>2570</v>
      </c>
      <c r="B745" s="238" t="s">
        <v>2571</v>
      </c>
      <c r="C745" s="239" t="s">
        <v>38</v>
      </c>
      <c r="D745" s="240">
        <f t="shared" si="11"/>
        <v>1121.8075903703705</v>
      </c>
      <c r="E745" s="226" t="s">
        <v>5222</v>
      </c>
      <c r="G745" s="240">
        <v>1046.3900000000001</v>
      </c>
    </row>
    <row r="746" spans="1:7" ht="14.25" x14ac:dyDescent="0.2">
      <c r="A746" s="237" t="s">
        <v>546</v>
      </c>
      <c r="B746" s="238" t="s">
        <v>2283</v>
      </c>
      <c r="C746" s="239" t="s">
        <v>38</v>
      </c>
      <c r="D746" s="240">
        <f t="shared" si="11"/>
        <v>1474.7665377777776</v>
      </c>
      <c r="E746" s="226" t="s">
        <v>5222</v>
      </c>
      <c r="G746" s="240">
        <v>1375.62</v>
      </c>
    </row>
    <row r="747" spans="1:7" ht="14.25" x14ac:dyDescent="0.2">
      <c r="A747" s="237" t="s">
        <v>2572</v>
      </c>
      <c r="B747" s="238" t="s">
        <v>2573</v>
      </c>
      <c r="C747" s="239" t="s">
        <v>38</v>
      </c>
      <c r="D747" s="240">
        <f t="shared" si="11"/>
        <v>3606.1677251851852</v>
      </c>
      <c r="E747" s="226" t="s">
        <v>5222</v>
      </c>
      <c r="G747" s="240">
        <v>3363.73</v>
      </c>
    </row>
    <row r="748" spans="1:7" ht="14.25" x14ac:dyDescent="0.2">
      <c r="A748" s="237" t="s">
        <v>2574</v>
      </c>
      <c r="B748" s="238" t="s">
        <v>2575</v>
      </c>
      <c r="C748" s="239" t="s">
        <v>38</v>
      </c>
      <c r="D748" s="240">
        <f t="shared" si="11"/>
        <v>3622.0558629629631</v>
      </c>
      <c r="E748" s="226" t="s">
        <v>5222</v>
      </c>
      <c r="G748" s="240">
        <v>3378.55</v>
      </c>
    </row>
    <row r="749" spans="1:7" ht="14.25" x14ac:dyDescent="0.2">
      <c r="A749" s="237" t="s">
        <v>2576</v>
      </c>
      <c r="B749" s="238" t="s">
        <v>2577</v>
      </c>
      <c r="C749" s="239" t="s">
        <v>38</v>
      </c>
      <c r="D749" s="240">
        <f t="shared" si="11"/>
        <v>3910.7868525925919</v>
      </c>
      <c r="E749" s="226" t="s">
        <v>5222</v>
      </c>
      <c r="G749" s="240">
        <v>3647.87</v>
      </c>
    </row>
    <row r="750" spans="1:7" ht="14.25" x14ac:dyDescent="0.2">
      <c r="A750" s="237" t="s">
        <v>2284</v>
      </c>
      <c r="B750" s="238" t="s">
        <v>3356</v>
      </c>
      <c r="C750" s="239" t="s">
        <v>50</v>
      </c>
      <c r="D750" s="240">
        <f t="shared" si="11"/>
        <v>87.684938518518521</v>
      </c>
      <c r="E750" s="226" t="s">
        <v>5222</v>
      </c>
      <c r="G750" s="240">
        <v>81.790000000000006</v>
      </c>
    </row>
    <row r="751" spans="1:7" ht="14.25" x14ac:dyDescent="0.2">
      <c r="A751" s="237" t="s">
        <v>2285</v>
      </c>
      <c r="B751" s="238" t="s">
        <v>3054</v>
      </c>
      <c r="C751" s="239" t="s">
        <v>50</v>
      </c>
      <c r="D751" s="240">
        <f t="shared" si="11"/>
        <v>19.265171111111108</v>
      </c>
      <c r="E751" s="226" t="s">
        <v>5222</v>
      </c>
      <c r="G751" s="240">
        <v>17.97</v>
      </c>
    </row>
    <row r="752" spans="1:7" ht="14.25" x14ac:dyDescent="0.2">
      <c r="A752" s="237" t="s">
        <v>2286</v>
      </c>
      <c r="B752" s="238" t="s">
        <v>3357</v>
      </c>
      <c r="C752" s="239" t="s">
        <v>50</v>
      </c>
      <c r="D752" s="240">
        <f t="shared" si="11"/>
        <v>89.014310370370367</v>
      </c>
      <c r="E752" s="226" t="s">
        <v>5222</v>
      </c>
      <c r="G752" s="240">
        <v>83.03</v>
      </c>
    </row>
    <row r="753" spans="1:7" ht="14.25" x14ac:dyDescent="0.2">
      <c r="A753" s="237" t="s">
        <v>2287</v>
      </c>
      <c r="B753" s="238" t="s">
        <v>3358</v>
      </c>
      <c r="C753" s="239" t="s">
        <v>27</v>
      </c>
      <c r="D753" s="240">
        <f t="shared" si="11"/>
        <v>151.62343629629629</v>
      </c>
      <c r="E753" s="226" t="s">
        <v>5222</v>
      </c>
      <c r="G753" s="240">
        <v>141.43</v>
      </c>
    </row>
    <row r="754" spans="1:7" ht="14.25" x14ac:dyDescent="0.2">
      <c r="A754" s="237" t="s">
        <v>2288</v>
      </c>
      <c r="B754" s="238" t="s">
        <v>3359</v>
      </c>
      <c r="C754" s="239" t="s">
        <v>27</v>
      </c>
      <c r="D754" s="240">
        <f t="shared" si="11"/>
        <v>147.80685259259261</v>
      </c>
      <c r="E754" s="226" t="s">
        <v>5222</v>
      </c>
      <c r="G754" s="240">
        <v>137.87</v>
      </c>
    </row>
    <row r="755" spans="1:7" ht="14.25" x14ac:dyDescent="0.2">
      <c r="A755" s="237" t="s">
        <v>2289</v>
      </c>
      <c r="B755" s="238" t="s">
        <v>3360</v>
      </c>
      <c r="C755" s="239" t="s">
        <v>27</v>
      </c>
      <c r="D755" s="240">
        <f t="shared" si="11"/>
        <v>177.29961037037035</v>
      </c>
      <c r="E755" s="226" t="s">
        <v>5222</v>
      </c>
      <c r="G755" s="240">
        <v>165.38</v>
      </c>
    </row>
    <row r="756" spans="1:7" ht="14.25" x14ac:dyDescent="0.2">
      <c r="A756" s="237" t="s">
        <v>2290</v>
      </c>
      <c r="B756" s="238" t="s">
        <v>3361</v>
      </c>
      <c r="C756" s="239" t="s">
        <v>27</v>
      </c>
      <c r="D756" s="240">
        <f t="shared" si="11"/>
        <v>201.50704296296294</v>
      </c>
      <c r="E756" s="226" t="s">
        <v>5222</v>
      </c>
      <c r="G756" s="240">
        <v>187.96</v>
      </c>
    </row>
    <row r="757" spans="1:7" ht="14.25" x14ac:dyDescent="0.2">
      <c r="A757" s="237" t="s">
        <v>2291</v>
      </c>
      <c r="B757" s="238" t="s">
        <v>3362</v>
      </c>
      <c r="C757" s="239" t="s">
        <v>27</v>
      </c>
      <c r="D757" s="240">
        <f t="shared" si="11"/>
        <v>222.44464962962962</v>
      </c>
      <c r="E757" s="226" t="s">
        <v>5222</v>
      </c>
      <c r="G757" s="240">
        <v>207.49</v>
      </c>
    </row>
    <row r="758" spans="1:7" ht="14.25" x14ac:dyDescent="0.2">
      <c r="A758" s="237" t="s">
        <v>2292</v>
      </c>
      <c r="B758" s="238" t="s">
        <v>3363</v>
      </c>
      <c r="C758" s="239" t="s">
        <v>28</v>
      </c>
      <c r="D758" s="240">
        <f t="shared" si="11"/>
        <v>11057.693622222221</v>
      </c>
      <c r="E758" s="226" t="s">
        <v>5222</v>
      </c>
      <c r="G758" s="240">
        <v>10314.299999999999</v>
      </c>
    </row>
    <row r="759" spans="1:7" ht="14.25" x14ac:dyDescent="0.2">
      <c r="A759" s="237" t="s">
        <v>2293</v>
      </c>
      <c r="B759" s="238" t="s">
        <v>3244</v>
      </c>
      <c r="C759" s="239" t="s">
        <v>55</v>
      </c>
      <c r="D759" s="240">
        <f t="shared" si="11"/>
        <v>38.57322518518518</v>
      </c>
      <c r="E759" s="226" t="s">
        <v>5222</v>
      </c>
      <c r="G759" s="240">
        <v>35.979999999999997</v>
      </c>
    </row>
    <row r="760" spans="1:7" ht="14.25" x14ac:dyDescent="0.2">
      <c r="A760" s="237" t="s">
        <v>2294</v>
      </c>
      <c r="B760" s="238" t="s">
        <v>3364</v>
      </c>
      <c r="C760" s="239" t="s">
        <v>27</v>
      </c>
      <c r="D760" s="240">
        <f t="shared" si="11"/>
        <v>2361.822068148148</v>
      </c>
      <c r="E760" s="226" t="s">
        <v>5222</v>
      </c>
      <c r="G760" s="240">
        <v>2203.04</v>
      </c>
    </row>
    <row r="761" spans="1:7" ht="14.25" x14ac:dyDescent="0.2">
      <c r="A761" s="237" t="s">
        <v>2295</v>
      </c>
      <c r="B761" s="238" t="s">
        <v>3365</v>
      </c>
      <c r="C761" s="239" t="s">
        <v>27</v>
      </c>
      <c r="D761" s="240">
        <f t="shared" si="11"/>
        <v>3381.76118</v>
      </c>
      <c r="E761" s="226" t="s">
        <v>5222</v>
      </c>
      <c r="G761" s="240">
        <v>3154.41</v>
      </c>
    </row>
    <row r="762" spans="1:7" ht="14.25" x14ac:dyDescent="0.2">
      <c r="A762" s="237" t="s">
        <v>2296</v>
      </c>
      <c r="B762" s="238" t="s">
        <v>3366</v>
      </c>
      <c r="C762" s="239" t="s">
        <v>27</v>
      </c>
      <c r="D762" s="240">
        <f t="shared" si="11"/>
        <v>4517.3663637037034</v>
      </c>
      <c r="E762" s="226" t="s">
        <v>5222</v>
      </c>
      <c r="G762" s="240">
        <v>4213.67</v>
      </c>
    </row>
    <row r="763" spans="1:7" ht="14.25" x14ac:dyDescent="0.2">
      <c r="A763" s="237" t="s">
        <v>2297</v>
      </c>
      <c r="B763" s="238" t="s">
        <v>3367</v>
      </c>
      <c r="C763" s="239" t="s">
        <v>27</v>
      </c>
      <c r="D763" s="240">
        <f t="shared" si="11"/>
        <v>5164.3201844444438</v>
      </c>
      <c r="E763" s="226" t="s">
        <v>5222</v>
      </c>
      <c r="G763" s="240">
        <v>4817.13</v>
      </c>
    </row>
    <row r="764" spans="1:7" ht="14.25" x14ac:dyDescent="0.2">
      <c r="A764" s="237" t="s">
        <v>2298</v>
      </c>
      <c r="B764" s="238" t="s">
        <v>3368</v>
      </c>
      <c r="C764" s="239" t="s">
        <v>27</v>
      </c>
      <c r="D764" s="240">
        <f t="shared" si="11"/>
        <v>5849.7400229629629</v>
      </c>
      <c r="E764" s="226" t="s">
        <v>5222</v>
      </c>
      <c r="G764" s="240">
        <v>5456.47</v>
      </c>
    </row>
    <row r="765" spans="1:7" ht="14.25" x14ac:dyDescent="0.2">
      <c r="A765" s="237" t="s">
        <v>2299</v>
      </c>
      <c r="B765" s="238" t="s">
        <v>3369</v>
      </c>
      <c r="C765" s="239" t="s">
        <v>28</v>
      </c>
      <c r="D765" s="240">
        <f t="shared" si="11"/>
        <v>148443.51450222221</v>
      </c>
      <c r="E765" s="226" t="s">
        <v>5222</v>
      </c>
      <c r="G765" s="240">
        <v>138463.85999999999</v>
      </c>
    </row>
    <row r="766" spans="1:7" ht="14.25" x14ac:dyDescent="0.2">
      <c r="A766" s="237" t="s">
        <v>2300</v>
      </c>
      <c r="B766" s="238" t="s">
        <v>3370</v>
      </c>
      <c r="C766" s="239" t="s">
        <v>55</v>
      </c>
      <c r="D766" s="240">
        <f t="shared" si="11"/>
        <v>39.420163703703707</v>
      </c>
      <c r="E766" s="226" t="s">
        <v>5222</v>
      </c>
      <c r="G766" s="240">
        <v>36.770000000000003</v>
      </c>
    </row>
    <row r="767" spans="1:7" ht="14.25" x14ac:dyDescent="0.2">
      <c r="A767" s="237" t="s">
        <v>547</v>
      </c>
      <c r="B767" s="238" t="s">
        <v>3371</v>
      </c>
      <c r="C767" s="239" t="s">
        <v>55</v>
      </c>
      <c r="D767" s="240">
        <f t="shared" si="11"/>
        <v>40.96395037037037</v>
      </c>
      <c r="E767" s="226" t="s">
        <v>5222</v>
      </c>
      <c r="G767" s="240">
        <v>38.21</v>
      </c>
    </row>
    <row r="768" spans="1:7" ht="14.25" x14ac:dyDescent="0.2">
      <c r="A768" s="237" t="s">
        <v>2301</v>
      </c>
      <c r="B768" s="238" t="s">
        <v>3372</v>
      </c>
      <c r="C768" s="239" t="s">
        <v>27</v>
      </c>
      <c r="D768" s="240">
        <f t="shared" si="11"/>
        <v>180.80529259259259</v>
      </c>
      <c r="E768" s="226" t="s">
        <v>5222</v>
      </c>
      <c r="G768" s="240">
        <v>168.65</v>
      </c>
    </row>
    <row r="769" spans="1:7" ht="14.25" x14ac:dyDescent="0.2">
      <c r="A769" s="237" t="s">
        <v>2302</v>
      </c>
      <c r="B769" s="238" t="s">
        <v>3373</v>
      </c>
      <c r="C769" s="239" t="s">
        <v>50</v>
      </c>
      <c r="D769" s="240">
        <f t="shared" si="11"/>
        <v>1443.2797222222223</v>
      </c>
      <c r="E769" s="226" t="s">
        <v>5222</v>
      </c>
      <c r="G769" s="240">
        <v>1346.25</v>
      </c>
    </row>
    <row r="770" spans="1:7" ht="14.25" x14ac:dyDescent="0.2">
      <c r="A770" s="237" t="s">
        <v>2303</v>
      </c>
      <c r="B770" s="238" t="s">
        <v>3374</v>
      </c>
      <c r="C770" s="239" t="s">
        <v>50</v>
      </c>
      <c r="D770" s="240">
        <f t="shared" si="11"/>
        <v>3909.3502733333335</v>
      </c>
      <c r="E770" s="226" t="s">
        <v>5222</v>
      </c>
      <c r="G770" s="240">
        <v>3646.53</v>
      </c>
    </row>
    <row r="771" spans="1:7" ht="14.25" x14ac:dyDescent="0.2">
      <c r="A771" s="237" t="s">
        <v>2304</v>
      </c>
      <c r="B771" s="238" t="s">
        <v>3375</v>
      </c>
      <c r="C771" s="239" t="s">
        <v>50</v>
      </c>
      <c r="D771" s="240">
        <f t="shared" si="11"/>
        <v>4107.5982111111107</v>
      </c>
      <c r="E771" s="226" t="s">
        <v>5222</v>
      </c>
      <c r="G771" s="240">
        <v>3831.45</v>
      </c>
    </row>
    <row r="772" spans="1:7" ht="14.25" x14ac:dyDescent="0.2">
      <c r="A772" s="237" t="s">
        <v>2305</v>
      </c>
      <c r="B772" s="238" t="s">
        <v>3376</v>
      </c>
      <c r="C772" s="239" t="s">
        <v>50</v>
      </c>
      <c r="D772" s="240">
        <f t="shared" si="11"/>
        <v>9043.7167081481475</v>
      </c>
      <c r="E772" s="226" t="s">
        <v>5222</v>
      </c>
      <c r="G772" s="240">
        <v>8435.7199999999993</v>
      </c>
    </row>
    <row r="773" spans="1:7" ht="14.25" x14ac:dyDescent="0.2">
      <c r="A773" s="237" t="s">
        <v>2306</v>
      </c>
      <c r="B773" s="238" t="s">
        <v>3377</v>
      </c>
      <c r="C773" s="239" t="s">
        <v>50</v>
      </c>
      <c r="D773" s="240">
        <f t="shared" si="11"/>
        <v>152.27740148148146</v>
      </c>
      <c r="E773" s="226" t="s">
        <v>5222</v>
      </c>
      <c r="G773" s="240">
        <v>142.04</v>
      </c>
    </row>
    <row r="774" spans="1:7" ht="14.25" x14ac:dyDescent="0.2">
      <c r="A774" s="237" t="s">
        <v>2307</v>
      </c>
      <c r="B774" s="238" t="s">
        <v>3378</v>
      </c>
      <c r="C774" s="239" t="s">
        <v>50</v>
      </c>
      <c r="D774" s="240">
        <f t="shared" si="11"/>
        <v>107.0787585185185</v>
      </c>
      <c r="E774" s="226" t="s">
        <v>5222</v>
      </c>
      <c r="G774" s="240">
        <v>99.88</v>
      </c>
    </row>
    <row r="775" spans="1:7" ht="14.25" x14ac:dyDescent="0.2">
      <c r="A775" s="237" t="s">
        <v>2308</v>
      </c>
      <c r="B775" s="238" t="s">
        <v>3379</v>
      </c>
      <c r="C775" s="239" t="s">
        <v>50</v>
      </c>
      <c r="D775" s="240">
        <f t="shared" si="11"/>
        <v>80.759339999999995</v>
      </c>
      <c r="E775" s="226" t="s">
        <v>5222</v>
      </c>
      <c r="G775" s="240">
        <v>75.33</v>
      </c>
    </row>
    <row r="776" spans="1:7" ht="14.25" x14ac:dyDescent="0.2">
      <c r="A776" s="237" t="s">
        <v>2309</v>
      </c>
      <c r="B776" s="238" t="s">
        <v>3380</v>
      </c>
      <c r="C776" s="239" t="s">
        <v>50</v>
      </c>
      <c r="D776" s="240">
        <f t="shared" ref="D776:D839" si="12">(G776/(1+0.35))*(1+$D$3)</f>
        <v>100.89289111111111</v>
      </c>
      <c r="E776" s="226" t="s">
        <v>5222</v>
      </c>
      <c r="G776" s="240">
        <v>94.11</v>
      </c>
    </row>
    <row r="777" spans="1:7" ht="14.25" x14ac:dyDescent="0.2">
      <c r="A777" s="237" t="s">
        <v>2310</v>
      </c>
      <c r="B777" s="238" t="s">
        <v>3076</v>
      </c>
      <c r="C777" s="239" t="s">
        <v>50</v>
      </c>
      <c r="D777" s="240">
        <f t="shared" si="12"/>
        <v>33.663125925925925</v>
      </c>
      <c r="E777" s="226" t="s">
        <v>5222</v>
      </c>
      <c r="G777" s="240">
        <v>31.4</v>
      </c>
    </row>
    <row r="778" spans="1:7" ht="14.25" x14ac:dyDescent="0.2">
      <c r="A778" s="237" t="s">
        <v>2311</v>
      </c>
      <c r="B778" s="238" t="s">
        <v>3077</v>
      </c>
      <c r="C778" s="239" t="s">
        <v>50</v>
      </c>
      <c r="D778" s="240">
        <f t="shared" si="12"/>
        <v>37.597637777777777</v>
      </c>
      <c r="E778" s="226" t="s">
        <v>5222</v>
      </c>
      <c r="G778" s="240">
        <v>35.07</v>
      </c>
    </row>
    <row r="779" spans="1:7" ht="14.25" x14ac:dyDescent="0.2">
      <c r="A779" s="237" t="s">
        <v>2312</v>
      </c>
      <c r="B779" s="238" t="s">
        <v>3381</v>
      </c>
      <c r="C779" s="239" t="s">
        <v>38</v>
      </c>
      <c r="D779" s="240">
        <f t="shared" si="12"/>
        <v>162.24769037037038</v>
      </c>
      <c r="E779" s="226" t="s">
        <v>5222</v>
      </c>
      <c r="G779" s="240">
        <v>151.34</v>
      </c>
    </row>
    <row r="780" spans="1:7" ht="14.25" x14ac:dyDescent="0.2">
      <c r="A780" s="237" t="s">
        <v>2313</v>
      </c>
      <c r="B780" s="238" t="s">
        <v>3382</v>
      </c>
      <c r="C780" s="239" t="s">
        <v>38</v>
      </c>
      <c r="D780" s="240">
        <f t="shared" si="12"/>
        <v>194.18477703703704</v>
      </c>
      <c r="E780" s="226" t="s">
        <v>5222</v>
      </c>
      <c r="G780" s="240">
        <v>181.13</v>
      </c>
    </row>
    <row r="781" spans="1:7" ht="14.25" x14ac:dyDescent="0.2">
      <c r="A781" s="237" t="s">
        <v>2314</v>
      </c>
      <c r="B781" s="238" t="s">
        <v>3383</v>
      </c>
      <c r="C781" s="239" t="s">
        <v>38</v>
      </c>
      <c r="D781" s="240">
        <f t="shared" si="12"/>
        <v>218.01698370370372</v>
      </c>
      <c r="E781" s="226" t="s">
        <v>5222</v>
      </c>
      <c r="G781" s="240">
        <v>203.36</v>
      </c>
    </row>
    <row r="782" spans="1:7" ht="14.25" x14ac:dyDescent="0.2">
      <c r="A782" s="237" t="s">
        <v>2315</v>
      </c>
      <c r="B782" s="238" t="s">
        <v>3384</v>
      </c>
      <c r="C782" s="239" t="s">
        <v>38</v>
      </c>
      <c r="D782" s="240">
        <f t="shared" si="12"/>
        <v>149.47928814814816</v>
      </c>
      <c r="E782" s="226" t="s">
        <v>5222</v>
      </c>
      <c r="G782" s="240">
        <v>139.43</v>
      </c>
    </row>
    <row r="783" spans="1:7" ht="14.25" x14ac:dyDescent="0.2">
      <c r="A783" s="237" t="s">
        <v>2316</v>
      </c>
      <c r="B783" s="238" t="s">
        <v>3385</v>
      </c>
      <c r="C783" s="239" t="s">
        <v>38</v>
      </c>
      <c r="D783" s="240">
        <f t="shared" si="12"/>
        <v>215.77634888888886</v>
      </c>
      <c r="E783" s="226" t="s">
        <v>5222</v>
      </c>
      <c r="G783" s="240">
        <v>201.27</v>
      </c>
    </row>
    <row r="784" spans="1:7" ht="14.25" x14ac:dyDescent="0.2">
      <c r="A784" s="237" t="s">
        <v>2317</v>
      </c>
      <c r="B784" s="238" t="s">
        <v>3386</v>
      </c>
      <c r="C784" s="239" t="s">
        <v>38</v>
      </c>
      <c r="D784" s="240">
        <f t="shared" si="12"/>
        <v>232.65079481481479</v>
      </c>
      <c r="E784" s="226" t="s">
        <v>5222</v>
      </c>
      <c r="G784" s="240">
        <v>217.01</v>
      </c>
    </row>
    <row r="785" spans="1:7" ht="14.25" x14ac:dyDescent="0.2">
      <c r="A785" s="237" t="s">
        <v>2318</v>
      </c>
      <c r="B785" s="238" t="s">
        <v>3080</v>
      </c>
      <c r="C785" s="239" t="s">
        <v>55</v>
      </c>
      <c r="D785" s="240">
        <f t="shared" si="12"/>
        <v>22.149050370370368</v>
      </c>
      <c r="E785" s="226" t="s">
        <v>5222</v>
      </c>
      <c r="G785" s="240">
        <v>20.66</v>
      </c>
    </row>
    <row r="786" spans="1:7" ht="14.25" x14ac:dyDescent="0.2">
      <c r="A786" s="237" t="s">
        <v>2319</v>
      </c>
      <c r="B786" s="238" t="s">
        <v>3081</v>
      </c>
      <c r="C786" s="239" t="s">
        <v>55</v>
      </c>
      <c r="D786" s="240">
        <f t="shared" si="12"/>
        <v>18.418232592592592</v>
      </c>
      <c r="E786" s="226" t="s">
        <v>5222</v>
      </c>
      <c r="G786" s="240">
        <v>17.18</v>
      </c>
    </row>
    <row r="787" spans="1:7" ht="14.25" x14ac:dyDescent="0.2">
      <c r="A787" s="237" t="s">
        <v>2320</v>
      </c>
      <c r="B787" s="238" t="s">
        <v>3082</v>
      </c>
      <c r="C787" s="239" t="s">
        <v>55</v>
      </c>
      <c r="D787" s="240">
        <f t="shared" si="12"/>
        <v>23.092475555555552</v>
      </c>
      <c r="E787" s="226" t="s">
        <v>5222</v>
      </c>
      <c r="G787" s="240">
        <v>21.54</v>
      </c>
    </row>
    <row r="788" spans="1:7" ht="14.25" x14ac:dyDescent="0.2">
      <c r="A788" s="237" t="s">
        <v>2321</v>
      </c>
      <c r="B788" s="238" t="s">
        <v>3268</v>
      </c>
      <c r="C788" s="239" t="s">
        <v>55</v>
      </c>
      <c r="D788" s="240">
        <f t="shared" si="12"/>
        <v>37.554754814814814</v>
      </c>
      <c r="E788" s="226" t="s">
        <v>5222</v>
      </c>
      <c r="G788" s="240">
        <v>35.03</v>
      </c>
    </row>
    <row r="789" spans="1:7" ht="14.25" x14ac:dyDescent="0.2">
      <c r="A789" s="237" t="s">
        <v>2322</v>
      </c>
      <c r="B789" s="238" t="s">
        <v>3083</v>
      </c>
      <c r="C789" s="239" t="s">
        <v>55</v>
      </c>
      <c r="D789" s="240">
        <f t="shared" si="12"/>
        <v>21.344994814814815</v>
      </c>
      <c r="E789" s="226" t="s">
        <v>5222</v>
      </c>
      <c r="G789" s="240">
        <v>19.91</v>
      </c>
    </row>
    <row r="790" spans="1:7" ht="14.25" x14ac:dyDescent="0.2">
      <c r="A790" s="237" t="s">
        <v>2323</v>
      </c>
      <c r="B790" s="238" t="s">
        <v>3387</v>
      </c>
      <c r="C790" s="239" t="s">
        <v>55</v>
      </c>
      <c r="D790" s="240">
        <f t="shared" si="12"/>
        <v>55.32974296296296</v>
      </c>
      <c r="E790" s="226" t="s">
        <v>5222</v>
      </c>
      <c r="G790" s="240">
        <v>51.61</v>
      </c>
    </row>
    <row r="791" spans="1:7" ht="14.25" x14ac:dyDescent="0.2">
      <c r="A791" s="237" t="s">
        <v>2324</v>
      </c>
      <c r="B791" s="238" t="s">
        <v>3388</v>
      </c>
      <c r="C791" s="239" t="s">
        <v>28</v>
      </c>
      <c r="D791" s="240">
        <f t="shared" si="12"/>
        <v>887.97751407407407</v>
      </c>
      <c r="E791" s="226" t="s">
        <v>5222</v>
      </c>
      <c r="G791" s="240">
        <v>828.28</v>
      </c>
    </row>
    <row r="792" spans="1:7" ht="14.25" x14ac:dyDescent="0.2">
      <c r="A792" s="237" t="s">
        <v>2325</v>
      </c>
      <c r="B792" s="238" t="s">
        <v>3389</v>
      </c>
      <c r="C792" s="239" t="s">
        <v>28</v>
      </c>
      <c r="D792" s="240">
        <f t="shared" si="12"/>
        <v>716.4992659259259</v>
      </c>
      <c r="E792" s="226" t="s">
        <v>5222</v>
      </c>
      <c r="G792" s="240">
        <v>668.33</v>
      </c>
    </row>
    <row r="793" spans="1:7" ht="14.25" x14ac:dyDescent="0.2">
      <c r="A793" s="237" t="s">
        <v>2326</v>
      </c>
      <c r="B793" s="238" t="s">
        <v>3390</v>
      </c>
      <c r="C793" s="239" t="s">
        <v>28</v>
      </c>
      <c r="D793" s="240">
        <f t="shared" si="12"/>
        <v>1163.7149659259258</v>
      </c>
      <c r="E793" s="226" t="s">
        <v>5222</v>
      </c>
      <c r="G793" s="240">
        <v>1085.48</v>
      </c>
    </row>
    <row r="794" spans="1:7" ht="14.25" x14ac:dyDescent="0.2">
      <c r="A794" s="237" t="s">
        <v>2327</v>
      </c>
      <c r="B794" s="238" t="s">
        <v>3273</v>
      </c>
      <c r="C794" s="239" t="s">
        <v>28</v>
      </c>
      <c r="D794" s="240">
        <f t="shared" si="12"/>
        <v>1995.6551681481481</v>
      </c>
      <c r="E794" s="226" t="s">
        <v>5222</v>
      </c>
      <c r="G794" s="240">
        <v>1861.49</v>
      </c>
    </row>
    <row r="795" spans="1:7" ht="14.25" x14ac:dyDescent="0.2">
      <c r="A795" s="237" t="s">
        <v>2328</v>
      </c>
      <c r="B795" s="238" t="s">
        <v>3274</v>
      </c>
      <c r="C795" s="239" t="s">
        <v>28</v>
      </c>
      <c r="D795" s="240">
        <f t="shared" si="12"/>
        <v>4270.3712177777779</v>
      </c>
      <c r="E795" s="226" t="s">
        <v>5222</v>
      </c>
      <c r="G795" s="240">
        <v>3983.28</v>
      </c>
    </row>
    <row r="796" spans="1:7" ht="14.25" x14ac:dyDescent="0.2">
      <c r="A796" s="237" t="s">
        <v>2329</v>
      </c>
      <c r="B796" s="238" t="s">
        <v>3275</v>
      </c>
      <c r="C796" s="239" t="s">
        <v>28</v>
      </c>
      <c r="D796" s="240">
        <f t="shared" si="12"/>
        <v>5682.1534037037027</v>
      </c>
      <c r="E796" s="226" t="s">
        <v>5222</v>
      </c>
      <c r="G796" s="240">
        <v>5300.15</v>
      </c>
    </row>
    <row r="797" spans="1:7" ht="14.25" x14ac:dyDescent="0.2">
      <c r="A797" s="237" t="s">
        <v>2330</v>
      </c>
      <c r="B797" s="238" t="s">
        <v>3391</v>
      </c>
      <c r="C797" s="239" t="s">
        <v>28</v>
      </c>
      <c r="D797" s="240">
        <f t="shared" si="12"/>
        <v>133.97709703703703</v>
      </c>
      <c r="E797" s="226" t="s">
        <v>5222</v>
      </c>
      <c r="G797" s="240">
        <v>124.97</v>
      </c>
    </row>
    <row r="798" spans="1:7" ht="14.25" x14ac:dyDescent="0.2">
      <c r="A798" s="237" t="s">
        <v>2331</v>
      </c>
      <c r="B798" s="238" t="s">
        <v>3392</v>
      </c>
      <c r="C798" s="239" t="s">
        <v>28</v>
      </c>
      <c r="D798" s="240">
        <f t="shared" si="12"/>
        <v>186.06917629629629</v>
      </c>
      <c r="E798" s="226" t="s">
        <v>5222</v>
      </c>
      <c r="G798" s="240">
        <v>173.56</v>
      </c>
    </row>
    <row r="799" spans="1:7" ht="14.25" x14ac:dyDescent="0.2">
      <c r="A799" s="237" t="s">
        <v>2332</v>
      </c>
      <c r="B799" s="238" t="s">
        <v>3279</v>
      </c>
      <c r="C799" s="239" t="s">
        <v>28</v>
      </c>
      <c r="D799" s="240">
        <f t="shared" si="12"/>
        <v>416.91888666666665</v>
      </c>
      <c r="E799" s="226" t="s">
        <v>5222</v>
      </c>
      <c r="G799" s="240">
        <v>388.89</v>
      </c>
    </row>
    <row r="800" spans="1:7" ht="14.25" x14ac:dyDescent="0.2">
      <c r="A800" s="237" t="s">
        <v>548</v>
      </c>
      <c r="B800" s="238" t="s">
        <v>3280</v>
      </c>
      <c r="C800" s="239" t="s">
        <v>28</v>
      </c>
      <c r="D800" s="240">
        <f t="shared" si="12"/>
        <v>1100.3017844444444</v>
      </c>
      <c r="E800" s="226" t="s">
        <v>5222</v>
      </c>
      <c r="G800" s="240">
        <v>1026.33</v>
      </c>
    </row>
    <row r="801" spans="1:7" ht="14.25" x14ac:dyDescent="0.2">
      <c r="A801" s="237" t="s">
        <v>549</v>
      </c>
      <c r="B801" s="238" t="s">
        <v>3393</v>
      </c>
      <c r="C801" s="239" t="s">
        <v>28</v>
      </c>
      <c r="D801" s="240">
        <f t="shared" si="12"/>
        <v>3734.6450822222218</v>
      </c>
      <c r="E801" s="226" t="s">
        <v>5222</v>
      </c>
      <c r="G801" s="240">
        <v>3483.57</v>
      </c>
    </row>
    <row r="802" spans="1:7" ht="14.25" x14ac:dyDescent="0.2">
      <c r="A802" s="237" t="s">
        <v>550</v>
      </c>
      <c r="B802" s="238" t="s">
        <v>3394</v>
      </c>
      <c r="C802" s="239" t="s">
        <v>28</v>
      </c>
      <c r="D802" s="240">
        <f t="shared" si="12"/>
        <v>5142.9430274074066</v>
      </c>
      <c r="E802" s="226" t="s">
        <v>5222</v>
      </c>
      <c r="G802" s="240">
        <v>4797.1899999999996</v>
      </c>
    </row>
    <row r="803" spans="1:7" ht="14.25" x14ac:dyDescent="0.2">
      <c r="A803" s="237" t="s">
        <v>551</v>
      </c>
      <c r="B803" s="238" t="s">
        <v>3283</v>
      </c>
      <c r="C803" s="239" t="s">
        <v>28</v>
      </c>
      <c r="D803" s="240">
        <f t="shared" si="12"/>
        <v>6328.0351503703696</v>
      </c>
      <c r="E803" s="226" t="s">
        <v>5222</v>
      </c>
      <c r="G803" s="240">
        <v>5902.61</v>
      </c>
    </row>
    <row r="804" spans="1:7" ht="14.25" x14ac:dyDescent="0.2">
      <c r="A804" s="237" t="s">
        <v>2333</v>
      </c>
      <c r="B804" s="238" t="s">
        <v>3395</v>
      </c>
      <c r="C804" s="239" t="s">
        <v>79</v>
      </c>
      <c r="D804" s="240">
        <f t="shared" si="12"/>
        <v>99.874420740740732</v>
      </c>
      <c r="E804" s="226" t="s">
        <v>5222</v>
      </c>
      <c r="G804" s="240">
        <v>93.16</v>
      </c>
    </row>
    <row r="805" spans="1:7" ht="14.25" x14ac:dyDescent="0.2">
      <c r="A805" s="237" t="s">
        <v>2334</v>
      </c>
      <c r="B805" s="238" t="s">
        <v>3396</v>
      </c>
      <c r="C805" s="239" t="s">
        <v>80</v>
      </c>
      <c r="D805" s="240">
        <f t="shared" si="12"/>
        <v>12.28596888888889</v>
      </c>
      <c r="E805" s="226" t="s">
        <v>5222</v>
      </c>
      <c r="G805" s="240">
        <v>11.46</v>
      </c>
    </row>
    <row r="806" spans="1:7" ht="14.25" x14ac:dyDescent="0.2">
      <c r="A806" s="237" t="s">
        <v>2335</v>
      </c>
      <c r="B806" s="238" t="s">
        <v>3397</v>
      </c>
      <c r="C806" s="239" t="s">
        <v>50</v>
      </c>
      <c r="D806" s="240">
        <f t="shared" si="12"/>
        <v>652.22842518518507</v>
      </c>
      <c r="E806" s="226" t="s">
        <v>5222</v>
      </c>
      <c r="G806" s="240">
        <v>608.38</v>
      </c>
    </row>
    <row r="807" spans="1:7" ht="14.25" x14ac:dyDescent="0.2">
      <c r="A807" s="237" t="s">
        <v>2336</v>
      </c>
      <c r="B807" s="238" t="s">
        <v>3398</v>
      </c>
      <c r="C807" s="239" t="s">
        <v>50</v>
      </c>
      <c r="D807" s="240">
        <f t="shared" si="12"/>
        <v>711.34258962962952</v>
      </c>
      <c r="E807" s="226" t="s">
        <v>5222</v>
      </c>
      <c r="G807" s="240">
        <v>663.52</v>
      </c>
    </row>
    <row r="808" spans="1:7" ht="14.25" x14ac:dyDescent="0.2">
      <c r="A808" s="237" t="s">
        <v>2337</v>
      </c>
      <c r="B808" s="238" t="s">
        <v>3399</v>
      </c>
      <c r="C808" s="239" t="s">
        <v>50</v>
      </c>
      <c r="D808" s="240">
        <f t="shared" si="12"/>
        <v>728.96748740740736</v>
      </c>
      <c r="E808" s="226" t="s">
        <v>5222</v>
      </c>
      <c r="G808" s="240">
        <v>679.96</v>
      </c>
    </row>
    <row r="809" spans="1:7" ht="14.25" x14ac:dyDescent="0.2">
      <c r="A809" s="237" t="s">
        <v>2338</v>
      </c>
      <c r="B809" s="238" t="s">
        <v>3087</v>
      </c>
      <c r="C809" s="239" t="s">
        <v>50</v>
      </c>
      <c r="D809" s="240">
        <f t="shared" si="12"/>
        <v>754.6007785185185</v>
      </c>
      <c r="E809" s="226" t="s">
        <v>5222</v>
      </c>
      <c r="G809" s="240">
        <v>703.87</v>
      </c>
    </row>
    <row r="810" spans="1:7" ht="14.25" x14ac:dyDescent="0.2">
      <c r="A810" s="237" t="s">
        <v>2339</v>
      </c>
      <c r="B810" s="238" t="s">
        <v>3088</v>
      </c>
      <c r="C810" s="239" t="s">
        <v>50</v>
      </c>
      <c r="D810" s="240">
        <f t="shared" si="12"/>
        <v>773.13693925925918</v>
      </c>
      <c r="E810" s="226" t="s">
        <v>5222</v>
      </c>
      <c r="G810" s="240">
        <v>721.16</v>
      </c>
    </row>
    <row r="811" spans="1:7" ht="14.25" x14ac:dyDescent="0.2">
      <c r="A811" s="237" t="s">
        <v>2340</v>
      </c>
      <c r="B811" s="238" t="s">
        <v>3400</v>
      </c>
      <c r="C811" s="239" t="s">
        <v>50</v>
      </c>
      <c r="D811" s="240">
        <f t="shared" si="12"/>
        <v>797.0549118518519</v>
      </c>
      <c r="E811" s="226" t="s">
        <v>5222</v>
      </c>
      <c r="G811" s="240">
        <v>743.47</v>
      </c>
    </row>
    <row r="812" spans="1:7" ht="14.25" x14ac:dyDescent="0.2">
      <c r="A812" s="237" t="s">
        <v>2341</v>
      </c>
      <c r="B812" s="238" t="s">
        <v>3090</v>
      </c>
      <c r="C812" s="239" t="s">
        <v>50</v>
      </c>
      <c r="D812" s="240">
        <f t="shared" si="12"/>
        <v>653.7829325925926</v>
      </c>
      <c r="E812" s="226" t="s">
        <v>5222</v>
      </c>
      <c r="G812" s="240">
        <v>609.83000000000004</v>
      </c>
    </row>
    <row r="813" spans="1:7" ht="14.25" x14ac:dyDescent="0.2">
      <c r="A813" s="237" t="s">
        <v>2342</v>
      </c>
      <c r="B813" s="238" t="s">
        <v>3401</v>
      </c>
      <c r="C813" s="239" t="s">
        <v>50</v>
      </c>
      <c r="D813" s="240">
        <f t="shared" si="12"/>
        <v>97.998291111111115</v>
      </c>
      <c r="E813" s="226" t="s">
        <v>5222</v>
      </c>
      <c r="G813" s="240">
        <v>91.41</v>
      </c>
    </row>
    <row r="814" spans="1:7" ht="14.25" x14ac:dyDescent="0.2">
      <c r="A814" s="237" t="s">
        <v>2343</v>
      </c>
      <c r="B814" s="238" t="s">
        <v>3092</v>
      </c>
      <c r="C814" s="239" t="s">
        <v>50</v>
      </c>
      <c r="D814" s="240">
        <f t="shared" si="12"/>
        <v>810.42367555555552</v>
      </c>
      <c r="E814" s="226" t="s">
        <v>5222</v>
      </c>
      <c r="G814" s="240">
        <v>755.94</v>
      </c>
    </row>
    <row r="815" spans="1:7" ht="14.25" x14ac:dyDescent="0.2">
      <c r="A815" s="237" t="s">
        <v>2344</v>
      </c>
      <c r="B815" s="238" t="s">
        <v>3093</v>
      </c>
      <c r="C815" s="239" t="s">
        <v>50</v>
      </c>
      <c r="D815" s="240">
        <f t="shared" si="12"/>
        <v>855.01123629629626</v>
      </c>
      <c r="E815" s="226" t="s">
        <v>5222</v>
      </c>
      <c r="G815" s="240">
        <v>797.53</v>
      </c>
    </row>
    <row r="816" spans="1:7" ht="14.25" x14ac:dyDescent="0.2">
      <c r="A816" s="237" t="s">
        <v>2345</v>
      </c>
      <c r="B816" s="238" t="s">
        <v>3094</v>
      </c>
      <c r="C816" s="239" t="s">
        <v>50</v>
      </c>
      <c r="D816" s="240">
        <f t="shared" si="12"/>
        <v>975.85542592592594</v>
      </c>
      <c r="E816" s="226" t="s">
        <v>5222</v>
      </c>
      <c r="G816" s="240">
        <v>910.25</v>
      </c>
    </row>
    <row r="817" spans="1:7" ht="14.25" x14ac:dyDescent="0.2">
      <c r="A817" s="237" t="s">
        <v>2346</v>
      </c>
      <c r="B817" s="238" t="s">
        <v>3295</v>
      </c>
      <c r="C817" s="239" t="s">
        <v>50</v>
      </c>
      <c r="D817" s="240">
        <f t="shared" si="12"/>
        <v>1015.2863103703703</v>
      </c>
      <c r="E817" s="226" t="s">
        <v>5222</v>
      </c>
      <c r="G817" s="240">
        <v>947.03</v>
      </c>
    </row>
    <row r="818" spans="1:7" ht="14.25" x14ac:dyDescent="0.2">
      <c r="A818" s="237" t="s">
        <v>2347</v>
      </c>
      <c r="B818" s="238" t="s">
        <v>3402</v>
      </c>
      <c r="C818" s="239" t="s">
        <v>27</v>
      </c>
      <c r="D818" s="240">
        <f t="shared" si="12"/>
        <v>674.44180000000006</v>
      </c>
      <c r="E818" s="226" t="s">
        <v>5222</v>
      </c>
      <c r="G818" s="240">
        <v>629.1</v>
      </c>
    </row>
    <row r="819" spans="1:7" ht="14.25" x14ac:dyDescent="0.2">
      <c r="A819" s="237" t="s">
        <v>2348</v>
      </c>
      <c r="B819" s="238" t="s">
        <v>3403</v>
      </c>
      <c r="C819" s="239" t="s">
        <v>27</v>
      </c>
      <c r="D819" s="240">
        <f t="shared" si="12"/>
        <v>1282.5436562962961</v>
      </c>
      <c r="E819" s="226" t="s">
        <v>5222</v>
      </c>
      <c r="G819" s="240">
        <v>1196.32</v>
      </c>
    </row>
    <row r="820" spans="1:7" ht="14.25" x14ac:dyDescent="0.2">
      <c r="A820" s="237" t="s">
        <v>2349</v>
      </c>
      <c r="B820" s="238" t="s">
        <v>3404</v>
      </c>
      <c r="C820" s="239" t="s">
        <v>27</v>
      </c>
      <c r="D820" s="240">
        <f t="shared" si="12"/>
        <v>1277.9658999999999</v>
      </c>
      <c r="E820" s="226" t="s">
        <v>5222</v>
      </c>
      <c r="G820" s="240">
        <v>1192.05</v>
      </c>
    </row>
    <row r="821" spans="1:7" ht="14.25" x14ac:dyDescent="0.2">
      <c r="A821" s="237" t="s">
        <v>2350</v>
      </c>
      <c r="B821" s="238" t="s">
        <v>3405</v>
      </c>
      <c r="C821" s="239" t="s">
        <v>27</v>
      </c>
      <c r="D821" s="240">
        <f t="shared" si="12"/>
        <v>292.5797355555556</v>
      </c>
      <c r="E821" s="226" t="s">
        <v>5222</v>
      </c>
      <c r="G821" s="240">
        <v>272.91000000000003</v>
      </c>
    </row>
    <row r="822" spans="1:7" ht="14.25" x14ac:dyDescent="0.2">
      <c r="A822" s="237" t="s">
        <v>2351</v>
      </c>
      <c r="B822" s="238" t="s">
        <v>3406</v>
      </c>
      <c r="C822" s="239" t="s">
        <v>27</v>
      </c>
      <c r="D822" s="240">
        <f t="shared" si="12"/>
        <v>259.6885029629629</v>
      </c>
      <c r="E822" s="226" t="s">
        <v>5222</v>
      </c>
      <c r="G822" s="240">
        <v>242.23</v>
      </c>
    </row>
    <row r="823" spans="1:7" ht="14.25" x14ac:dyDescent="0.2">
      <c r="A823" s="237" t="s">
        <v>2352</v>
      </c>
      <c r="B823" s="238" t="s">
        <v>3407</v>
      </c>
      <c r="C823" s="239" t="s">
        <v>27</v>
      </c>
      <c r="D823" s="240">
        <f t="shared" si="12"/>
        <v>1878.5953999999997</v>
      </c>
      <c r="E823" s="226" t="s">
        <v>5222</v>
      </c>
      <c r="G823" s="240">
        <v>1752.3</v>
      </c>
    </row>
    <row r="824" spans="1:7" ht="14.25" x14ac:dyDescent="0.2">
      <c r="A824" s="237" t="s">
        <v>2353</v>
      </c>
      <c r="B824" s="238" t="s">
        <v>3408</v>
      </c>
      <c r="C824" s="239" t="s">
        <v>27</v>
      </c>
      <c r="D824" s="240">
        <f t="shared" si="12"/>
        <v>2485.5286955555553</v>
      </c>
      <c r="E824" s="226" t="s">
        <v>5222</v>
      </c>
      <c r="G824" s="240">
        <v>2318.4299999999998</v>
      </c>
    </row>
    <row r="825" spans="1:7" ht="14.25" x14ac:dyDescent="0.2">
      <c r="A825" s="237" t="s">
        <v>552</v>
      </c>
      <c r="B825" s="238" t="s">
        <v>3409</v>
      </c>
      <c r="C825" s="239" t="s">
        <v>28</v>
      </c>
      <c r="D825" s="240">
        <f t="shared" si="12"/>
        <v>417.10113925925924</v>
      </c>
      <c r="E825" s="226" t="s">
        <v>5222</v>
      </c>
      <c r="G825" s="240">
        <v>389.06</v>
      </c>
    </row>
    <row r="826" spans="1:7" ht="14.25" x14ac:dyDescent="0.2">
      <c r="A826" s="237" t="s">
        <v>553</v>
      </c>
      <c r="B826" s="238" t="s">
        <v>3410</v>
      </c>
      <c r="C826" s="239" t="s">
        <v>28</v>
      </c>
      <c r="D826" s="240">
        <f t="shared" si="12"/>
        <v>765.25719481481474</v>
      </c>
      <c r="E826" s="226" t="s">
        <v>5222</v>
      </c>
      <c r="G826" s="240">
        <v>713.81</v>
      </c>
    </row>
    <row r="827" spans="1:7" ht="14.25" x14ac:dyDescent="0.2">
      <c r="A827" s="237" t="s">
        <v>554</v>
      </c>
      <c r="B827" s="238" t="s">
        <v>3411</v>
      </c>
      <c r="C827" s="239" t="s">
        <v>28</v>
      </c>
      <c r="D827" s="240">
        <f t="shared" si="12"/>
        <v>137.24692296296297</v>
      </c>
      <c r="E827" s="226" t="s">
        <v>5222</v>
      </c>
      <c r="G827" s="240">
        <v>128.02000000000001</v>
      </c>
    </row>
    <row r="828" spans="1:7" ht="14.25" x14ac:dyDescent="0.2">
      <c r="A828" s="237" t="s">
        <v>555</v>
      </c>
      <c r="B828" s="238" t="s">
        <v>3412</v>
      </c>
      <c r="C828" s="239" t="s">
        <v>27</v>
      </c>
      <c r="D828" s="240">
        <f t="shared" si="12"/>
        <v>4957.9030422222222</v>
      </c>
      <c r="E828" s="226" t="s">
        <v>5222</v>
      </c>
      <c r="G828" s="240">
        <v>4624.59</v>
      </c>
    </row>
    <row r="829" spans="1:7" ht="14.25" x14ac:dyDescent="0.2">
      <c r="A829" s="237" t="s">
        <v>556</v>
      </c>
      <c r="B829" s="238" t="s">
        <v>3413</v>
      </c>
      <c r="C829" s="239" t="s">
        <v>27</v>
      </c>
      <c r="D829" s="240">
        <f t="shared" si="12"/>
        <v>1561.2293118518519</v>
      </c>
      <c r="E829" s="226" t="s">
        <v>5222</v>
      </c>
      <c r="G829" s="240">
        <v>1456.27</v>
      </c>
    </row>
    <row r="830" spans="1:7" ht="14.25" x14ac:dyDescent="0.2">
      <c r="A830" s="237" t="s">
        <v>557</v>
      </c>
      <c r="B830" s="238" t="s">
        <v>3414</v>
      </c>
      <c r="C830" s="239" t="s">
        <v>27</v>
      </c>
      <c r="D830" s="240">
        <f t="shared" si="12"/>
        <v>211.03778148148149</v>
      </c>
      <c r="E830" s="226" t="s">
        <v>5222</v>
      </c>
      <c r="G830" s="240">
        <v>196.85</v>
      </c>
    </row>
    <row r="831" spans="1:7" ht="14.25" x14ac:dyDescent="0.2">
      <c r="A831" s="237" t="s">
        <v>558</v>
      </c>
      <c r="B831" s="238" t="s">
        <v>3415</v>
      </c>
      <c r="C831" s="239" t="s">
        <v>27</v>
      </c>
      <c r="D831" s="240">
        <f t="shared" si="12"/>
        <v>1861.5387014814817</v>
      </c>
      <c r="E831" s="226" t="s">
        <v>5222</v>
      </c>
      <c r="G831" s="240">
        <v>1736.39</v>
      </c>
    </row>
    <row r="832" spans="1:7" ht="14.25" x14ac:dyDescent="0.2">
      <c r="A832" s="237" t="s">
        <v>559</v>
      </c>
      <c r="B832" s="238" t="s">
        <v>3416</v>
      </c>
      <c r="C832" s="239" t="s">
        <v>27</v>
      </c>
      <c r="D832" s="240">
        <f t="shared" si="12"/>
        <v>912.49584814814807</v>
      </c>
      <c r="E832" s="226" t="s">
        <v>5222</v>
      </c>
      <c r="G832" s="240">
        <v>851.15</v>
      </c>
    </row>
    <row r="833" spans="1:7" ht="14.25" x14ac:dyDescent="0.2">
      <c r="A833" s="237" t="s">
        <v>2354</v>
      </c>
      <c r="B833" s="238" t="s">
        <v>3417</v>
      </c>
      <c r="C833" s="239" t="s">
        <v>27</v>
      </c>
      <c r="D833" s="240">
        <f t="shared" si="12"/>
        <v>943.93978074074062</v>
      </c>
      <c r="E833" s="226" t="s">
        <v>5222</v>
      </c>
      <c r="G833" s="240">
        <v>880.48</v>
      </c>
    </row>
    <row r="834" spans="1:7" ht="14.25" x14ac:dyDescent="0.2">
      <c r="A834" s="237" t="s">
        <v>560</v>
      </c>
      <c r="B834" s="238" t="s">
        <v>3418</v>
      </c>
      <c r="C834" s="239" t="s">
        <v>27</v>
      </c>
      <c r="D834" s="240">
        <f t="shared" si="12"/>
        <v>736.58993407407411</v>
      </c>
      <c r="E834" s="226" t="s">
        <v>5222</v>
      </c>
      <c r="G834" s="240">
        <v>687.07</v>
      </c>
    </row>
    <row r="835" spans="1:7" ht="14.25" x14ac:dyDescent="0.2">
      <c r="A835" s="237" t="s">
        <v>2355</v>
      </c>
      <c r="B835" s="238" t="s">
        <v>3319</v>
      </c>
      <c r="C835" s="239" t="s">
        <v>27</v>
      </c>
      <c r="D835" s="240">
        <f t="shared" si="12"/>
        <v>27.605907407407408</v>
      </c>
      <c r="E835" s="226" t="s">
        <v>5222</v>
      </c>
      <c r="G835" s="240">
        <v>25.75</v>
      </c>
    </row>
    <row r="836" spans="1:7" ht="14.25" x14ac:dyDescent="0.2">
      <c r="A836" s="237" t="s">
        <v>2356</v>
      </c>
      <c r="B836" s="238" t="s">
        <v>3148</v>
      </c>
      <c r="C836" s="239" t="s">
        <v>27</v>
      </c>
      <c r="D836" s="240">
        <f t="shared" si="12"/>
        <v>208.36831703703706</v>
      </c>
      <c r="E836" s="226" t="s">
        <v>5222</v>
      </c>
      <c r="G836" s="240">
        <v>194.36</v>
      </c>
    </row>
    <row r="837" spans="1:7" ht="14.25" x14ac:dyDescent="0.2">
      <c r="A837" s="237" t="s">
        <v>2357</v>
      </c>
      <c r="B837" s="238" t="s">
        <v>3419</v>
      </c>
      <c r="C837" s="239" t="s">
        <v>27</v>
      </c>
      <c r="D837" s="240">
        <f t="shared" si="12"/>
        <v>113.54336518518517</v>
      </c>
      <c r="E837" s="226" t="s">
        <v>5222</v>
      </c>
      <c r="G837" s="240">
        <v>105.91</v>
      </c>
    </row>
    <row r="838" spans="1:7" ht="14.25" x14ac:dyDescent="0.2">
      <c r="A838" s="237" t="s">
        <v>2358</v>
      </c>
      <c r="B838" s="238" t="s">
        <v>3420</v>
      </c>
      <c r="C838" s="239" t="s">
        <v>27</v>
      </c>
      <c r="D838" s="240">
        <f t="shared" si="12"/>
        <v>153.39235851851853</v>
      </c>
      <c r="E838" s="226" t="s">
        <v>5222</v>
      </c>
      <c r="G838" s="240">
        <v>143.08000000000001</v>
      </c>
    </row>
    <row r="839" spans="1:7" ht="14.25" x14ac:dyDescent="0.2">
      <c r="A839" s="237" t="s">
        <v>561</v>
      </c>
      <c r="B839" s="238" t="s">
        <v>3421</v>
      </c>
      <c r="C839" s="239" t="s">
        <v>28</v>
      </c>
      <c r="D839" s="240">
        <f t="shared" si="12"/>
        <v>14704.085566666667</v>
      </c>
      <c r="E839" s="226" t="s">
        <v>5222</v>
      </c>
      <c r="G839" s="240">
        <v>13715.55</v>
      </c>
    </row>
    <row r="840" spans="1:7" ht="14.25" x14ac:dyDescent="0.2">
      <c r="A840" s="237" t="s">
        <v>2359</v>
      </c>
      <c r="B840" s="238" t="s">
        <v>3422</v>
      </c>
      <c r="C840" s="239" t="s">
        <v>28</v>
      </c>
      <c r="D840" s="240">
        <f t="shared" ref="D840:D903" si="13">(G840/(1+0.35))*(1+$D$3)</f>
        <v>16164.561357037037</v>
      </c>
      <c r="E840" s="226" t="s">
        <v>5222</v>
      </c>
      <c r="G840" s="240">
        <v>15077.84</v>
      </c>
    </row>
    <row r="841" spans="1:7" ht="14.25" x14ac:dyDescent="0.2">
      <c r="A841" s="237" t="s">
        <v>562</v>
      </c>
      <c r="B841" s="238" t="s">
        <v>3070</v>
      </c>
      <c r="C841" s="239" t="s">
        <v>50</v>
      </c>
      <c r="D841" s="240">
        <f t="shared" si="13"/>
        <v>3.8273044444444437</v>
      </c>
      <c r="E841" s="226" t="s">
        <v>5222</v>
      </c>
      <c r="G841" s="240">
        <v>3.57</v>
      </c>
    </row>
    <row r="842" spans="1:7" ht="14.25" x14ac:dyDescent="0.2">
      <c r="A842" s="237" t="s">
        <v>563</v>
      </c>
      <c r="B842" s="238" t="s">
        <v>3423</v>
      </c>
      <c r="C842" s="239" t="s">
        <v>38</v>
      </c>
      <c r="D842" s="240">
        <f t="shared" si="13"/>
        <v>178.48961259259261</v>
      </c>
      <c r="E842" s="226" t="s">
        <v>5222</v>
      </c>
      <c r="G842" s="240">
        <v>166.49</v>
      </c>
    </row>
    <row r="843" spans="1:7" ht="14.25" x14ac:dyDescent="0.2">
      <c r="A843" s="237" t="s">
        <v>564</v>
      </c>
      <c r="B843" s="238" t="s">
        <v>3424</v>
      </c>
      <c r="C843" s="239" t="s">
        <v>38</v>
      </c>
      <c r="D843" s="240">
        <f t="shared" si="13"/>
        <v>497.71038888888887</v>
      </c>
      <c r="E843" s="226" t="s">
        <v>5222</v>
      </c>
      <c r="G843" s="240">
        <v>464.25</v>
      </c>
    </row>
    <row r="844" spans="1:7" ht="14.25" x14ac:dyDescent="0.2">
      <c r="A844" s="237" t="s">
        <v>3425</v>
      </c>
      <c r="B844" s="238" t="s">
        <v>3067</v>
      </c>
      <c r="C844" s="239" t="s">
        <v>38</v>
      </c>
      <c r="D844" s="240">
        <f t="shared" si="13"/>
        <v>697.41634740740733</v>
      </c>
      <c r="E844" s="226" t="s">
        <v>5222</v>
      </c>
      <c r="G844" s="240">
        <v>650.53</v>
      </c>
    </row>
    <row r="845" spans="1:7" ht="14.25" x14ac:dyDescent="0.2">
      <c r="A845" s="237" t="s">
        <v>565</v>
      </c>
      <c r="B845" s="238" t="s">
        <v>3098</v>
      </c>
      <c r="C845" s="239" t="s">
        <v>50</v>
      </c>
      <c r="D845" s="240">
        <f t="shared" si="13"/>
        <v>337.30666592592593</v>
      </c>
      <c r="E845" s="226" t="s">
        <v>5222</v>
      </c>
      <c r="G845" s="240">
        <v>314.63</v>
      </c>
    </row>
    <row r="846" spans="1:7" ht="14.25" x14ac:dyDescent="0.2">
      <c r="A846" s="237" t="s">
        <v>566</v>
      </c>
      <c r="B846" s="238" t="s">
        <v>3099</v>
      </c>
      <c r="C846" s="239" t="s">
        <v>50</v>
      </c>
      <c r="D846" s="240">
        <f t="shared" si="13"/>
        <v>512.06546074074072</v>
      </c>
      <c r="E846" s="226" t="s">
        <v>5222</v>
      </c>
      <c r="G846" s="240">
        <v>477.64</v>
      </c>
    </row>
    <row r="847" spans="1:7" ht="14.25" x14ac:dyDescent="0.2">
      <c r="A847" s="237" t="s">
        <v>567</v>
      </c>
      <c r="B847" s="238" t="s">
        <v>3100</v>
      </c>
      <c r="C847" s="239" t="s">
        <v>50</v>
      </c>
      <c r="D847" s="240">
        <f t="shared" si="13"/>
        <v>210.8340874074074</v>
      </c>
      <c r="E847" s="226" t="s">
        <v>5222</v>
      </c>
      <c r="G847" s="240">
        <v>196.66</v>
      </c>
    </row>
    <row r="848" spans="1:7" ht="14.25" x14ac:dyDescent="0.2">
      <c r="A848" s="237" t="s">
        <v>568</v>
      </c>
      <c r="B848" s="238" t="s">
        <v>3426</v>
      </c>
      <c r="C848" s="239" t="s">
        <v>38</v>
      </c>
      <c r="D848" s="240">
        <f t="shared" si="13"/>
        <v>177.46042148148146</v>
      </c>
      <c r="E848" s="226" t="s">
        <v>5222</v>
      </c>
      <c r="G848" s="240">
        <v>165.53</v>
      </c>
    </row>
    <row r="849" spans="1:7" ht="14.25" x14ac:dyDescent="0.2">
      <c r="A849" s="237" t="s">
        <v>569</v>
      </c>
      <c r="B849" s="238" t="s">
        <v>3427</v>
      </c>
      <c r="C849" s="239" t="s">
        <v>38</v>
      </c>
      <c r="D849" s="240">
        <f t="shared" si="13"/>
        <v>646.2998555555555</v>
      </c>
      <c r="E849" s="226" t="s">
        <v>5222</v>
      </c>
      <c r="G849" s="240">
        <v>602.85</v>
      </c>
    </row>
    <row r="850" spans="1:7" ht="14.25" x14ac:dyDescent="0.2">
      <c r="A850" s="237" t="s">
        <v>570</v>
      </c>
      <c r="B850" s="238" t="s">
        <v>3428</v>
      </c>
      <c r="C850" s="239" t="s">
        <v>38</v>
      </c>
      <c r="D850" s="240">
        <f t="shared" si="13"/>
        <v>139.08016962962961</v>
      </c>
      <c r="E850" s="226" t="s">
        <v>5222</v>
      </c>
      <c r="G850" s="240">
        <v>129.72999999999999</v>
      </c>
    </row>
    <row r="851" spans="1:7" ht="14.25" x14ac:dyDescent="0.2">
      <c r="A851" s="237" t="s">
        <v>2360</v>
      </c>
      <c r="B851" s="238" t="s">
        <v>3429</v>
      </c>
      <c r="C851" s="239" t="s">
        <v>79</v>
      </c>
      <c r="D851" s="240">
        <f t="shared" si="13"/>
        <v>39.002054814814819</v>
      </c>
      <c r="E851" s="226" t="s">
        <v>5222</v>
      </c>
      <c r="G851" s="240">
        <v>36.380000000000003</v>
      </c>
    </row>
    <row r="852" spans="1:7" ht="14.25" x14ac:dyDescent="0.2">
      <c r="A852" s="237" t="s">
        <v>2361</v>
      </c>
      <c r="B852" s="238" t="s">
        <v>2845</v>
      </c>
      <c r="C852" s="239" t="s">
        <v>50</v>
      </c>
      <c r="D852" s="240">
        <f t="shared" si="13"/>
        <v>326.18925777777775</v>
      </c>
      <c r="E852" s="226" t="s">
        <v>5222</v>
      </c>
      <c r="G852" s="240">
        <v>304.26</v>
      </c>
    </row>
    <row r="853" spans="1:7" ht="14.25" x14ac:dyDescent="0.2">
      <c r="A853" s="237" t="s">
        <v>2362</v>
      </c>
      <c r="B853" s="238" t="s">
        <v>2844</v>
      </c>
      <c r="C853" s="239" t="s">
        <v>50</v>
      </c>
      <c r="D853" s="240">
        <f t="shared" si="13"/>
        <v>593.6717392592592</v>
      </c>
      <c r="E853" s="226" t="s">
        <v>5222</v>
      </c>
      <c r="G853" s="240">
        <v>553.76</v>
      </c>
    </row>
    <row r="854" spans="1:7" ht="14.25" x14ac:dyDescent="0.2">
      <c r="A854" s="237" t="s">
        <v>2363</v>
      </c>
      <c r="B854" s="238" t="s">
        <v>3430</v>
      </c>
      <c r="C854" s="239" t="s">
        <v>81</v>
      </c>
      <c r="D854" s="240">
        <f t="shared" si="13"/>
        <v>2.7766718518518516</v>
      </c>
      <c r="E854" s="226" t="s">
        <v>5222</v>
      </c>
      <c r="G854" s="240">
        <v>2.59</v>
      </c>
    </row>
    <row r="855" spans="1:7" ht="14.25" x14ac:dyDescent="0.2">
      <c r="A855" s="237" t="s">
        <v>2364</v>
      </c>
      <c r="B855" s="238" t="s">
        <v>3431</v>
      </c>
      <c r="C855" s="239" t="s">
        <v>38</v>
      </c>
      <c r="D855" s="240">
        <f t="shared" si="13"/>
        <v>23.296169629629627</v>
      </c>
      <c r="E855" s="226" t="s">
        <v>5222</v>
      </c>
      <c r="G855" s="240">
        <v>21.73</v>
      </c>
    </row>
    <row r="856" spans="1:7" ht="14.25" x14ac:dyDescent="0.2">
      <c r="A856" s="237" t="s">
        <v>2365</v>
      </c>
      <c r="B856" s="238" t="s">
        <v>3432</v>
      </c>
      <c r="C856" s="239" t="s">
        <v>38</v>
      </c>
      <c r="D856" s="240">
        <f t="shared" si="13"/>
        <v>8.8982148148148141</v>
      </c>
      <c r="E856" s="226" t="s">
        <v>5222</v>
      </c>
      <c r="G856" s="240">
        <v>8.3000000000000007</v>
      </c>
    </row>
    <row r="857" spans="1:7" ht="14.25" x14ac:dyDescent="0.2">
      <c r="A857" s="237" t="s">
        <v>2366</v>
      </c>
      <c r="B857" s="238" t="s">
        <v>3433</v>
      </c>
      <c r="C857" s="239" t="s">
        <v>27</v>
      </c>
      <c r="D857" s="240">
        <f t="shared" si="13"/>
        <v>61.697862962962958</v>
      </c>
      <c r="E857" s="226" t="s">
        <v>5222</v>
      </c>
      <c r="G857" s="240">
        <v>57.55</v>
      </c>
    </row>
    <row r="858" spans="1:7" ht="14.25" x14ac:dyDescent="0.2">
      <c r="A858" s="237" t="s">
        <v>2367</v>
      </c>
      <c r="B858" s="238" t="s">
        <v>3434</v>
      </c>
      <c r="C858" s="239" t="s">
        <v>38</v>
      </c>
      <c r="D858" s="240">
        <f t="shared" si="13"/>
        <v>67.89445111111111</v>
      </c>
      <c r="E858" s="226" t="s">
        <v>5222</v>
      </c>
      <c r="G858" s="240">
        <v>63.33</v>
      </c>
    </row>
    <row r="859" spans="1:7" ht="14.25" x14ac:dyDescent="0.2">
      <c r="A859" s="237" t="s">
        <v>2368</v>
      </c>
      <c r="B859" s="238" t="s">
        <v>3435</v>
      </c>
      <c r="C859" s="239" t="s">
        <v>38</v>
      </c>
      <c r="D859" s="240">
        <f t="shared" si="13"/>
        <v>7.7403748148148139</v>
      </c>
      <c r="E859" s="226" t="s">
        <v>5222</v>
      </c>
      <c r="G859" s="240">
        <v>7.22</v>
      </c>
    </row>
    <row r="860" spans="1:7" ht="14.25" x14ac:dyDescent="0.2">
      <c r="A860" s="237" t="s">
        <v>2369</v>
      </c>
      <c r="B860" s="238" t="s">
        <v>3436</v>
      </c>
      <c r="C860" s="239" t="s">
        <v>38</v>
      </c>
      <c r="D860" s="240">
        <f t="shared" si="13"/>
        <v>11.310381481481482</v>
      </c>
      <c r="E860" s="226" t="s">
        <v>5222</v>
      </c>
      <c r="G860" s="240">
        <v>10.55</v>
      </c>
    </row>
    <row r="861" spans="1:7" ht="14.25" x14ac:dyDescent="0.2">
      <c r="A861" s="237" t="s">
        <v>2578</v>
      </c>
      <c r="B861" s="238" t="s">
        <v>3437</v>
      </c>
      <c r="C861" s="239" t="s">
        <v>38</v>
      </c>
      <c r="D861" s="240">
        <f t="shared" si="13"/>
        <v>130.33204518518517</v>
      </c>
      <c r="E861" s="226" t="s">
        <v>5222</v>
      </c>
      <c r="G861" s="240">
        <v>121.57</v>
      </c>
    </row>
    <row r="862" spans="1:7" ht="14.25" x14ac:dyDescent="0.2">
      <c r="A862" s="237" t="s">
        <v>2370</v>
      </c>
      <c r="B862" s="238" t="s">
        <v>3438</v>
      </c>
      <c r="C862" s="239" t="s">
        <v>38</v>
      </c>
      <c r="D862" s="240">
        <f t="shared" si="13"/>
        <v>9.2841614814814815</v>
      </c>
      <c r="E862" s="226" t="s">
        <v>5222</v>
      </c>
      <c r="G862" s="240">
        <v>8.66</v>
      </c>
    </row>
    <row r="863" spans="1:7" ht="14.25" x14ac:dyDescent="0.2">
      <c r="A863" s="237" t="s">
        <v>2371</v>
      </c>
      <c r="B863" s="238" t="s">
        <v>3439</v>
      </c>
      <c r="C863" s="239" t="s">
        <v>27</v>
      </c>
      <c r="D863" s="240">
        <f t="shared" si="13"/>
        <v>8.962539259259259</v>
      </c>
      <c r="E863" s="226" t="s">
        <v>5222</v>
      </c>
      <c r="G863" s="240">
        <v>8.36</v>
      </c>
    </row>
    <row r="864" spans="1:7" ht="14.25" x14ac:dyDescent="0.2">
      <c r="A864" s="237" t="s">
        <v>2372</v>
      </c>
      <c r="B864" s="238" t="s">
        <v>3440</v>
      </c>
      <c r="C864" s="239" t="s">
        <v>38</v>
      </c>
      <c r="D864" s="240">
        <f t="shared" si="13"/>
        <v>12.275248148148147</v>
      </c>
      <c r="E864" s="226" t="s">
        <v>5222</v>
      </c>
      <c r="G864" s="240">
        <v>11.45</v>
      </c>
    </row>
    <row r="865" spans="1:7" ht="14.25" x14ac:dyDescent="0.2">
      <c r="A865" s="237" t="s">
        <v>2373</v>
      </c>
      <c r="B865" s="238" t="s">
        <v>3076</v>
      </c>
      <c r="C865" s="239" t="s">
        <v>50</v>
      </c>
      <c r="D865" s="240">
        <f t="shared" si="13"/>
        <v>33.663125925925925</v>
      </c>
      <c r="E865" s="226" t="s">
        <v>5222</v>
      </c>
      <c r="G865" s="240">
        <v>31.4</v>
      </c>
    </row>
    <row r="866" spans="1:7" ht="14.25" x14ac:dyDescent="0.2">
      <c r="A866" s="237" t="s">
        <v>2374</v>
      </c>
      <c r="B866" s="238" t="s">
        <v>3077</v>
      </c>
      <c r="C866" s="239" t="s">
        <v>50</v>
      </c>
      <c r="D866" s="240">
        <f t="shared" si="13"/>
        <v>37.597637777777777</v>
      </c>
      <c r="E866" s="226" t="s">
        <v>5222</v>
      </c>
      <c r="G866" s="240">
        <v>35.07</v>
      </c>
    </row>
    <row r="867" spans="1:7" ht="14.25" x14ac:dyDescent="0.2">
      <c r="A867" s="237" t="s">
        <v>571</v>
      </c>
      <c r="B867" s="238" t="s">
        <v>3441</v>
      </c>
      <c r="C867" s="239" t="s">
        <v>38</v>
      </c>
      <c r="D867" s="240">
        <f t="shared" si="13"/>
        <v>88.381786666666656</v>
      </c>
      <c r="E867" s="226" t="s">
        <v>5222</v>
      </c>
      <c r="G867" s="240">
        <v>82.44</v>
      </c>
    </row>
    <row r="868" spans="1:7" ht="14.25" x14ac:dyDescent="0.2">
      <c r="A868" s="237" t="s">
        <v>572</v>
      </c>
      <c r="B868" s="238" t="s">
        <v>3442</v>
      </c>
      <c r="C868" s="239" t="s">
        <v>38</v>
      </c>
      <c r="D868" s="240">
        <f t="shared" si="13"/>
        <v>74.862932592592585</v>
      </c>
      <c r="E868" s="226" t="s">
        <v>5222</v>
      </c>
      <c r="G868" s="240">
        <v>69.83</v>
      </c>
    </row>
    <row r="869" spans="1:7" ht="14.25" x14ac:dyDescent="0.2">
      <c r="A869" s="237" t="s">
        <v>5177</v>
      </c>
      <c r="B869" s="238" t="s">
        <v>5178</v>
      </c>
      <c r="C869" s="239" t="s">
        <v>28</v>
      </c>
      <c r="D869" s="240">
        <f t="shared" si="13"/>
        <v>17.603456296296297</v>
      </c>
      <c r="E869" s="226" t="s">
        <v>5222</v>
      </c>
      <c r="G869" s="240">
        <v>16.420000000000002</v>
      </c>
    </row>
    <row r="870" spans="1:7" ht="14.25" x14ac:dyDescent="0.2">
      <c r="A870" s="237" t="s">
        <v>2375</v>
      </c>
      <c r="B870" s="238" t="s">
        <v>3443</v>
      </c>
      <c r="C870" s="239" t="s">
        <v>28</v>
      </c>
      <c r="D870" s="240">
        <f t="shared" si="13"/>
        <v>90.408006666666665</v>
      </c>
      <c r="E870" s="226" t="s">
        <v>5222</v>
      </c>
      <c r="G870" s="240">
        <v>84.33</v>
      </c>
    </row>
    <row r="871" spans="1:7" ht="14.25" x14ac:dyDescent="0.2">
      <c r="A871" s="237" t="s">
        <v>5179</v>
      </c>
      <c r="B871" s="238" t="s">
        <v>5180</v>
      </c>
      <c r="C871" s="239" t="s">
        <v>28</v>
      </c>
      <c r="D871" s="240">
        <f t="shared" si="13"/>
        <v>14.48372074074074</v>
      </c>
      <c r="E871" s="226" t="s">
        <v>5222</v>
      </c>
      <c r="G871" s="240">
        <v>13.51</v>
      </c>
    </row>
    <row r="872" spans="1:7" ht="14.25" x14ac:dyDescent="0.2">
      <c r="A872" s="237" t="s">
        <v>5181</v>
      </c>
      <c r="B872" s="238" t="s">
        <v>5182</v>
      </c>
      <c r="C872" s="239" t="s">
        <v>28</v>
      </c>
      <c r="D872" s="240">
        <f t="shared" si="13"/>
        <v>36.182499999999997</v>
      </c>
      <c r="E872" s="226" t="s">
        <v>5222</v>
      </c>
      <c r="G872" s="240">
        <v>33.75</v>
      </c>
    </row>
    <row r="873" spans="1:7" ht="14.25" x14ac:dyDescent="0.2">
      <c r="A873" s="237" t="s">
        <v>5183</v>
      </c>
      <c r="B873" s="238" t="s">
        <v>5184</v>
      </c>
      <c r="C873" s="239" t="s">
        <v>28</v>
      </c>
      <c r="D873" s="240">
        <f t="shared" si="13"/>
        <v>72.354279259259258</v>
      </c>
      <c r="E873" s="226" t="s">
        <v>5222</v>
      </c>
      <c r="G873" s="240">
        <v>67.489999999999995</v>
      </c>
    </row>
    <row r="874" spans="1:7" ht="14.25" x14ac:dyDescent="0.2">
      <c r="A874" s="237" t="s">
        <v>5185</v>
      </c>
      <c r="B874" s="238" t="s">
        <v>5186</v>
      </c>
      <c r="C874" s="239" t="s">
        <v>28</v>
      </c>
      <c r="D874" s="240">
        <f t="shared" si="13"/>
        <v>11.72849037037037</v>
      </c>
      <c r="E874" s="226" t="s">
        <v>5222</v>
      </c>
      <c r="G874" s="240">
        <v>10.94</v>
      </c>
    </row>
    <row r="875" spans="1:7" ht="14.25" x14ac:dyDescent="0.2">
      <c r="A875" s="237" t="s">
        <v>2376</v>
      </c>
      <c r="B875" s="238" t="s">
        <v>3444</v>
      </c>
      <c r="C875" s="239" t="s">
        <v>28</v>
      </c>
      <c r="D875" s="240">
        <f t="shared" si="13"/>
        <v>30.136002222222217</v>
      </c>
      <c r="E875" s="226" t="s">
        <v>5222</v>
      </c>
      <c r="G875" s="240">
        <v>28.11</v>
      </c>
    </row>
    <row r="876" spans="1:7" ht="14.25" x14ac:dyDescent="0.2">
      <c r="A876" s="237" t="s">
        <v>2377</v>
      </c>
      <c r="B876" s="238" t="s">
        <v>3445</v>
      </c>
      <c r="C876" s="239" t="s">
        <v>28</v>
      </c>
      <c r="D876" s="240">
        <f t="shared" si="13"/>
        <v>16.070390370370369</v>
      </c>
      <c r="E876" s="226" t="s">
        <v>5222</v>
      </c>
      <c r="G876" s="240">
        <v>14.99</v>
      </c>
    </row>
    <row r="877" spans="1:7" ht="14.25" x14ac:dyDescent="0.2">
      <c r="A877" s="237" t="s">
        <v>2378</v>
      </c>
      <c r="B877" s="238" t="s">
        <v>3446</v>
      </c>
      <c r="C877" s="239" t="s">
        <v>28</v>
      </c>
      <c r="D877" s="240">
        <f t="shared" si="13"/>
        <v>48.854415555555555</v>
      </c>
      <c r="E877" s="226" t="s">
        <v>5222</v>
      </c>
      <c r="G877" s="240">
        <v>45.57</v>
      </c>
    </row>
    <row r="878" spans="1:7" ht="14.25" x14ac:dyDescent="0.2">
      <c r="A878" s="237" t="s">
        <v>2379</v>
      </c>
      <c r="B878" s="238" t="s">
        <v>3447</v>
      </c>
      <c r="C878" s="239" t="s">
        <v>28</v>
      </c>
      <c r="D878" s="240">
        <f t="shared" si="13"/>
        <v>77.14645037037036</v>
      </c>
      <c r="E878" s="226" t="s">
        <v>5222</v>
      </c>
      <c r="G878" s="240">
        <v>71.959999999999994</v>
      </c>
    </row>
    <row r="879" spans="1:7" ht="14.25" x14ac:dyDescent="0.2">
      <c r="A879" s="237" t="s">
        <v>2380</v>
      </c>
      <c r="B879" s="238" t="s">
        <v>3448</v>
      </c>
      <c r="C879" s="239" t="s">
        <v>28</v>
      </c>
      <c r="D879" s="240">
        <f t="shared" si="13"/>
        <v>7.5902844444444444</v>
      </c>
      <c r="E879" s="226" t="s">
        <v>5222</v>
      </c>
      <c r="G879" s="240">
        <v>7.08</v>
      </c>
    </row>
    <row r="880" spans="1:7" ht="14.25" x14ac:dyDescent="0.2">
      <c r="A880" s="237" t="s">
        <v>2381</v>
      </c>
      <c r="B880" s="238" t="s">
        <v>3449</v>
      </c>
      <c r="C880" s="239" t="s">
        <v>28</v>
      </c>
      <c r="D880" s="240">
        <f t="shared" si="13"/>
        <v>12.210923703703703</v>
      </c>
      <c r="E880" s="226" t="s">
        <v>5222</v>
      </c>
      <c r="G880" s="240">
        <v>11.39</v>
      </c>
    </row>
    <row r="881" spans="1:7" ht="14.25" x14ac:dyDescent="0.2">
      <c r="A881" s="237" t="s">
        <v>2382</v>
      </c>
      <c r="B881" s="238" t="s">
        <v>3450</v>
      </c>
      <c r="C881" s="239" t="s">
        <v>28</v>
      </c>
      <c r="D881" s="240">
        <f t="shared" si="13"/>
        <v>195.43910370370372</v>
      </c>
      <c r="E881" s="226" t="s">
        <v>5222</v>
      </c>
      <c r="G881" s="240">
        <v>182.3</v>
      </c>
    </row>
    <row r="882" spans="1:7" ht="14.25" x14ac:dyDescent="0.2">
      <c r="A882" s="237" t="s">
        <v>2383</v>
      </c>
      <c r="B882" s="238" t="s">
        <v>3451</v>
      </c>
      <c r="C882" s="239" t="s">
        <v>38</v>
      </c>
      <c r="D882" s="240">
        <f t="shared" si="13"/>
        <v>162.24769037037038</v>
      </c>
      <c r="E882" s="226" t="s">
        <v>5222</v>
      </c>
      <c r="G882" s="240">
        <v>151.34</v>
      </c>
    </row>
    <row r="883" spans="1:7" ht="14.25" x14ac:dyDescent="0.2">
      <c r="A883" s="237" t="s">
        <v>2384</v>
      </c>
      <c r="B883" s="238" t="s">
        <v>3382</v>
      </c>
      <c r="C883" s="239" t="s">
        <v>38</v>
      </c>
      <c r="D883" s="240">
        <f t="shared" si="13"/>
        <v>194.18477703703704</v>
      </c>
      <c r="E883" s="226" t="s">
        <v>5222</v>
      </c>
      <c r="G883" s="240">
        <v>181.13</v>
      </c>
    </row>
    <row r="884" spans="1:7" ht="14.25" x14ac:dyDescent="0.2">
      <c r="A884" s="237" t="s">
        <v>2385</v>
      </c>
      <c r="B884" s="238" t="s">
        <v>3452</v>
      </c>
      <c r="C884" s="239" t="s">
        <v>38</v>
      </c>
      <c r="D884" s="240">
        <f t="shared" si="13"/>
        <v>149.47928814814816</v>
      </c>
      <c r="E884" s="226" t="s">
        <v>5222</v>
      </c>
      <c r="G884" s="240">
        <v>139.43</v>
      </c>
    </row>
    <row r="885" spans="1:7" ht="14.25" x14ac:dyDescent="0.2">
      <c r="A885" s="237" t="s">
        <v>2386</v>
      </c>
      <c r="B885" s="238" t="s">
        <v>3080</v>
      </c>
      <c r="C885" s="239" t="s">
        <v>55</v>
      </c>
      <c r="D885" s="240">
        <f t="shared" si="13"/>
        <v>22.149050370370368</v>
      </c>
      <c r="E885" s="226" t="s">
        <v>5222</v>
      </c>
      <c r="G885" s="240">
        <v>20.66</v>
      </c>
    </row>
    <row r="886" spans="1:7" ht="14.25" x14ac:dyDescent="0.2">
      <c r="A886" s="237" t="s">
        <v>2387</v>
      </c>
      <c r="B886" s="238" t="s">
        <v>3453</v>
      </c>
      <c r="C886" s="239" t="s">
        <v>55</v>
      </c>
      <c r="D886" s="240">
        <f t="shared" si="13"/>
        <v>18.418232592592592</v>
      </c>
      <c r="E886" s="226" t="s">
        <v>5222</v>
      </c>
      <c r="G886" s="240">
        <v>17.18</v>
      </c>
    </row>
    <row r="887" spans="1:7" ht="14.25" x14ac:dyDescent="0.2">
      <c r="A887" s="237" t="s">
        <v>2388</v>
      </c>
      <c r="B887" s="238" t="s">
        <v>3082</v>
      </c>
      <c r="C887" s="239" t="s">
        <v>55</v>
      </c>
      <c r="D887" s="240">
        <f t="shared" si="13"/>
        <v>23.092475555555552</v>
      </c>
      <c r="E887" s="226" t="s">
        <v>5222</v>
      </c>
      <c r="G887" s="240">
        <v>21.54</v>
      </c>
    </row>
    <row r="888" spans="1:7" ht="14.25" x14ac:dyDescent="0.2">
      <c r="A888" s="237" t="s">
        <v>2389</v>
      </c>
      <c r="B888" s="238" t="s">
        <v>3268</v>
      </c>
      <c r="C888" s="239" t="s">
        <v>55</v>
      </c>
      <c r="D888" s="240">
        <f t="shared" si="13"/>
        <v>37.554754814814814</v>
      </c>
      <c r="E888" s="226" t="s">
        <v>5222</v>
      </c>
      <c r="G888" s="240">
        <v>35.03</v>
      </c>
    </row>
    <row r="889" spans="1:7" ht="14.25" x14ac:dyDescent="0.2">
      <c r="A889" s="237" t="s">
        <v>2390</v>
      </c>
      <c r="B889" s="238" t="s">
        <v>3083</v>
      </c>
      <c r="C889" s="239" t="s">
        <v>55</v>
      </c>
      <c r="D889" s="240">
        <f t="shared" si="13"/>
        <v>21.344994814814815</v>
      </c>
      <c r="E889" s="226" t="s">
        <v>5222</v>
      </c>
      <c r="G889" s="240">
        <v>19.91</v>
      </c>
    </row>
    <row r="890" spans="1:7" ht="14.25" x14ac:dyDescent="0.2">
      <c r="A890" s="237" t="s">
        <v>2391</v>
      </c>
      <c r="B890" s="238" t="s">
        <v>3454</v>
      </c>
      <c r="C890" s="239" t="s">
        <v>55</v>
      </c>
      <c r="D890" s="240">
        <f t="shared" si="13"/>
        <v>35.206912592592595</v>
      </c>
      <c r="E890" s="226" t="s">
        <v>5222</v>
      </c>
      <c r="G890" s="240">
        <v>32.840000000000003</v>
      </c>
    </row>
    <row r="891" spans="1:7" ht="14.25" x14ac:dyDescent="0.2">
      <c r="A891" s="237" t="s">
        <v>2392</v>
      </c>
      <c r="B891" s="238" t="s">
        <v>3455</v>
      </c>
      <c r="C891" s="239" t="s">
        <v>55</v>
      </c>
      <c r="D891" s="240">
        <f t="shared" si="13"/>
        <v>13.59389925925926</v>
      </c>
      <c r="E891" s="226" t="s">
        <v>5222</v>
      </c>
      <c r="G891" s="240">
        <v>12.68</v>
      </c>
    </row>
    <row r="892" spans="1:7" ht="14.25" x14ac:dyDescent="0.2">
      <c r="A892" s="237" t="s">
        <v>2393</v>
      </c>
      <c r="B892" s="238" t="s">
        <v>3456</v>
      </c>
      <c r="C892" s="239" t="s">
        <v>55</v>
      </c>
      <c r="D892" s="240">
        <f t="shared" si="13"/>
        <v>55.32974296296296</v>
      </c>
      <c r="E892" s="226" t="s">
        <v>5222</v>
      </c>
      <c r="G892" s="240">
        <v>51.61</v>
      </c>
    </row>
    <row r="893" spans="1:7" ht="14.25" x14ac:dyDescent="0.2">
      <c r="A893" s="237" t="s">
        <v>2394</v>
      </c>
      <c r="B893" s="238" t="s">
        <v>3457</v>
      </c>
      <c r="C893" s="239" t="s">
        <v>28</v>
      </c>
      <c r="D893" s="240">
        <f t="shared" si="13"/>
        <v>37.715565925925922</v>
      </c>
      <c r="E893" s="226" t="s">
        <v>5222</v>
      </c>
      <c r="G893" s="240">
        <v>35.18</v>
      </c>
    </row>
    <row r="894" spans="1:7" ht="14.25" x14ac:dyDescent="0.2">
      <c r="A894" s="237" t="s">
        <v>2395</v>
      </c>
      <c r="B894" s="238" t="s">
        <v>3458</v>
      </c>
      <c r="C894" s="239" t="s">
        <v>28</v>
      </c>
      <c r="D894" s="240">
        <f t="shared" si="13"/>
        <v>49.712074814814805</v>
      </c>
      <c r="E894" s="226" t="s">
        <v>5222</v>
      </c>
      <c r="G894" s="240">
        <v>46.37</v>
      </c>
    </row>
    <row r="895" spans="1:7" ht="14.25" x14ac:dyDescent="0.2">
      <c r="A895" s="237" t="s">
        <v>2396</v>
      </c>
      <c r="B895" s="238" t="s">
        <v>3459</v>
      </c>
      <c r="C895" s="239" t="s">
        <v>28</v>
      </c>
      <c r="D895" s="240">
        <f t="shared" si="13"/>
        <v>75.35608666666667</v>
      </c>
      <c r="E895" s="226" t="s">
        <v>5222</v>
      </c>
      <c r="G895" s="240">
        <v>70.290000000000006</v>
      </c>
    </row>
    <row r="896" spans="1:7" ht="14.25" x14ac:dyDescent="0.2">
      <c r="A896" s="237" t="s">
        <v>2397</v>
      </c>
      <c r="B896" s="238" t="s">
        <v>3460</v>
      </c>
      <c r="C896" s="239" t="s">
        <v>28</v>
      </c>
      <c r="D896" s="240">
        <f t="shared" si="13"/>
        <v>124.23194370370368</v>
      </c>
      <c r="E896" s="226" t="s">
        <v>5222</v>
      </c>
      <c r="G896" s="240">
        <v>115.88</v>
      </c>
    </row>
    <row r="897" spans="1:7" ht="14.25" x14ac:dyDescent="0.2">
      <c r="A897" s="237" t="s">
        <v>2398</v>
      </c>
      <c r="B897" s="238" t="s">
        <v>3461</v>
      </c>
      <c r="C897" s="239" t="s">
        <v>28</v>
      </c>
      <c r="D897" s="240">
        <f t="shared" si="13"/>
        <v>23.885810370370368</v>
      </c>
      <c r="E897" s="226" t="s">
        <v>5222</v>
      </c>
      <c r="G897" s="240">
        <v>22.28</v>
      </c>
    </row>
    <row r="898" spans="1:7" ht="14.25" x14ac:dyDescent="0.2">
      <c r="A898" s="237" t="s">
        <v>2399</v>
      </c>
      <c r="B898" s="238" t="s">
        <v>3462</v>
      </c>
      <c r="C898" s="239" t="s">
        <v>28</v>
      </c>
      <c r="D898" s="240">
        <f t="shared" si="13"/>
        <v>34.703037777777773</v>
      </c>
      <c r="E898" s="226" t="s">
        <v>5222</v>
      </c>
      <c r="G898" s="240">
        <v>32.369999999999997</v>
      </c>
    </row>
    <row r="899" spans="1:7" ht="14.25" x14ac:dyDescent="0.2">
      <c r="A899" s="237" t="s">
        <v>2400</v>
      </c>
      <c r="B899" s="238" t="s">
        <v>3463</v>
      </c>
      <c r="C899" s="239" t="s">
        <v>28</v>
      </c>
      <c r="D899" s="240">
        <f t="shared" si="13"/>
        <v>45.123597777777775</v>
      </c>
      <c r="E899" s="226" t="s">
        <v>5222</v>
      </c>
      <c r="G899" s="240">
        <v>42.09</v>
      </c>
    </row>
    <row r="900" spans="1:7" ht="14.25" x14ac:dyDescent="0.2">
      <c r="A900" s="237" t="s">
        <v>2401</v>
      </c>
      <c r="B900" s="238" t="s">
        <v>3464</v>
      </c>
      <c r="C900" s="239" t="s">
        <v>28</v>
      </c>
      <c r="D900" s="240">
        <f t="shared" si="13"/>
        <v>68.065982962962963</v>
      </c>
      <c r="E900" s="226" t="s">
        <v>5222</v>
      </c>
      <c r="G900" s="240">
        <v>63.49</v>
      </c>
    </row>
    <row r="901" spans="1:7" ht="14.25" x14ac:dyDescent="0.2">
      <c r="A901" s="237" t="s">
        <v>2402</v>
      </c>
      <c r="B901" s="238" t="s">
        <v>3465</v>
      </c>
      <c r="C901" s="239" t="s">
        <v>55</v>
      </c>
      <c r="D901" s="240">
        <f t="shared" si="13"/>
        <v>112.61066074074074</v>
      </c>
      <c r="E901" s="226" t="s">
        <v>5222</v>
      </c>
      <c r="G901" s="240">
        <v>105.04</v>
      </c>
    </row>
    <row r="902" spans="1:7" ht="14.25" x14ac:dyDescent="0.2">
      <c r="A902" s="237" t="s">
        <v>2403</v>
      </c>
      <c r="B902" s="238" t="s">
        <v>3466</v>
      </c>
      <c r="C902" s="239" t="s">
        <v>28</v>
      </c>
      <c r="D902" s="240">
        <f t="shared" si="13"/>
        <v>1091.0283437037035</v>
      </c>
      <c r="E902" s="226" t="s">
        <v>5222</v>
      </c>
      <c r="G902" s="240">
        <v>1017.68</v>
      </c>
    </row>
    <row r="903" spans="1:7" ht="14.25" x14ac:dyDescent="0.2">
      <c r="A903" s="237" t="s">
        <v>2404</v>
      </c>
      <c r="B903" s="238" t="s">
        <v>3467</v>
      </c>
      <c r="C903" s="239" t="s">
        <v>28</v>
      </c>
      <c r="D903" s="240">
        <f t="shared" si="13"/>
        <v>887.97751407407407</v>
      </c>
      <c r="E903" s="226" t="s">
        <v>5222</v>
      </c>
      <c r="G903" s="240">
        <v>828.28</v>
      </c>
    </row>
    <row r="904" spans="1:7" ht="14.25" x14ac:dyDescent="0.2">
      <c r="A904" s="237" t="s">
        <v>2405</v>
      </c>
      <c r="B904" s="238" t="s">
        <v>3468</v>
      </c>
      <c r="C904" s="239" t="s">
        <v>28</v>
      </c>
      <c r="D904" s="240">
        <f t="shared" ref="D904:D967" si="14">(G904/(1+0.35))*(1+$D$3)</f>
        <v>716.4992659259259</v>
      </c>
      <c r="E904" s="226" t="s">
        <v>5222</v>
      </c>
      <c r="G904" s="240">
        <v>668.33</v>
      </c>
    </row>
    <row r="905" spans="1:7" ht="14.25" x14ac:dyDescent="0.2">
      <c r="A905" s="237" t="s">
        <v>2406</v>
      </c>
      <c r="B905" s="238" t="s">
        <v>3390</v>
      </c>
      <c r="C905" s="239" t="s">
        <v>28</v>
      </c>
      <c r="D905" s="240">
        <f t="shared" si="14"/>
        <v>1163.7149659259258</v>
      </c>
      <c r="E905" s="226" t="s">
        <v>5222</v>
      </c>
      <c r="G905" s="240">
        <v>1085.48</v>
      </c>
    </row>
    <row r="906" spans="1:7" ht="14.25" x14ac:dyDescent="0.2">
      <c r="A906" s="237" t="s">
        <v>2407</v>
      </c>
      <c r="B906" s="238" t="s">
        <v>3273</v>
      </c>
      <c r="C906" s="239" t="s">
        <v>28</v>
      </c>
      <c r="D906" s="240">
        <f t="shared" si="14"/>
        <v>1995.6551681481481</v>
      </c>
      <c r="E906" s="226" t="s">
        <v>5222</v>
      </c>
      <c r="G906" s="240">
        <v>1861.49</v>
      </c>
    </row>
    <row r="907" spans="1:7" ht="14.25" x14ac:dyDescent="0.2">
      <c r="A907" s="237" t="s">
        <v>2408</v>
      </c>
      <c r="B907" s="238" t="s">
        <v>3274</v>
      </c>
      <c r="C907" s="239" t="s">
        <v>28</v>
      </c>
      <c r="D907" s="240">
        <f t="shared" si="14"/>
        <v>4270.3712177777779</v>
      </c>
      <c r="E907" s="226" t="s">
        <v>5222</v>
      </c>
      <c r="G907" s="240">
        <v>3983.28</v>
      </c>
    </row>
    <row r="908" spans="1:7" ht="14.25" x14ac:dyDescent="0.2">
      <c r="A908" s="237" t="s">
        <v>2409</v>
      </c>
      <c r="B908" s="238" t="s">
        <v>3275</v>
      </c>
      <c r="C908" s="239" t="s">
        <v>28</v>
      </c>
      <c r="D908" s="240">
        <f t="shared" si="14"/>
        <v>5682.1534037037027</v>
      </c>
      <c r="E908" s="226" t="s">
        <v>5222</v>
      </c>
      <c r="G908" s="240">
        <v>5300.15</v>
      </c>
    </row>
    <row r="909" spans="1:7" ht="14.25" x14ac:dyDescent="0.2">
      <c r="A909" s="237" t="s">
        <v>2410</v>
      </c>
      <c r="B909" s="238" t="s">
        <v>3391</v>
      </c>
      <c r="C909" s="239" t="s">
        <v>28</v>
      </c>
      <c r="D909" s="240">
        <f t="shared" si="14"/>
        <v>133.97709703703703</v>
      </c>
      <c r="E909" s="226" t="s">
        <v>5222</v>
      </c>
      <c r="G909" s="240">
        <v>124.97</v>
      </c>
    </row>
    <row r="910" spans="1:7" ht="14.25" x14ac:dyDescent="0.2">
      <c r="A910" s="237" t="s">
        <v>2411</v>
      </c>
      <c r="B910" s="238" t="s">
        <v>3392</v>
      </c>
      <c r="C910" s="239" t="s">
        <v>28</v>
      </c>
      <c r="D910" s="240">
        <f t="shared" si="14"/>
        <v>186.06917629629629</v>
      </c>
      <c r="E910" s="226" t="s">
        <v>5222</v>
      </c>
      <c r="G910" s="240">
        <v>173.56</v>
      </c>
    </row>
    <row r="911" spans="1:7" ht="14.25" x14ac:dyDescent="0.2">
      <c r="A911" s="237" t="s">
        <v>2412</v>
      </c>
      <c r="B911" s="238" t="s">
        <v>3279</v>
      </c>
      <c r="C911" s="239" t="s">
        <v>28</v>
      </c>
      <c r="D911" s="240">
        <f t="shared" si="14"/>
        <v>416.91888666666665</v>
      </c>
      <c r="E911" s="226" t="s">
        <v>5222</v>
      </c>
      <c r="G911" s="240">
        <v>388.89</v>
      </c>
    </row>
    <row r="912" spans="1:7" ht="14.25" x14ac:dyDescent="0.2">
      <c r="A912" s="237" t="s">
        <v>573</v>
      </c>
      <c r="B912" s="238" t="s">
        <v>3280</v>
      </c>
      <c r="C912" s="239" t="s">
        <v>28</v>
      </c>
      <c r="D912" s="240">
        <f t="shared" si="14"/>
        <v>1100.3017844444444</v>
      </c>
      <c r="E912" s="226" t="s">
        <v>5222</v>
      </c>
      <c r="G912" s="240">
        <v>1026.33</v>
      </c>
    </row>
    <row r="913" spans="1:7" ht="14.25" x14ac:dyDescent="0.2">
      <c r="A913" s="237" t="s">
        <v>574</v>
      </c>
      <c r="B913" s="238" t="s">
        <v>3469</v>
      </c>
      <c r="C913" s="239" t="s">
        <v>28</v>
      </c>
      <c r="D913" s="240">
        <f t="shared" si="14"/>
        <v>3734.6450822222218</v>
      </c>
      <c r="E913" s="226" t="s">
        <v>5222</v>
      </c>
      <c r="G913" s="240">
        <v>3483.57</v>
      </c>
    </row>
    <row r="914" spans="1:7" ht="14.25" x14ac:dyDescent="0.2">
      <c r="A914" s="237" t="s">
        <v>575</v>
      </c>
      <c r="B914" s="238" t="s">
        <v>3282</v>
      </c>
      <c r="C914" s="239" t="s">
        <v>28</v>
      </c>
      <c r="D914" s="240">
        <f t="shared" si="14"/>
        <v>5142.9430274074066</v>
      </c>
      <c r="E914" s="226" t="s">
        <v>5222</v>
      </c>
      <c r="G914" s="240">
        <v>4797.1899999999996</v>
      </c>
    </row>
    <row r="915" spans="1:7" ht="14.25" x14ac:dyDescent="0.2">
      <c r="A915" s="237" t="s">
        <v>576</v>
      </c>
      <c r="B915" s="238" t="s">
        <v>3470</v>
      </c>
      <c r="C915" s="239" t="s">
        <v>28</v>
      </c>
      <c r="D915" s="240">
        <f t="shared" si="14"/>
        <v>6328.0351503703696</v>
      </c>
      <c r="E915" s="226" t="s">
        <v>5222</v>
      </c>
      <c r="G915" s="240">
        <v>5902.61</v>
      </c>
    </row>
    <row r="916" spans="1:7" ht="14.25" x14ac:dyDescent="0.2">
      <c r="A916" s="237" t="s">
        <v>2413</v>
      </c>
      <c r="B916" s="238" t="s">
        <v>3471</v>
      </c>
      <c r="C916" s="239" t="s">
        <v>79</v>
      </c>
      <c r="D916" s="240">
        <f t="shared" si="14"/>
        <v>171.16734666666665</v>
      </c>
      <c r="E916" s="226" t="s">
        <v>5222</v>
      </c>
      <c r="G916" s="240">
        <v>159.66</v>
      </c>
    </row>
    <row r="917" spans="1:7" ht="14.25" x14ac:dyDescent="0.2">
      <c r="A917" s="237" t="s">
        <v>2414</v>
      </c>
      <c r="B917" s="238" t="s">
        <v>3397</v>
      </c>
      <c r="C917" s="239" t="s">
        <v>50</v>
      </c>
      <c r="D917" s="240">
        <f t="shared" si="14"/>
        <v>652.22842518518507</v>
      </c>
      <c r="E917" s="226" t="s">
        <v>5222</v>
      </c>
      <c r="G917" s="240">
        <v>608.38</v>
      </c>
    </row>
    <row r="918" spans="1:7" ht="14.25" x14ac:dyDescent="0.2">
      <c r="A918" s="237" t="s">
        <v>2415</v>
      </c>
      <c r="B918" s="238" t="s">
        <v>3398</v>
      </c>
      <c r="C918" s="239" t="s">
        <v>50</v>
      </c>
      <c r="D918" s="240">
        <f t="shared" si="14"/>
        <v>711.34258962962952</v>
      </c>
      <c r="E918" s="226" t="s">
        <v>5222</v>
      </c>
      <c r="G918" s="240">
        <v>663.52</v>
      </c>
    </row>
    <row r="919" spans="1:7" ht="14.25" x14ac:dyDescent="0.2">
      <c r="A919" s="237" t="s">
        <v>2416</v>
      </c>
      <c r="B919" s="238" t="s">
        <v>3399</v>
      </c>
      <c r="C919" s="239" t="s">
        <v>50</v>
      </c>
      <c r="D919" s="240">
        <f t="shared" si="14"/>
        <v>728.96748740740736</v>
      </c>
      <c r="E919" s="226" t="s">
        <v>5222</v>
      </c>
      <c r="G919" s="240">
        <v>679.96</v>
      </c>
    </row>
    <row r="920" spans="1:7" ht="14.25" x14ac:dyDescent="0.2">
      <c r="A920" s="237" t="s">
        <v>2417</v>
      </c>
      <c r="B920" s="238" t="s">
        <v>3472</v>
      </c>
      <c r="C920" s="239" t="s">
        <v>50</v>
      </c>
      <c r="D920" s="240">
        <f t="shared" si="14"/>
        <v>754.6007785185185</v>
      </c>
      <c r="E920" s="226" t="s">
        <v>5222</v>
      </c>
      <c r="G920" s="240">
        <v>703.87</v>
      </c>
    </row>
    <row r="921" spans="1:7" ht="14.25" x14ac:dyDescent="0.2">
      <c r="A921" s="237" t="s">
        <v>2418</v>
      </c>
      <c r="B921" s="238" t="s">
        <v>3473</v>
      </c>
      <c r="C921" s="239" t="s">
        <v>50</v>
      </c>
      <c r="D921" s="240">
        <f t="shared" si="14"/>
        <v>773.13693925925918</v>
      </c>
      <c r="E921" s="226" t="s">
        <v>5222</v>
      </c>
      <c r="G921" s="240">
        <v>721.16</v>
      </c>
    </row>
    <row r="922" spans="1:7" ht="14.25" x14ac:dyDescent="0.2">
      <c r="A922" s="237" t="s">
        <v>2419</v>
      </c>
      <c r="B922" s="238" t="s">
        <v>3400</v>
      </c>
      <c r="C922" s="239" t="s">
        <v>50</v>
      </c>
      <c r="D922" s="240">
        <f t="shared" si="14"/>
        <v>797.0549118518519</v>
      </c>
      <c r="E922" s="226" t="s">
        <v>5222</v>
      </c>
      <c r="G922" s="240">
        <v>743.47</v>
      </c>
    </row>
    <row r="923" spans="1:7" ht="14.25" x14ac:dyDescent="0.2">
      <c r="A923" s="237" t="s">
        <v>2420</v>
      </c>
      <c r="B923" s="238" t="s">
        <v>3090</v>
      </c>
      <c r="C923" s="239" t="s">
        <v>50</v>
      </c>
      <c r="D923" s="240">
        <f t="shared" si="14"/>
        <v>653.7829325925926</v>
      </c>
      <c r="E923" s="226" t="s">
        <v>5222</v>
      </c>
      <c r="G923" s="240">
        <v>609.83000000000004</v>
      </c>
    </row>
    <row r="924" spans="1:7" ht="14.25" x14ac:dyDescent="0.2">
      <c r="A924" s="237" t="s">
        <v>2421</v>
      </c>
      <c r="B924" s="238" t="s">
        <v>3474</v>
      </c>
      <c r="C924" s="239" t="s">
        <v>50</v>
      </c>
      <c r="D924" s="240">
        <f t="shared" si="14"/>
        <v>2379.2968755555557</v>
      </c>
      <c r="E924" s="226" t="s">
        <v>5222</v>
      </c>
      <c r="G924" s="240">
        <v>2219.34</v>
      </c>
    </row>
    <row r="925" spans="1:7" ht="14.25" x14ac:dyDescent="0.2">
      <c r="A925" s="237" t="s">
        <v>2422</v>
      </c>
      <c r="B925" s="238" t="s">
        <v>3475</v>
      </c>
      <c r="C925" s="239" t="s">
        <v>50</v>
      </c>
      <c r="D925" s="240">
        <f t="shared" si="14"/>
        <v>97.998291111111115</v>
      </c>
      <c r="E925" s="226" t="s">
        <v>5222</v>
      </c>
      <c r="G925" s="240">
        <v>91.41</v>
      </c>
    </row>
    <row r="926" spans="1:7" ht="14.25" x14ac:dyDescent="0.2">
      <c r="A926" s="237" t="s">
        <v>2423</v>
      </c>
      <c r="B926" s="238" t="s">
        <v>3476</v>
      </c>
      <c r="C926" s="239" t="s">
        <v>79</v>
      </c>
      <c r="D926" s="240">
        <f t="shared" si="14"/>
        <v>18.97571111111111</v>
      </c>
      <c r="E926" s="226" t="s">
        <v>5222</v>
      </c>
      <c r="G926" s="240">
        <v>17.7</v>
      </c>
    </row>
    <row r="927" spans="1:7" ht="14.25" x14ac:dyDescent="0.2">
      <c r="A927" s="237" t="s">
        <v>2424</v>
      </c>
      <c r="B927" s="238" t="s">
        <v>3477</v>
      </c>
      <c r="C927" s="239" t="s">
        <v>50</v>
      </c>
      <c r="D927" s="240">
        <f t="shared" si="14"/>
        <v>1259.3118111111112</v>
      </c>
      <c r="E927" s="226" t="s">
        <v>5222</v>
      </c>
      <c r="G927" s="240">
        <v>1174.6500000000001</v>
      </c>
    </row>
    <row r="928" spans="1:7" ht="14.25" x14ac:dyDescent="0.2">
      <c r="A928" s="237" t="s">
        <v>2425</v>
      </c>
      <c r="B928" s="238" t="s">
        <v>3478</v>
      </c>
      <c r="C928" s="239" t="s">
        <v>50</v>
      </c>
      <c r="D928" s="240">
        <f t="shared" si="14"/>
        <v>810.42367555555552</v>
      </c>
      <c r="E928" s="226" t="s">
        <v>5222</v>
      </c>
      <c r="G928" s="240">
        <v>755.94</v>
      </c>
    </row>
    <row r="929" spans="1:7" ht="14.25" x14ac:dyDescent="0.2">
      <c r="A929" s="237" t="s">
        <v>2426</v>
      </c>
      <c r="B929" s="238" t="s">
        <v>3479</v>
      </c>
      <c r="C929" s="239" t="s">
        <v>50</v>
      </c>
      <c r="D929" s="240">
        <f t="shared" si="14"/>
        <v>855.01123629629626</v>
      </c>
      <c r="E929" s="226" t="s">
        <v>5222</v>
      </c>
      <c r="G929" s="240">
        <v>797.53</v>
      </c>
    </row>
    <row r="930" spans="1:7" ht="14.25" x14ac:dyDescent="0.2">
      <c r="A930" s="237" t="s">
        <v>2427</v>
      </c>
      <c r="B930" s="238" t="s">
        <v>3094</v>
      </c>
      <c r="C930" s="239" t="s">
        <v>50</v>
      </c>
      <c r="D930" s="240">
        <f t="shared" si="14"/>
        <v>975.85542592592594</v>
      </c>
      <c r="E930" s="226" t="s">
        <v>5222</v>
      </c>
      <c r="G930" s="240">
        <v>910.25</v>
      </c>
    </row>
    <row r="931" spans="1:7" ht="14.25" x14ac:dyDescent="0.2">
      <c r="A931" s="237" t="s">
        <v>2428</v>
      </c>
      <c r="B931" s="238" t="s">
        <v>3295</v>
      </c>
      <c r="C931" s="239" t="s">
        <v>50</v>
      </c>
      <c r="D931" s="240">
        <f t="shared" si="14"/>
        <v>1015.2863103703703</v>
      </c>
      <c r="E931" s="226" t="s">
        <v>5222</v>
      </c>
      <c r="G931" s="240">
        <v>947.03</v>
      </c>
    </row>
    <row r="932" spans="1:7" ht="14.25" x14ac:dyDescent="0.2">
      <c r="A932" s="237" t="s">
        <v>2429</v>
      </c>
      <c r="B932" s="238" t="s">
        <v>3480</v>
      </c>
      <c r="C932" s="239" t="s">
        <v>27</v>
      </c>
      <c r="D932" s="240">
        <f t="shared" si="14"/>
        <v>744.43751629629628</v>
      </c>
      <c r="E932" s="226" t="s">
        <v>5222</v>
      </c>
      <c r="G932" s="240">
        <v>694.39</v>
      </c>
    </row>
    <row r="933" spans="1:7" ht="14.25" x14ac:dyDescent="0.2">
      <c r="A933" s="237" t="s">
        <v>2430</v>
      </c>
      <c r="B933" s="238" t="s">
        <v>3481</v>
      </c>
      <c r="C933" s="239" t="s">
        <v>27</v>
      </c>
      <c r="D933" s="240">
        <f t="shared" si="14"/>
        <v>1324.8048162962962</v>
      </c>
      <c r="E933" s="226" t="s">
        <v>5222</v>
      </c>
      <c r="G933" s="240">
        <v>1235.74</v>
      </c>
    </row>
    <row r="934" spans="1:7" ht="14.25" x14ac:dyDescent="0.2">
      <c r="A934" s="237" t="s">
        <v>2431</v>
      </c>
      <c r="B934" s="238" t="s">
        <v>3482</v>
      </c>
      <c r="C934" s="239" t="s">
        <v>27</v>
      </c>
      <c r="D934" s="240">
        <f t="shared" si="14"/>
        <v>1347.9616162962961</v>
      </c>
      <c r="E934" s="226" t="s">
        <v>5222</v>
      </c>
      <c r="G934" s="240">
        <v>1257.3399999999999</v>
      </c>
    </row>
    <row r="935" spans="1:7" ht="14.25" x14ac:dyDescent="0.2">
      <c r="A935" s="237" t="s">
        <v>2432</v>
      </c>
      <c r="B935" s="238" t="s">
        <v>3483</v>
      </c>
      <c r="C935" s="239" t="s">
        <v>27</v>
      </c>
      <c r="D935" s="240">
        <f t="shared" si="14"/>
        <v>443.45272</v>
      </c>
      <c r="E935" s="226" t="s">
        <v>5222</v>
      </c>
      <c r="G935" s="240">
        <v>413.64</v>
      </c>
    </row>
    <row r="936" spans="1:7" ht="14.25" x14ac:dyDescent="0.2">
      <c r="A936" s="237" t="s">
        <v>2433</v>
      </c>
      <c r="B936" s="238" t="s">
        <v>3484</v>
      </c>
      <c r="C936" s="239" t="s">
        <v>27</v>
      </c>
      <c r="D936" s="240">
        <f t="shared" si="14"/>
        <v>1384.6158288888887</v>
      </c>
      <c r="E936" s="226" t="s">
        <v>5222</v>
      </c>
      <c r="G936" s="240">
        <v>1291.53</v>
      </c>
    </row>
    <row r="937" spans="1:7" ht="14.25" x14ac:dyDescent="0.2">
      <c r="A937" s="237" t="s">
        <v>5187</v>
      </c>
      <c r="B937" s="238" t="s">
        <v>5188</v>
      </c>
      <c r="C937" s="239" t="s">
        <v>27</v>
      </c>
      <c r="D937" s="240">
        <f t="shared" si="14"/>
        <v>2544.2140303703704</v>
      </c>
      <c r="E937" s="226" t="s">
        <v>5222</v>
      </c>
      <c r="G937" s="240">
        <v>2373.17</v>
      </c>
    </row>
    <row r="938" spans="1:7" ht="14.25" x14ac:dyDescent="0.2">
      <c r="A938" s="237" t="s">
        <v>2434</v>
      </c>
      <c r="B938" s="238" t="s">
        <v>3485</v>
      </c>
      <c r="C938" s="239" t="s">
        <v>55</v>
      </c>
      <c r="D938" s="240">
        <f t="shared" si="14"/>
        <v>399.04741185185185</v>
      </c>
      <c r="E938" s="226" t="s">
        <v>5222</v>
      </c>
      <c r="G938" s="240">
        <v>372.22</v>
      </c>
    </row>
    <row r="939" spans="1:7" ht="14.25" x14ac:dyDescent="0.2">
      <c r="A939" s="237" t="s">
        <v>2435</v>
      </c>
      <c r="B939" s="238" t="s">
        <v>3486</v>
      </c>
      <c r="C939" s="239" t="s">
        <v>55</v>
      </c>
      <c r="D939" s="240">
        <f t="shared" si="14"/>
        <v>4.5991977777777775</v>
      </c>
      <c r="E939" s="226" t="s">
        <v>5222</v>
      </c>
      <c r="G939" s="240">
        <v>4.29</v>
      </c>
    </row>
    <row r="940" spans="1:7" ht="14.25" x14ac:dyDescent="0.2">
      <c r="A940" s="237" t="s">
        <v>2436</v>
      </c>
      <c r="B940" s="238" t="s">
        <v>3487</v>
      </c>
      <c r="C940" s="239" t="s">
        <v>55</v>
      </c>
      <c r="D940" s="240">
        <f t="shared" si="14"/>
        <v>4.5991977777777775</v>
      </c>
      <c r="E940" s="226" t="s">
        <v>5222</v>
      </c>
      <c r="G940" s="240">
        <v>4.29</v>
      </c>
    </row>
    <row r="941" spans="1:7" ht="14.25" x14ac:dyDescent="0.2">
      <c r="A941" s="237" t="s">
        <v>2437</v>
      </c>
      <c r="B941" s="238" t="s">
        <v>3488</v>
      </c>
      <c r="C941" s="239" t="s">
        <v>79</v>
      </c>
      <c r="D941" s="240">
        <f t="shared" si="14"/>
        <v>10.345514814814814</v>
      </c>
      <c r="E941" s="226" t="s">
        <v>5222</v>
      </c>
      <c r="G941" s="240">
        <v>9.65</v>
      </c>
    </row>
    <row r="942" spans="1:7" ht="14.25" x14ac:dyDescent="0.2">
      <c r="A942" s="237" t="s">
        <v>2438</v>
      </c>
      <c r="B942" s="238" t="s">
        <v>3489</v>
      </c>
      <c r="C942" s="239" t="s">
        <v>50</v>
      </c>
      <c r="D942" s="240">
        <f t="shared" si="14"/>
        <v>2622.003725185185</v>
      </c>
      <c r="E942" s="226" t="s">
        <v>5222</v>
      </c>
      <c r="G942" s="240">
        <v>2445.73</v>
      </c>
    </row>
    <row r="943" spans="1:7" ht="14.25" x14ac:dyDescent="0.2">
      <c r="A943" s="237" t="s">
        <v>2439</v>
      </c>
      <c r="B943" s="238" t="s">
        <v>3490</v>
      </c>
      <c r="C943" s="239" t="s">
        <v>38</v>
      </c>
      <c r="D943" s="240">
        <f t="shared" si="14"/>
        <v>56.466141481481479</v>
      </c>
      <c r="E943" s="226" t="s">
        <v>5222</v>
      </c>
      <c r="G943" s="240">
        <v>52.67</v>
      </c>
    </row>
    <row r="944" spans="1:7" ht="14.25" x14ac:dyDescent="0.2">
      <c r="A944" s="237" t="s">
        <v>3491</v>
      </c>
      <c r="B944" s="238" t="s">
        <v>3492</v>
      </c>
      <c r="C944" s="239" t="s">
        <v>27</v>
      </c>
      <c r="D944" s="240">
        <f t="shared" si="14"/>
        <v>44.426749629629626</v>
      </c>
      <c r="E944" s="226" t="s">
        <v>5222</v>
      </c>
      <c r="G944" s="240">
        <v>41.44</v>
      </c>
    </row>
    <row r="945" spans="1:7" ht="14.25" x14ac:dyDescent="0.2">
      <c r="A945" s="237" t="s">
        <v>2440</v>
      </c>
      <c r="B945" s="238" t="s">
        <v>3319</v>
      </c>
      <c r="C945" s="239" t="s">
        <v>27</v>
      </c>
      <c r="D945" s="240">
        <f t="shared" si="14"/>
        <v>27.605907407407408</v>
      </c>
      <c r="E945" s="226" t="s">
        <v>5222</v>
      </c>
      <c r="G945" s="240">
        <v>25.75</v>
      </c>
    </row>
    <row r="946" spans="1:7" ht="14.25" x14ac:dyDescent="0.2">
      <c r="A946" s="237" t="s">
        <v>2441</v>
      </c>
      <c r="B946" s="238" t="s">
        <v>3148</v>
      </c>
      <c r="C946" s="239" t="s">
        <v>27</v>
      </c>
      <c r="D946" s="240">
        <f t="shared" si="14"/>
        <v>208.36831703703706</v>
      </c>
      <c r="E946" s="226" t="s">
        <v>5222</v>
      </c>
      <c r="G946" s="240">
        <v>194.36</v>
      </c>
    </row>
    <row r="947" spans="1:7" ht="14.25" x14ac:dyDescent="0.2">
      <c r="A947" s="237" t="s">
        <v>2442</v>
      </c>
      <c r="B947" s="238" t="s">
        <v>3149</v>
      </c>
      <c r="C947" s="239" t="s">
        <v>27</v>
      </c>
      <c r="D947" s="240">
        <f t="shared" si="14"/>
        <v>113.54336518518517</v>
      </c>
      <c r="E947" s="226" t="s">
        <v>5222</v>
      </c>
      <c r="G947" s="240">
        <v>105.91</v>
      </c>
    </row>
    <row r="948" spans="1:7" ht="14.25" x14ac:dyDescent="0.2">
      <c r="A948" s="237" t="s">
        <v>2443</v>
      </c>
      <c r="B948" s="238" t="s">
        <v>3150</v>
      </c>
      <c r="C948" s="239" t="s">
        <v>27</v>
      </c>
      <c r="D948" s="240">
        <f t="shared" si="14"/>
        <v>153.39235851851853</v>
      </c>
      <c r="E948" s="226" t="s">
        <v>5222</v>
      </c>
      <c r="G948" s="240">
        <v>143.08000000000001</v>
      </c>
    </row>
    <row r="949" spans="1:7" ht="14.25" x14ac:dyDescent="0.2">
      <c r="A949" s="237" t="s">
        <v>577</v>
      </c>
      <c r="B949" s="238" t="s">
        <v>3493</v>
      </c>
      <c r="C949" s="239" t="s">
        <v>55</v>
      </c>
      <c r="D949" s="240">
        <f t="shared" si="14"/>
        <v>14.612369629629629</v>
      </c>
      <c r="E949" s="226" t="s">
        <v>5222</v>
      </c>
      <c r="G949" s="240">
        <v>13.63</v>
      </c>
    </row>
    <row r="950" spans="1:7" ht="14.25" x14ac:dyDescent="0.2">
      <c r="A950" s="237" t="s">
        <v>578</v>
      </c>
      <c r="B950" s="238" t="s">
        <v>3494</v>
      </c>
      <c r="C950" s="239" t="s">
        <v>55</v>
      </c>
      <c r="D950" s="240">
        <f t="shared" si="14"/>
        <v>7.4187525925925923</v>
      </c>
      <c r="E950" s="226" t="s">
        <v>5222</v>
      </c>
      <c r="G950" s="240">
        <v>6.92</v>
      </c>
    </row>
    <row r="951" spans="1:7" ht="14.25" x14ac:dyDescent="0.2">
      <c r="A951" s="237" t="s">
        <v>579</v>
      </c>
      <c r="B951" s="238" t="s">
        <v>3495</v>
      </c>
      <c r="C951" s="239" t="s">
        <v>55</v>
      </c>
      <c r="D951" s="240">
        <f t="shared" si="14"/>
        <v>8.1692044444444445</v>
      </c>
      <c r="E951" s="226" t="s">
        <v>5222</v>
      </c>
      <c r="G951" s="240">
        <v>7.62</v>
      </c>
    </row>
    <row r="952" spans="1:7" ht="14.25" x14ac:dyDescent="0.2">
      <c r="A952" s="237" t="s">
        <v>580</v>
      </c>
      <c r="B952" s="238" t="s">
        <v>3496</v>
      </c>
      <c r="C952" s="239" t="s">
        <v>55</v>
      </c>
      <c r="D952" s="240">
        <f t="shared" si="14"/>
        <v>8.4265022222222221</v>
      </c>
      <c r="E952" s="226" t="s">
        <v>5222</v>
      </c>
      <c r="G952" s="240">
        <v>7.86</v>
      </c>
    </row>
    <row r="953" spans="1:7" ht="14.25" x14ac:dyDescent="0.2">
      <c r="A953" s="237" t="s">
        <v>581</v>
      </c>
      <c r="B953" s="238" t="s">
        <v>3497</v>
      </c>
      <c r="C953" s="239" t="s">
        <v>38</v>
      </c>
      <c r="D953" s="240">
        <f t="shared" si="14"/>
        <v>15.394983703703703</v>
      </c>
      <c r="E953" s="226" t="s">
        <v>5222</v>
      </c>
      <c r="G953" s="240">
        <v>14.36</v>
      </c>
    </row>
    <row r="954" spans="1:7" ht="14.25" x14ac:dyDescent="0.2">
      <c r="A954" s="237" t="s">
        <v>582</v>
      </c>
      <c r="B954" s="238" t="s">
        <v>3498</v>
      </c>
      <c r="C954" s="239" t="s">
        <v>38</v>
      </c>
      <c r="D954" s="240">
        <f t="shared" si="14"/>
        <v>82.506820740740736</v>
      </c>
      <c r="E954" s="226" t="s">
        <v>5222</v>
      </c>
      <c r="G954" s="240">
        <v>76.959999999999994</v>
      </c>
    </row>
    <row r="955" spans="1:7" ht="14.25" x14ac:dyDescent="0.2">
      <c r="A955" s="237" t="s">
        <v>583</v>
      </c>
      <c r="B955" s="238" t="s">
        <v>3499</v>
      </c>
      <c r="C955" s="239" t="s">
        <v>38</v>
      </c>
      <c r="D955" s="240">
        <f t="shared" si="14"/>
        <v>80.877268148148147</v>
      </c>
      <c r="E955" s="226" t="s">
        <v>5222</v>
      </c>
      <c r="G955" s="240">
        <v>75.44</v>
      </c>
    </row>
    <row r="956" spans="1:7" ht="14.25" x14ac:dyDescent="0.2">
      <c r="A956" s="237" t="s">
        <v>584</v>
      </c>
      <c r="B956" s="238" t="s">
        <v>3500</v>
      </c>
      <c r="C956" s="239" t="s">
        <v>38</v>
      </c>
      <c r="D956" s="240">
        <f t="shared" si="14"/>
        <v>50.912797777777776</v>
      </c>
      <c r="E956" s="226" t="s">
        <v>5222</v>
      </c>
      <c r="G956" s="240">
        <v>47.49</v>
      </c>
    </row>
    <row r="957" spans="1:7" ht="14.25" x14ac:dyDescent="0.2">
      <c r="A957" s="237" t="s">
        <v>585</v>
      </c>
      <c r="B957" s="238" t="s">
        <v>82</v>
      </c>
      <c r="C957" s="239" t="s">
        <v>38</v>
      </c>
      <c r="D957" s="240">
        <f t="shared" si="14"/>
        <v>57.32380074074073</v>
      </c>
      <c r="E957" s="226" t="s">
        <v>5222</v>
      </c>
      <c r="G957" s="240">
        <v>53.47</v>
      </c>
    </row>
    <row r="958" spans="1:7" ht="14.25" x14ac:dyDescent="0.2">
      <c r="A958" s="237" t="s">
        <v>586</v>
      </c>
      <c r="B958" s="238" t="s">
        <v>3501</v>
      </c>
      <c r="C958" s="239" t="s">
        <v>38</v>
      </c>
      <c r="D958" s="240">
        <f t="shared" si="14"/>
        <v>28.184827407407404</v>
      </c>
      <c r="E958" s="226" t="s">
        <v>5222</v>
      </c>
      <c r="G958" s="240">
        <v>26.29</v>
      </c>
    </row>
    <row r="959" spans="1:7" ht="14.25" x14ac:dyDescent="0.2">
      <c r="A959" s="237" t="s">
        <v>587</v>
      </c>
      <c r="B959" s="238" t="s">
        <v>3227</v>
      </c>
      <c r="C959" s="239" t="s">
        <v>50</v>
      </c>
      <c r="D959" s="240">
        <f t="shared" si="14"/>
        <v>80.469880000000003</v>
      </c>
      <c r="E959" s="226" t="s">
        <v>5222</v>
      </c>
      <c r="G959" s="240">
        <v>75.06</v>
      </c>
    </row>
    <row r="960" spans="1:7" ht="14.25" x14ac:dyDescent="0.2">
      <c r="A960" s="237" t="s">
        <v>588</v>
      </c>
      <c r="B960" s="238" t="s">
        <v>3502</v>
      </c>
      <c r="C960" s="239" t="s">
        <v>38</v>
      </c>
      <c r="D960" s="240">
        <f t="shared" si="14"/>
        <v>1151.5147629629628</v>
      </c>
      <c r="E960" s="226" t="s">
        <v>5222</v>
      </c>
      <c r="G960" s="240">
        <v>1074.0999999999999</v>
      </c>
    </row>
    <row r="961" spans="1:7" ht="14.25" x14ac:dyDescent="0.2">
      <c r="A961" s="237" t="s">
        <v>589</v>
      </c>
      <c r="B961" s="238" t="s">
        <v>3503</v>
      </c>
      <c r="C961" s="239" t="s">
        <v>38</v>
      </c>
      <c r="D961" s="240">
        <f t="shared" si="14"/>
        <v>1139.3038392592591</v>
      </c>
      <c r="E961" s="226" t="s">
        <v>5222</v>
      </c>
      <c r="G961" s="240">
        <v>1062.71</v>
      </c>
    </row>
    <row r="962" spans="1:7" ht="14.25" x14ac:dyDescent="0.2">
      <c r="A962" s="237" t="s">
        <v>5189</v>
      </c>
      <c r="B962" s="238" t="s">
        <v>5190</v>
      </c>
      <c r="C962" s="239" t="s">
        <v>38</v>
      </c>
      <c r="D962" s="240">
        <f t="shared" si="14"/>
        <v>1767.9359140740739</v>
      </c>
      <c r="E962" s="226" t="s">
        <v>5222</v>
      </c>
      <c r="G962" s="240">
        <v>1649.08</v>
      </c>
    </row>
    <row r="963" spans="1:7" ht="14.25" x14ac:dyDescent="0.2">
      <c r="A963" s="237" t="s">
        <v>590</v>
      </c>
      <c r="B963" s="238" t="s">
        <v>3504</v>
      </c>
      <c r="C963" s="239" t="s">
        <v>38</v>
      </c>
      <c r="D963" s="240">
        <f t="shared" si="14"/>
        <v>1490.8905318518521</v>
      </c>
      <c r="E963" s="226" t="s">
        <v>5222</v>
      </c>
      <c r="G963" s="240">
        <v>1390.66</v>
      </c>
    </row>
    <row r="964" spans="1:7" ht="14.25" x14ac:dyDescent="0.2">
      <c r="A964" s="237" t="s">
        <v>591</v>
      </c>
      <c r="B964" s="238" t="s">
        <v>3505</v>
      </c>
      <c r="C964" s="239" t="s">
        <v>38</v>
      </c>
      <c r="D964" s="240">
        <f t="shared" si="14"/>
        <v>87.427640740740742</v>
      </c>
      <c r="E964" s="226" t="s">
        <v>5222</v>
      </c>
      <c r="G964" s="240">
        <v>81.55</v>
      </c>
    </row>
    <row r="965" spans="1:7" ht="14.25" x14ac:dyDescent="0.2">
      <c r="A965" s="237" t="s">
        <v>592</v>
      </c>
      <c r="B965" s="238" t="s">
        <v>3506</v>
      </c>
      <c r="C965" s="239" t="s">
        <v>38</v>
      </c>
      <c r="D965" s="240">
        <f t="shared" si="14"/>
        <v>123.04194148148149</v>
      </c>
      <c r="E965" s="226" t="s">
        <v>5222</v>
      </c>
      <c r="G965" s="240">
        <v>114.77</v>
      </c>
    </row>
    <row r="966" spans="1:7" ht="14.25" x14ac:dyDescent="0.2">
      <c r="A966" s="237" t="s">
        <v>593</v>
      </c>
      <c r="B966" s="238" t="s">
        <v>3507</v>
      </c>
      <c r="C966" s="239" t="s">
        <v>38</v>
      </c>
      <c r="D966" s="240">
        <f t="shared" si="14"/>
        <v>74.927257037037037</v>
      </c>
      <c r="E966" s="226" t="s">
        <v>5222</v>
      </c>
      <c r="G966" s="240">
        <v>69.89</v>
      </c>
    </row>
    <row r="967" spans="1:7" ht="14.25" x14ac:dyDescent="0.2">
      <c r="A967" s="237" t="s">
        <v>594</v>
      </c>
      <c r="B967" s="238" t="s">
        <v>3508</v>
      </c>
      <c r="C967" s="239" t="s">
        <v>38</v>
      </c>
      <c r="D967" s="240">
        <f t="shared" si="14"/>
        <v>98.427120740740733</v>
      </c>
      <c r="E967" s="226" t="s">
        <v>5222</v>
      </c>
      <c r="G967" s="240">
        <v>91.81</v>
      </c>
    </row>
    <row r="968" spans="1:7" ht="14.25" x14ac:dyDescent="0.2">
      <c r="A968" s="237" t="s">
        <v>2444</v>
      </c>
      <c r="B968" s="238" t="s">
        <v>3509</v>
      </c>
      <c r="C968" s="239" t="s">
        <v>38</v>
      </c>
      <c r="D968" s="240">
        <f t="shared" ref="D968:D1031" si="15">(G968/(1+0.35))*(1+$D$3)</f>
        <v>803.45519407407414</v>
      </c>
      <c r="E968" s="226" t="s">
        <v>5222</v>
      </c>
      <c r="G968" s="240">
        <v>749.44</v>
      </c>
    </row>
    <row r="969" spans="1:7" ht="14.25" x14ac:dyDescent="0.2">
      <c r="A969" s="237" t="s">
        <v>595</v>
      </c>
      <c r="B969" s="238" t="s">
        <v>3510</v>
      </c>
      <c r="C969" s="239" t="s">
        <v>38</v>
      </c>
      <c r="D969" s="240">
        <f t="shared" si="15"/>
        <v>705.19960518518508</v>
      </c>
      <c r="E969" s="226" t="s">
        <v>5222</v>
      </c>
      <c r="G969" s="240">
        <v>657.79</v>
      </c>
    </row>
    <row r="970" spans="1:7" ht="14.25" x14ac:dyDescent="0.2">
      <c r="A970" s="237" t="s">
        <v>596</v>
      </c>
      <c r="B970" s="238" t="s">
        <v>3511</v>
      </c>
      <c r="C970" s="239" t="s">
        <v>38</v>
      </c>
      <c r="D970" s="240">
        <f t="shared" si="15"/>
        <v>787.69570518518515</v>
      </c>
      <c r="E970" s="226" t="s">
        <v>5222</v>
      </c>
      <c r="G970" s="240">
        <v>734.74</v>
      </c>
    </row>
    <row r="971" spans="1:7" ht="14.25" x14ac:dyDescent="0.2">
      <c r="A971" s="237" t="s">
        <v>597</v>
      </c>
      <c r="B971" s="238" t="s">
        <v>3512</v>
      </c>
      <c r="C971" s="239" t="s">
        <v>28</v>
      </c>
      <c r="D971" s="240">
        <f t="shared" si="15"/>
        <v>107739.24191407407</v>
      </c>
      <c r="E971" s="226" t="s">
        <v>5222</v>
      </c>
      <c r="G971" s="240">
        <v>100496.08</v>
      </c>
    </row>
    <row r="972" spans="1:7" ht="14.25" x14ac:dyDescent="0.2">
      <c r="A972" s="237" t="s">
        <v>598</v>
      </c>
      <c r="B972" s="238" t="s">
        <v>3513</v>
      </c>
      <c r="C972" s="239" t="s">
        <v>28</v>
      </c>
      <c r="D972" s="240">
        <f t="shared" si="15"/>
        <v>116330.22174074073</v>
      </c>
      <c r="E972" s="226" t="s">
        <v>5222</v>
      </c>
      <c r="G972" s="240">
        <v>108509.5</v>
      </c>
    </row>
    <row r="973" spans="1:7" ht="14.25" x14ac:dyDescent="0.2">
      <c r="A973" s="237" t="s">
        <v>599</v>
      </c>
      <c r="B973" s="238" t="s">
        <v>3514</v>
      </c>
      <c r="C973" s="239" t="s">
        <v>28</v>
      </c>
      <c r="D973" s="240">
        <f t="shared" si="15"/>
        <v>51010.63525777778</v>
      </c>
      <c r="E973" s="226" t="s">
        <v>5222</v>
      </c>
      <c r="G973" s="240">
        <v>47581.26</v>
      </c>
    </row>
    <row r="974" spans="1:7" ht="14.25" x14ac:dyDescent="0.2">
      <c r="A974" s="237" t="s">
        <v>600</v>
      </c>
      <c r="B974" s="238" t="s">
        <v>3515</v>
      </c>
      <c r="C974" s="239" t="s">
        <v>28</v>
      </c>
      <c r="D974" s="240">
        <f t="shared" si="15"/>
        <v>59714.300790370369</v>
      </c>
      <c r="E974" s="226" t="s">
        <v>5222</v>
      </c>
      <c r="G974" s="240">
        <v>55699.79</v>
      </c>
    </row>
    <row r="975" spans="1:7" ht="14.25" x14ac:dyDescent="0.2">
      <c r="A975" s="237" t="s">
        <v>601</v>
      </c>
      <c r="B975" s="238" t="s">
        <v>2445</v>
      </c>
      <c r="C975" s="239" t="s">
        <v>28</v>
      </c>
      <c r="D975" s="240">
        <f t="shared" si="15"/>
        <v>89991.655979259245</v>
      </c>
      <c r="E975" s="226" t="s">
        <v>5222</v>
      </c>
      <c r="G975" s="240">
        <v>83941.64</v>
      </c>
    </row>
    <row r="976" spans="1:7" ht="14.25" x14ac:dyDescent="0.2">
      <c r="A976" s="237" t="s">
        <v>602</v>
      </c>
      <c r="B976" s="238" t="s">
        <v>3516</v>
      </c>
      <c r="C976" s="239" t="s">
        <v>28</v>
      </c>
      <c r="D976" s="240">
        <f t="shared" si="15"/>
        <v>109851.79603925925</v>
      </c>
      <c r="E976" s="226" t="s">
        <v>5222</v>
      </c>
      <c r="G976" s="240">
        <v>102466.61</v>
      </c>
    </row>
    <row r="977" spans="1:7" ht="14.25" x14ac:dyDescent="0.2">
      <c r="A977" s="237" t="s">
        <v>603</v>
      </c>
      <c r="B977" s="238" t="s">
        <v>3517</v>
      </c>
      <c r="C977" s="239" t="s">
        <v>28</v>
      </c>
      <c r="D977" s="240">
        <f t="shared" si="15"/>
        <v>48165.758053333331</v>
      </c>
      <c r="E977" s="226" t="s">
        <v>5222</v>
      </c>
      <c r="G977" s="240">
        <v>44927.64</v>
      </c>
    </row>
    <row r="978" spans="1:7" ht="14.25" x14ac:dyDescent="0.2">
      <c r="A978" s="237" t="s">
        <v>2446</v>
      </c>
      <c r="B978" s="238" t="s">
        <v>3518</v>
      </c>
      <c r="C978" s="239" t="s">
        <v>38</v>
      </c>
      <c r="D978" s="240">
        <f t="shared" si="15"/>
        <v>48.993785185185189</v>
      </c>
      <c r="E978" s="226" t="s">
        <v>5222</v>
      </c>
      <c r="G978" s="240">
        <v>45.7</v>
      </c>
    </row>
    <row r="979" spans="1:7" ht="14.25" x14ac:dyDescent="0.2">
      <c r="A979" s="237" t="s">
        <v>2447</v>
      </c>
      <c r="B979" s="238" t="s">
        <v>3519</v>
      </c>
      <c r="C979" s="239" t="s">
        <v>38</v>
      </c>
      <c r="D979" s="240">
        <f t="shared" si="15"/>
        <v>97.312163703703689</v>
      </c>
      <c r="E979" s="226" t="s">
        <v>5222</v>
      </c>
      <c r="G979" s="240">
        <v>90.77</v>
      </c>
    </row>
    <row r="980" spans="1:7" ht="14.25" x14ac:dyDescent="0.2">
      <c r="A980" s="237" t="s">
        <v>2448</v>
      </c>
      <c r="B980" s="238" t="s">
        <v>3520</v>
      </c>
      <c r="C980" s="239" t="s">
        <v>38</v>
      </c>
      <c r="D980" s="240">
        <f t="shared" si="15"/>
        <v>99.799375555555542</v>
      </c>
      <c r="E980" s="226" t="s">
        <v>5222</v>
      </c>
      <c r="G980" s="240">
        <v>93.09</v>
      </c>
    </row>
    <row r="981" spans="1:7" ht="14.25" x14ac:dyDescent="0.2">
      <c r="A981" s="237" t="s">
        <v>2449</v>
      </c>
      <c r="B981" s="238" t="s">
        <v>3521</v>
      </c>
      <c r="C981" s="239" t="s">
        <v>38</v>
      </c>
      <c r="D981" s="240">
        <f t="shared" si="15"/>
        <v>124.61789037037038</v>
      </c>
      <c r="E981" s="226" t="s">
        <v>5222</v>
      </c>
      <c r="G981" s="240">
        <v>116.24</v>
      </c>
    </row>
    <row r="982" spans="1:7" ht="14.25" x14ac:dyDescent="0.2">
      <c r="A982" s="237" t="s">
        <v>604</v>
      </c>
      <c r="B982" s="238" t="s">
        <v>3522</v>
      </c>
      <c r="C982" s="239" t="s">
        <v>38</v>
      </c>
      <c r="D982" s="240">
        <f t="shared" si="15"/>
        <v>337.33882814814814</v>
      </c>
      <c r="E982" s="226" t="s">
        <v>5222</v>
      </c>
      <c r="G982" s="240">
        <v>314.66000000000003</v>
      </c>
    </row>
    <row r="983" spans="1:7" ht="14.25" x14ac:dyDescent="0.2">
      <c r="A983" s="237" t="s">
        <v>605</v>
      </c>
      <c r="B983" s="238" t="s">
        <v>83</v>
      </c>
      <c r="C983" s="239" t="s">
        <v>38</v>
      </c>
      <c r="D983" s="240">
        <f t="shared" si="15"/>
        <v>224.12780592592594</v>
      </c>
      <c r="E983" s="226" t="s">
        <v>5222</v>
      </c>
      <c r="G983" s="240">
        <v>209.06</v>
      </c>
    </row>
    <row r="984" spans="1:7" ht="14.25" x14ac:dyDescent="0.2">
      <c r="A984" s="237" t="s">
        <v>2450</v>
      </c>
      <c r="B984" s="238" t="s">
        <v>3523</v>
      </c>
      <c r="C984" s="239" t="s">
        <v>38</v>
      </c>
      <c r="D984" s="240">
        <f t="shared" si="15"/>
        <v>36.075292592592589</v>
      </c>
      <c r="E984" s="226" t="s">
        <v>5222</v>
      </c>
      <c r="G984" s="240">
        <v>33.65</v>
      </c>
    </row>
    <row r="985" spans="1:7" ht="14.25" x14ac:dyDescent="0.2">
      <c r="A985" s="237" t="s">
        <v>2451</v>
      </c>
      <c r="B985" s="238" t="s">
        <v>3524</v>
      </c>
      <c r="C985" s="239" t="s">
        <v>38</v>
      </c>
      <c r="D985" s="240">
        <f t="shared" si="15"/>
        <v>38.358810370370371</v>
      </c>
      <c r="E985" s="226" t="s">
        <v>5222</v>
      </c>
      <c r="G985" s="240">
        <v>35.78</v>
      </c>
    </row>
    <row r="986" spans="1:7" ht="14.25" x14ac:dyDescent="0.2">
      <c r="A986" s="237" t="s">
        <v>2452</v>
      </c>
      <c r="B986" s="238" t="s">
        <v>3525</v>
      </c>
      <c r="C986" s="239" t="s">
        <v>38</v>
      </c>
      <c r="D986" s="240">
        <f t="shared" si="15"/>
        <v>46.238554814814819</v>
      </c>
      <c r="E986" s="226" t="s">
        <v>5222</v>
      </c>
      <c r="G986" s="240">
        <v>43.13</v>
      </c>
    </row>
    <row r="987" spans="1:7" ht="14.25" x14ac:dyDescent="0.2">
      <c r="A987" s="237" t="s">
        <v>2579</v>
      </c>
      <c r="B987" s="238" t="s">
        <v>3526</v>
      </c>
      <c r="C987" s="239" t="s">
        <v>38</v>
      </c>
      <c r="D987" s="240">
        <f t="shared" si="15"/>
        <v>52.670999259259261</v>
      </c>
      <c r="E987" s="226" t="s">
        <v>5222</v>
      </c>
      <c r="G987" s="240">
        <v>49.13</v>
      </c>
    </row>
    <row r="988" spans="1:7" ht="14.25" x14ac:dyDescent="0.2">
      <c r="A988" s="237" t="s">
        <v>2580</v>
      </c>
      <c r="B988" s="238" t="s">
        <v>3527</v>
      </c>
      <c r="C988" s="239" t="s">
        <v>38</v>
      </c>
      <c r="D988" s="240">
        <f t="shared" si="15"/>
        <v>53.914605185185181</v>
      </c>
      <c r="E988" s="226" t="s">
        <v>5222</v>
      </c>
      <c r="G988" s="240">
        <v>50.29</v>
      </c>
    </row>
    <row r="989" spans="1:7" ht="14.25" x14ac:dyDescent="0.2">
      <c r="A989" s="237" t="s">
        <v>606</v>
      </c>
      <c r="B989" s="238" t="s">
        <v>3528</v>
      </c>
      <c r="C989" s="239" t="s">
        <v>28</v>
      </c>
      <c r="D989" s="240">
        <f t="shared" si="15"/>
        <v>63.316694814814817</v>
      </c>
      <c r="E989" s="226" t="s">
        <v>5222</v>
      </c>
      <c r="G989" s="240">
        <v>59.06</v>
      </c>
    </row>
    <row r="990" spans="1:7" ht="14.25" x14ac:dyDescent="0.2">
      <c r="A990" s="237" t="s">
        <v>3529</v>
      </c>
      <c r="B990" s="238" t="s">
        <v>3530</v>
      </c>
      <c r="C990" s="239" t="s">
        <v>28</v>
      </c>
      <c r="D990" s="240">
        <f t="shared" si="15"/>
        <v>55.565599259259251</v>
      </c>
      <c r="E990" s="226" t="s">
        <v>5222</v>
      </c>
      <c r="G990" s="240">
        <v>51.83</v>
      </c>
    </row>
    <row r="991" spans="1:7" ht="14.25" x14ac:dyDescent="0.2">
      <c r="A991" s="237" t="s">
        <v>3531</v>
      </c>
      <c r="B991" s="238" t="s">
        <v>3532</v>
      </c>
      <c r="C991" s="239" t="s">
        <v>28</v>
      </c>
      <c r="D991" s="240">
        <f t="shared" si="15"/>
        <v>62.180296296296298</v>
      </c>
      <c r="E991" s="226" t="s">
        <v>5222</v>
      </c>
      <c r="G991" s="240">
        <v>58</v>
      </c>
    </row>
    <row r="992" spans="1:7" ht="14.25" x14ac:dyDescent="0.2">
      <c r="A992" s="237" t="s">
        <v>2453</v>
      </c>
      <c r="B992" s="238" t="s">
        <v>3533</v>
      </c>
      <c r="C992" s="239" t="s">
        <v>28</v>
      </c>
      <c r="D992" s="240">
        <f t="shared" si="15"/>
        <v>59.99326518518518</v>
      </c>
      <c r="E992" s="226" t="s">
        <v>5222</v>
      </c>
      <c r="G992" s="240">
        <v>55.96</v>
      </c>
    </row>
    <row r="993" spans="1:7" ht="14.25" x14ac:dyDescent="0.2">
      <c r="A993" s="237" t="s">
        <v>607</v>
      </c>
      <c r="B993" s="238" t="s">
        <v>3534</v>
      </c>
      <c r="C993" s="239" t="s">
        <v>28</v>
      </c>
      <c r="D993" s="240">
        <f t="shared" si="15"/>
        <v>62.909306666666659</v>
      </c>
      <c r="E993" s="226" t="s">
        <v>5222</v>
      </c>
      <c r="G993" s="240">
        <v>58.68</v>
      </c>
    </row>
    <row r="994" spans="1:7" ht="14.25" x14ac:dyDescent="0.2">
      <c r="A994" s="237" t="s">
        <v>2454</v>
      </c>
      <c r="B994" s="238" t="s">
        <v>3535</v>
      </c>
      <c r="C994" s="239" t="s">
        <v>28</v>
      </c>
      <c r="D994" s="240">
        <f t="shared" si="15"/>
        <v>89.775482962962954</v>
      </c>
      <c r="E994" s="226" t="s">
        <v>5222</v>
      </c>
      <c r="G994" s="240">
        <v>83.74</v>
      </c>
    </row>
    <row r="995" spans="1:7" ht="14.25" x14ac:dyDescent="0.2">
      <c r="A995" s="237" t="s">
        <v>2455</v>
      </c>
      <c r="B995" s="238" t="s">
        <v>3536</v>
      </c>
      <c r="C995" s="239" t="s">
        <v>28</v>
      </c>
      <c r="D995" s="240">
        <f t="shared" si="15"/>
        <v>97.322884444444441</v>
      </c>
      <c r="E995" s="226" t="s">
        <v>5222</v>
      </c>
      <c r="G995" s="240">
        <v>90.78</v>
      </c>
    </row>
    <row r="996" spans="1:7" ht="14.25" x14ac:dyDescent="0.2">
      <c r="A996" s="237" t="s">
        <v>2456</v>
      </c>
      <c r="B996" s="238" t="s">
        <v>3537</v>
      </c>
      <c r="C996" s="239" t="s">
        <v>28</v>
      </c>
      <c r="D996" s="240">
        <f t="shared" si="15"/>
        <v>28.83879259259259</v>
      </c>
      <c r="E996" s="226" t="s">
        <v>5222</v>
      </c>
      <c r="G996" s="240">
        <v>26.9</v>
      </c>
    </row>
    <row r="997" spans="1:7" ht="14.25" x14ac:dyDescent="0.2">
      <c r="A997" s="237" t="s">
        <v>2457</v>
      </c>
      <c r="B997" s="238" t="s">
        <v>3538</v>
      </c>
      <c r="C997" s="239" t="s">
        <v>28</v>
      </c>
      <c r="D997" s="240">
        <f t="shared" si="15"/>
        <v>25.118695555555554</v>
      </c>
      <c r="E997" s="226" t="s">
        <v>5222</v>
      </c>
      <c r="G997" s="240">
        <v>23.43</v>
      </c>
    </row>
    <row r="998" spans="1:7" ht="14.25" x14ac:dyDescent="0.2">
      <c r="A998" s="237" t="s">
        <v>608</v>
      </c>
      <c r="B998" s="238" t="s">
        <v>3539</v>
      </c>
      <c r="C998" s="239" t="s">
        <v>28</v>
      </c>
      <c r="D998" s="240">
        <f t="shared" si="15"/>
        <v>57.870558518518514</v>
      </c>
      <c r="E998" s="226" t="s">
        <v>5222</v>
      </c>
      <c r="G998" s="240">
        <v>53.98</v>
      </c>
    </row>
    <row r="999" spans="1:7" ht="14.25" x14ac:dyDescent="0.2">
      <c r="A999" s="237" t="s">
        <v>2581</v>
      </c>
      <c r="B999" s="238" t="s">
        <v>2092</v>
      </c>
      <c r="C999" s="239" t="s">
        <v>38</v>
      </c>
      <c r="D999" s="240">
        <f t="shared" si="15"/>
        <v>602.55923333333328</v>
      </c>
      <c r="E999" s="226" t="s">
        <v>5222</v>
      </c>
      <c r="G999" s="240">
        <v>562.04999999999995</v>
      </c>
    </row>
    <row r="1000" spans="1:7" ht="14.25" x14ac:dyDescent="0.2">
      <c r="A1000" s="237" t="s">
        <v>2458</v>
      </c>
      <c r="B1000" s="238" t="s">
        <v>3540</v>
      </c>
      <c r="C1000" s="239" t="s">
        <v>28</v>
      </c>
      <c r="D1000" s="240">
        <f t="shared" si="15"/>
        <v>176.23825703703702</v>
      </c>
      <c r="E1000" s="226" t="s">
        <v>5222</v>
      </c>
      <c r="G1000" s="240">
        <v>164.39</v>
      </c>
    </row>
    <row r="1001" spans="1:7" ht="14.25" x14ac:dyDescent="0.2">
      <c r="A1001" s="237" t="s">
        <v>3541</v>
      </c>
      <c r="B1001" s="238" t="s">
        <v>3542</v>
      </c>
      <c r="C1001" s="239" t="s">
        <v>28</v>
      </c>
      <c r="D1001" s="240">
        <f t="shared" si="15"/>
        <v>316.09031999999996</v>
      </c>
      <c r="E1001" s="226" t="s">
        <v>5222</v>
      </c>
      <c r="G1001" s="240">
        <v>294.83999999999997</v>
      </c>
    </row>
    <row r="1002" spans="1:7" ht="14.25" x14ac:dyDescent="0.2">
      <c r="A1002" s="237" t="s">
        <v>2582</v>
      </c>
      <c r="B1002" s="238" t="s">
        <v>2583</v>
      </c>
      <c r="C1002" s="239" t="s">
        <v>51</v>
      </c>
      <c r="D1002" s="240">
        <f t="shared" si="15"/>
        <v>32360.202141481477</v>
      </c>
      <c r="E1002" s="226" t="s">
        <v>5222</v>
      </c>
      <c r="G1002" s="240">
        <v>30184.67</v>
      </c>
    </row>
    <row r="1003" spans="1:7" ht="14.25" x14ac:dyDescent="0.2">
      <c r="A1003" s="237" t="s">
        <v>2584</v>
      </c>
      <c r="B1003" s="238" t="s">
        <v>3543</v>
      </c>
      <c r="C1003" s="239" t="s">
        <v>51</v>
      </c>
      <c r="D1003" s="240">
        <f t="shared" si="15"/>
        <v>39278.274700000002</v>
      </c>
      <c r="E1003" s="226" t="s">
        <v>5222</v>
      </c>
      <c r="G1003" s="240">
        <v>36637.65</v>
      </c>
    </row>
    <row r="1004" spans="1:7" ht="14.25" x14ac:dyDescent="0.2">
      <c r="A1004" s="237" t="s">
        <v>2585</v>
      </c>
      <c r="B1004" s="238" t="s">
        <v>3544</v>
      </c>
      <c r="C1004" s="239" t="s">
        <v>51</v>
      </c>
      <c r="D1004" s="240">
        <f t="shared" si="15"/>
        <v>41977.489200000004</v>
      </c>
      <c r="E1004" s="226" t="s">
        <v>5222</v>
      </c>
      <c r="G1004" s="240">
        <v>39155.4</v>
      </c>
    </row>
    <row r="1005" spans="1:7" ht="14.25" x14ac:dyDescent="0.2">
      <c r="A1005" s="237" t="s">
        <v>2586</v>
      </c>
      <c r="B1005" s="238" t="s">
        <v>3545</v>
      </c>
      <c r="C1005" s="239" t="s">
        <v>51</v>
      </c>
      <c r="D1005" s="240">
        <f t="shared" si="15"/>
        <v>32635.189141481478</v>
      </c>
      <c r="E1005" s="226" t="s">
        <v>5222</v>
      </c>
      <c r="G1005" s="240">
        <v>30441.17</v>
      </c>
    </row>
    <row r="1006" spans="1:7" ht="14.25" x14ac:dyDescent="0.2">
      <c r="A1006" s="237" t="s">
        <v>2587</v>
      </c>
      <c r="B1006" s="238" t="s">
        <v>3546</v>
      </c>
      <c r="C1006" s="239" t="s">
        <v>51</v>
      </c>
      <c r="D1006" s="240">
        <f t="shared" si="15"/>
        <v>50304.159884444438</v>
      </c>
      <c r="E1006" s="226" t="s">
        <v>5222</v>
      </c>
      <c r="G1006" s="240">
        <v>46922.28</v>
      </c>
    </row>
    <row r="1007" spans="1:7" ht="14.25" x14ac:dyDescent="0.2">
      <c r="A1007" s="237" t="s">
        <v>2588</v>
      </c>
      <c r="B1007" s="238" t="s">
        <v>3547</v>
      </c>
      <c r="C1007" s="239" t="s">
        <v>51</v>
      </c>
      <c r="D1007" s="240">
        <f t="shared" si="15"/>
        <v>52583.657384444443</v>
      </c>
      <c r="E1007" s="226" t="s">
        <v>5222</v>
      </c>
      <c r="G1007" s="240">
        <v>49048.53</v>
      </c>
    </row>
    <row r="1008" spans="1:7" ht="14.25" x14ac:dyDescent="0.2">
      <c r="A1008" s="237" t="s">
        <v>609</v>
      </c>
      <c r="B1008" s="238" t="s">
        <v>2459</v>
      </c>
      <c r="C1008" s="239" t="s">
        <v>51</v>
      </c>
      <c r="D1008" s="240">
        <f t="shared" si="15"/>
        <v>8259.2586666666666</v>
      </c>
      <c r="E1008" s="226" t="s">
        <v>5222</v>
      </c>
      <c r="G1008" s="240">
        <v>7704</v>
      </c>
    </row>
    <row r="1009" spans="1:7" ht="14.25" x14ac:dyDescent="0.2">
      <c r="A1009" s="237" t="s">
        <v>2589</v>
      </c>
      <c r="B1009" s="238" t="s">
        <v>3548</v>
      </c>
      <c r="C1009" s="239" t="s">
        <v>27</v>
      </c>
      <c r="D1009" s="240">
        <f t="shared" si="15"/>
        <v>2652.3648629629629</v>
      </c>
      <c r="E1009" s="226" t="s">
        <v>5222</v>
      </c>
      <c r="G1009" s="240">
        <v>2474.0500000000002</v>
      </c>
    </row>
    <row r="1010" spans="1:7" ht="14.25" x14ac:dyDescent="0.2">
      <c r="A1010" s="237" t="s">
        <v>2590</v>
      </c>
      <c r="B1010" s="238" t="s">
        <v>3549</v>
      </c>
      <c r="C1010" s="239" t="s">
        <v>27</v>
      </c>
      <c r="D1010" s="240">
        <f t="shared" si="15"/>
        <v>3248.9419229629625</v>
      </c>
      <c r="E1010" s="226" t="s">
        <v>5222</v>
      </c>
      <c r="G1010" s="240">
        <v>3030.52</v>
      </c>
    </row>
    <row r="1011" spans="1:7" ht="14.25" x14ac:dyDescent="0.2">
      <c r="A1011" s="237" t="s">
        <v>2591</v>
      </c>
      <c r="B1011" s="238" t="s">
        <v>3550</v>
      </c>
      <c r="C1011" s="239" t="s">
        <v>27</v>
      </c>
      <c r="D1011" s="240">
        <f t="shared" si="15"/>
        <v>1916.4503355555553</v>
      </c>
      <c r="E1011" s="226" t="s">
        <v>5222</v>
      </c>
      <c r="G1011" s="240">
        <v>1787.61</v>
      </c>
    </row>
    <row r="1012" spans="1:7" ht="14.25" x14ac:dyDescent="0.2">
      <c r="A1012" s="237" t="s">
        <v>2592</v>
      </c>
      <c r="B1012" s="238" t="s">
        <v>3551</v>
      </c>
      <c r="C1012" s="239" t="s">
        <v>27</v>
      </c>
      <c r="D1012" s="240">
        <f t="shared" si="15"/>
        <v>1709.9688688888889</v>
      </c>
      <c r="E1012" s="226" t="s">
        <v>5222</v>
      </c>
      <c r="G1012" s="240">
        <v>1595.01</v>
      </c>
    </row>
    <row r="1013" spans="1:7" ht="14.25" x14ac:dyDescent="0.2">
      <c r="A1013" s="237" t="s">
        <v>2593</v>
      </c>
      <c r="B1013" s="238" t="s">
        <v>3552</v>
      </c>
      <c r="C1013" s="239" t="s">
        <v>27</v>
      </c>
      <c r="D1013" s="240">
        <f t="shared" si="15"/>
        <v>1520.619145925926</v>
      </c>
      <c r="E1013" s="226" t="s">
        <v>5222</v>
      </c>
      <c r="G1013" s="240">
        <v>1418.39</v>
      </c>
    </row>
    <row r="1014" spans="1:7" ht="14.25" x14ac:dyDescent="0.2">
      <c r="A1014" s="237" t="s">
        <v>2594</v>
      </c>
      <c r="B1014" s="238" t="s">
        <v>3553</v>
      </c>
      <c r="C1014" s="239" t="s">
        <v>27</v>
      </c>
      <c r="D1014" s="240">
        <f t="shared" si="15"/>
        <v>1423.2104955555556</v>
      </c>
      <c r="E1014" s="226" t="s">
        <v>5222</v>
      </c>
      <c r="G1014" s="240">
        <v>1327.53</v>
      </c>
    </row>
    <row r="1015" spans="1:7" ht="14.25" x14ac:dyDescent="0.2">
      <c r="A1015" s="237" t="s">
        <v>3554</v>
      </c>
      <c r="B1015" s="238" t="s">
        <v>5191</v>
      </c>
      <c r="C1015" s="239" t="s">
        <v>27</v>
      </c>
      <c r="D1015" s="240">
        <f t="shared" si="15"/>
        <v>1856.714368148148</v>
      </c>
      <c r="E1015" s="226" t="s">
        <v>5222</v>
      </c>
      <c r="G1015" s="240">
        <v>1731.89</v>
      </c>
    </row>
    <row r="1016" spans="1:7" ht="14.25" x14ac:dyDescent="0.2">
      <c r="A1016" s="237" t="s">
        <v>3555</v>
      </c>
      <c r="B1016" s="238" t="s">
        <v>5192</v>
      </c>
      <c r="C1016" s="239" t="s">
        <v>27</v>
      </c>
      <c r="D1016" s="240">
        <f t="shared" si="15"/>
        <v>2065.9510651851851</v>
      </c>
      <c r="E1016" s="226" t="s">
        <v>5222</v>
      </c>
      <c r="G1016" s="240">
        <v>1927.06</v>
      </c>
    </row>
    <row r="1017" spans="1:7" ht="14.25" x14ac:dyDescent="0.2">
      <c r="A1017" s="237" t="s">
        <v>2595</v>
      </c>
      <c r="B1017" s="238" t="s">
        <v>2596</v>
      </c>
      <c r="C1017" s="239" t="s">
        <v>27</v>
      </c>
      <c r="D1017" s="240">
        <f t="shared" si="15"/>
        <v>2711.8649740740739</v>
      </c>
      <c r="E1017" s="226" t="s">
        <v>5222</v>
      </c>
      <c r="G1017" s="240">
        <v>2529.5500000000002</v>
      </c>
    </row>
    <row r="1018" spans="1:7" ht="14.25" x14ac:dyDescent="0.2">
      <c r="A1018" s="237" t="s">
        <v>2597</v>
      </c>
      <c r="B1018" s="238" t="s">
        <v>2598</v>
      </c>
      <c r="C1018" s="239" t="s">
        <v>27</v>
      </c>
      <c r="D1018" s="240">
        <f t="shared" si="15"/>
        <v>3776.4774125925924</v>
      </c>
      <c r="E1018" s="226" t="s">
        <v>5222</v>
      </c>
      <c r="G1018" s="240">
        <v>3522.59</v>
      </c>
    </row>
    <row r="1019" spans="1:7" ht="14.25" x14ac:dyDescent="0.2">
      <c r="A1019" s="237" t="s">
        <v>2599</v>
      </c>
      <c r="B1019" s="238" t="s">
        <v>2600</v>
      </c>
      <c r="C1019" s="239" t="s">
        <v>51</v>
      </c>
      <c r="D1019" s="240">
        <f t="shared" si="15"/>
        <v>10573.630736296296</v>
      </c>
      <c r="E1019" s="226" t="s">
        <v>5222</v>
      </c>
      <c r="G1019" s="240">
        <v>9862.7800000000007</v>
      </c>
    </row>
    <row r="1020" spans="1:7" ht="14.25" x14ac:dyDescent="0.2">
      <c r="A1020" s="237" t="s">
        <v>2601</v>
      </c>
      <c r="B1020" s="238" t="s">
        <v>2602</v>
      </c>
      <c r="C1020" s="239" t="s">
        <v>51</v>
      </c>
      <c r="D1020" s="240">
        <f t="shared" si="15"/>
        <v>14625.062986666666</v>
      </c>
      <c r="E1020" s="226" t="s">
        <v>5222</v>
      </c>
      <c r="G1020" s="240">
        <v>13641.84</v>
      </c>
    </row>
    <row r="1021" spans="1:7" ht="14.25" x14ac:dyDescent="0.2">
      <c r="A1021" s="237" t="s">
        <v>2460</v>
      </c>
      <c r="B1021" s="238" t="s">
        <v>3556</v>
      </c>
      <c r="C1021" s="239" t="s">
        <v>27</v>
      </c>
      <c r="D1021" s="240">
        <f t="shared" si="15"/>
        <v>110.86318</v>
      </c>
      <c r="E1021" s="226" t="s">
        <v>5222</v>
      </c>
      <c r="G1021" s="240">
        <v>103.41</v>
      </c>
    </row>
    <row r="1022" spans="1:7" ht="14.25" x14ac:dyDescent="0.2">
      <c r="A1022" s="237" t="s">
        <v>2461</v>
      </c>
      <c r="B1022" s="238" t="s">
        <v>3557</v>
      </c>
      <c r="C1022" s="239" t="s">
        <v>27</v>
      </c>
      <c r="D1022" s="240">
        <f t="shared" si="15"/>
        <v>14.269305925925925</v>
      </c>
      <c r="E1022" s="226" t="s">
        <v>5222</v>
      </c>
      <c r="G1022" s="240">
        <v>13.31</v>
      </c>
    </row>
    <row r="1023" spans="1:7" ht="14.25" x14ac:dyDescent="0.2">
      <c r="A1023" s="237" t="s">
        <v>2462</v>
      </c>
      <c r="B1023" s="238" t="s">
        <v>3558</v>
      </c>
      <c r="C1023" s="239" t="s">
        <v>55</v>
      </c>
      <c r="D1023" s="240">
        <f t="shared" si="15"/>
        <v>38.766198518518515</v>
      </c>
      <c r="E1023" s="226" t="s">
        <v>5222</v>
      </c>
      <c r="G1023" s="240">
        <v>36.159999999999997</v>
      </c>
    </row>
    <row r="1024" spans="1:7" ht="14.25" x14ac:dyDescent="0.2">
      <c r="A1024" s="237" t="s">
        <v>2463</v>
      </c>
      <c r="B1024" s="238" t="s">
        <v>3559</v>
      </c>
      <c r="C1024" s="239" t="s">
        <v>27</v>
      </c>
      <c r="D1024" s="240">
        <f t="shared" si="15"/>
        <v>259.39904296296294</v>
      </c>
      <c r="E1024" s="226" t="s">
        <v>5222</v>
      </c>
      <c r="G1024" s="240">
        <v>241.96</v>
      </c>
    </row>
    <row r="1025" spans="1:7" ht="14.25" x14ac:dyDescent="0.2">
      <c r="A1025" s="237" t="s">
        <v>2464</v>
      </c>
      <c r="B1025" s="238" t="s">
        <v>3560</v>
      </c>
      <c r="C1025" s="239" t="s">
        <v>27</v>
      </c>
      <c r="D1025" s="240">
        <f t="shared" si="15"/>
        <v>477.4160266666666</v>
      </c>
      <c r="E1025" s="226" t="s">
        <v>5222</v>
      </c>
      <c r="G1025" s="240">
        <v>445.32</v>
      </c>
    </row>
    <row r="1026" spans="1:7" ht="14.25" x14ac:dyDescent="0.2">
      <c r="A1026" s="237" t="s">
        <v>2465</v>
      </c>
      <c r="B1026" s="238" t="s">
        <v>3561</v>
      </c>
      <c r="C1026" s="239" t="s">
        <v>27</v>
      </c>
      <c r="D1026" s="240">
        <f t="shared" si="15"/>
        <v>616.98935037037029</v>
      </c>
      <c r="E1026" s="226" t="s">
        <v>5222</v>
      </c>
      <c r="G1026" s="240">
        <v>575.51</v>
      </c>
    </row>
    <row r="1027" spans="1:7" ht="14.25" x14ac:dyDescent="0.2">
      <c r="A1027" s="237" t="s">
        <v>2466</v>
      </c>
      <c r="B1027" s="238" t="s">
        <v>3562</v>
      </c>
      <c r="C1027" s="239" t="s">
        <v>27</v>
      </c>
      <c r="D1027" s="240">
        <f t="shared" si="15"/>
        <v>544.57074666666665</v>
      </c>
      <c r="E1027" s="226" t="s">
        <v>5222</v>
      </c>
      <c r="G1027" s="240">
        <v>507.96</v>
      </c>
    </row>
    <row r="1028" spans="1:7" ht="14.25" x14ac:dyDescent="0.2">
      <c r="A1028" s="237" t="s">
        <v>2467</v>
      </c>
      <c r="B1028" s="238" t="s">
        <v>3563</v>
      </c>
      <c r="C1028" s="239" t="s">
        <v>27</v>
      </c>
      <c r="D1028" s="240">
        <f t="shared" si="15"/>
        <v>842.6180599999999</v>
      </c>
      <c r="E1028" s="226" t="s">
        <v>5222</v>
      </c>
      <c r="G1028" s="240">
        <v>785.97</v>
      </c>
    </row>
    <row r="1029" spans="1:7" ht="14.25" x14ac:dyDescent="0.2">
      <c r="A1029" s="237" t="s">
        <v>2468</v>
      </c>
      <c r="B1029" s="238" t="s">
        <v>3564</v>
      </c>
      <c r="C1029" s="239" t="s">
        <v>27</v>
      </c>
      <c r="D1029" s="240">
        <f t="shared" si="15"/>
        <v>257.69444518518515</v>
      </c>
      <c r="E1029" s="226" t="s">
        <v>5222</v>
      </c>
      <c r="G1029" s="240">
        <v>240.37</v>
      </c>
    </row>
    <row r="1030" spans="1:7" ht="14.25" x14ac:dyDescent="0.2">
      <c r="A1030" s="237" t="s">
        <v>2469</v>
      </c>
      <c r="B1030" s="238" t="s">
        <v>3565</v>
      </c>
      <c r="C1030" s="239" t="s">
        <v>27</v>
      </c>
      <c r="D1030" s="240">
        <f t="shared" si="15"/>
        <v>538.83515037037034</v>
      </c>
      <c r="E1030" s="226" t="s">
        <v>5222</v>
      </c>
      <c r="G1030" s="240">
        <v>502.61</v>
      </c>
    </row>
    <row r="1031" spans="1:7" ht="14.25" x14ac:dyDescent="0.2">
      <c r="A1031" s="237" t="s">
        <v>2470</v>
      </c>
      <c r="B1031" s="238" t="s">
        <v>3566</v>
      </c>
      <c r="C1031" s="239" t="s">
        <v>27</v>
      </c>
      <c r="D1031" s="240">
        <f t="shared" si="15"/>
        <v>705.63915555555559</v>
      </c>
      <c r="E1031" s="226" t="s">
        <v>5222</v>
      </c>
      <c r="G1031" s="240">
        <v>658.2</v>
      </c>
    </row>
    <row r="1032" spans="1:7" ht="14.25" x14ac:dyDescent="0.2">
      <c r="A1032" s="237" t="s">
        <v>2471</v>
      </c>
      <c r="B1032" s="238" t="s">
        <v>3567</v>
      </c>
      <c r="C1032" s="239" t="s">
        <v>27</v>
      </c>
      <c r="D1032" s="240">
        <f t="shared" ref="D1032:D1095" si="16">(G1032/(1+0.35))*(1+$D$3)</f>
        <v>215.06878</v>
      </c>
      <c r="E1032" s="226" t="s">
        <v>5222</v>
      </c>
      <c r="G1032" s="240">
        <v>200.61</v>
      </c>
    </row>
    <row r="1033" spans="1:7" ht="14.25" x14ac:dyDescent="0.2">
      <c r="A1033" s="237" t="s">
        <v>2472</v>
      </c>
      <c r="B1033" s="238" t="s">
        <v>3568</v>
      </c>
      <c r="C1033" s="239" t="s">
        <v>27</v>
      </c>
      <c r="D1033" s="240">
        <f t="shared" si="16"/>
        <v>150.7872185185185</v>
      </c>
      <c r="E1033" s="226" t="s">
        <v>5222</v>
      </c>
      <c r="G1033" s="240">
        <v>140.65</v>
      </c>
    </row>
    <row r="1034" spans="1:7" ht="14.25" x14ac:dyDescent="0.2">
      <c r="A1034" s="237" t="s">
        <v>610</v>
      </c>
      <c r="B1034" s="238" t="s">
        <v>3569</v>
      </c>
      <c r="C1034" s="239" t="s">
        <v>38</v>
      </c>
      <c r="D1034" s="240">
        <f t="shared" si="16"/>
        <v>319.82113777777778</v>
      </c>
      <c r="E1034" s="226" t="s">
        <v>5222</v>
      </c>
      <c r="G1034" s="240">
        <v>298.32</v>
      </c>
    </row>
    <row r="1035" spans="1:7" ht="14.25" x14ac:dyDescent="0.2">
      <c r="A1035" s="237" t="s">
        <v>611</v>
      </c>
      <c r="B1035" s="238" t="s">
        <v>3570</v>
      </c>
      <c r="C1035" s="239" t="s">
        <v>84</v>
      </c>
      <c r="D1035" s="240">
        <f t="shared" si="16"/>
        <v>63.230928888888883</v>
      </c>
      <c r="E1035" s="226" t="s">
        <v>5222</v>
      </c>
      <c r="G1035" s="240">
        <v>58.98</v>
      </c>
    </row>
    <row r="1036" spans="1:7" ht="14.25" x14ac:dyDescent="0.2">
      <c r="A1036" s="237" t="s">
        <v>2473</v>
      </c>
      <c r="B1036" s="238" t="s">
        <v>85</v>
      </c>
      <c r="C1036" s="239" t="s">
        <v>28</v>
      </c>
      <c r="D1036" s="240">
        <f t="shared" si="16"/>
        <v>34.16700074074074</v>
      </c>
      <c r="E1036" s="226" t="s">
        <v>5222</v>
      </c>
      <c r="G1036" s="240">
        <v>31.87</v>
      </c>
    </row>
    <row r="1037" spans="1:7" ht="14.25" x14ac:dyDescent="0.2">
      <c r="A1037" s="237" t="s">
        <v>2474</v>
      </c>
      <c r="B1037" s="238" t="s">
        <v>86</v>
      </c>
      <c r="C1037" s="239" t="s">
        <v>28</v>
      </c>
      <c r="D1037" s="240">
        <f t="shared" si="16"/>
        <v>34.928173333333326</v>
      </c>
      <c r="E1037" s="226" t="s">
        <v>5222</v>
      </c>
      <c r="G1037" s="240">
        <v>32.58</v>
      </c>
    </row>
    <row r="1038" spans="1:7" ht="14.25" x14ac:dyDescent="0.2">
      <c r="A1038" s="237" t="s">
        <v>2603</v>
      </c>
      <c r="B1038" s="238" t="s">
        <v>2604</v>
      </c>
      <c r="C1038" s="239" t="s">
        <v>51</v>
      </c>
      <c r="D1038" s="240">
        <f t="shared" si="16"/>
        <v>134584.14826074074</v>
      </c>
      <c r="E1038" s="226" t="s">
        <v>5222</v>
      </c>
      <c r="G1038" s="240">
        <v>125536.24</v>
      </c>
    </row>
    <row r="1039" spans="1:7" ht="14.25" x14ac:dyDescent="0.2">
      <c r="A1039" s="237" t="s">
        <v>2605</v>
      </c>
      <c r="B1039" s="238" t="s">
        <v>2606</v>
      </c>
      <c r="C1039" s="239" t="s">
        <v>51</v>
      </c>
      <c r="D1039" s="240">
        <f t="shared" si="16"/>
        <v>136579.2566711111</v>
      </c>
      <c r="E1039" s="226" t="s">
        <v>5222</v>
      </c>
      <c r="G1039" s="240">
        <v>127397.22</v>
      </c>
    </row>
    <row r="1040" spans="1:7" ht="14.25" x14ac:dyDescent="0.2">
      <c r="A1040" s="237" t="s">
        <v>2607</v>
      </c>
      <c r="B1040" s="238" t="s">
        <v>2608</v>
      </c>
      <c r="C1040" s="239" t="s">
        <v>51</v>
      </c>
      <c r="D1040" s="240">
        <f t="shared" si="16"/>
        <v>178777.09997629627</v>
      </c>
      <c r="E1040" s="226" t="s">
        <v>5222</v>
      </c>
      <c r="G1040" s="240">
        <v>166758.16</v>
      </c>
    </row>
    <row r="1041" spans="1:7" ht="14.25" x14ac:dyDescent="0.2">
      <c r="A1041" s="237" t="s">
        <v>2609</v>
      </c>
      <c r="B1041" s="238" t="s">
        <v>3571</v>
      </c>
      <c r="C1041" s="239" t="s">
        <v>51</v>
      </c>
      <c r="D1041" s="240">
        <f t="shared" si="16"/>
        <v>120356.83547629628</v>
      </c>
      <c r="E1041" s="226" t="s">
        <v>5222</v>
      </c>
      <c r="G1041" s="240">
        <v>112265.41</v>
      </c>
    </row>
    <row r="1042" spans="1:7" ht="14.25" x14ac:dyDescent="0.2">
      <c r="A1042" s="237" t="s">
        <v>3572</v>
      </c>
      <c r="B1042" s="238" t="s">
        <v>5193</v>
      </c>
      <c r="C1042" s="239" t="s">
        <v>51</v>
      </c>
      <c r="D1042" s="240">
        <f t="shared" si="16"/>
        <v>120519.44767185184</v>
      </c>
      <c r="E1042" s="226" t="s">
        <v>5222</v>
      </c>
      <c r="G1042" s="240">
        <v>112417.09</v>
      </c>
    </row>
    <row r="1043" spans="1:7" ht="14.25" x14ac:dyDescent="0.2">
      <c r="A1043" s="237" t="s">
        <v>2610</v>
      </c>
      <c r="B1043" s="238" t="s">
        <v>3573</v>
      </c>
      <c r="C1043" s="239" t="s">
        <v>51</v>
      </c>
      <c r="D1043" s="240">
        <f t="shared" si="16"/>
        <v>186821.66508888887</v>
      </c>
      <c r="E1043" s="226" t="s">
        <v>5222</v>
      </c>
      <c r="G1043" s="240">
        <v>174261.9</v>
      </c>
    </row>
    <row r="1044" spans="1:7" ht="14.25" x14ac:dyDescent="0.2">
      <c r="A1044" s="237" t="s">
        <v>2611</v>
      </c>
      <c r="B1044" s="238" t="s">
        <v>2612</v>
      </c>
      <c r="C1044" s="239" t="s">
        <v>51</v>
      </c>
      <c r="D1044" s="240">
        <f t="shared" si="16"/>
        <v>240998.93914296295</v>
      </c>
      <c r="E1044" s="226" t="s">
        <v>5222</v>
      </c>
      <c r="G1044" s="240">
        <v>224796.91</v>
      </c>
    </row>
    <row r="1045" spans="1:7" ht="14.25" x14ac:dyDescent="0.2">
      <c r="A1045" s="237" t="s">
        <v>3574</v>
      </c>
      <c r="B1045" s="238" t="s">
        <v>5194</v>
      </c>
      <c r="C1045" s="239" t="s">
        <v>51</v>
      </c>
      <c r="D1045" s="240">
        <f t="shared" si="16"/>
        <v>237046.98464592593</v>
      </c>
      <c r="E1045" s="226" t="s">
        <v>5222</v>
      </c>
      <c r="G1045" s="240">
        <v>221110.64</v>
      </c>
    </row>
    <row r="1046" spans="1:7" ht="14.25" x14ac:dyDescent="0.2">
      <c r="A1046" s="237" t="s">
        <v>2613</v>
      </c>
      <c r="B1046" s="238" t="s">
        <v>3575</v>
      </c>
      <c r="C1046" s="239" t="s">
        <v>51</v>
      </c>
      <c r="D1046" s="240">
        <f t="shared" si="16"/>
        <v>216540.68410000001</v>
      </c>
      <c r="E1046" s="226" t="s">
        <v>5222</v>
      </c>
      <c r="G1046" s="240">
        <v>201982.95</v>
      </c>
    </row>
    <row r="1047" spans="1:7" ht="14.25" x14ac:dyDescent="0.2">
      <c r="A1047" s="237" t="s">
        <v>2614</v>
      </c>
      <c r="B1047" s="238" t="s">
        <v>2615</v>
      </c>
      <c r="C1047" s="239" t="s">
        <v>51</v>
      </c>
      <c r="D1047" s="240">
        <f t="shared" si="16"/>
        <v>274760.22417111113</v>
      </c>
      <c r="E1047" s="226" t="s">
        <v>5222</v>
      </c>
      <c r="G1047" s="240">
        <v>256288.47</v>
      </c>
    </row>
    <row r="1048" spans="1:7" ht="14.25" x14ac:dyDescent="0.2">
      <c r="A1048" s="237" t="s">
        <v>2616</v>
      </c>
      <c r="B1048" s="238" t="s">
        <v>2617</v>
      </c>
      <c r="C1048" s="239" t="s">
        <v>51</v>
      </c>
      <c r="D1048" s="240">
        <f t="shared" si="16"/>
        <v>177156.9387525926</v>
      </c>
      <c r="E1048" s="226" t="s">
        <v>5222</v>
      </c>
      <c r="G1048" s="240">
        <v>165246.92000000001</v>
      </c>
    </row>
    <row r="1049" spans="1:7" ht="14.25" x14ac:dyDescent="0.2">
      <c r="A1049" s="237" t="s">
        <v>2618</v>
      </c>
      <c r="B1049" s="238" t="s">
        <v>3576</v>
      </c>
      <c r="C1049" s="239" t="s">
        <v>51</v>
      </c>
      <c r="D1049" s="240">
        <f t="shared" si="16"/>
        <v>229167.26164296296</v>
      </c>
      <c r="E1049" s="226" t="s">
        <v>5222</v>
      </c>
      <c r="G1049" s="240">
        <v>213760.66</v>
      </c>
    </row>
    <row r="1050" spans="1:7" ht="14.25" x14ac:dyDescent="0.2">
      <c r="A1050" s="237" t="s">
        <v>2619</v>
      </c>
      <c r="B1050" s="238" t="s">
        <v>2620</v>
      </c>
      <c r="C1050" s="239" t="s">
        <v>38</v>
      </c>
      <c r="D1050" s="240">
        <f t="shared" si="16"/>
        <v>861.76530296296301</v>
      </c>
      <c r="E1050" s="226" t="s">
        <v>5222</v>
      </c>
      <c r="G1050" s="240">
        <v>803.83</v>
      </c>
    </row>
    <row r="1051" spans="1:7" ht="14.25" x14ac:dyDescent="0.2">
      <c r="A1051" s="237" t="s">
        <v>2475</v>
      </c>
      <c r="B1051" s="238" t="s">
        <v>3577</v>
      </c>
      <c r="C1051" s="239" t="s">
        <v>38</v>
      </c>
      <c r="D1051" s="240">
        <f t="shared" si="16"/>
        <v>13.325880740740741</v>
      </c>
      <c r="E1051" s="226" t="s">
        <v>5222</v>
      </c>
      <c r="G1051" s="240">
        <v>12.43</v>
      </c>
    </row>
    <row r="1052" spans="1:7" ht="14.25" x14ac:dyDescent="0.2">
      <c r="A1052" s="237" t="s">
        <v>2476</v>
      </c>
      <c r="B1052" s="238" t="s">
        <v>3578</v>
      </c>
      <c r="C1052" s="239" t="s">
        <v>38</v>
      </c>
      <c r="D1052" s="240">
        <f t="shared" si="16"/>
        <v>15.770209629629628</v>
      </c>
      <c r="E1052" s="226" t="s">
        <v>5222</v>
      </c>
      <c r="G1052" s="240">
        <v>14.71</v>
      </c>
    </row>
    <row r="1053" spans="1:7" ht="14.25" x14ac:dyDescent="0.2">
      <c r="A1053" s="237" t="s">
        <v>2477</v>
      </c>
      <c r="B1053" s="238" t="s">
        <v>3579</v>
      </c>
      <c r="C1053" s="239" t="s">
        <v>38</v>
      </c>
      <c r="D1053" s="240">
        <f t="shared" si="16"/>
        <v>16.177597777777777</v>
      </c>
      <c r="E1053" s="226" t="s">
        <v>5222</v>
      </c>
      <c r="G1053" s="240">
        <v>15.09</v>
      </c>
    </row>
    <row r="1054" spans="1:7" ht="14.25" x14ac:dyDescent="0.2">
      <c r="A1054" s="237" t="s">
        <v>2478</v>
      </c>
      <c r="B1054" s="238" t="s">
        <v>3580</v>
      </c>
      <c r="C1054" s="239" t="s">
        <v>38</v>
      </c>
      <c r="D1054" s="240">
        <f t="shared" si="16"/>
        <v>18.289583703703702</v>
      </c>
      <c r="E1054" s="226" t="s">
        <v>5222</v>
      </c>
      <c r="G1054" s="240">
        <v>17.059999999999999</v>
      </c>
    </row>
    <row r="1055" spans="1:7" ht="14.25" x14ac:dyDescent="0.2">
      <c r="A1055" s="237" t="s">
        <v>2479</v>
      </c>
      <c r="B1055" s="238" t="s">
        <v>3581</v>
      </c>
      <c r="C1055" s="239" t="s">
        <v>38</v>
      </c>
      <c r="D1055" s="240">
        <f t="shared" si="16"/>
        <v>1.3722548148148148</v>
      </c>
      <c r="E1055" s="226" t="s">
        <v>5222</v>
      </c>
      <c r="G1055" s="240">
        <v>1.28</v>
      </c>
    </row>
    <row r="1056" spans="1:7" ht="14.25" x14ac:dyDescent="0.2">
      <c r="A1056" s="237" t="s">
        <v>2480</v>
      </c>
      <c r="B1056" s="238" t="s">
        <v>3582</v>
      </c>
      <c r="C1056" s="239" t="s">
        <v>38</v>
      </c>
      <c r="D1056" s="240">
        <f t="shared" si="16"/>
        <v>2.6694644444444449</v>
      </c>
      <c r="E1056" s="226" t="s">
        <v>5222</v>
      </c>
      <c r="G1056" s="240">
        <v>2.4900000000000002</v>
      </c>
    </row>
    <row r="1057" spans="1:7" ht="14.25" x14ac:dyDescent="0.2">
      <c r="A1057" s="237" t="s">
        <v>2481</v>
      </c>
      <c r="B1057" s="238" t="s">
        <v>3583</v>
      </c>
      <c r="C1057" s="239" t="s">
        <v>38</v>
      </c>
      <c r="D1057" s="240">
        <f t="shared" si="16"/>
        <v>10.624254074074074</v>
      </c>
      <c r="E1057" s="226" t="s">
        <v>5222</v>
      </c>
      <c r="G1057" s="240">
        <v>9.91</v>
      </c>
    </row>
    <row r="1058" spans="1:7" ht="14.25" x14ac:dyDescent="0.2">
      <c r="A1058" s="237" t="s">
        <v>2482</v>
      </c>
      <c r="B1058" s="238" t="s">
        <v>3584</v>
      </c>
      <c r="C1058" s="239" t="s">
        <v>38</v>
      </c>
      <c r="D1058" s="240">
        <f t="shared" si="16"/>
        <v>0.40738814814814811</v>
      </c>
      <c r="E1058" s="226" t="s">
        <v>5222</v>
      </c>
      <c r="G1058" s="240">
        <v>0.38</v>
      </c>
    </row>
    <row r="1059" spans="1:7" ht="14.25" x14ac:dyDescent="0.2">
      <c r="A1059" s="237" t="s">
        <v>2483</v>
      </c>
      <c r="B1059" s="238" t="s">
        <v>3585</v>
      </c>
      <c r="C1059" s="239" t="s">
        <v>38</v>
      </c>
      <c r="D1059" s="240">
        <f t="shared" si="16"/>
        <v>35.775111851851847</v>
      </c>
      <c r="E1059" s="226" t="s">
        <v>5222</v>
      </c>
      <c r="G1059" s="240">
        <v>33.369999999999997</v>
      </c>
    </row>
    <row r="1060" spans="1:7" ht="14.25" x14ac:dyDescent="0.2">
      <c r="A1060" s="237" t="s">
        <v>2484</v>
      </c>
      <c r="B1060" s="238" t="s">
        <v>3586</v>
      </c>
      <c r="C1060" s="239" t="s">
        <v>37</v>
      </c>
      <c r="D1060" s="240">
        <f t="shared" si="16"/>
        <v>5567.934631851851</v>
      </c>
      <c r="E1060" s="226" t="s">
        <v>5222</v>
      </c>
      <c r="G1060" s="240">
        <v>5193.6099999999997</v>
      </c>
    </row>
    <row r="1061" spans="1:7" ht="14.25" x14ac:dyDescent="0.2">
      <c r="A1061" s="237" t="s">
        <v>2485</v>
      </c>
      <c r="B1061" s="238" t="s">
        <v>3587</v>
      </c>
      <c r="C1061" s="239" t="s">
        <v>37</v>
      </c>
      <c r="D1061" s="240">
        <f t="shared" si="16"/>
        <v>2290.121754074074</v>
      </c>
      <c r="E1061" s="226" t="s">
        <v>5222</v>
      </c>
      <c r="G1061" s="240">
        <v>2136.16</v>
      </c>
    </row>
    <row r="1062" spans="1:7" ht="14.25" x14ac:dyDescent="0.2">
      <c r="A1062" s="237" t="s">
        <v>2486</v>
      </c>
      <c r="B1062" s="238" t="s">
        <v>3588</v>
      </c>
      <c r="C1062" s="239" t="s">
        <v>37</v>
      </c>
      <c r="D1062" s="240">
        <f t="shared" si="16"/>
        <v>9921.5309600000001</v>
      </c>
      <c r="E1062" s="226" t="s">
        <v>5222</v>
      </c>
      <c r="G1062" s="240">
        <v>9254.52</v>
      </c>
    </row>
    <row r="1063" spans="1:7" ht="14.25" x14ac:dyDescent="0.2">
      <c r="A1063" s="237" t="s">
        <v>2487</v>
      </c>
      <c r="B1063" s="238" t="s">
        <v>3589</v>
      </c>
      <c r="C1063" s="239" t="s">
        <v>28</v>
      </c>
      <c r="D1063" s="240">
        <f t="shared" si="16"/>
        <v>21.087697037037039</v>
      </c>
      <c r="E1063" s="226" t="s">
        <v>5222</v>
      </c>
      <c r="G1063" s="240">
        <v>19.670000000000002</v>
      </c>
    </row>
    <row r="1064" spans="1:7" ht="14.25" x14ac:dyDescent="0.2">
      <c r="A1064" s="237" t="s">
        <v>2488</v>
      </c>
      <c r="B1064" s="238" t="s">
        <v>3590</v>
      </c>
      <c r="C1064" s="239" t="s">
        <v>28</v>
      </c>
      <c r="D1064" s="240">
        <f t="shared" si="16"/>
        <v>60.572185185185184</v>
      </c>
      <c r="E1064" s="226" t="s">
        <v>5222</v>
      </c>
      <c r="G1064" s="240">
        <v>56.5</v>
      </c>
    </row>
    <row r="1065" spans="1:7" ht="14.25" x14ac:dyDescent="0.2">
      <c r="A1065" s="237" t="s">
        <v>2489</v>
      </c>
      <c r="B1065" s="238" t="s">
        <v>3591</v>
      </c>
      <c r="C1065" s="239" t="s">
        <v>38</v>
      </c>
      <c r="D1065" s="240">
        <f t="shared" si="16"/>
        <v>16.241922222222222</v>
      </c>
      <c r="E1065" s="226" t="s">
        <v>5222</v>
      </c>
      <c r="G1065" s="240">
        <v>15.15</v>
      </c>
    </row>
    <row r="1066" spans="1:7" ht="14.25" x14ac:dyDescent="0.2">
      <c r="A1066" s="237" t="s">
        <v>87</v>
      </c>
      <c r="B1066" s="238" t="s">
        <v>88</v>
      </c>
      <c r="C1066" s="239" t="s">
        <v>37</v>
      </c>
      <c r="D1066" s="240">
        <f t="shared" si="16"/>
        <v>22436.891538518521</v>
      </c>
      <c r="E1066" s="226" t="s">
        <v>5222</v>
      </c>
      <c r="G1066" s="240">
        <v>20928.490000000002</v>
      </c>
    </row>
    <row r="1067" spans="1:7" ht="14.25" x14ac:dyDescent="0.2">
      <c r="A1067" s="237" t="s">
        <v>89</v>
      </c>
      <c r="B1067" s="238" t="s">
        <v>90</v>
      </c>
      <c r="C1067" s="239" t="s">
        <v>91</v>
      </c>
      <c r="D1067" s="240">
        <f t="shared" si="16"/>
        <v>756.91645851851854</v>
      </c>
      <c r="E1067" s="226" t="s">
        <v>5222</v>
      </c>
      <c r="G1067" s="240">
        <v>706.03</v>
      </c>
    </row>
    <row r="1068" spans="1:7" ht="14.25" x14ac:dyDescent="0.2">
      <c r="A1068" s="237" t="s">
        <v>92</v>
      </c>
      <c r="B1068" s="238" t="s">
        <v>3592</v>
      </c>
      <c r="C1068" s="239" t="s">
        <v>37</v>
      </c>
      <c r="D1068" s="240">
        <f t="shared" si="16"/>
        <v>33166.037340000003</v>
      </c>
      <c r="E1068" s="226" t="s">
        <v>5222</v>
      </c>
      <c r="G1068" s="240">
        <v>30936.33</v>
      </c>
    </row>
    <row r="1069" spans="1:7" ht="14.25" x14ac:dyDescent="0.2">
      <c r="A1069" s="237" t="s">
        <v>2621</v>
      </c>
      <c r="B1069" s="238" t="s">
        <v>2622</v>
      </c>
      <c r="C1069" s="239" t="s">
        <v>37</v>
      </c>
      <c r="D1069" s="240">
        <f t="shared" si="16"/>
        <v>28823.40832962963</v>
      </c>
      <c r="E1069" s="226" t="s">
        <v>5222</v>
      </c>
      <c r="G1069" s="240">
        <v>26885.65</v>
      </c>
    </row>
    <row r="1070" spans="1:7" ht="14.25" x14ac:dyDescent="0.2">
      <c r="A1070" s="237" t="s">
        <v>2623</v>
      </c>
      <c r="B1070" s="238" t="s">
        <v>2624</v>
      </c>
      <c r="C1070" s="239" t="s">
        <v>91</v>
      </c>
      <c r="D1070" s="240">
        <f t="shared" si="16"/>
        <v>759.29646296296289</v>
      </c>
      <c r="E1070" s="226" t="s">
        <v>5222</v>
      </c>
      <c r="G1070" s="240">
        <v>708.25</v>
      </c>
    </row>
    <row r="1071" spans="1:7" ht="14.25" x14ac:dyDescent="0.2">
      <c r="A1071" s="237" t="s">
        <v>93</v>
      </c>
      <c r="B1071" s="238" t="s">
        <v>3593</v>
      </c>
      <c r="C1071" s="239" t="s">
        <v>38</v>
      </c>
      <c r="D1071" s="240">
        <f t="shared" si="16"/>
        <v>201.78578222222222</v>
      </c>
      <c r="E1071" s="226" t="s">
        <v>5222</v>
      </c>
      <c r="G1071" s="240">
        <v>188.22</v>
      </c>
    </row>
    <row r="1072" spans="1:7" ht="14.25" x14ac:dyDescent="0.2">
      <c r="A1072" s="237" t="s">
        <v>94</v>
      </c>
      <c r="B1072" s="238" t="s">
        <v>3594</v>
      </c>
      <c r="C1072" s="239" t="s">
        <v>27</v>
      </c>
      <c r="D1072" s="240">
        <f t="shared" si="16"/>
        <v>14.054891111111111</v>
      </c>
      <c r="E1072" s="226" t="s">
        <v>5222</v>
      </c>
      <c r="G1072" s="240">
        <v>13.11</v>
      </c>
    </row>
    <row r="1073" spans="1:7" ht="14.25" x14ac:dyDescent="0.2">
      <c r="A1073" s="237" t="s">
        <v>2625</v>
      </c>
      <c r="B1073" s="238" t="s">
        <v>3595</v>
      </c>
      <c r="C1073" s="239" t="s">
        <v>38</v>
      </c>
      <c r="D1073" s="240">
        <f t="shared" si="16"/>
        <v>290.99306592592592</v>
      </c>
      <c r="E1073" s="226" t="s">
        <v>5222</v>
      </c>
      <c r="G1073" s="240">
        <v>271.43</v>
      </c>
    </row>
    <row r="1074" spans="1:7" ht="14.25" x14ac:dyDescent="0.2">
      <c r="A1074" s="237" t="s">
        <v>612</v>
      </c>
      <c r="B1074" s="238" t="s">
        <v>3596</v>
      </c>
      <c r="C1074" s="239" t="s">
        <v>38</v>
      </c>
      <c r="D1074" s="240">
        <f t="shared" si="16"/>
        <v>190.34675185185185</v>
      </c>
      <c r="E1074" s="226" t="s">
        <v>5222</v>
      </c>
      <c r="G1074" s="240">
        <v>177.55</v>
      </c>
    </row>
    <row r="1075" spans="1:7" ht="14.25" x14ac:dyDescent="0.2">
      <c r="A1075" s="237" t="s">
        <v>2490</v>
      </c>
      <c r="B1075" s="238" t="s">
        <v>3597</v>
      </c>
      <c r="C1075" s="239" t="s">
        <v>28</v>
      </c>
      <c r="D1075" s="240">
        <f t="shared" si="16"/>
        <v>3294.8802970370371</v>
      </c>
      <c r="E1075" s="226" t="s">
        <v>5222</v>
      </c>
      <c r="G1075" s="240">
        <v>3073.37</v>
      </c>
    </row>
    <row r="1076" spans="1:7" ht="14.25" x14ac:dyDescent="0.2">
      <c r="A1076" s="237" t="s">
        <v>95</v>
      </c>
      <c r="B1076" s="238" t="s">
        <v>3598</v>
      </c>
      <c r="C1076" s="239" t="s">
        <v>84</v>
      </c>
      <c r="D1076" s="240">
        <f t="shared" si="16"/>
        <v>6.260912592592593</v>
      </c>
      <c r="E1076" s="226" t="s">
        <v>5222</v>
      </c>
      <c r="G1076" s="240">
        <v>5.84</v>
      </c>
    </row>
    <row r="1077" spans="1:7" ht="14.25" x14ac:dyDescent="0.2">
      <c r="A1077" s="237" t="s">
        <v>96</v>
      </c>
      <c r="B1077" s="238" t="s">
        <v>3599</v>
      </c>
      <c r="C1077" s="239" t="s">
        <v>84</v>
      </c>
      <c r="D1077" s="240">
        <f t="shared" si="16"/>
        <v>6.260912592592593</v>
      </c>
      <c r="E1077" s="226" t="s">
        <v>5222</v>
      </c>
      <c r="G1077" s="240">
        <v>5.84</v>
      </c>
    </row>
    <row r="1078" spans="1:7" ht="14.25" x14ac:dyDescent="0.2">
      <c r="A1078" s="237" t="s">
        <v>97</v>
      </c>
      <c r="B1078" s="238" t="s">
        <v>3600</v>
      </c>
      <c r="C1078" s="239" t="s">
        <v>84</v>
      </c>
      <c r="D1078" s="240">
        <f t="shared" si="16"/>
        <v>11.374705925925925</v>
      </c>
      <c r="E1078" s="226" t="s">
        <v>5222</v>
      </c>
      <c r="G1078" s="240">
        <v>10.61</v>
      </c>
    </row>
    <row r="1079" spans="1:7" ht="14.25" x14ac:dyDescent="0.2">
      <c r="A1079" s="237" t="s">
        <v>98</v>
      </c>
      <c r="B1079" s="238" t="s">
        <v>3601</v>
      </c>
      <c r="C1079" s="239" t="s">
        <v>84</v>
      </c>
      <c r="D1079" s="240">
        <f t="shared" si="16"/>
        <v>2.7766718518518516</v>
      </c>
      <c r="E1079" s="226" t="s">
        <v>5222</v>
      </c>
      <c r="G1079" s="240">
        <v>2.59</v>
      </c>
    </row>
    <row r="1080" spans="1:7" ht="14.25" x14ac:dyDescent="0.2">
      <c r="A1080" s="237" t="s">
        <v>99</v>
      </c>
      <c r="B1080" s="238" t="s">
        <v>3602</v>
      </c>
      <c r="C1080" s="239" t="s">
        <v>84</v>
      </c>
      <c r="D1080" s="240">
        <f t="shared" si="16"/>
        <v>3.1304562962962965</v>
      </c>
      <c r="E1080" s="226" t="s">
        <v>5222</v>
      </c>
      <c r="G1080" s="240">
        <v>2.92</v>
      </c>
    </row>
    <row r="1081" spans="1:7" ht="14.25" x14ac:dyDescent="0.2">
      <c r="A1081" s="237" t="s">
        <v>100</v>
      </c>
      <c r="B1081" s="238" t="s">
        <v>3603</v>
      </c>
      <c r="C1081" s="239" t="s">
        <v>84</v>
      </c>
      <c r="D1081" s="240">
        <f t="shared" si="16"/>
        <v>3.1304562962962965</v>
      </c>
      <c r="E1081" s="226" t="s">
        <v>5222</v>
      </c>
      <c r="G1081" s="240">
        <v>2.92</v>
      </c>
    </row>
    <row r="1082" spans="1:7" ht="14.25" x14ac:dyDescent="0.2">
      <c r="A1082" s="237" t="s">
        <v>101</v>
      </c>
      <c r="B1082" s="238" t="s">
        <v>3604</v>
      </c>
      <c r="C1082" s="239" t="s">
        <v>84</v>
      </c>
      <c r="D1082" s="240">
        <f t="shared" si="16"/>
        <v>0.6003614814814815</v>
      </c>
      <c r="E1082" s="226" t="s">
        <v>5222</v>
      </c>
      <c r="G1082" s="240">
        <v>0.56000000000000005</v>
      </c>
    </row>
    <row r="1083" spans="1:7" ht="14.25" x14ac:dyDescent="0.2">
      <c r="A1083" s="237" t="s">
        <v>102</v>
      </c>
      <c r="B1083" s="238" t="s">
        <v>3605</v>
      </c>
      <c r="C1083" s="239" t="s">
        <v>84</v>
      </c>
      <c r="D1083" s="240">
        <f t="shared" si="16"/>
        <v>0.30018074074074075</v>
      </c>
      <c r="E1083" s="226" t="s">
        <v>5222</v>
      </c>
      <c r="G1083" s="240">
        <v>0.28000000000000003</v>
      </c>
    </row>
    <row r="1084" spans="1:7" ht="14.25" x14ac:dyDescent="0.2">
      <c r="A1084" s="237" t="s">
        <v>103</v>
      </c>
      <c r="B1084" s="238" t="s">
        <v>3606</v>
      </c>
      <c r="C1084" s="239" t="s">
        <v>84</v>
      </c>
      <c r="D1084" s="240">
        <f t="shared" si="16"/>
        <v>0.15009037037037037</v>
      </c>
      <c r="E1084" s="226" t="s">
        <v>5222</v>
      </c>
      <c r="G1084" s="240">
        <v>0.14000000000000001</v>
      </c>
    </row>
    <row r="1085" spans="1:7" ht="14.25" x14ac:dyDescent="0.2">
      <c r="A1085" s="237" t="s">
        <v>104</v>
      </c>
      <c r="B1085" s="238" t="s">
        <v>3607</v>
      </c>
      <c r="C1085" s="239" t="s">
        <v>84</v>
      </c>
      <c r="D1085" s="240">
        <f t="shared" si="16"/>
        <v>2.4979325925925924</v>
      </c>
      <c r="E1085" s="226" t="s">
        <v>5222</v>
      </c>
      <c r="G1085" s="240">
        <v>2.33</v>
      </c>
    </row>
    <row r="1086" spans="1:7" ht="14.25" x14ac:dyDescent="0.2">
      <c r="A1086" s="237" t="s">
        <v>105</v>
      </c>
      <c r="B1086" s="238" t="s">
        <v>3608</v>
      </c>
      <c r="C1086" s="239" t="s">
        <v>84</v>
      </c>
      <c r="D1086" s="240">
        <f t="shared" si="16"/>
        <v>1.9618955555555557</v>
      </c>
      <c r="E1086" s="226" t="s">
        <v>5222</v>
      </c>
      <c r="G1086" s="240">
        <v>1.83</v>
      </c>
    </row>
    <row r="1087" spans="1:7" ht="14.25" x14ac:dyDescent="0.2">
      <c r="A1087" s="237" t="s">
        <v>106</v>
      </c>
      <c r="B1087" s="238" t="s">
        <v>3609</v>
      </c>
      <c r="C1087" s="239" t="s">
        <v>84</v>
      </c>
      <c r="D1087" s="240">
        <f t="shared" si="16"/>
        <v>2.0905444444444443</v>
      </c>
      <c r="E1087" s="226" t="s">
        <v>5222</v>
      </c>
      <c r="G1087" s="240">
        <v>1.95</v>
      </c>
    </row>
    <row r="1088" spans="1:7" ht="14.25" x14ac:dyDescent="0.2">
      <c r="A1088" s="237" t="s">
        <v>107</v>
      </c>
      <c r="B1088" s="238" t="s">
        <v>3610</v>
      </c>
      <c r="C1088" s="239" t="s">
        <v>84</v>
      </c>
      <c r="D1088" s="240">
        <f t="shared" si="16"/>
        <v>1.8225259259259257</v>
      </c>
      <c r="E1088" s="226" t="s">
        <v>5222</v>
      </c>
      <c r="G1088" s="240">
        <v>1.7</v>
      </c>
    </row>
    <row r="1089" spans="1:7" ht="14.25" x14ac:dyDescent="0.2">
      <c r="A1089" s="237" t="s">
        <v>108</v>
      </c>
      <c r="B1089" s="238" t="s">
        <v>3611</v>
      </c>
      <c r="C1089" s="239" t="s">
        <v>109</v>
      </c>
      <c r="D1089" s="240">
        <f t="shared" si="16"/>
        <v>321.89024074074075</v>
      </c>
      <c r="E1089" s="226" t="s">
        <v>5222</v>
      </c>
      <c r="G1089" s="240">
        <v>300.25</v>
      </c>
    </row>
    <row r="1090" spans="1:7" ht="14.25" x14ac:dyDescent="0.2">
      <c r="A1090" s="237" t="s">
        <v>110</v>
      </c>
      <c r="B1090" s="238" t="s">
        <v>3612</v>
      </c>
      <c r="C1090" s="239" t="s">
        <v>109</v>
      </c>
      <c r="D1090" s="240">
        <f t="shared" si="16"/>
        <v>413.31671777777774</v>
      </c>
      <c r="E1090" s="226" t="s">
        <v>5222</v>
      </c>
      <c r="G1090" s="240">
        <v>385.53</v>
      </c>
    </row>
    <row r="1091" spans="1:7" ht="14.25" x14ac:dyDescent="0.2">
      <c r="A1091" s="237" t="s">
        <v>111</v>
      </c>
      <c r="B1091" s="238" t="s">
        <v>3613</v>
      </c>
      <c r="C1091" s="239" t="s">
        <v>109</v>
      </c>
      <c r="D1091" s="240">
        <f t="shared" si="16"/>
        <v>396.92470518518513</v>
      </c>
      <c r="E1091" s="226" t="s">
        <v>5222</v>
      </c>
      <c r="G1091" s="240">
        <v>370.24</v>
      </c>
    </row>
    <row r="1092" spans="1:7" ht="14.25" x14ac:dyDescent="0.2">
      <c r="A1092" s="237" t="s">
        <v>112</v>
      </c>
      <c r="B1092" s="238" t="s">
        <v>3614</v>
      </c>
      <c r="C1092" s="239" t="s">
        <v>109</v>
      </c>
      <c r="D1092" s="240">
        <f t="shared" si="16"/>
        <v>184.01079407407406</v>
      </c>
      <c r="E1092" s="226" t="s">
        <v>5222</v>
      </c>
      <c r="G1092" s="240">
        <v>171.64</v>
      </c>
    </row>
    <row r="1093" spans="1:7" ht="14.25" x14ac:dyDescent="0.2">
      <c r="A1093" s="237" t="s">
        <v>113</v>
      </c>
      <c r="B1093" s="238" t="s">
        <v>3615</v>
      </c>
      <c r="C1093" s="239" t="s">
        <v>109</v>
      </c>
      <c r="D1093" s="240">
        <f t="shared" si="16"/>
        <v>415.4823074074074</v>
      </c>
      <c r="E1093" s="226" t="s">
        <v>5222</v>
      </c>
      <c r="G1093" s="240">
        <v>387.55</v>
      </c>
    </row>
    <row r="1094" spans="1:7" ht="14.25" x14ac:dyDescent="0.2">
      <c r="A1094" s="237" t="s">
        <v>114</v>
      </c>
      <c r="B1094" s="238" t="s">
        <v>3616</v>
      </c>
      <c r="C1094" s="239" t="s">
        <v>109</v>
      </c>
      <c r="D1094" s="240">
        <f t="shared" si="16"/>
        <v>176.31330222222223</v>
      </c>
      <c r="E1094" s="226" t="s">
        <v>5222</v>
      </c>
      <c r="G1094" s="240">
        <v>164.46</v>
      </c>
    </row>
    <row r="1095" spans="1:7" ht="14.25" x14ac:dyDescent="0.2">
      <c r="A1095" s="237" t="s">
        <v>115</v>
      </c>
      <c r="B1095" s="238" t="s">
        <v>3617</v>
      </c>
      <c r="C1095" s="239" t="s">
        <v>109</v>
      </c>
      <c r="D1095" s="240">
        <f t="shared" si="16"/>
        <v>507.42337999999995</v>
      </c>
      <c r="E1095" s="226" t="s">
        <v>5222</v>
      </c>
      <c r="G1095" s="240">
        <v>473.31</v>
      </c>
    </row>
    <row r="1096" spans="1:7" ht="14.25" x14ac:dyDescent="0.2">
      <c r="A1096" s="237" t="s">
        <v>116</v>
      </c>
      <c r="B1096" s="238" t="s">
        <v>3618</v>
      </c>
      <c r="C1096" s="239" t="s">
        <v>13</v>
      </c>
      <c r="D1096" s="240">
        <f t="shared" ref="D1096:D1159" si="17">(G1096/(1+0.35))*(1+$D$3)</f>
        <v>162.51570888888887</v>
      </c>
      <c r="E1096" s="226" t="s">
        <v>5222</v>
      </c>
      <c r="G1096" s="240">
        <v>151.59</v>
      </c>
    </row>
    <row r="1097" spans="1:7" ht="14.25" x14ac:dyDescent="0.2">
      <c r="A1097" s="237" t="s">
        <v>117</v>
      </c>
      <c r="B1097" s="238" t="s">
        <v>3619</v>
      </c>
      <c r="C1097" s="239" t="s">
        <v>13</v>
      </c>
      <c r="D1097" s="240">
        <f t="shared" si="17"/>
        <v>50.837752592592594</v>
      </c>
      <c r="E1097" s="226" t="s">
        <v>5222</v>
      </c>
      <c r="G1097" s="240">
        <v>47.42</v>
      </c>
    </row>
    <row r="1098" spans="1:7" ht="14.25" x14ac:dyDescent="0.2">
      <c r="A1098" s="237" t="s">
        <v>118</v>
      </c>
      <c r="B1098" s="238" t="s">
        <v>3620</v>
      </c>
      <c r="C1098" s="239" t="s">
        <v>13</v>
      </c>
      <c r="D1098" s="240">
        <f t="shared" si="17"/>
        <v>31.24023851851852</v>
      </c>
      <c r="E1098" s="226" t="s">
        <v>5222</v>
      </c>
      <c r="G1098" s="240">
        <v>29.14</v>
      </c>
    </row>
    <row r="1099" spans="1:7" ht="14.25" x14ac:dyDescent="0.2">
      <c r="A1099" s="237" t="s">
        <v>119</v>
      </c>
      <c r="B1099" s="238" t="s">
        <v>3621</v>
      </c>
      <c r="C1099" s="239" t="s">
        <v>13</v>
      </c>
      <c r="D1099" s="240">
        <f t="shared" si="17"/>
        <v>32.644655555555552</v>
      </c>
      <c r="E1099" s="226" t="s">
        <v>5222</v>
      </c>
      <c r="G1099" s="240">
        <v>30.45</v>
      </c>
    </row>
    <row r="1100" spans="1:7" ht="14.25" x14ac:dyDescent="0.2">
      <c r="A1100" s="237" t="s">
        <v>120</v>
      </c>
      <c r="B1100" s="238" t="s">
        <v>3622</v>
      </c>
      <c r="C1100" s="239" t="s">
        <v>13</v>
      </c>
      <c r="D1100" s="240">
        <f t="shared" si="17"/>
        <v>28.538611851851851</v>
      </c>
      <c r="E1100" s="226" t="s">
        <v>5222</v>
      </c>
      <c r="G1100" s="240">
        <v>26.62</v>
      </c>
    </row>
    <row r="1101" spans="1:7" ht="14.25" x14ac:dyDescent="0.2">
      <c r="A1101" s="237" t="s">
        <v>121</v>
      </c>
      <c r="B1101" s="238" t="s">
        <v>3623</v>
      </c>
      <c r="C1101" s="239" t="s">
        <v>13</v>
      </c>
      <c r="D1101" s="240">
        <f t="shared" si="17"/>
        <v>33.073485185185184</v>
      </c>
      <c r="E1101" s="226" t="s">
        <v>5222</v>
      </c>
      <c r="G1101" s="240">
        <v>30.85</v>
      </c>
    </row>
    <row r="1102" spans="1:7" ht="14.25" x14ac:dyDescent="0.2">
      <c r="A1102" s="237" t="s">
        <v>122</v>
      </c>
      <c r="B1102" s="238" t="s">
        <v>3624</v>
      </c>
      <c r="C1102" s="239" t="s">
        <v>28</v>
      </c>
      <c r="D1102" s="240">
        <f t="shared" si="17"/>
        <v>7143.0151407407402</v>
      </c>
      <c r="E1102" s="226" t="s">
        <v>5222</v>
      </c>
      <c r="G1102" s="240">
        <v>6662.8</v>
      </c>
    </row>
    <row r="1103" spans="1:7" ht="14.25" x14ac:dyDescent="0.2">
      <c r="A1103" s="237" t="s">
        <v>2626</v>
      </c>
      <c r="B1103" s="238" t="s">
        <v>3625</v>
      </c>
      <c r="C1103" s="239" t="s">
        <v>28</v>
      </c>
      <c r="D1103" s="240">
        <f t="shared" si="17"/>
        <v>4948.1150059259253</v>
      </c>
      <c r="E1103" s="226" t="s">
        <v>5222</v>
      </c>
      <c r="G1103" s="240">
        <v>4615.46</v>
      </c>
    </row>
    <row r="1104" spans="1:7" ht="14.25" x14ac:dyDescent="0.2">
      <c r="A1104" s="237" t="s">
        <v>123</v>
      </c>
      <c r="B1104" s="238" t="s">
        <v>3626</v>
      </c>
      <c r="C1104" s="239" t="s">
        <v>28</v>
      </c>
      <c r="D1104" s="240">
        <f t="shared" si="17"/>
        <v>17030.99018222222</v>
      </c>
      <c r="E1104" s="226" t="s">
        <v>5222</v>
      </c>
      <c r="G1104" s="240">
        <v>15886.02</v>
      </c>
    </row>
    <row r="1105" spans="1:7" ht="14.25" x14ac:dyDescent="0.2">
      <c r="A1105" s="237" t="s">
        <v>124</v>
      </c>
      <c r="B1105" s="238" t="s">
        <v>3627</v>
      </c>
      <c r="C1105" s="239" t="s">
        <v>28</v>
      </c>
      <c r="D1105" s="240">
        <f t="shared" si="17"/>
        <v>23664.566443703705</v>
      </c>
      <c r="E1105" s="226" t="s">
        <v>5222</v>
      </c>
      <c r="G1105" s="240">
        <v>22073.63</v>
      </c>
    </row>
    <row r="1106" spans="1:7" ht="14.25" x14ac:dyDescent="0.2">
      <c r="A1106" s="237" t="s">
        <v>125</v>
      </c>
      <c r="B1106" s="238" t="s">
        <v>3628</v>
      </c>
      <c r="C1106" s="239" t="s">
        <v>28</v>
      </c>
      <c r="D1106" s="240">
        <f t="shared" si="17"/>
        <v>30296.427386666666</v>
      </c>
      <c r="E1106" s="226" t="s">
        <v>5222</v>
      </c>
      <c r="G1106" s="240">
        <v>28259.64</v>
      </c>
    </row>
    <row r="1107" spans="1:7" ht="14.25" x14ac:dyDescent="0.2">
      <c r="A1107" s="237" t="s">
        <v>126</v>
      </c>
      <c r="B1107" s="238" t="s">
        <v>3629</v>
      </c>
      <c r="C1107" s="239" t="s">
        <v>28</v>
      </c>
      <c r="D1107" s="240">
        <f t="shared" si="17"/>
        <v>36930.003648148144</v>
      </c>
      <c r="E1107" s="226" t="s">
        <v>5222</v>
      </c>
      <c r="G1107" s="240">
        <v>34447.25</v>
      </c>
    </row>
    <row r="1108" spans="1:7" ht="14.25" x14ac:dyDescent="0.2">
      <c r="A1108" s="237" t="s">
        <v>127</v>
      </c>
      <c r="B1108" s="238" t="s">
        <v>3630</v>
      </c>
      <c r="C1108" s="239" t="s">
        <v>28</v>
      </c>
      <c r="D1108" s="240">
        <f t="shared" si="17"/>
        <v>4270.4891459259252</v>
      </c>
      <c r="E1108" s="226" t="s">
        <v>5222</v>
      </c>
      <c r="G1108" s="240">
        <v>3983.39</v>
      </c>
    </row>
    <row r="1109" spans="1:7" ht="14.25" x14ac:dyDescent="0.2">
      <c r="A1109" s="237" t="s">
        <v>128</v>
      </c>
      <c r="B1109" s="238" t="s">
        <v>3631</v>
      </c>
      <c r="C1109" s="239" t="s">
        <v>28</v>
      </c>
      <c r="D1109" s="240">
        <f t="shared" si="17"/>
        <v>368.32176888888887</v>
      </c>
      <c r="E1109" s="226" t="s">
        <v>5222</v>
      </c>
      <c r="G1109" s="240">
        <v>343.56</v>
      </c>
    </row>
    <row r="1110" spans="1:7" ht="14.25" x14ac:dyDescent="0.2">
      <c r="A1110" s="237" t="s">
        <v>129</v>
      </c>
      <c r="B1110" s="238" t="s">
        <v>3632</v>
      </c>
      <c r="C1110" s="239" t="s">
        <v>43</v>
      </c>
      <c r="D1110" s="240">
        <f t="shared" si="17"/>
        <v>3532.5591192592592</v>
      </c>
      <c r="E1110" s="226" t="s">
        <v>5222</v>
      </c>
      <c r="G1110" s="240">
        <v>3295.07</v>
      </c>
    </row>
    <row r="1111" spans="1:7" ht="14.25" x14ac:dyDescent="0.2">
      <c r="A1111" s="237" t="s">
        <v>130</v>
      </c>
      <c r="B1111" s="238" t="s">
        <v>3633</v>
      </c>
      <c r="C1111" s="239" t="s">
        <v>43</v>
      </c>
      <c r="D1111" s="240">
        <f t="shared" si="17"/>
        <v>2050.8562622222221</v>
      </c>
      <c r="E1111" s="226" t="s">
        <v>5222</v>
      </c>
      <c r="G1111" s="240">
        <v>1912.98</v>
      </c>
    </row>
    <row r="1112" spans="1:7" ht="14.25" x14ac:dyDescent="0.2">
      <c r="A1112" s="237" t="s">
        <v>131</v>
      </c>
      <c r="B1112" s="238" t="s">
        <v>132</v>
      </c>
      <c r="C1112" s="239" t="s">
        <v>133</v>
      </c>
      <c r="D1112" s="240">
        <f t="shared" si="17"/>
        <v>183.74277555555554</v>
      </c>
      <c r="E1112" s="226" t="s">
        <v>5222</v>
      </c>
      <c r="G1112" s="240">
        <v>171.39</v>
      </c>
    </row>
    <row r="1113" spans="1:7" ht="14.25" x14ac:dyDescent="0.2">
      <c r="A1113" s="237" t="s">
        <v>134</v>
      </c>
      <c r="B1113" s="238" t="s">
        <v>3634</v>
      </c>
      <c r="C1113" s="239" t="s">
        <v>133</v>
      </c>
      <c r="D1113" s="240">
        <f t="shared" si="17"/>
        <v>1131.413374074074</v>
      </c>
      <c r="E1113" s="226" t="s">
        <v>5222</v>
      </c>
      <c r="G1113" s="240">
        <v>1055.3499999999999</v>
      </c>
    </row>
    <row r="1114" spans="1:7" ht="14.25" x14ac:dyDescent="0.2">
      <c r="A1114" s="237" t="s">
        <v>25</v>
      </c>
      <c r="B1114" s="238" t="s">
        <v>3635</v>
      </c>
      <c r="C1114" s="239" t="s">
        <v>13</v>
      </c>
      <c r="D1114" s="240">
        <f t="shared" si="17"/>
        <v>75.613384444444435</v>
      </c>
      <c r="E1114" s="226" t="s">
        <v>5222</v>
      </c>
      <c r="G1114" s="240">
        <v>70.53</v>
      </c>
    </row>
    <row r="1115" spans="1:7" ht="14.25" x14ac:dyDescent="0.2">
      <c r="A1115" s="237" t="s">
        <v>135</v>
      </c>
      <c r="B1115" s="238" t="s">
        <v>3636</v>
      </c>
      <c r="C1115" s="239" t="s">
        <v>13</v>
      </c>
      <c r="D1115" s="240">
        <f t="shared" si="17"/>
        <v>130.28916222222222</v>
      </c>
      <c r="E1115" s="226" t="s">
        <v>5222</v>
      </c>
      <c r="G1115" s="240">
        <v>121.53</v>
      </c>
    </row>
    <row r="1116" spans="1:7" ht="14.25" x14ac:dyDescent="0.2">
      <c r="A1116" s="237" t="s">
        <v>24</v>
      </c>
      <c r="B1116" s="238" t="s">
        <v>3637</v>
      </c>
      <c r="C1116" s="239" t="s">
        <v>13</v>
      </c>
      <c r="D1116" s="240">
        <f t="shared" si="17"/>
        <v>205.62380740740741</v>
      </c>
      <c r="E1116" s="226" t="s">
        <v>5222</v>
      </c>
      <c r="G1116" s="240">
        <v>191.8</v>
      </c>
    </row>
    <row r="1117" spans="1:7" ht="14.25" x14ac:dyDescent="0.2">
      <c r="A1117" s="237" t="s">
        <v>136</v>
      </c>
      <c r="B1117" s="238" t="s">
        <v>3638</v>
      </c>
      <c r="C1117" s="239" t="s">
        <v>13</v>
      </c>
      <c r="D1117" s="240">
        <f t="shared" si="17"/>
        <v>95.489637777777773</v>
      </c>
      <c r="E1117" s="226" t="s">
        <v>5222</v>
      </c>
      <c r="G1117" s="240">
        <v>89.07</v>
      </c>
    </row>
    <row r="1118" spans="1:7" ht="14.25" x14ac:dyDescent="0.2">
      <c r="A1118" s="237" t="s">
        <v>21</v>
      </c>
      <c r="B1118" s="238" t="s">
        <v>3639</v>
      </c>
      <c r="C1118" s="239" t="s">
        <v>13</v>
      </c>
      <c r="D1118" s="240">
        <f t="shared" si="17"/>
        <v>117.37066962962962</v>
      </c>
      <c r="E1118" s="226" t="s">
        <v>5222</v>
      </c>
      <c r="G1118" s="240">
        <v>109.48</v>
      </c>
    </row>
    <row r="1119" spans="1:7" ht="14.25" x14ac:dyDescent="0.2">
      <c r="A1119" s="237" t="s">
        <v>137</v>
      </c>
      <c r="B1119" s="238" t="s">
        <v>3640</v>
      </c>
      <c r="C1119" s="239" t="s">
        <v>13</v>
      </c>
      <c r="D1119" s="240">
        <f t="shared" si="17"/>
        <v>173.08635925925924</v>
      </c>
      <c r="E1119" s="226" t="s">
        <v>5222</v>
      </c>
      <c r="G1119" s="240">
        <v>161.44999999999999</v>
      </c>
    </row>
    <row r="1120" spans="1:7" ht="14.25" x14ac:dyDescent="0.2">
      <c r="A1120" s="237" t="s">
        <v>138</v>
      </c>
      <c r="B1120" s="238" t="s">
        <v>3641</v>
      </c>
      <c r="C1120" s="239" t="s">
        <v>13</v>
      </c>
      <c r="D1120" s="240">
        <f t="shared" si="17"/>
        <v>170.93149037037037</v>
      </c>
      <c r="E1120" s="226" t="s">
        <v>5222</v>
      </c>
      <c r="G1120" s="240">
        <v>159.44</v>
      </c>
    </row>
    <row r="1121" spans="1:7" ht="14.25" x14ac:dyDescent="0.2">
      <c r="A1121" s="237" t="s">
        <v>139</v>
      </c>
      <c r="B1121" s="238" t="s">
        <v>3642</v>
      </c>
      <c r="C1121" s="239" t="s">
        <v>13</v>
      </c>
      <c r="D1121" s="240">
        <f t="shared" si="17"/>
        <v>178.86483851851852</v>
      </c>
      <c r="E1121" s="226" t="s">
        <v>5222</v>
      </c>
      <c r="G1121" s="240">
        <v>166.84</v>
      </c>
    </row>
    <row r="1122" spans="1:7" ht="14.25" x14ac:dyDescent="0.2">
      <c r="A1122" s="237" t="s">
        <v>19</v>
      </c>
      <c r="B1122" s="238" t="s">
        <v>3643</v>
      </c>
      <c r="C1122" s="239" t="s">
        <v>13</v>
      </c>
      <c r="D1122" s="240">
        <f t="shared" si="17"/>
        <v>238.8152207407407</v>
      </c>
      <c r="E1122" s="226" t="s">
        <v>5222</v>
      </c>
      <c r="G1122" s="240">
        <v>222.76</v>
      </c>
    </row>
    <row r="1123" spans="1:7" ht="14.25" x14ac:dyDescent="0.2">
      <c r="A1123" s="237" t="s">
        <v>140</v>
      </c>
      <c r="B1123" s="238" t="s">
        <v>3644</v>
      </c>
      <c r="C1123" s="239" t="s">
        <v>13</v>
      </c>
      <c r="D1123" s="240">
        <f t="shared" si="17"/>
        <v>36.214662222222223</v>
      </c>
      <c r="E1123" s="226" t="s">
        <v>5222</v>
      </c>
      <c r="G1123" s="240">
        <v>33.78</v>
      </c>
    </row>
    <row r="1124" spans="1:7" ht="14.25" x14ac:dyDescent="0.2">
      <c r="A1124" s="237" t="s">
        <v>141</v>
      </c>
      <c r="B1124" s="238" t="s">
        <v>3645</v>
      </c>
      <c r="C1124" s="239" t="s">
        <v>13</v>
      </c>
      <c r="D1124" s="240">
        <f t="shared" si="17"/>
        <v>33.898982222222223</v>
      </c>
      <c r="E1124" s="226" t="s">
        <v>5222</v>
      </c>
      <c r="G1124" s="240">
        <v>31.62</v>
      </c>
    </row>
    <row r="1125" spans="1:7" ht="14.25" x14ac:dyDescent="0.2">
      <c r="A1125" s="237" t="s">
        <v>142</v>
      </c>
      <c r="B1125" s="238" t="s">
        <v>3646</v>
      </c>
      <c r="C1125" s="239" t="s">
        <v>13</v>
      </c>
      <c r="D1125" s="240">
        <f t="shared" si="17"/>
        <v>39.60241629629629</v>
      </c>
      <c r="E1125" s="226" t="s">
        <v>5222</v>
      </c>
      <c r="G1125" s="240">
        <v>36.94</v>
      </c>
    </row>
    <row r="1126" spans="1:7" ht="14.25" x14ac:dyDescent="0.2">
      <c r="A1126" s="237" t="s">
        <v>143</v>
      </c>
      <c r="B1126" s="238" t="s">
        <v>3647</v>
      </c>
      <c r="C1126" s="239" t="s">
        <v>13</v>
      </c>
      <c r="D1126" s="240">
        <f t="shared" si="17"/>
        <v>42.250439259259252</v>
      </c>
      <c r="E1126" s="226" t="s">
        <v>5222</v>
      </c>
      <c r="G1126" s="240">
        <v>39.409999999999997</v>
      </c>
    </row>
    <row r="1127" spans="1:7" ht="14.25" x14ac:dyDescent="0.2">
      <c r="A1127" s="237" t="s">
        <v>144</v>
      </c>
      <c r="B1127" s="238" t="s">
        <v>3648</v>
      </c>
      <c r="C1127" s="239" t="s">
        <v>13</v>
      </c>
      <c r="D1127" s="240">
        <f t="shared" si="17"/>
        <v>115.16219703703703</v>
      </c>
      <c r="E1127" s="226" t="s">
        <v>5222</v>
      </c>
      <c r="G1127" s="240">
        <v>107.42</v>
      </c>
    </row>
    <row r="1128" spans="1:7" ht="14.25" x14ac:dyDescent="0.2">
      <c r="A1128" s="237" t="s">
        <v>145</v>
      </c>
      <c r="B1128" s="238" t="s">
        <v>3649</v>
      </c>
      <c r="C1128" s="239" t="s">
        <v>13</v>
      </c>
      <c r="D1128" s="240">
        <f t="shared" si="17"/>
        <v>823.09559111111116</v>
      </c>
      <c r="E1128" s="226" t="s">
        <v>5222</v>
      </c>
      <c r="G1128" s="240">
        <v>767.76</v>
      </c>
    </row>
    <row r="1129" spans="1:7" ht="14.25" x14ac:dyDescent="0.2">
      <c r="A1129" s="237" t="s">
        <v>146</v>
      </c>
      <c r="B1129" s="238" t="s">
        <v>3650</v>
      </c>
      <c r="C1129" s="239" t="s">
        <v>13</v>
      </c>
      <c r="D1129" s="240">
        <f t="shared" si="17"/>
        <v>486.77523333333329</v>
      </c>
      <c r="E1129" s="226" t="s">
        <v>5222</v>
      </c>
      <c r="G1129" s="240">
        <v>454.05</v>
      </c>
    </row>
    <row r="1130" spans="1:7" ht="14.25" x14ac:dyDescent="0.2">
      <c r="A1130" s="237" t="s">
        <v>147</v>
      </c>
      <c r="B1130" s="238" t="s">
        <v>3651</v>
      </c>
      <c r="C1130" s="239" t="s">
        <v>13</v>
      </c>
      <c r="D1130" s="240">
        <f t="shared" si="17"/>
        <v>445.69335481481482</v>
      </c>
      <c r="E1130" s="226" t="s">
        <v>5222</v>
      </c>
      <c r="G1130" s="240">
        <v>415.73</v>
      </c>
    </row>
    <row r="1131" spans="1:7" ht="14.25" x14ac:dyDescent="0.2">
      <c r="A1131" s="237" t="s">
        <v>20</v>
      </c>
      <c r="B1131" s="238" t="s">
        <v>3652</v>
      </c>
      <c r="C1131" s="239" t="s">
        <v>13</v>
      </c>
      <c r="D1131" s="240">
        <f t="shared" si="17"/>
        <v>823.09559111111116</v>
      </c>
      <c r="E1131" s="226" t="s">
        <v>5222</v>
      </c>
      <c r="G1131" s="240">
        <v>767.76</v>
      </c>
    </row>
    <row r="1132" spans="1:7" ht="14.25" x14ac:dyDescent="0.2">
      <c r="A1132" s="237" t="s">
        <v>148</v>
      </c>
      <c r="B1132" s="238" t="s">
        <v>3653</v>
      </c>
      <c r="C1132" s="239" t="s">
        <v>13</v>
      </c>
      <c r="D1132" s="240">
        <f t="shared" si="17"/>
        <v>410.86166814814811</v>
      </c>
      <c r="E1132" s="226" t="s">
        <v>5222</v>
      </c>
      <c r="G1132" s="240">
        <v>383.24</v>
      </c>
    </row>
    <row r="1133" spans="1:7" ht="14.25" x14ac:dyDescent="0.2">
      <c r="A1133" s="237" t="s">
        <v>149</v>
      </c>
      <c r="B1133" s="238" t="s">
        <v>3654</v>
      </c>
      <c r="C1133" s="239" t="s">
        <v>13</v>
      </c>
      <c r="D1133" s="240">
        <f t="shared" si="17"/>
        <v>74.423382222222216</v>
      </c>
      <c r="E1133" s="226" t="s">
        <v>5222</v>
      </c>
      <c r="G1133" s="240">
        <v>69.42</v>
      </c>
    </row>
    <row r="1134" spans="1:7" ht="14.25" x14ac:dyDescent="0.2">
      <c r="A1134" s="237" t="s">
        <v>5195</v>
      </c>
      <c r="B1134" s="238" t="s">
        <v>5196</v>
      </c>
      <c r="C1134" s="239" t="s">
        <v>13</v>
      </c>
      <c r="D1134" s="240">
        <f t="shared" si="17"/>
        <v>63.456064444444443</v>
      </c>
      <c r="E1134" s="226" t="s">
        <v>5222</v>
      </c>
      <c r="G1134" s="240">
        <v>59.19</v>
      </c>
    </row>
    <row r="1135" spans="1:7" ht="14.25" x14ac:dyDescent="0.2">
      <c r="A1135" s="237" t="s">
        <v>150</v>
      </c>
      <c r="B1135" s="238" t="s">
        <v>3655</v>
      </c>
      <c r="C1135" s="239" t="s">
        <v>13</v>
      </c>
      <c r="D1135" s="240">
        <f t="shared" si="17"/>
        <v>63.456064444444443</v>
      </c>
      <c r="E1135" s="226" t="s">
        <v>5222</v>
      </c>
      <c r="G1135" s="240">
        <v>59.19</v>
      </c>
    </row>
    <row r="1136" spans="1:7" ht="14.25" x14ac:dyDescent="0.2">
      <c r="A1136" s="237" t="s">
        <v>151</v>
      </c>
      <c r="B1136" s="238" t="s">
        <v>3656</v>
      </c>
      <c r="C1136" s="239" t="s">
        <v>13</v>
      </c>
      <c r="D1136" s="240">
        <f t="shared" si="17"/>
        <v>70.585357037037042</v>
      </c>
      <c r="E1136" s="226" t="s">
        <v>5222</v>
      </c>
      <c r="G1136" s="240">
        <v>65.84</v>
      </c>
    </row>
    <row r="1137" spans="1:7" ht="14.25" x14ac:dyDescent="0.2">
      <c r="A1137" s="237" t="s">
        <v>17</v>
      </c>
      <c r="B1137" s="238" t="s">
        <v>3657</v>
      </c>
      <c r="C1137" s="239" t="s">
        <v>13</v>
      </c>
      <c r="D1137" s="240">
        <f t="shared" si="17"/>
        <v>79.955284444444445</v>
      </c>
      <c r="E1137" s="226" t="s">
        <v>5222</v>
      </c>
      <c r="G1137" s="240">
        <v>74.58</v>
      </c>
    </row>
    <row r="1138" spans="1:7" ht="14.25" x14ac:dyDescent="0.2">
      <c r="A1138" s="237" t="s">
        <v>152</v>
      </c>
      <c r="B1138" s="238" t="s">
        <v>3658</v>
      </c>
      <c r="C1138" s="239" t="s">
        <v>13</v>
      </c>
      <c r="D1138" s="240">
        <f t="shared" si="17"/>
        <v>30.950778518518522</v>
      </c>
      <c r="E1138" s="226" t="s">
        <v>5222</v>
      </c>
      <c r="G1138" s="240">
        <v>28.87</v>
      </c>
    </row>
    <row r="1139" spans="1:7" ht="14.25" x14ac:dyDescent="0.2">
      <c r="A1139" s="237" t="s">
        <v>23</v>
      </c>
      <c r="B1139" s="238" t="s">
        <v>3659</v>
      </c>
      <c r="C1139" s="239" t="s">
        <v>13</v>
      </c>
      <c r="D1139" s="240">
        <f t="shared" si="17"/>
        <v>119.80427777777777</v>
      </c>
      <c r="E1139" s="226" t="s">
        <v>5222</v>
      </c>
      <c r="G1139" s="240">
        <v>111.75</v>
      </c>
    </row>
    <row r="1140" spans="1:7" ht="14.25" x14ac:dyDescent="0.2">
      <c r="A1140" s="237" t="s">
        <v>153</v>
      </c>
      <c r="B1140" s="238" t="s">
        <v>3660</v>
      </c>
      <c r="C1140" s="239" t="s">
        <v>13</v>
      </c>
      <c r="D1140" s="240">
        <f t="shared" si="17"/>
        <v>159.64255037037034</v>
      </c>
      <c r="E1140" s="226" t="s">
        <v>5222</v>
      </c>
      <c r="G1140" s="240">
        <v>148.91</v>
      </c>
    </row>
    <row r="1141" spans="1:7" ht="14.25" x14ac:dyDescent="0.2">
      <c r="A1141" s="237" t="s">
        <v>22</v>
      </c>
      <c r="B1141" s="238" t="s">
        <v>3661</v>
      </c>
      <c r="C1141" s="239" t="s">
        <v>13</v>
      </c>
      <c r="D1141" s="240">
        <f t="shared" si="17"/>
        <v>228.88781481481479</v>
      </c>
      <c r="E1141" s="226" t="s">
        <v>5222</v>
      </c>
      <c r="G1141" s="240">
        <v>213.5</v>
      </c>
    </row>
    <row r="1142" spans="1:7" ht="14.25" x14ac:dyDescent="0.2">
      <c r="A1142" s="237" t="s">
        <v>12</v>
      </c>
      <c r="B1142" s="238" t="s">
        <v>3662</v>
      </c>
      <c r="C1142" s="239" t="s">
        <v>13</v>
      </c>
      <c r="D1142" s="240">
        <f t="shared" si="17"/>
        <v>176.54915851851854</v>
      </c>
      <c r="E1142" s="226" t="s">
        <v>5222</v>
      </c>
      <c r="G1142" s="240">
        <v>164.68</v>
      </c>
    </row>
    <row r="1143" spans="1:7" ht="14.25" x14ac:dyDescent="0.2">
      <c r="A1143" s="237" t="s">
        <v>15</v>
      </c>
      <c r="B1143" s="238" t="s">
        <v>3663</v>
      </c>
      <c r="C1143" s="239" t="s">
        <v>13</v>
      </c>
      <c r="D1143" s="240">
        <f t="shared" si="17"/>
        <v>190.86134740740738</v>
      </c>
      <c r="E1143" s="226" t="s">
        <v>5222</v>
      </c>
      <c r="G1143" s="240">
        <v>178.03</v>
      </c>
    </row>
    <row r="1144" spans="1:7" ht="14.25" x14ac:dyDescent="0.2">
      <c r="A1144" s="237" t="s">
        <v>14</v>
      </c>
      <c r="B1144" s="238" t="s">
        <v>3664</v>
      </c>
      <c r="C1144" s="239" t="s">
        <v>13</v>
      </c>
      <c r="D1144" s="240">
        <f t="shared" si="17"/>
        <v>208.25038888888889</v>
      </c>
      <c r="E1144" s="226" t="s">
        <v>5222</v>
      </c>
      <c r="G1144" s="240">
        <v>194.25</v>
      </c>
    </row>
    <row r="1145" spans="1:7" ht="14.25" x14ac:dyDescent="0.2">
      <c r="A1145" s="237" t="s">
        <v>3665</v>
      </c>
      <c r="B1145" s="238" t="s">
        <v>3666</v>
      </c>
      <c r="C1145" s="239" t="s">
        <v>13</v>
      </c>
      <c r="D1145" s="240">
        <f t="shared" si="17"/>
        <v>104.21632074074073</v>
      </c>
      <c r="E1145" s="226" t="s">
        <v>5222</v>
      </c>
      <c r="G1145" s="240">
        <v>97.21</v>
      </c>
    </row>
    <row r="1146" spans="1:7" ht="14.25" x14ac:dyDescent="0.2">
      <c r="A1146" s="237" t="s">
        <v>3667</v>
      </c>
      <c r="B1146" s="238" t="s">
        <v>3668</v>
      </c>
      <c r="C1146" s="239" t="s">
        <v>13</v>
      </c>
      <c r="D1146" s="240">
        <f t="shared" si="17"/>
        <v>160.69318296296294</v>
      </c>
      <c r="E1146" s="226" t="s">
        <v>5222</v>
      </c>
      <c r="G1146" s="240">
        <v>149.88999999999999</v>
      </c>
    </row>
    <row r="1147" spans="1:7" ht="14.25" x14ac:dyDescent="0.2">
      <c r="A1147" s="237" t="s">
        <v>154</v>
      </c>
      <c r="B1147" s="238" t="s">
        <v>3669</v>
      </c>
      <c r="C1147" s="239" t="s">
        <v>13</v>
      </c>
      <c r="D1147" s="240">
        <f t="shared" si="17"/>
        <v>74.648517777777769</v>
      </c>
      <c r="E1147" s="226" t="s">
        <v>5222</v>
      </c>
      <c r="G1147" s="240">
        <v>69.63</v>
      </c>
    </row>
    <row r="1148" spans="1:7" ht="14.25" x14ac:dyDescent="0.2">
      <c r="A1148" s="237" t="s">
        <v>155</v>
      </c>
      <c r="B1148" s="238" t="s">
        <v>3670</v>
      </c>
      <c r="C1148" s="239" t="s">
        <v>13</v>
      </c>
      <c r="D1148" s="240">
        <f t="shared" si="17"/>
        <v>131.58637185185185</v>
      </c>
      <c r="E1148" s="226" t="s">
        <v>5222</v>
      </c>
      <c r="G1148" s="240">
        <v>122.74</v>
      </c>
    </row>
    <row r="1149" spans="1:7" ht="14.25" x14ac:dyDescent="0.2">
      <c r="A1149" s="237" t="s">
        <v>156</v>
      </c>
      <c r="B1149" s="238" t="s">
        <v>3671</v>
      </c>
      <c r="C1149" s="239" t="s">
        <v>13</v>
      </c>
      <c r="D1149" s="240">
        <f t="shared" si="17"/>
        <v>162.84805185185186</v>
      </c>
      <c r="E1149" s="226" t="s">
        <v>5222</v>
      </c>
      <c r="G1149" s="240">
        <v>151.9</v>
      </c>
    </row>
    <row r="1150" spans="1:7" ht="14.25" x14ac:dyDescent="0.2">
      <c r="A1150" s="237" t="s">
        <v>16</v>
      </c>
      <c r="B1150" s="238" t="s">
        <v>3672</v>
      </c>
      <c r="C1150" s="239" t="s">
        <v>13</v>
      </c>
      <c r="D1150" s="240">
        <f t="shared" si="17"/>
        <v>230.08853777777776</v>
      </c>
      <c r="E1150" s="226" t="s">
        <v>5222</v>
      </c>
      <c r="G1150" s="240">
        <v>214.62</v>
      </c>
    </row>
    <row r="1151" spans="1:7" ht="14.25" x14ac:dyDescent="0.2">
      <c r="A1151" s="237" t="s">
        <v>157</v>
      </c>
      <c r="B1151" s="238" t="s">
        <v>3673</v>
      </c>
      <c r="C1151" s="239" t="s">
        <v>13</v>
      </c>
      <c r="D1151" s="240">
        <f t="shared" si="17"/>
        <v>66.715169629629614</v>
      </c>
      <c r="E1151" s="226" t="s">
        <v>5222</v>
      </c>
      <c r="G1151" s="240">
        <v>62.23</v>
      </c>
    </row>
    <row r="1152" spans="1:7" ht="14.25" x14ac:dyDescent="0.2">
      <c r="A1152" s="237" t="s">
        <v>158</v>
      </c>
      <c r="B1152" s="238" t="s">
        <v>3674</v>
      </c>
      <c r="C1152" s="239" t="s">
        <v>13</v>
      </c>
      <c r="D1152" s="240">
        <f t="shared" si="17"/>
        <v>36.836465185185183</v>
      </c>
      <c r="E1152" s="226" t="s">
        <v>5222</v>
      </c>
      <c r="G1152" s="240">
        <v>34.36</v>
      </c>
    </row>
    <row r="1153" spans="1:7" ht="14.25" x14ac:dyDescent="0.2">
      <c r="A1153" s="237" t="s">
        <v>159</v>
      </c>
      <c r="B1153" s="238" t="s">
        <v>3675</v>
      </c>
      <c r="C1153" s="239" t="s">
        <v>13</v>
      </c>
      <c r="D1153" s="240">
        <f t="shared" si="17"/>
        <v>51.288023703703708</v>
      </c>
      <c r="E1153" s="226" t="s">
        <v>5222</v>
      </c>
      <c r="G1153" s="240">
        <v>47.84</v>
      </c>
    </row>
    <row r="1154" spans="1:7" ht="14.25" x14ac:dyDescent="0.2">
      <c r="A1154" s="237" t="s">
        <v>160</v>
      </c>
      <c r="B1154" s="238" t="s">
        <v>3676</v>
      </c>
      <c r="C1154" s="239" t="s">
        <v>13</v>
      </c>
      <c r="D1154" s="240">
        <f t="shared" si="17"/>
        <v>57.002178518518519</v>
      </c>
      <c r="E1154" s="226" t="s">
        <v>5222</v>
      </c>
      <c r="G1154" s="240">
        <v>53.17</v>
      </c>
    </row>
    <row r="1155" spans="1:7" ht="14.25" x14ac:dyDescent="0.2">
      <c r="A1155" s="237" t="s">
        <v>161</v>
      </c>
      <c r="B1155" s="238" t="s">
        <v>3677</v>
      </c>
      <c r="C1155" s="239" t="s">
        <v>13</v>
      </c>
      <c r="D1155" s="240">
        <f t="shared" si="17"/>
        <v>67.915892592592584</v>
      </c>
      <c r="E1155" s="226" t="s">
        <v>5222</v>
      </c>
      <c r="G1155" s="240">
        <v>63.35</v>
      </c>
    </row>
    <row r="1156" spans="1:7" ht="14.25" x14ac:dyDescent="0.2">
      <c r="A1156" s="237" t="s">
        <v>162</v>
      </c>
      <c r="B1156" s="238" t="s">
        <v>3678</v>
      </c>
      <c r="C1156" s="239" t="s">
        <v>13</v>
      </c>
      <c r="D1156" s="240">
        <f t="shared" si="17"/>
        <v>104.53794296296296</v>
      </c>
      <c r="E1156" s="226" t="s">
        <v>5222</v>
      </c>
      <c r="G1156" s="240">
        <v>97.51</v>
      </c>
    </row>
    <row r="1157" spans="1:7" ht="14.25" x14ac:dyDescent="0.2">
      <c r="A1157" s="237" t="s">
        <v>163</v>
      </c>
      <c r="B1157" s="238" t="s">
        <v>3679</v>
      </c>
      <c r="C1157" s="239" t="s">
        <v>13</v>
      </c>
      <c r="D1157" s="240">
        <f t="shared" si="17"/>
        <v>108.31164370370371</v>
      </c>
      <c r="E1157" s="226" t="s">
        <v>5222</v>
      </c>
      <c r="G1157" s="240">
        <v>101.03</v>
      </c>
    </row>
    <row r="1158" spans="1:7" ht="14.25" x14ac:dyDescent="0.2">
      <c r="A1158" s="237" t="s">
        <v>164</v>
      </c>
      <c r="B1158" s="238" t="s">
        <v>3680</v>
      </c>
      <c r="C1158" s="239" t="s">
        <v>13</v>
      </c>
      <c r="D1158" s="240">
        <f t="shared" si="17"/>
        <v>72.34355851851852</v>
      </c>
      <c r="E1158" s="226" t="s">
        <v>5222</v>
      </c>
      <c r="G1158" s="240">
        <v>67.48</v>
      </c>
    </row>
    <row r="1159" spans="1:7" ht="14.25" x14ac:dyDescent="0.2">
      <c r="A1159" s="237" t="s">
        <v>165</v>
      </c>
      <c r="B1159" s="238" t="s">
        <v>3681</v>
      </c>
      <c r="C1159" s="239" t="s">
        <v>13</v>
      </c>
      <c r="D1159" s="240">
        <f t="shared" si="17"/>
        <v>142.3928785185185</v>
      </c>
      <c r="E1159" s="226" t="s">
        <v>5222</v>
      </c>
      <c r="G1159" s="240">
        <v>132.82</v>
      </c>
    </row>
    <row r="1160" spans="1:7" ht="14.25" x14ac:dyDescent="0.2">
      <c r="A1160" s="237" t="s">
        <v>166</v>
      </c>
      <c r="B1160" s="238" t="s">
        <v>3682</v>
      </c>
      <c r="C1160" s="239" t="s">
        <v>13</v>
      </c>
      <c r="D1160" s="240">
        <f t="shared" ref="D1160:D1223" si="18">(G1160/(1+0.35))*(1+$D$3)</f>
        <v>154.53947777777776</v>
      </c>
      <c r="E1160" s="226" t="s">
        <v>5222</v>
      </c>
      <c r="G1160" s="240">
        <v>144.15</v>
      </c>
    </row>
    <row r="1161" spans="1:7" ht="14.25" x14ac:dyDescent="0.2">
      <c r="A1161" s="237" t="s">
        <v>167</v>
      </c>
      <c r="B1161" s="238" t="s">
        <v>3683</v>
      </c>
      <c r="C1161" s="239" t="s">
        <v>13</v>
      </c>
      <c r="D1161" s="240">
        <f t="shared" si="18"/>
        <v>104.19487925925925</v>
      </c>
      <c r="E1161" s="226" t="s">
        <v>5222</v>
      </c>
      <c r="G1161" s="240">
        <v>97.19</v>
      </c>
    </row>
    <row r="1162" spans="1:7" ht="14.25" x14ac:dyDescent="0.2">
      <c r="A1162" s="237" t="s">
        <v>168</v>
      </c>
      <c r="B1162" s="238" t="s">
        <v>3684</v>
      </c>
      <c r="C1162" s="239" t="s">
        <v>13</v>
      </c>
      <c r="D1162" s="240">
        <f t="shared" si="18"/>
        <v>94.631978518518508</v>
      </c>
      <c r="E1162" s="226" t="s">
        <v>5222</v>
      </c>
      <c r="G1162" s="240">
        <v>88.27</v>
      </c>
    </row>
    <row r="1163" spans="1:7" ht="14.25" x14ac:dyDescent="0.2">
      <c r="A1163" s="237" t="s">
        <v>3685</v>
      </c>
      <c r="B1163" s="238" t="s">
        <v>3686</v>
      </c>
      <c r="C1163" s="239" t="s">
        <v>13</v>
      </c>
      <c r="D1163" s="240">
        <f t="shared" si="18"/>
        <v>127.64113925925926</v>
      </c>
      <c r="E1163" s="226" t="s">
        <v>5222</v>
      </c>
      <c r="G1163" s="240">
        <v>119.06</v>
      </c>
    </row>
    <row r="1164" spans="1:7" ht="14.25" x14ac:dyDescent="0.2">
      <c r="A1164" s="237" t="s">
        <v>3687</v>
      </c>
      <c r="B1164" s="238" t="s">
        <v>3688</v>
      </c>
      <c r="C1164" s="239" t="s">
        <v>13</v>
      </c>
      <c r="D1164" s="240">
        <f t="shared" si="18"/>
        <v>162.34417703703704</v>
      </c>
      <c r="E1164" s="226" t="s">
        <v>5222</v>
      </c>
      <c r="G1164" s="240">
        <v>151.43</v>
      </c>
    </row>
    <row r="1165" spans="1:7" ht="14.25" x14ac:dyDescent="0.2">
      <c r="A1165" s="237" t="s">
        <v>3689</v>
      </c>
      <c r="B1165" s="238" t="s">
        <v>3690</v>
      </c>
      <c r="C1165" s="239" t="s">
        <v>13</v>
      </c>
      <c r="D1165" s="240">
        <f t="shared" si="18"/>
        <v>206.06335777777775</v>
      </c>
      <c r="E1165" s="226" t="s">
        <v>5222</v>
      </c>
      <c r="G1165" s="240">
        <v>192.21</v>
      </c>
    </row>
    <row r="1166" spans="1:7" ht="14.25" x14ac:dyDescent="0.2">
      <c r="A1166" s="237" t="s">
        <v>2491</v>
      </c>
      <c r="B1166" s="238" t="s">
        <v>3691</v>
      </c>
      <c r="C1166" s="239" t="s">
        <v>13</v>
      </c>
      <c r="D1166" s="240">
        <f t="shared" si="18"/>
        <v>156.43704888888888</v>
      </c>
      <c r="E1166" s="226" t="s">
        <v>5222</v>
      </c>
      <c r="G1166" s="240">
        <v>145.91999999999999</v>
      </c>
    </row>
    <row r="1167" spans="1:7" ht="14.25" x14ac:dyDescent="0.2">
      <c r="A1167" s="237" t="s">
        <v>2492</v>
      </c>
      <c r="B1167" s="238" t="s">
        <v>3692</v>
      </c>
      <c r="C1167" s="239" t="s">
        <v>13</v>
      </c>
      <c r="D1167" s="240">
        <f t="shared" si="18"/>
        <v>106.19965777777779</v>
      </c>
      <c r="E1167" s="226" t="s">
        <v>5222</v>
      </c>
      <c r="G1167" s="240">
        <v>99.06</v>
      </c>
    </row>
    <row r="1168" spans="1:7" ht="14.25" x14ac:dyDescent="0.2">
      <c r="A1168" s="237" t="s">
        <v>2627</v>
      </c>
      <c r="B1168" s="238" t="s">
        <v>3693</v>
      </c>
      <c r="C1168" s="239" t="s">
        <v>13</v>
      </c>
      <c r="D1168" s="240">
        <f t="shared" si="18"/>
        <v>55.115328148148137</v>
      </c>
      <c r="E1168" s="226" t="s">
        <v>5222</v>
      </c>
      <c r="G1168" s="240">
        <v>51.41</v>
      </c>
    </row>
    <row r="1169" spans="1:7" ht="14.25" x14ac:dyDescent="0.2">
      <c r="A1169" s="237" t="s">
        <v>2628</v>
      </c>
      <c r="B1169" s="238" t="s">
        <v>3694</v>
      </c>
      <c r="C1169" s="239" t="s">
        <v>13</v>
      </c>
      <c r="D1169" s="240">
        <f t="shared" si="18"/>
        <v>64.024263703703696</v>
      </c>
      <c r="E1169" s="226" t="s">
        <v>5222</v>
      </c>
      <c r="G1169" s="240">
        <v>59.72</v>
      </c>
    </row>
    <row r="1170" spans="1:7" ht="14.25" x14ac:dyDescent="0.2">
      <c r="A1170" s="237" t="s">
        <v>2629</v>
      </c>
      <c r="B1170" s="238" t="s">
        <v>3695</v>
      </c>
      <c r="C1170" s="239" t="s">
        <v>13</v>
      </c>
      <c r="D1170" s="240">
        <f t="shared" si="18"/>
        <v>71.132114814814798</v>
      </c>
      <c r="E1170" s="226" t="s">
        <v>5222</v>
      </c>
      <c r="G1170" s="240">
        <v>66.349999999999994</v>
      </c>
    </row>
    <row r="1171" spans="1:7" ht="14.25" x14ac:dyDescent="0.2">
      <c r="A1171" s="237" t="s">
        <v>169</v>
      </c>
      <c r="B1171" s="238" t="s">
        <v>3696</v>
      </c>
      <c r="C1171" s="239" t="s">
        <v>13</v>
      </c>
      <c r="D1171" s="240">
        <f t="shared" si="18"/>
        <v>36.193220740740735</v>
      </c>
      <c r="E1171" s="226" t="s">
        <v>5222</v>
      </c>
      <c r="G1171" s="240">
        <v>33.76</v>
      </c>
    </row>
    <row r="1172" spans="1:7" ht="14.25" x14ac:dyDescent="0.2">
      <c r="A1172" s="237" t="s">
        <v>170</v>
      </c>
      <c r="B1172" s="238" t="s">
        <v>3697</v>
      </c>
      <c r="C1172" s="239" t="s">
        <v>13</v>
      </c>
      <c r="D1172" s="240">
        <f t="shared" si="18"/>
        <v>62.362548888888888</v>
      </c>
      <c r="E1172" s="226" t="s">
        <v>5222</v>
      </c>
      <c r="G1172" s="240">
        <v>58.17</v>
      </c>
    </row>
    <row r="1173" spans="1:7" ht="14.25" x14ac:dyDescent="0.2">
      <c r="A1173" s="237" t="s">
        <v>171</v>
      </c>
      <c r="B1173" s="238" t="s">
        <v>3698</v>
      </c>
      <c r="C1173" s="239" t="s">
        <v>13</v>
      </c>
      <c r="D1173" s="240">
        <f t="shared" si="18"/>
        <v>98.427120740740733</v>
      </c>
      <c r="E1173" s="226" t="s">
        <v>5222</v>
      </c>
      <c r="G1173" s="240">
        <v>91.81</v>
      </c>
    </row>
    <row r="1174" spans="1:7" ht="14.25" x14ac:dyDescent="0.2">
      <c r="A1174" s="237" t="s">
        <v>172</v>
      </c>
      <c r="B1174" s="238" t="s">
        <v>3699</v>
      </c>
      <c r="C1174" s="239" t="s">
        <v>13</v>
      </c>
      <c r="D1174" s="240">
        <f t="shared" si="18"/>
        <v>45.702517777777778</v>
      </c>
      <c r="E1174" s="226" t="s">
        <v>5222</v>
      </c>
      <c r="G1174" s="240">
        <v>42.63</v>
      </c>
    </row>
    <row r="1175" spans="1:7" ht="14.25" x14ac:dyDescent="0.2">
      <c r="A1175" s="237" t="s">
        <v>173</v>
      </c>
      <c r="B1175" s="238" t="s">
        <v>3700</v>
      </c>
      <c r="C1175" s="239" t="s">
        <v>13</v>
      </c>
      <c r="D1175" s="240">
        <f t="shared" si="18"/>
        <v>56.187402222222211</v>
      </c>
      <c r="E1175" s="226" t="s">
        <v>5222</v>
      </c>
      <c r="G1175" s="240">
        <v>52.41</v>
      </c>
    </row>
    <row r="1176" spans="1:7" ht="14.25" x14ac:dyDescent="0.2">
      <c r="A1176" s="237" t="s">
        <v>174</v>
      </c>
      <c r="B1176" s="238" t="s">
        <v>3701</v>
      </c>
      <c r="C1176" s="239" t="s">
        <v>13</v>
      </c>
      <c r="D1176" s="240">
        <f t="shared" si="18"/>
        <v>82.860605185185193</v>
      </c>
      <c r="E1176" s="226" t="s">
        <v>5222</v>
      </c>
      <c r="G1176" s="240">
        <v>77.290000000000006</v>
      </c>
    </row>
    <row r="1177" spans="1:7" ht="14.25" x14ac:dyDescent="0.2">
      <c r="A1177" s="237" t="s">
        <v>175</v>
      </c>
      <c r="B1177" s="238" t="s">
        <v>3702</v>
      </c>
      <c r="C1177" s="239" t="s">
        <v>13</v>
      </c>
      <c r="D1177" s="240">
        <f t="shared" si="18"/>
        <v>81.820693333333324</v>
      </c>
      <c r="E1177" s="226" t="s">
        <v>5222</v>
      </c>
      <c r="G1177" s="240">
        <v>76.319999999999993</v>
      </c>
    </row>
    <row r="1178" spans="1:7" ht="14.25" x14ac:dyDescent="0.2">
      <c r="A1178" s="237" t="s">
        <v>176</v>
      </c>
      <c r="B1178" s="238" t="s">
        <v>3703</v>
      </c>
      <c r="C1178" s="239" t="s">
        <v>13</v>
      </c>
      <c r="D1178" s="240">
        <f t="shared" si="18"/>
        <v>85.615835555555549</v>
      </c>
      <c r="E1178" s="226" t="s">
        <v>5222</v>
      </c>
      <c r="G1178" s="240">
        <v>79.86</v>
      </c>
    </row>
    <row r="1179" spans="1:7" ht="14.25" x14ac:dyDescent="0.2">
      <c r="A1179" s="237" t="s">
        <v>177</v>
      </c>
      <c r="B1179" s="238" t="s">
        <v>3704</v>
      </c>
      <c r="C1179" s="239" t="s">
        <v>13</v>
      </c>
      <c r="D1179" s="240">
        <f t="shared" si="18"/>
        <v>114.3152585185185</v>
      </c>
      <c r="E1179" s="226" t="s">
        <v>5222</v>
      </c>
      <c r="G1179" s="240">
        <v>106.63</v>
      </c>
    </row>
    <row r="1180" spans="1:7" ht="14.25" x14ac:dyDescent="0.2">
      <c r="A1180" s="237" t="s">
        <v>178</v>
      </c>
      <c r="B1180" s="238" t="s">
        <v>3705</v>
      </c>
      <c r="C1180" s="239" t="s">
        <v>13</v>
      </c>
      <c r="D1180" s="240">
        <f t="shared" si="18"/>
        <v>17.121022962962961</v>
      </c>
      <c r="E1180" s="226" t="s">
        <v>5222</v>
      </c>
      <c r="G1180" s="240">
        <v>15.97</v>
      </c>
    </row>
    <row r="1181" spans="1:7" ht="14.25" x14ac:dyDescent="0.2">
      <c r="A1181" s="237" t="s">
        <v>179</v>
      </c>
      <c r="B1181" s="238" t="s">
        <v>3706</v>
      </c>
      <c r="C1181" s="239" t="s">
        <v>13</v>
      </c>
      <c r="D1181" s="240">
        <f t="shared" si="18"/>
        <v>16.22048074074074</v>
      </c>
      <c r="E1181" s="226" t="s">
        <v>5222</v>
      </c>
      <c r="G1181" s="240">
        <v>15.13</v>
      </c>
    </row>
    <row r="1182" spans="1:7" ht="14.25" x14ac:dyDescent="0.2">
      <c r="A1182" s="237" t="s">
        <v>180</v>
      </c>
      <c r="B1182" s="238" t="s">
        <v>3707</v>
      </c>
      <c r="C1182" s="239" t="s">
        <v>13</v>
      </c>
      <c r="D1182" s="240">
        <f t="shared" si="18"/>
        <v>18.954269629629628</v>
      </c>
      <c r="E1182" s="226" t="s">
        <v>5222</v>
      </c>
      <c r="G1182" s="240">
        <v>17.68</v>
      </c>
    </row>
    <row r="1183" spans="1:7" ht="14.25" x14ac:dyDescent="0.2">
      <c r="A1183" s="237" t="s">
        <v>181</v>
      </c>
      <c r="B1183" s="238" t="s">
        <v>3708</v>
      </c>
      <c r="C1183" s="239" t="s">
        <v>13</v>
      </c>
      <c r="D1183" s="240">
        <f t="shared" si="18"/>
        <v>20.230037777777778</v>
      </c>
      <c r="E1183" s="226" t="s">
        <v>5222</v>
      </c>
      <c r="G1183" s="240">
        <v>18.87</v>
      </c>
    </row>
    <row r="1184" spans="1:7" ht="14.25" x14ac:dyDescent="0.2">
      <c r="A1184" s="237" t="s">
        <v>182</v>
      </c>
      <c r="B1184" s="238" t="s">
        <v>3709</v>
      </c>
      <c r="C1184" s="239" t="s">
        <v>13</v>
      </c>
      <c r="D1184" s="240">
        <f t="shared" si="18"/>
        <v>55.126048888888889</v>
      </c>
      <c r="E1184" s="226" t="s">
        <v>5222</v>
      </c>
      <c r="G1184" s="240">
        <v>51.42</v>
      </c>
    </row>
    <row r="1185" spans="1:7" ht="14.25" x14ac:dyDescent="0.2">
      <c r="A1185" s="237" t="s">
        <v>183</v>
      </c>
      <c r="B1185" s="238" t="s">
        <v>3710</v>
      </c>
      <c r="C1185" s="239" t="s">
        <v>13</v>
      </c>
      <c r="D1185" s="240">
        <f t="shared" si="18"/>
        <v>394.00866370370363</v>
      </c>
      <c r="E1185" s="226" t="s">
        <v>5222</v>
      </c>
      <c r="G1185" s="240">
        <v>367.52</v>
      </c>
    </row>
    <row r="1186" spans="1:7" ht="14.25" x14ac:dyDescent="0.2">
      <c r="A1186" s="237" t="s">
        <v>184</v>
      </c>
      <c r="B1186" s="238" t="s">
        <v>3711</v>
      </c>
      <c r="C1186" s="239" t="s">
        <v>13</v>
      </c>
      <c r="D1186" s="240">
        <f t="shared" si="18"/>
        <v>233.01529999999997</v>
      </c>
      <c r="E1186" s="226" t="s">
        <v>5222</v>
      </c>
      <c r="G1186" s="240">
        <v>217.35</v>
      </c>
    </row>
    <row r="1187" spans="1:7" ht="14.25" x14ac:dyDescent="0.2">
      <c r="A1187" s="237" t="s">
        <v>185</v>
      </c>
      <c r="B1187" s="238" t="s">
        <v>3712</v>
      </c>
      <c r="C1187" s="239" t="s">
        <v>13</v>
      </c>
      <c r="D1187" s="240">
        <f t="shared" si="18"/>
        <v>213.34274074074071</v>
      </c>
      <c r="E1187" s="226" t="s">
        <v>5222</v>
      </c>
      <c r="G1187" s="240">
        <v>199</v>
      </c>
    </row>
    <row r="1188" spans="1:7" ht="14.25" x14ac:dyDescent="0.2">
      <c r="A1188" s="237" t="s">
        <v>186</v>
      </c>
      <c r="B1188" s="238" t="s">
        <v>3713</v>
      </c>
      <c r="C1188" s="239" t="s">
        <v>13</v>
      </c>
      <c r="D1188" s="240">
        <f t="shared" si="18"/>
        <v>394.00866370370363</v>
      </c>
      <c r="E1188" s="226" t="s">
        <v>5222</v>
      </c>
      <c r="G1188" s="240">
        <v>367.52</v>
      </c>
    </row>
    <row r="1189" spans="1:7" ht="14.25" x14ac:dyDescent="0.2">
      <c r="A1189" s="237" t="s">
        <v>187</v>
      </c>
      <c r="B1189" s="238" t="s">
        <v>3714</v>
      </c>
      <c r="C1189" s="239" t="s">
        <v>13</v>
      </c>
      <c r="D1189" s="240">
        <f t="shared" si="18"/>
        <v>196.67198888888888</v>
      </c>
      <c r="E1189" s="226" t="s">
        <v>5222</v>
      </c>
      <c r="G1189" s="240">
        <v>183.45</v>
      </c>
    </row>
    <row r="1190" spans="1:7" ht="14.25" x14ac:dyDescent="0.2">
      <c r="A1190" s="237" t="s">
        <v>613</v>
      </c>
      <c r="B1190" s="238" t="s">
        <v>3715</v>
      </c>
      <c r="C1190" s="239" t="s">
        <v>13</v>
      </c>
      <c r="D1190" s="240">
        <f t="shared" si="18"/>
        <v>30.382579259259256</v>
      </c>
      <c r="E1190" s="226" t="s">
        <v>5222</v>
      </c>
      <c r="G1190" s="240">
        <v>28.34</v>
      </c>
    </row>
    <row r="1191" spans="1:7" ht="14.25" x14ac:dyDescent="0.2">
      <c r="A1191" s="237" t="s">
        <v>188</v>
      </c>
      <c r="B1191" s="238" t="s">
        <v>3716</v>
      </c>
      <c r="C1191" s="239" t="s">
        <v>13</v>
      </c>
      <c r="D1191" s="240">
        <f t="shared" si="18"/>
        <v>30.382579259259256</v>
      </c>
      <c r="E1191" s="226" t="s">
        <v>5222</v>
      </c>
      <c r="G1191" s="240">
        <v>28.34</v>
      </c>
    </row>
    <row r="1192" spans="1:7" ht="14.25" x14ac:dyDescent="0.2">
      <c r="A1192" s="237" t="s">
        <v>189</v>
      </c>
      <c r="B1192" s="238" t="s">
        <v>3717</v>
      </c>
      <c r="C1192" s="239" t="s">
        <v>13</v>
      </c>
      <c r="D1192" s="240">
        <f t="shared" si="18"/>
        <v>33.791774814814808</v>
      </c>
      <c r="E1192" s="226" t="s">
        <v>5222</v>
      </c>
      <c r="G1192" s="240">
        <v>31.52</v>
      </c>
    </row>
    <row r="1193" spans="1:7" ht="14.25" x14ac:dyDescent="0.2">
      <c r="A1193" s="237" t="s">
        <v>190</v>
      </c>
      <c r="B1193" s="238" t="s">
        <v>3718</v>
      </c>
      <c r="C1193" s="239" t="s">
        <v>13</v>
      </c>
      <c r="D1193" s="240">
        <f t="shared" si="18"/>
        <v>38.273044444444452</v>
      </c>
      <c r="E1193" s="226" t="s">
        <v>5222</v>
      </c>
      <c r="G1193" s="240">
        <v>35.700000000000003</v>
      </c>
    </row>
    <row r="1194" spans="1:7" ht="14.25" x14ac:dyDescent="0.2">
      <c r="A1194" s="237" t="s">
        <v>191</v>
      </c>
      <c r="B1194" s="238" t="s">
        <v>3719</v>
      </c>
      <c r="C1194" s="239" t="s">
        <v>13</v>
      </c>
      <c r="D1194" s="240">
        <f t="shared" si="18"/>
        <v>14.816063703703705</v>
      </c>
      <c r="E1194" s="226" t="s">
        <v>5222</v>
      </c>
      <c r="G1194" s="240">
        <v>13.82</v>
      </c>
    </row>
    <row r="1195" spans="1:7" ht="14.25" x14ac:dyDescent="0.2">
      <c r="A1195" s="237" t="s">
        <v>192</v>
      </c>
      <c r="B1195" s="238" t="s">
        <v>3720</v>
      </c>
      <c r="C1195" s="239" t="s">
        <v>13</v>
      </c>
      <c r="D1195" s="240">
        <f t="shared" si="18"/>
        <v>57.345242222222218</v>
      </c>
      <c r="E1195" s="226" t="s">
        <v>5222</v>
      </c>
      <c r="G1195" s="240">
        <v>53.49</v>
      </c>
    </row>
    <row r="1196" spans="1:7" ht="14.25" x14ac:dyDescent="0.2">
      <c r="A1196" s="237" t="s">
        <v>193</v>
      </c>
      <c r="B1196" s="238" t="s">
        <v>3721</v>
      </c>
      <c r="C1196" s="239" t="s">
        <v>13</v>
      </c>
      <c r="D1196" s="240">
        <f t="shared" si="18"/>
        <v>76.417439999999999</v>
      </c>
      <c r="E1196" s="226" t="s">
        <v>5222</v>
      </c>
      <c r="G1196" s="240">
        <v>71.28</v>
      </c>
    </row>
    <row r="1197" spans="1:7" ht="14.25" x14ac:dyDescent="0.2">
      <c r="A1197" s="237" t="s">
        <v>194</v>
      </c>
      <c r="B1197" s="238" t="s">
        <v>3722</v>
      </c>
      <c r="C1197" s="239" t="s">
        <v>13</v>
      </c>
      <c r="D1197" s="240">
        <f t="shared" si="18"/>
        <v>109.56597037037037</v>
      </c>
      <c r="E1197" s="226" t="s">
        <v>5222</v>
      </c>
      <c r="G1197" s="240">
        <v>102.2</v>
      </c>
    </row>
    <row r="1198" spans="1:7" ht="14.25" x14ac:dyDescent="0.2">
      <c r="A1198" s="237" t="s">
        <v>195</v>
      </c>
      <c r="B1198" s="238" t="s">
        <v>3723</v>
      </c>
      <c r="C1198" s="239" t="s">
        <v>13</v>
      </c>
      <c r="D1198" s="240">
        <f t="shared" si="18"/>
        <v>84.511599259259256</v>
      </c>
      <c r="E1198" s="226" t="s">
        <v>5222</v>
      </c>
      <c r="G1198" s="240">
        <v>78.83</v>
      </c>
    </row>
    <row r="1199" spans="1:7" ht="14.25" x14ac:dyDescent="0.2">
      <c r="A1199" s="237" t="s">
        <v>196</v>
      </c>
      <c r="B1199" s="238" t="s">
        <v>3724</v>
      </c>
      <c r="C1199" s="239" t="s">
        <v>13</v>
      </c>
      <c r="D1199" s="240">
        <f t="shared" si="18"/>
        <v>91.362152592592579</v>
      </c>
      <c r="E1199" s="226" t="s">
        <v>5222</v>
      </c>
      <c r="G1199" s="240">
        <v>85.22</v>
      </c>
    </row>
    <row r="1200" spans="1:7" ht="14.25" x14ac:dyDescent="0.2">
      <c r="A1200" s="237" t="s">
        <v>197</v>
      </c>
      <c r="B1200" s="238" t="s">
        <v>3725</v>
      </c>
      <c r="C1200" s="239" t="s">
        <v>13</v>
      </c>
      <c r="D1200" s="240">
        <f t="shared" si="18"/>
        <v>99.692168148148141</v>
      </c>
      <c r="E1200" s="226" t="s">
        <v>5222</v>
      </c>
      <c r="G1200" s="240">
        <v>92.99</v>
      </c>
    </row>
    <row r="1201" spans="1:7" ht="14.25" x14ac:dyDescent="0.2">
      <c r="A1201" s="237" t="s">
        <v>3726</v>
      </c>
      <c r="B1201" s="238" t="s">
        <v>3727</v>
      </c>
      <c r="C1201" s="239" t="s">
        <v>13</v>
      </c>
      <c r="D1201" s="240">
        <f t="shared" si="18"/>
        <v>49.883606666666672</v>
      </c>
      <c r="E1201" s="226" t="s">
        <v>5222</v>
      </c>
      <c r="G1201" s="240">
        <v>46.53</v>
      </c>
    </row>
    <row r="1202" spans="1:7" ht="14.25" x14ac:dyDescent="0.2">
      <c r="A1202" s="237" t="s">
        <v>3728</v>
      </c>
      <c r="B1202" s="238" t="s">
        <v>3729</v>
      </c>
      <c r="C1202" s="239" t="s">
        <v>13</v>
      </c>
      <c r="D1202" s="240">
        <f t="shared" si="18"/>
        <v>76.921314814814806</v>
      </c>
      <c r="E1202" s="226" t="s">
        <v>5222</v>
      </c>
      <c r="G1202" s="240">
        <v>71.75</v>
      </c>
    </row>
    <row r="1203" spans="1:7" ht="14.25" x14ac:dyDescent="0.2">
      <c r="A1203" s="237" t="s">
        <v>198</v>
      </c>
      <c r="B1203" s="238" t="s">
        <v>3730</v>
      </c>
      <c r="C1203" s="239" t="s">
        <v>13</v>
      </c>
      <c r="D1203" s="240">
        <f t="shared" si="18"/>
        <v>35.732228888888883</v>
      </c>
      <c r="E1203" s="226" t="s">
        <v>5222</v>
      </c>
      <c r="G1203" s="240">
        <v>33.33</v>
      </c>
    </row>
    <row r="1204" spans="1:7" ht="14.25" x14ac:dyDescent="0.2">
      <c r="A1204" s="237" t="s">
        <v>199</v>
      </c>
      <c r="B1204" s="238" t="s">
        <v>3731</v>
      </c>
      <c r="C1204" s="239" t="s">
        <v>13</v>
      </c>
      <c r="D1204" s="240">
        <f t="shared" si="18"/>
        <v>62.984351851851855</v>
      </c>
      <c r="E1204" s="226" t="s">
        <v>5222</v>
      </c>
      <c r="G1204" s="240">
        <v>58.75</v>
      </c>
    </row>
    <row r="1205" spans="1:7" ht="14.25" x14ac:dyDescent="0.2">
      <c r="A1205" s="237" t="s">
        <v>200</v>
      </c>
      <c r="B1205" s="238" t="s">
        <v>3732</v>
      </c>
      <c r="C1205" s="239" t="s">
        <v>13</v>
      </c>
      <c r="D1205" s="240">
        <f t="shared" si="18"/>
        <v>77.950505925925924</v>
      </c>
      <c r="E1205" s="226" t="s">
        <v>5222</v>
      </c>
      <c r="G1205" s="240">
        <v>72.709999999999994</v>
      </c>
    </row>
    <row r="1206" spans="1:7" ht="14.25" x14ac:dyDescent="0.2">
      <c r="A1206" s="237" t="s">
        <v>201</v>
      </c>
      <c r="B1206" s="238" t="s">
        <v>3733</v>
      </c>
      <c r="C1206" s="239" t="s">
        <v>13</v>
      </c>
      <c r="D1206" s="240">
        <f t="shared" si="18"/>
        <v>110.14489037037036</v>
      </c>
      <c r="E1206" s="226" t="s">
        <v>5222</v>
      </c>
      <c r="G1206" s="240">
        <v>102.74</v>
      </c>
    </row>
    <row r="1207" spans="1:7" ht="14.25" x14ac:dyDescent="0.2">
      <c r="A1207" s="237" t="s">
        <v>202</v>
      </c>
      <c r="B1207" s="238" t="s">
        <v>3734</v>
      </c>
      <c r="C1207" s="239" t="s">
        <v>13</v>
      </c>
      <c r="D1207" s="240">
        <f t="shared" si="18"/>
        <v>31.937086666666662</v>
      </c>
      <c r="E1207" s="226" t="s">
        <v>5222</v>
      </c>
      <c r="G1207" s="240">
        <v>29.79</v>
      </c>
    </row>
    <row r="1208" spans="1:7" ht="14.25" x14ac:dyDescent="0.2">
      <c r="A1208" s="237" t="s">
        <v>203</v>
      </c>
      <c r="B1208" s="238" t="s">
        <v>3735</v>
      </c>
      <c r="C1208" s="239" t="s">
        <v>13</v>
      </c>
      <c r="D1208" s="240">
        <f t="shared" si="18"/>
        <v>17.635618518518516</v>
      </c>
      <c r="E1208" s="226" t="s">
        <v>5222</v>
      </c>
      <c r="G1208" s="240">
        <v>16.45</v>
      </c>
    </row>
    <row r="1209" spans="1:7" ht="14.25" x14ac:dyDescent="0.2">
      <c r="A1209" s="237" t="s">
        <v>204</v>
      </c>
      <c r="B1209" s="238" t="s">
        <v>3736</v>
      </c>
      <c r="C1209" s="239" t="s">
        <v>13</v>
      </c>
      <c r="D1209" s="240">
        <f t="shared" si="18"/>
        <v>24.550496296296295</v>
      </c>
      <c r="E1209" s="226" t="s">
        <v>5222</v>
      </c>
      <c r="G1209" s="240">
        <v>22.9</v>
      </c>
    </row>
    <row r="1210" spans="1:7" ht="14.25" x14ac:dyDescent="0.2">
      <c r="A1210" s="237" t="s">
        <v>205</v>
      </c>
      <c r="B1210" s="238" t="s">
        <v>3737</v>
      </c>
      <c r="C1210" s="239" t="s">
        <v>13</v>
      </c>
      <c r="D1210" s="240">
        <f t="shared" si="18"/>
        <v>27.284285185185183</v>
      </c>
      <c r="E1210" s="226" t="s">
        <v>5222</v>
      </c>
      <c r="G1210" s="240">
        <v>25.45</v>
      </c>
    </row>
    <row r="1211" spans="1:7" ht="14.25" x14ac:dyDescent="0.2">
      <c r="A1211" s="237" t="s">
        <v>206</v>
      </c>
      <c r="B1211" s="238" t="s">
        <v>3738</v>
      </c>
      <c r="C1211" s="239" t="s">
        <v>13</v>
      </c>
      <c r="D1211" s="240">
        <f t="shared" si="18"/>
        <v>32.516006666666662</v>
      </c>
      <c r="E1211" s="226" t="s">
        <v>5222</v>
      </c>
      <c r="G1211" s="240">
        <v>30.33</v>
      </c>
    </row>
    <row r="1212" spans="1:7" ht="14.25" x14ac:dyDescent="0.2">
      <c r="A1212" s="237" t="s">
        <v>207</v>
      </c>
      <c r="B1212" s="238" t="s">
        <v>3739</v>
      </c>
      <c r="C1212" s="239" t="s">
        <v>13</v>
      </c>
      <c r="D1212" s="240">
        <f t="shared" si="18"/>
        <v>50.044417777777774</v>
      </c>
      <c r="E1212" s="226" t="s">
        <v>5222</v>
      </c>
      <c r="G1212" s="240">
        <v>46.68</v>
      </c>
    </row>
    <row r="1213" spans="1:7" ht="14.25" x14ac:dyDescent="0.2">
      <c r="A1213" s="237" t="s">
        <v>208</v>
      </c>
      <c r="B1213" s="238" t="s">
        <v>3740</v>
      </c>
      <c r="C1213" s="239" t="s">
        <v>13</v>
      </c>
      <c r="D1213" s="240">
        <f t="shared" si="18"/>
        <v>51.845502222222223</v>
      </c>
      <c r="E1213" s="226" t="s">
        <v>5222</v>
      </c>
      <c r="G1213" s="240">
        <v>48.36</v>
      </c>
    </row>
    <row r="1214" spans="1:7" ht="14.25" x14ac:dyDescent="0.2">
      <c r="A1214" s="237" t="s">
        <v>209</v>
      </c>
      <c r="B1214" s="238" t="s">
        <v>3741</v>
      </c>
      <c r="C1214" s="239" t="s">
        <v>13</v>
      </c>
      <c r="D1214" s="240">
        <f t="shared" si="18"/>
        <v>34.627992592592591</v>
      </c>
      <c r="E1214" s="226" t="s">
        <v>5222</v>
      </c>
      <c r="G1214" s="240">
        <v>32.299999999999997</v>
      </c>
    </row>
    <row r="1215" spans="1:7" ht="14.25" x14ac:dyDescent="0.2">
      <c r="A1215" s="237" t="s">
        <v>210</v>
      </c>
      <c r="B1215" s="238" t="s">
        <v>3742</v>
      </c>
      <c r="C1215" s="239" t="s">
        <v>13</v>
      </c>
      <c r="D1215" s="240">
        <f t="shared" si="18"/>
        <v>68.162469629629626</v>
      </c>
      <c r="E1215" s="226" t="s">
        <v>5222</v>
      </c>
      <c r="G1215" s="240">
        <v>63.58</v>
      </c>
    </row>
    <row r="1216" spans="1:7" ht="14.25" x14ac:dyDescent="0.2">
      <c r="A1216" s="237" t="s">
        <v>211</v>
      </c>
      <c r="B1216" s="238" t="s">
        <v>3743</v>
      </c>
      <c r="C1216" s="239" t="s">
        <v>13</v>
      </c>
      <c r="D1216" s="240">
        <f t="shared" si="18"/>
        <v>73.973111111111109</v>
      </c>
      <c r="E1216" s="226" t="s">
        <v>5222</v>
      </c>
      <c r="G1216" s="240">
        <v>69</v>
      </c>
    </row>
    <row r="1217" spans="1:7" ht="14.25" x14ac:dyDescent="0.2">
      <c r="A1217" s="237" t="s">
        <v>614</v>
      </c>
      <c r="B1217" s="238" t="s">
        <v>3744</v>
      </c>
      <c r="C1217" s="239" t="s">
        <v>13</v>
      </c>
      <c r="D1217" s="240">
        <f t="shared" si="18"/>
        <v>38.326648148148145</v>
      </c>
      <c r="E1217" s="226" t="s">
        <v>5222</v>
      </c>
      <c r="G1217" s="240">
        <v>35.75</v>
      </c>
    </row>
    <row r="1218" spans="1:7" ht="14.25" x14ac:dyDescent="0.2">
      <c r="A1218" s="237" t="s">
        <v>212</v>
      </c>
      <c r="B1218" s="238" t="s">
        <v>3745</v>
      </c>
      <c r="C1218" s="239" t="s">
        <v>13</v>
      </c>
      <c r="D1218" s="240">
        <f t="shared" si="18"/>
        <v>49.872885925925928</v>
      </c>
      <c r="E1218" s="226" t="s">
        <v>5222</v>
      </c>
      <c r="G1218" s="240">
        <v>46.52</v>
      </c>
    </row>
    <row r="1219" spans="1:7" ht="14.25" x14ac:dyDescent="0.2">
      <c r="A1219" s="237" t="s">
        <v>213</v>
      </c>
      <c r="B1219" s="238" t="s">
        <v>3746</v>
      </c>
      <c r="C1219" s="239" t="s">
        <v>13</v>
      </c>
      <c r="D1219" s="240">
        <f t="shared" si="18"/>
        <v>45.295129629629628</v>
      </c>
      <c r="E1219" s="226" t="s">
        <v>5222</v>
      </c>
      <c r="G1219" s="240">
        <v>42.25</v>
      </c>
    </row>
    <row r="1220" spans="1:7" ht="14.25" x14ac:dyDescent="0.2">
      <c r="A1220" s="237" t="s">
        <v>615</v>
      </c>
      <c r="B1220" s="238" t="s">
        <v>3747</v>
      </c>
      <c r="C1220" s="239" t="s">
        <v>27</v>
      </c>
      <c r="D1220" s="240">
        <f t="shared" si="18"/>
        <v>60.43281555555555</v>
      </c>
      <c r="E1220" s="226" t="s">
        <v>5222</v>
      </c>
      <c r="G1220" s="240">
        <v>56.37</v>
      </c>
    </row>
    <row r="1221" spans="1:7" ht="14.25" x14ac:dyDescent="0.2">
      <c r="A1221" s="237" t="s">
        <v>616</v>
      </c>
      <c r="B1221" s="238" t="s">
        <v>3748</v>
      </c>
      <c r="C1221" s="239" t="s">
        <v>27</v>
      </c>
      <c r="D1221" s="240">
        <f t="shared" si="18"/>
        <v>47.63225111111111</v>
      </c>
      <c r="E1221" s="226" t="s">
        <v>5222</v>
      </c>
      <c r="G1221" s="240">
        <v>44.43</v>
      </c>
    </row>
    <row r="1222" spans="1:7" ht="14.25" x14ac:dyDescent="0.2">
      <c r="A1222" s="237" t="s">
        <v>617</v>
      </c>
      <c r="B1222" s="238" t="s">
        <v>3749</v>
      </c>
      <c r="C1222" s="239" t="s">
        <v>27</v>
      </c>
      <c r="D1222" s="240">
        <f t="shared" si="18"/>
        <v>7.5152392592592587</v>
      </c>
      <c r="E1222" s="226" t="s">
        <v>5222</v>
      </c>
      <c r="G1222" s="240">
        <v>7.01</v>
      </c>
    </row>
    <row r="1223" spans="1:7" ht="14.25" x14ac:dyDescent="0.2">
      <c r="A1223" s="237" t="s">
        <v>618</v>
      </c>
      <c r="B1223" s="238" t="s">
        <v>2861</v>
      </c>
      <c r="C1223" s="239" t="s">
        <v>27</v>
      </c>
      <c r="D1223" s="240">
        <f t="shared" si="18"/>
        <v>1.8761296296296297</v>
      </c>
      <c r="E1223" s="226" t="s">
        <v>5222</v>
      </c>
      <c r="G1223" s="240">
        <v>1.75</v>
      </c>
    </row>
    <row r="1224" spans="1:7" ht="14.25" x14ac:dyDescent="0.2">
      <c r="A1224" s="237" t="s">
        <v>619</v>
      </c>
      <c r="B1224" s="238" t="s">
        <v>2869</v>
      </c>
      <c r="C1224" s="239" t="s">
        <v>27</v>
      </c>
      <c r="D1224" s="240">
        <f t="shared" ref="D1224:D1287" si="19">(G1224/(1+0.35))*(1+$D$3)</f>
        <v>2.2513555555555556</v>
      </c>
      <c r="E1224" s="226" t="s">
        <v>5222</v>
      </c>
      <c r="G1224" s="240">
        <v>2.1</v>
      </c>
    </row>
    <row r="1225" spans="1:7" ht="14.25" x14ac:dyDescent="0.2">
      <c r="A1225" s="237" t="s">
        <v>620</v>
      </c>
      <c r="B1225" s="238" t="s">
        <v>3750</v>
      </c>
      <c r="C1225" s="239" t="s">
        <v>27</v>
      </c>
      <c r="D1225" s="240">
        <f t="shared" si="19"/>
        <v>68.837876296296287</v>
      </c>
      <c r="E1225" s="226" t="s">
        <v>5222</v>
      </c>
      <c r="G1225" s="240">
        <v>64.209999999999994</v>
      </c>
    </row>
    <row r="1226" spans="1:7" ht="14.25" x14ac:dyDescent="0.2">
      <c r="A1226" s="237" t="s">
        <v>621</v>
      </c>
      <c r="B1226" s="238" t="s">
        <v>3751</v>
      </c>
      <c r="C1226" s="239" t="s">
        <v>27</v>
      </c>
      <c r="D1226" s="240">
        <f t="shared" si="19"/>
        <v>86.280521481481486</v>
      </c>
      <c r="E1226" s="226" t="s">
        <v>5222</v>
      </c>
      <c r="G1226" s="240">
        <v>80.48</v>
      </c>
    </row>
    <row r="1227" spans="1:7" ht="14.25" x14ac:dyDescent="0.2">
      <c r="A1227" s="237" t="s">
        <v>622</v>
      </c>
      <c r="B1227" s="238" t="s">
        <v>3752</v>
      </c>
      <c r="C1227" s="239" t="s">
        <v>27</v>
      </c>
      <c r="D1227" s="240">
        <f t="shared" si="19"/>
        <v>89.914852592592595</v>
      </c>
      <c r="E1227" s="226" t="s">
        <v>5222</v>
      </c>
      <c r="G1227" s="240">
        <v>83.87</v>
      </c>
    </row>
    <row r="1228" spans="1:7" ht="14.25" x14ac:dyDescent="0.2">
      <c r="A1228" s="237" t="s">
        <v>623</v>
      </c>
      <c r="B1228" s="238" t="s">
        <v>3753</v>
      </c>
      <c r="C1228" s="239" t="s">
        <v>27</v>
      </c>
      <c r="D1228" s="240">
        <f t="shared" si="19"/>
        <v>95.564682962962962</v>
      </c>
      <c r="E1228" s="226" t="s">
        <v>5222</v>
      </c>
      <c r="G1228" s="240">
        <v>89.14</v>
      </c>
    </row>
    <row r="1229" spans="1:7" ht="14.25" x14ac:dyDescent="0.2">
      <c r="A1229" s="237" t="s">
        <v>624</v>
      </c>
      <c r="B1229" s="238" t="s">
        <v>3754</v>
      </c>
      <c r="C1229" s="239" t="s">
        <v>27</v>
      </c>
      <c r="D1229" s="240">
        <f t="shared" si="19"/>
        <v>100.92505333333334</v>
      </c>
      <c r="E1229" s="226" t="s">
        <v>5222</v>
      </c>
      <c r="G1229" s="240">
        <v>94.14</v>
      </c>
    </row>
    <row r="1230" spans="1:7" ht="14.25" x14ac:dyDescent="0.2">
      <c r="A1230" s="237" t="s">
        <v>625</v>
      </c>
      <c r="B1230" s="238" t="s">
        <v>2866</v>
      </c>
      <c r="C1230" s="239" t="s">
        <v>27</v>
      </c>
      <c r="D1230" s="240">
        <f t="shared" si="19"/>
        <v>87.577731111111106</v>
      </c>
      <c r="E1230" s="226" t="s">
        <v>5222</v>
      </c>
      <c r="G1230" s="240">
        <v>81.69</v>
      </c>
    </row>
    <row r="1231" spans="1:7" ht="14.25" x14ac:dyDescent="0.2">
      <c r="A1231" s="237" t="s">
        <v>626</v>
      </c>
      <c r="B1231" s="238" t="s">
        <v>3755</v>
      </c>
      <c r="C1231" s="239" t="s">
        <v>50</v>
      </c>
      <c r="D1231" s="240">
        <f t="shared" si="19"/>
        <v>1685.1181918518519</v>
      </c>
      <c r="E1231" s="226" t="s">
        <v>5222</v>
      </c>
      <c r="G1231" s="240">
        <v>1571.83</v>
      </c>
    </row>
    <row r="1232" spans="1:7" ht="14.25" x14ac:dyDescent="0.2">
      <c r="A1232" s="237" t="s">
        <v>627</v>
      </c>
      <c r="B1232" s="238" t="s">
        <v>3756</v>
      </c>
      <c r="C1232" s="239" t="s">
        <v>50</v>
      </c>
      <c r="D1232" s="240">
        <f t="shared" si="19"/>
        <v>326.18925777777775</v>
      </c>
      <c r="E1232" s="226" t="s">
        <v>5222</v>
      </c>
      <c r="G1232" s="240">
        <v>304.26</v>
      </c>
    </row>
    <row r="1233" spans="1:7" ht="14.25" x14ac:dyDescent="0.2">
      <c r="A1233" s="237" t="s">
        <v>628</v>
      </c>
      <c r="B1233" s="238" t="s">
        <v>3757</v>
      </c>
      <c r="C1233" s="239" t="s">
        <v>50</v>
      </c>
      <c r="D1233" s="240">
        <f t="shared" si="19"/>
        <v>593.6717392592592</v>
      </c>
      <c r="E1233" s="226" t="s">
        <v>5222</v>
      </c>
      <c r="G1233" s="240">
        <v>553.76</v>
      </c>
    </row>
    <row r="1234" spans="1:7" ht="14.25" x14ac:dyDescent="0.2">
      <c r="A1234" s="237" t="s">
        <v>629</v>
      </c>
      <c r="B1234" s="238" t="s">
        <v>2867</v>
      </c>
      <c r="C1234" s="239" t="s">
        <v>50</v>
      </c>
      <c r="D1234" s="240">
        <f t="shared" si="19"/>
        <v>511.37933333333331</v>
      </c>
      <c r="E1234" s="226" t="s">
        <v>5222</v>
      </c>
      <c r="G1234" s="240">
        <v>477</v>
      </c>
    </row>
    <row r="1235" spans="1:7" ht="14.25" x14ac:dyDescent="0.2">
      <c r="A1235" s="237" t="s">
        <v>630</v>
      </c>
      <c r="B1235" s="238" t="s">
        <v>3758</v>
      </c>
      <c r="C1235" s="239" t="s">
        <v>38</v>
      </c>
      <c r="D1235" s="240">
        <f t="shared" si="19"/>
        <v>14.237143703703701</v>
      </c>
      <c r="E1235" s="226" t="s">
        <v>5222</v>
      </c>
      <c r="G1235" s="240">
        <v>13.28</v>
      </c>
    </row>
    <row r="1236" spans="1:7" ht="14.25" x14ac:dyDescent="0.2">
      <c r="A1236" s="237" t="s">
        <v>631</v>
      </c>
      <c r="B1236" s="238" t="s">
        <v>3759</v>
      </c>
      <c r="C1236" s="239" t="s">
        <v>28</v>
      </c>
      <c r="D1236" s="240">
        <f t="shared" si="19"/>
        <v>3.7308177777777773</v>
      </c>
      <c r="E1236" s="226" t="s">
        <v>5222</v>
      </c>
      <c r="G1236" s="240">
        <v>3.48</v>
      </c>
    </row>
    <row r="1237" spans="1:7" ht="14.25" x14ac:dyDescent="0.2">
      <c r="A1237" s="237" t="s">
        <v>632</v>
      </c>
      <c r="B1237" s="238" t="s">
        <v>3760</v>
      </c>
      <c r="C1237" s="239" t="s">
        <v>38</v>
      </c>
      <c r="D1237" s="240">
        <f t="shared" si="19"/>
        <v>26.362301481481481</v>
      </c>
      <c r="E1237" s="226" t="s">
        <v>5222</v>
      </c>
      <c r="G1237" s="240">
        <v>24.59</v>
      </c>
    </row>
    <row r="1238" spans="1:7" ht="14.25" x14ac:dyDescent="0.2">
      <c r="A1238" s="237" t="s">
        <v>633</v>
      </c>
      <c r="B1238" s="238" t="s">
        <v>3761</v>
      </c>
      <c r="C1238" s="239" t="s">
        <v>38</v>
      </c>
      <c r="D1238" s="240">
        <f t="shared" si="19"/>
        <v>12.629032592592591</v>
      </c>
      <c r="E1238" s="226" t="s">
        <v>5222</v>
      </c>
      <c r="G1238" s="240">
        <v>11.78</v>
      </c>
    </row>
    <row r="1239" spans="1:7" ht="14.25" x14ac:dyDescent="0.2">
      <c r="A1239" s="237" t="s">
        <v>634</v>
      </c>
      <c r="B1239" s="238" t="s">
        <v>3762</v>
      </c>
      <c r="C1239" s="239" t="s">
        <v>50</v>
      </c>
      <c r="D1239" s="240">
        <f t="shared" si="19"/>
        <v>1428.6887940740742</v>
      </c>
      <c r="E1239" s="226" t="s">
        <v>5222</v>
      </c>
      <c r="G1239" s="240">
        <v>1332.64</v>
      </c>
    </row>
    <row r="1240" spans="1:7" ht="14.25" x14ac:dyDescent="0.2">
      <c r="A1240" s="237" t="s">
        <v>635</v>
      </c>
      <c r="B1240" s="238" t="s">
        <v>3763</v>
      </c>
      <c r="C1240" s="239" t="s">
        <v>214</v>
      </c>
      <c r="D1240" s="240">
        <f t="shared" si="19"/>
        <v>142.67161777777778</v>
      </c>
      <c r="E1240" s="226" t="s">
        <v>5222</v>
      </c>
      <c r="G1240" s="240">
        <v>133.08000000000001</v>
      </c>
    </row>
    <row r="1241" spans="1:7" ht="14.25" x14ac:dyDescent="0.2">
      <c r="A1241" s="237" t="s">
        <v>636</v>
      </c>
      <c r="B1241" s="238" t="s">
        <v>3764</v>
      </c>
      <c r="C1241" s="239" t="s">
        <v>215</v>
      </c>
      <c r="D1241" s="240">
        <f t="shared" si="19"/>
        <v>2386.2224740740744</v>
      </c>
      <c r="E1241" s="226" t="s">
        <v>5222</v>
      </c>
      <c r="G1241" s="240">
        <v>2225.8000000000002</v>
      </c>
    </row>
    <row r="1242" spans="1:7" ht="14.25" x14ac:dyDescent="0.2">
      <c r="A1242" s="237" t="s">
        <v>637</v>
      </c>
      <c r="B1242" s="238" t="s">
        <v>3765</v>
      </c>
      <c r="C1242" s="239" t="s">
        <v>33</v>
      </c>
      <c r="D1242" s="240">
        <f t="shared" si="19"/>
        <v>2.1227066666666667</v>
      </c>
      <c r="E1242" s="226" t="s">
        <v>5222</v>
      </c>
      <c r="G1242" s="240">
        <v>1.98</v>
      </c>
    </row>
    <row r="1243" spans="1:7" ht="14.25" x14ac:dyDescent="0.2">
      <c r="A1243" s="237" t="s">
        <v>638</v>
      </c>
      <c r="B1243" s="238" t="s">
        <v>3766</v>
      </c>
      <c r="C1243" s="239" t="s">
        <v>38</v>
      </c>
      <c r="D1243" s="240">
        <f t="shared" si="19"/>
        <v>42.518457777777769</v>
      </c>
      <c r="E1243" s="226" t="s">
        <v>5222</v>
      </c>
      <c r="G1243" s="240">
        <v>39.659999999999997</v>
      </c>
    </row>
    <row r="1244" spans="1:7" ht="14.25" x14ac:dyDescent="0.2">
      <c r="A1244" s="237" t="s">
        <v>639</v>
      </c>
      <c r="B1244" s="238" t="s">
        <v>3767</v>
      </c>
      <c r="C1244" s="239" t="s">
        <v>50</v>
      </c>
      <c r="D1244" s="240">
        <f t="shared" si="19"/>
        <v>141.3315251851852</v>
      </c>
      <c r="E1244" s="226" t="s">
        <v>5222</v>
      </c>
      <c r="G1244" s="240">
        <v>131.83000000000001</v>
      </c>
    </row>
    <row r="1245" spans="1:7" ht="14.25" x14ac:dyDescent="0.2">
      <c r="A1245" s="237" t="s">
        <v>640</v>
      </c>
      <c r="B1245" s="238" t="s">
        <v>3768</v>
      </c>
      <c r="C1245" s="239" t="s">
        <v>50</v>
      </c>
      <c r="D1245" s="240">
        <f t="shared" si="19"/>
        <v>141.3315251851852</v>
      </c>
      <c r="E1245" s="226" t="s">
        <v>5222</v>
      </c>
      <c r="G1245" s="240">
        <v>131.83000000000001</v>
      </c>
    </row>
    <row r="1246" spans="1:7" ht="14.25" x14ac:dyDescent="0.2">
      <c r="A1246" s="237" t="s">
        <v>641</v>
      </c>
      <c r="B1246" s="238" t="s">
        <v>3769</v>
      </c>
      <c r="C1246" s="239" t="s">
        <v>33</v>
      </c>
      <c r="D1246" s="240">
        <f t="shared" si="19"/>
        <v>687.86416740740742</v>
      </c>
      <c r="E1246" s="226" t="s">
        <v>5222</v>
      </c>
      <c r="G1246" s="240">
        <v>641.62</v>
      </c>
    </row>
    <row r="1247" spans="1:7" ht="14.25" x14ac:dyDescent="0.2">
      <c r="A1247" s="237" t="s">
        <v>642</v>
      </c>
      <c r="B1247" s="238" t="s">
        <v>3770</v>
      </c>
      <c r="C1247" s="239" t="s">
        <v>33</v>
      </c>
      <c r="D1247" s="240">
        <f t="shared" si="19"/>
        <v>239.53351037037038</v>
      </c>
      <c r="E1247" s="226" t="s">
        <v>5222</v>
      </c>
      <c r="G1247" s="240">
        <v>223.43</v>
      </c>
    </row>
    <row r="1248" spans="1:7" ht="14.25" x14ac:dyDescent="0.2">
      <c r="A1248" s="237" t="s">
        <v>643</v>
      </c>
      <c r="B1248" s="238" t="s">
        <v>3771</v>
      </c>
      <c r="C1248" s="239" t="s">
        <v>50</v>
      </c>
      <c r="D1248" s="240">
        <f t="shared" si="19"/>
        <v>120.20094518518519</v>
      </c>
      <c r="E1248" s="226" t="s">
        <v>5222</v>
      </c>
      <c r="G1248" s="240">
        <v>112.12</v>
      </c>
    </row>
    <row r="1249" spans="1:7" ht="14.25" x14ac:dyDescent="0.2">
      <c r="A1249" s="237" t="s">
        <v>644</v>
      </c>
      <c r="B1249" s="238" t="s">
        <v>3772</v>
      </c>
      <c r="C1249" s="239" t="s">
        <v>50</v>
      </c>
      <c r="D1249" s="240">
        <f t="shared" si="19"/>
        <v>39.355839259259263</v>
      </c>
      <c r="E1249" s="226" t="s">
        <v>5222</v>
      </c>
      <c r="G1249" s="240">
        <v>36.71</v>
      </c>
    </row>
    <row r="1250" spans="1:7" ht="14.25" x14ac:dyDescent="0.2">
      <c r="A1250" s="237" t="s">
        <v>645</v>
      </c>
      <c r="B1250" s="238" t="s">
        <v>3773</v>
      </c>
      <c r="C1250" s="239" t="s">
        <v>50</v>
      </c>
      <c r="D1250" s="240">
        <f t="shared" si="19"/>
        <v>76.395998518518525</v>
      </c>
      <c r="E1250" s="226" t="s">
        <v>5222</v>
      </c>
      <c r="G1250" s="240">
        <v>71.260000000000005</v>
      </c>
    </row>
    <row r="1251" spans="1:7" ht="14.25" x14ac:dyDescent="0.2">
      <c r="A1251" s="237" t="s">
        <v>646</v>
      </c>
      <c r="B1251" s="238" t="s">
        <v>3774</v>
      </c>
      <c r="C1251" s="239" t="s">
        <v>50</v>
      </c>
      <c r="D1251" s="240">
        <f t="shared" si="19"/>
        <v>48.093242962962961</v>
      </c>
      <c r="E1251" s="226" t="s">
        <v>5222</v>
      </c>
      <c r="G1251" s="240">
        <v>44.86</v>
      </c>
    </row>
    <row r="1252" spans="1:7" ht="14.25" x14ac:dyDescent="0.2">
      <c r="A1252" s="237" t="s">
        <v>5197</v>
      </c>
      <c r="B1252" s="238" t="s">
        <v>2898</v>
      </c>
      <c r="C1252" s="239" t="s">
        <v>50</v>
      </c>
      <c r="D1252" s="240">
        <f t="shared" si="19"/>
        <v>233.10106592592592</v>
      </c>
      <c r="E1252" s="226" t="s">
        <v>5222</v>
      </c>
      <c r="G1252" s="240">
        <v>217.43</v>
      </c>
    </row>
    <row r="1253" spans="1:7" ht="14.25" x14ac:dyDescent="0.2">
      <c r="A1253" s="237" t="s">
        <v>647</v>
      </c>
      <c r="B1253" s="238" t="s">
        <v>3775</v>
      </c>
      <c r="C1253" s="239" t="s">
        <v>50</v>
      </c>
      <c r="D1253" s="240">
        <f t="shared" si="19"/>
        <v>96.904775555555545</v>
      </c>
      <c r="E1253" s="226" t="s">
        <v>5222</v>
      </c>
      <c r="G1253" s="240">
        <v>90.39</v>
      </c>
    </row>
    <row r="1254" spans="1:7" ht="14.25" x14ac:dyDescent="0.2">
      <c r="A1254" s="237" t="s">
        <v>648</v>
      </c>
      <c r="B1254" s="238" t="s">
        <v>2874</v>
      </c>
      <c r="C1254" s="239" t="s">
        <v>28</v>
      </c>
      <c r="D1254" s="240">
        <f t="shared" si="19"/>
        <v>33.534477037037036</v>
      </c>
      <c r="E1254" s="226" t="s">
        <v>5222</v>
      </c>
      <c r="G1254" s="240">
        <v>31.28</v>
      </c>
    </row>
    <row r="1255" spans="1:7" ht="14.25" x14ac:dyDescent="0.2">
      <c r="A1255" s="237" t="s">
        <v>649</v>
      </c>
      <c r="B1255" s="238" t="s">
        <v>3776</v>
      </c>
      <c r="C1255" s="239" t="s">
        <v>38</v>
      </c>
      <c r="D1255" s="240">
        <f t="shared" si="19"/>
        <v>1.072074074074074</v>
      </c>
      <c r="E1255" s="226" t="s">
        <v>5222</v>
      </c>
      <c r="G1255" s="240">
        <v>1</v>
      </c>
    </row>
    <row r="1256" spans="1:7" ht="14.25" x14ac:dyDescent="0.2">
      <c r="A1256" s="237" t="s">
        <v>650</v>
      </c>
      <c r="B1256" s="238" t="s">
        <v>3777</v>
      </c>
      <c r="C1256" s="239" t="s">
        <v>38</v>
      </c>
      <c r="D1256" s="240">
        <f t="shared" si="19"/>
        <v>0.57891999999999999</v>
      </c>
      <c r="E1256" s="226" t="s">
        <v>5222</v>
      </c>
      <c r="G1256" s="240">
        <v>0.54</v>
      </c>
    </row>
    <row r="1257" spans="1:7" ht="14.25" x14ac:dyDescent="0.2">
      <c r="A1257" s="237" t="s">
        <v>651</v>
      </c>
      <c r="B1257" s="238" t="s">
        <v>2876</v>
      </c>
      <c r="C1257" s="239" t="s">
        <v>50</v>
      </c>
      <c r="D1257" s="240">
        <f t="shared" si="19"/>
        <v>11.331822962962962</v>
      </c>
      <c r="E1257" s="226" t="s">
        <v>5222</v>
      </c>
      <c r="G1257" s="240">
        <v>10.57</v>
      </c>
    </row>
    <row r="1258" spans="1:7" ht="14.25" x14ac:dyDescent="0.2">
      <c r="A1258" s="237" t="s">
        <v>652</v>
      </c>
      <c r="B1258" s="238" t="s">
        <v>3778</v>
      </c>
      <c r="C1258" s="239" t="s">
        <v>50</v>
      </c>
      <c r="D1258" s="240">
        <f t="shared" si="19"/>
        <v>36.868627407407402</v>
      </c>
      <c r="E1258" s="226" t="s">
        <v>5222</v>
      </c>
      <c r="G1258" s="240">
        <v>34.39</v>
      </c>
    </row>
    <row r="1259" spans="1:7" ht="14.25" x14ac:dyDescent="0.2">
      <c r="A1259" s="237" t="s">
        <v>653</v>
      </c>
      <c r="B1259" s="238" t="s">
        <v>3779</v>
      </c>
      <c r="C1259" s="239" t="s">
        <v>50</v>
      </c>
      <c r="D1259" s="240">
        <f t="shared" si="19"/>
        <v>58.320829629629621</v>
      </c>
      <c r="E1259" s="226" t="s">
        <v>5222</v>
      </c>
      <c r="G1259" s="240">
        <v>54.4</v>
      </c>
    </row>
    <row r="1260" spans="1:7" ht="14.25" x14ac:dyDescent="0.2">
      <c r="A1260" s="237" t="s">
        <v>654</v>
      </c>
      <c r="B1260" s="238" t="s">
        <v>3780</v>
      </c>
      <c r="C1260" s="239" t="s">
        <v>50</v>
      </c>
      <c r="D1260" s="240">
        <f t="shared" si="19"/>
        <v>6.5396518518518514</v>
      </c>
      <c r="E1260" s="226" t="s">
        <v>5222</v>
      </c>
      <c r="G1260" s="240">
        <v>6.1</v>
      </c>
    </row>
    <row r="1261" spans="1:7" ht="14.25" x14ac:dyDescent="0.2">
      <c r="A1261" s="237" t="s">
        <v>655</v>
      </c>
      <c r="B1261" s="238" t="s">
        <v>3781</v>
      </c>
      <c r="C1261" s="239" t="s">
        <v>52</v>
      </c>
      <c r="D1261" s="240">
        <f t="shared" si="19"/>
        <v>8.6945207407407388</v>
      </c>
      <c r="E1261" s="226" t="s">
        <v>5222</v>
      </c>
      <c r="G1261" s="240">
        <v>8.11</v>
      </c>
    </row>
    <row r="1262" spans="1:7" ht="14.25" x14ac:dyDescent="0.2">
      <c r="A1262" s="237" t="s">
        <v>656</v>
      </c>
      <c r="B1262" s="238" t="s">
        <v>3782</v>
      </c>
      <c r="C1262" s="239" t="s">
        <v>52</v>
      </c>
      <c r="D1262" s="240">
        <f t="shared" si="19"/>
        <v>5.1137933333333327</v>
      </c>
      <c r="E1262" s="226" t="s">
        <v>5222</v>
      </c>
      <c r="G1262" s="240">
        <v>4.7699999999999996</v>
      </c>
    </row>
    <row r="1263" spans="1:7" ht="14.25" x14ac:dyDescent="0.2">
      <c r="A1263" s="237" t="s">
        <v>657</v>
      </c>
      <c r="B1263" s="238" t="s">
        <v>3783</v>
      </c>
      <c r="C1263" s="239" t="s">
        <v>52</v>
      </c>
      <c r="D1263" s="240">
        <f t="shared" si="19"/>
        <v>3.9666740740740738</v>
      </c>
      <c r="E1263" s="226" t="s">
        <v>5222</v>
      </c>
      <c r="G1263" s="240">
        <v>3.7</v>
      </c>
    </row>
    <row r="1264" spans="1:7" ht="14.25" x14ac:dyDescent="0.2">
      <c r="A1264" s="237" t="s">
        <v>658</v>
      </c>
      <c r="B1264" s="238" t="s">
        <v>3784</v>
      </c>
      <c r="C1264" s="239" t="s">
        <v>52</v>
      </c>
      <c r="D1264" s="240">
        <f t="shared" si="19"/>
        <v>3.3234296296296297</v>
      </c>
      <c r="E1264" s="226" t="s">
        <v>5222</v>
      </c>
      <c r="G1264" s="240">
        <v>3.1</v>
      </c>
    </row>
    <row r="1265" spans="1:7" ht="14.25" x14ac:dyDescent="0.2">
      <c r="A1265" s="237" t="s">
        <v>659</v>
      </c>
      <c r="B1265" s="238" t="s">
        <v>3785</v>
      </c>
      <c r="C1265" s="239" t="s">
        <v>52</v>
      </c>
      <c r="D1265" s="240">
        <f t="shared" si="19"/>
        <v>2.926762222222222</v>
      </c>
      <c r="E1265" s="226" t="s">
        <v>5222</v>
      </c>
      <c r="G1265" s="240">
        <v>2.73</v>
      </c>
    </row>
    <row r="1266" spans="1:7" ht="14.25" x14ac:dyDescent="0.2">
      <c r="A1266" s="237" t="s">
        <v>660</v>
      </c>
      <c r="B1266" s="238" t="s">
        <v>3786</v>
      </c>
      <c r="C1266" s="239" t="s">
        <v>52</v>
      </c>
      <c r="D1266" s="240">
        <f t="shared" si="19"/>
        <v>2.3049592592592592</v>
      </c>
      <c r="E1266" s="226" t="s">
        <v>5222</v>
      </c>
      <c r="G1266" s="240">
        <v>2.15</v>
      </c>
    </row>
    <row r="1267" spans="1:7" ht="14.25" x14ac:dyDescent="0.2">
      <c r="A1267" s="237" t="s">
        <v>661</v>
      </c>
      <c r="B1267" s="238" t="s">
        <v>3787</v>
      </c>
      <c r="C1267" s="239" t="s">
        <v>50</v>
      </c>
      <c r="D1267" s="240">
        <f t="shared" si="19"/>
        <v>141.3315251851852</v>
      </c>
      <c r="E1267" s="226" t="s">
        <v>5222</v>
      </c>
      <c r="G1267" s="240">
        <v>131.83000000000001</v>
      </c>
    </row>
    <row r="1268" spans="1:7" ht="14.25" x14ac:dyDescent="0.2">
      <c r="A1268" s="237" t="s">
        <v>662</v>
      </c>
      <c r="B1268" s="238" t="s">
        <v>3788</v>
      </c>
      <c r="C1268" s="239" t="s">
        <v>50</v>
      </c>
      <c r="D1268" s="240">
        <f t="shared" si="19"/>
        <v>3176.5233192592591</v>
      </c>
      <c r="E1268" s="226" t="s">
        <v>5222</v>
      </c>
      <c r="G1268" s="240">
        <v>2962.97</v>
      </c>
    </row>
    <row r="1269" spans="1:7" ht="14.25" x14ac:dyDescent="0.2">
      <c r="A1269" s="237" t="s">
        <v>663</v>
      </c>
      <c r="B1269" s="238" t="s">
        <v>3789</v>
      </c>
      <c r="C1269" s="239" t="s">
        <v>50</v>
      </c>
      <c r="D1269" s="240">
        <f t="shared" si="19"/>
        <v>2823.4786059259259</v>
      </c>
      <c r="E1269" s="226" t="s">
        <v>5222</v>
      </c>
      <c r="G1269" s="240">
        <v>2633.66</v>
      </c>
    </row>
    <row r="1270" spans="1:7" ht="14.25" x14ac:dyDescent="0.2">
      <c r="A1270" s="237" t="s">
        <v>664</v>
      </c>
      <c r="B1270" s="238" t="s">
        <v>3790</v>
      </c>
      <c r="C1270" s="239" t="s">
        <v>50</v>
      </c>
      <c r="D1270" s="240">
        <f t="shared" si="19"/>
        <v>2155.3727637037036</v>
      </c>
      <c r="E1270" s="226" t="s">
        <v>5222</v>
      </c>
      <c r="G1270" s="240">
        <v>2010.47</v>
      </c>
    </row>
    <row r="1271" spans="1:7" ht="14.25" x14ac:dyDescent="0.2">
      <c r="A1271" s="237" t="s">
        <v>665</v>
      </c>
      <c r="B1271" s="238" t="s">
        <v>2493</v>
      </c>
      <c r="C1271" s="239" t="s">
        <v>50</v>
      </c>
      <c r="D1271" s="240">
        <f t="shared" si="19"/>
        <v>2679.9064459259257</v>
      </c>
      <c r="E1271" s="226" t="s">
        <v>5222</v>
      </c>
      <c r="G1271" s="240">
        <v>2499.7399999999998</v>
      </c>
    </row>
    <row r="1272" spans="1:7" ht="14.25" x14ac:dyDescent="0.2">
      <c r="A1272" s="237" t="s">
        <v>666</v>
      </c>
      <c r="B1272" s="238" t="s">
        <v>3791</v>
      </c>
      <c r="C1272" s="239" t="s">
        <v>50</v>
      </c>
      <c r="D1272" s="240">
        <f t="shared" si="19"/>
        <v>614.55574222222219</v>
      </c>
      <c r="E1272" s="226" t="s">
        <v>5222</v>
      </c>
      <c r="G1272" s="240">
        <v>573.24</v>
      </c>
    </row>
    <row r="1273" spans="1:7" ht="14.25" x14ac:dyDescent="0.2">
      <c r="A1273" s="237" t="s">
        <v>667</v>
      </c>
      <c r="B1273" s="238" t="s">
        <v>3792</v>
      </c>
      <c r="C1273" s="239" t="s">
        <v>216</v>
      </c>
      <c r="D1273" s="240">
        <f t="shared" si="19"/>
        <v>46.109905925925922</v>
      </c>
      <c r="E1273" s="226" t="s">
        <v>5222</v>
      </c>
      <c r="G1273" s="240">
        <v>43.01</v>
      </c>
    </row>
    <row r="1274" spans="1:7" ht="14.25" x14ac:dyDescent="0.2">
      <c r="A1274" s="237" t="s">
        <v>668</v>
      </c>
      <c r="B1274" s="238" t="s">
        <v>3793</v>
      </c>
      <c r="C1274" s="239" t="s">
        <v>50</v>
      </c>
      <c r="D1274" s="240">
        <f t="shared" si="19"/>
        <v>788.7892207407408</v>
      </c>
      <c r="E1274" s="226" t="s">
        <v>5222</v>
      </c>
      <c r="G1274" s="240">
        <v>735.76</v>
      </c>
    </row>
    <row r="1275" spans="1:7" ht="14.25" x14ac:dyDescent="0.2">
      <c r="A1275" s="237" t="s">
        <v>669</v>
      </c>
      <c r="B1275" s="238" t="s">
        <v>3794</v>
      </c>
      <c r="C1275" s="239" t="s">
        <v>50</v>
      </c>
      <c r="D1275" s="240">
        <f t="shared" si="19"/>
        <v>11.685607407407408</v>
      </c>
      <c r="E1275" s="226" t="s">
        <v>5222</v>
      </c>
      <c r="G1275" s="240">
        <v>10.9</v>
      </c>
    </row>
    <row r="1276" spans="1:7" ht="14.25" x14ac:dyDescent="0.2">
      <c r="A1276" s="237" t="s">
        <v>670</v>
      </c>
      <c r="B1276" s="238" t="s">
        <v>3795</v>
      </c>
      <c r="C1276" s="239" t="s">
        <v>50</v>
      </c>
      <c r="D1276" s="240">
        <f t="shared" si="19"/>
        <v>11.085245925925927</v>
      </c>
      <c r="E1276" s="226" t="s">
        <v>5222</v>
      </c>
      <c r="G1276" s="240">
        <v>10.34</v>
      </c>
    </row>
    <row r="1277" spans="1:7" ht="14.25" x14ac:dyDescent="0.2">
      <c r="A1277" s="237" t="s">
        <v>671</v>
      </c>
      <c r="B1277" s="238" t="s">
        <v>3796</v>
      </c>
      <c r="C1277" s="239" t="s">
        <v>38</v>
      </c>
      <c r="D1277" s="240">
        <f t="shared" si="19"/>
        <v>2.840996296296296</v>
      </c>
      <c r="E1277" s="226" t="s">
        <v>5222</v>
      </c>
      <c r="G1277" s="240">
        <v>2.65</v>
      </c>
    </row>
    <row r="1278" spans="1:7" ht="14.25" x14ac:dyDescent="0.2">
      <c r="A1278" s="237" t="s">
        <v>672</v>
      </c>
      <c r="B1278" s="238" t="s">
        <v>3797</v>
      </c>
      <c r="C1278" s="239" t="s">
        <v>50</v>
      </c>
      <c r="D1278" s="240">
        <f t="shared" si="19"/>
        <v>260.9964333333333</v>
      </c>
      <c r="E1278" s="226" t="s">
        <v>5222</v>
      </c>
      <c r="G1278" s="240">
        <v>243.45</v>
      </c>
    </row>
    <row r="1279" spans="1:7" ht="14.25" x14ac:dyDescent="0.2">
      <c r="A1279" s="237" t="s">
        <v>673</v>
      </c>
      <c r="B1279" s="238" t="s">
        <v>3798</v>
      </c>
      <c r="C1279" s="239" t="s">
        <v>38</v>
      </c>
      <c r="D1279" s="240">
        <f t="shared" si="19"/>
        <v>14.451558518518517</v>
      </c>
      <c r="E1279" s="226" t="s">
        <v>5222</v>
      </c>
      <c r="G1279" s="240">
        <v>13.48</v>
      </c>
    </row>
    <row r="1280" spans="1:7" ht="14.25" x14ac:dyDescent="0.2">
      <c r="A1280" s="237" t="s">
        <v>674</v>
      </c>
      <c r="B1280" s="238" t="s">
        <v>2998</v>
      </c>
      <c r="C1280" s="239" t="s">
        <v>38</v>
      </c>
      <c r="D1280" s="240">
        <f t="shared" si="19"/>
        <v>5.5319022222222216</v>
      </c>
      <c r="E1280" s="226" t="s">
        <v>5222</v>
      </c>
      <c r="G1280" s="240">
        <v>5.16</v>
      </c>
    </row>
    <row r="1281" spans="1:7" ht="14.25" x14ac:dyDescent="0.2">
      <c r="A1281" s="237" t="s">
        <v>675</v>
      </c>
      <c r="B1281" s="238" t="s">
        <v>3799</v>
      </c>
      <c r="C1281" s="239" t="s">
        <v>38</v>
      </c>
      <c r="D1281" s="240">
        <f t="shared" si="19"/>
        <v>15.051919999999999</v>
      </c>
      <c r="E1281" s="226" t="s">
        <v>5222</v>
      </c>
      <c r="G1281" s="240">
        <v>14.04</v>
      </c>
    </row>
    <row r="1282" spans="1:7" ht="14.25" x14ac:dyDescent="0.2">
      <c r="A1282" s="237" t="s">
        <v>676</v>
      </c>
      <c r="B1282" s="238" t="s">
        <v>3800</v>
      </c>
      <c r="C1282" s="239" t="s">
        <v>38</v>
      </c>
      <c r="D1282" s="240">
        <f t="shared" si="19"/>
        <v>18.79345851851852</v>
      </c>
      <c r="E1282" s="226" t="s">
        <v>5222</v>
      </c>
      <c r="G1282" s="240">
        <v>17.53</v>
      </c>
    </row>
    <row r="1283" spans="1:7" ht="14.25" x14ac:dyDescent="0.2">
      <c r="A1283" s="237" t="s">
        <v>677</v>
      </c>
      <c r="B1283" s="238" t="s">
        <v>3801</v>
      </c>
      <c r="C1283" s="239" t="s">
        <v>50</v>
      </c>
      <c r="D1283" s="240">
        <f t="shared" si="19"/>
        <v>2016.3140355555556</v>
      </c>
      <c r="E1283" s="226" t="s">
        <v>5222</v>
      </c>
      <c r="G1283" s="240">
        <v>1880.76</v>
      </c>
    </row>
    <row r="1284" spans="1:7" ht="14.25" x14ac:dyDescent="0.2">
      <c r="A1284" s="237" t="s">
        <v>678</v>
      </c>
      <c r="B1284" s="238" t="s">
        <v>3802</v>
      </c>
      <c r="C1284" s="239" t="s">
        <v>50</v>
      </c>
      <c r="D1284" s="240">
        <f t="shared" si="19"/>
        <v>1402.766042962963</v>
      </c>
      <c r="E1284" s="226" t="s">
        <v>5222</v>
      </c>
      <c r="G1284" s="240">
        <v>1308.46</v>
      </c>
    </row>
    <row r="1285" spans="1:7" ht="14.25" x14ac:dyDescent="0.2">
      <c r="A1285" s="237" t="s">
        <v>679</v>
      </c>
      <c r="B1285" s="238" t="s">
        <v>3803</v>
      </c>
      <c r="C1285" s="239" t="s">
        <v>38</v>
      </c>
      <c r="D1285" s="240">
        <f t="shared" si="19"/>
        <v>9.380648148148147</v>
      </c>
      <c r="E1285" s="226" t="s">
        <v>5222</v>
      </c>
      <c r="G1285" s="240">
        <v>8.75</v>
      </c>
    </row>
    <row r="1286" spans="1:7" ht="14.25" x14ac:dyDescent="0.2">
      <c r="A1286" s="237" t="s">
        <v>680</v>
      </c>
      <c r="B1286" s="238" t="s">
        <v>3804</v>
      </c>
      <c r="C1286" s="239" t="s">
        <v>50</v>
      </c>
      <c r="D1286" s="240">
        <f t="shared" si="19"/>
        <v>347.29839629629629</v>
      </c>
      <c r="E1286" s="226" t="s">
        <v>5222</v>
      </c>
      <c r="G1286" s="240">
        <v>323.95</v>
      </c>
    </row>
    <row r="1287" spans="1:7" ht="14.25" x14ac:dyDescent="0.2">
      <c r="A1287" s="237" t="s">
        <v>681</v>
      </c>
      <c r="B1287" s="238" t="s">
        <v>3000</v>
      </c>
      <c r="C1287" s="239" t="s">
        <v>38</v>
      </c>
      <c r="D1287" s="240">
        <f t="shared" si="19"/>
        <v>2.926762222222222</v>
      </c>
      <c r="E1287" s="226" t="s">
        <v>5222</v>
      </c>
      <c r="G1287" s="240">
        <v>2.73</v>
      </c>
    </row>
    <row r="1288" spans="1:7" ht="14.25" x14ac:dyDescent="0.2">
      <c r="A1288" s="237" t="s">
        <v>682</v>
      </c>
      <c r="B1288" s="238" t="s">
        <v>3805</v>
      </c>
      <c r="C1288" s="239" t="s">
        <v>50</v>
      </c>
      <c r="D1288" s="240">
        <f t="shared" ref="D1288:D1351" si="20">(G1288/(1+0.35))*(1+$D$3)</f>
        <v>66.490034074074075</v>
      </c>
      <c r="E1288" s="226" t="s">
        <v>5222</v>
      </c>
      <c r="G1288" s="240">
        <v>62.02</v>
      </c>
    </row>
    <row r="1289" spans="1:7" ht="14.25" x14ac:dyDescent="0.2">
      <c r="A1289" s="237" t="s">
        <v>683</v>
      </c>
      <c r="B1289" s="238" t="s">
        <v>3003</v>
      </c>
      <c r="C1289" s="239" t="s">
        <v>50</v>
      </c>
      <c r="D1289" s="240">
        <f t="shared" si="20"/>
        <v>1139.3896051851852</v>
      </c>
      <c r="E1289" s="226" t="s">
        <v>5222</v>
      </c>
      <c r="G1289" s="240">
        <v>1062.79</v>
      </c>
    </row>
    <row r="1290" spans="1:7" ht="14.25" x14ac:dyDescent="0.2">
      <c r="A1290" s="237" t="s">
        <v>684</v>
      </c>
      <c r="B1290" s="238" t="s">
        <v>3004</v>
      </c>
      <c r="C1290" s="239" t="s">
        <v>50</v>
      </c>
      <c r="D1290" s="240">
        <f t="shared" si="20"/>
        <v>1456.1982148148147</v>
      </c>
      <c r="E1290" s="226" t="s">
        <v>5222</v>
      </c>
      <c r="G1290" s="240">
        <v>1358.3</v>
      </c>
    </row>
    <row r="1291" spans="1:7" ht="14.25" x14ac:dyDescent="0.2">
      <c r="A1291" s="237" t="s">
        <v>685</v>
      </c>
      <c r="B1291" s="238" t="s">
        <v>3806</v>
      </c>
      <c r="C1291" s="239" t="s">
        <v>52</v>
      </c>
      <c r="D1291" s="240">
        <f t="shared" si="20"/>
        <v>5.1673970370370368</v>
      </c>
      <c r="E1291" s="226" t="s">
        <v>5222</v>
      </c>
      <c r="G1291" s="240">
        <v>4.82</v>
      </c>
    </row>
    <row r="1292" spans="1:7" ht="14.25" x14ac:dyDescent="0.2">
      <c r="A1292" s="237" t="s">
        <v>686</v>
      </c>
      <c r="B1292" s="238" t="s">
        <v>3807</v>
      </c>
      <c r="C1292" s="239" t="s">
        <v>50</v>
      </c>
      <c r="D1292" s="240">
        <f t="shared" si="20"/>
        <v>144.29044962962962</v>
      </c>
      <c r="E1292" s="226" t="s">
        <v>5222</v>
      </c>
      <c r="G1292" s="240">
        <v>134.59</v>
      </c>
    </row>
    <row r="1293" spans="1:7" ht="14.25" x14ac:dyDescent="0.2">
      <c r="A1293" s="237" t="s">
        <v>687</v>
      </c>
      <c r="B1293" s="238" t="s">
        <v>3808</v>
      </c>
      <c r="C1293" s="239" t="s">
        <v>50</v>
      </c>
      <c r="D1293" s="240">
        <f t="shared" si="20"/>
        <v>184.31097481481478</v>
      </c>
      <c r="E1293" s="226" t="s">
        <v>5222</v>
      </c>
      <c r="G1293" s="240">
        <v>171.92</v>
      </c>
    </row>
    <row r="1294" spans="1:7" ht="14.25" x14ac:dyDescent="0.2">
      <c r="A1294" s="237" t="s">
        <v>688</v>
      </c>
      <c r="B1294" s="238" t="s">
        <v>3809</v>
      </c>
      <c r="C1294" s="239" t="s">
        <v>50</v>
      </c>
      <c r="D1294" s="240">
        <f t="shared" si="20"/>
        <v>600.81175259259248</v>
      </c>
      <c r="E1294" s="226" t="s">
        <v>5222</v>
      </c>
      <c r="G1294" s="240">
        <v>560.41999999999996</v>
      </c>
    </row>
    <row r="1295" spans="1:7" ht="14.25" x14ac:dyDescent="0.2">
      <c r="A1295" s="237" t="s">
        <v>689</v>
      </c>
      <c r="B1295" s="238" t="s">
        <v>3810</v>
      </c>
      <c r="C1295" s="239" t="s">
        <v>27</v>
      </c>
      <c r="D1295" s="240">
        <f t="shared" si="20"/>
        <v>291.94721185185182</v>
      </c>
      <c r="E1295" s="226" t="s">
        <v>5222</v>
      </c>
      <c r="G1295" s="240">
        <v>272.32</v>
      </c>
    </row>
    <row r="1296" spans="1:7" ht="14.25" x14ac:dyDescent="0.2">
      <c r="A1296" s="237" t="s">
        <v>690</v>
      </c>
      <c r="B1296" s="238" t="s">
        <v>3197</v>
      </c>
      <c r="C1296" s="239" t="s">
        <v>50</v>
      </c>
      <c r="D1296" s="240">
        <f t="shared" si="20"/>
        <v>1263.4178548148147</v>
      </c>
      <c r="E1296" s="226" t="s">
        <v>5222</v>
      </c>
      <c r="G1296" s="240">
        <v>1178.48</v>
      </c>
    </row>
    <row r="1297" spans="1:7" ht="14.25" x14ac:dyDescent="0.2">
      <c r="A1297" s="237" t="s">
        <v>691</v>
      </c>
      <c r="B1297" s="238" t="s">
        <v>3196</v>
      </c>
      <c r="C1297" s="239" t="s">
        <v>50</v>
      </c>
      <c r="D1297" s="240">
        <f t="shared" si="20"/>
        <v>1001.7567355555555</v>
      </c>
      <c r="E1297" s="226" t="s">
        <v>5222</v>
      </c>
      <c r="G1297" s="240">
        <v>934.41</v>
      </c>
    </row>
    <row r="1298" spans="1:7" ht="14.25" x14ac:dyDescent="0.2">
      <c r="A1298" s="237" t="s">
        <v>692</v>
      </c>
      <c r="B1298" s="238" t="s">
        <v>3811</v>
      </c>
      <c r="C1298" s="239" t="s">
        <v>50</v>
      </c>
      <c r="D1298" s="240">
        <f t="shared" si="20"/>
        <v>92.209091111111107</v>
      </c>
      <c r="E1298" s="226" t="s">
        <v>5222</v>
      </c>
      <c r="G1298" s="240">
        <v>86.01</v>
      </c>
    </row>
    <row r="1299" spans="1:7" ht="14.25" x14ac:dyDescent="0.2">
      <c r="A1299" s="237" t="s">
        <v>693</v>
      </c>
      <c r="B1299" s="238" t="s">
        <v>3812</v>
      </c>
      <c r="C1299" s="239" t="s">
        <v>50</v>
      </c>
      <c r="D1299" s="240">
        <f t="shared" si="20"/>
        <v>105.58857555555555</v>
      </c>
      <c r="E1299" s="226" t="s">
        <v>5222</v>
      </c>
      <c r="G1299" s="240">
        <v>98.49</v>
      </c>
    </row>
    <row r="1300" spans="1:7" ht="14.25" x14ac:dyDescent="0.2">
      <c r="A1300" s="237" t="s">
        <v>694</v>
      </c>
      <c r="B1300" s="238" t="s">
        <v>3813</v>
      </c>
      <c r="C1300" s="239" t="s">
        <v>50</v>
      </c>
      <c r="D1300" s="240">
        <f t="shared" si="20"/>
        <v>21.623734074074076</v>
      </c>
      <c r="E1300" s="226" t="s">
        <v>5222</v>
      </c>
      <c r="G1300" s="240">
        <v>20.170000000000002</v>
      </c>
    </row>
    <row r="1301" spans="1:7" ht="14.25" x14ac:dyDescent="0.2">
      <c r="A1301" s="237" t="s">
        <v>695</v>
      </c>
      <c r="B1301" s="238" t="s">
        <v>3814</v>
      </c>
      <c r="C1301" s="239" t="s">
        <v>50</v>
      </c>
      <c r="D1301" s="240">
        <f t="shared" si="20"/>
        <v>354.70642814814818</v>
      </c>
      <c r="E1301" s="226" t="s">
        <v>5222</v>
      </c>
      <c r="G1301" s="240">
        <v>330.86</v>
      </c>
    </row>
    <row r="1302" spans="1:7" ht="14.25" x14ac:dyDescent="0.2">
      <c r="A1302" s="237" t="s">
        <v>696</v>
      </c>
      <c r="B1302" s="238" t="s">
        <v>3815</v>
      </c>
      <c r="C1302" s="239" t="s">
        <v>50</v>
      </c>
      <c r="D1302" s="240">
        <f t="shared" si="20"/>
        <v>32.151501481481475</v>
      </c>
      <c r="E1302" s="226" t="s">
        <v>5222</v>
      </c>
      <c r="G1302" s="240">
        <v>29.99</v>
      </c>
    </row>
    <row r="1303" spans="1:7" ht="14.25" x14ac:dyDescent="0.2">
      <c r="A1303" s="237" t="s">
        <v>697</v>
      </c>
      <c r="B1303" s="238" t="s">
        <v>3816</v>
      </c>
      <c r="C1303" s="239" t="s">
        <v>50</v>
      </c>
      <c r="D1303" s="240">
        <f t="shared" si="20"/>
        <v>41.307014074074075</v>
      </c>
      <c r="E1303" s="226" t="s">
        <v>5222</v>
      </c>
      <c r="G1303" s="240">
        <v>38.53</v>
      </c>
    </row>
    <row r="1304" spans="1:7" ht="14.25" x14ac:dyDescent="0.2">
      <c r="A1304" s="237" t="s">
        <v>698</v>
      </c>
      <c r="B1304" s="238" t="s">
        <v>3817</v>
      </c>
      <c r="C1304" s="239" t="s">
        <v>38</v>
      </c>
      <c r="D1304" s="240">
        <f t="shared" si="20"/>
        <v>162.24769037037038</v>
      </c>
      <c r="E1304" s="226" t="s">
        <v>5222</v>
      </c>
      <c r="G1304" s="240">
        <v>151.34</v>
      </c>
    </row>
    <row r="1305" spans="1:7" ht="14.25" x14ac:dyDescent="0.2">
      <c r="A1305" s="237" t="s">
        <v>699</v>
      </c>
      <c r="B1305" s="238" t="s">
        <v>3079</v>
      </c>
      <c r="C1305" s="239" t="s">
        <v>38</v>
      </c>
      <c r="D1305" s="240">
        <f t="shared" si="20"/>
        <v>194.18477703703704</v>
      </c>
      <c r="E1305" s="226" t="s">
        <v>5222</v>
      </c>
      <c r="G1305" s="240">
        <v>181.13</v>
      </c>
    </row>
    <row r="1306" spans="1:7" ht="14.25" x14ac:dyDescent="0.2">
      <c r="A1306" s="237" t="s">
        <v>700</v>
      </c>
      <c r="B1306" s="238" t="s">
        <v>3385</v>
      </c>
      <c r="C1306" s="239" t="s">
        <v>38</v>
      </c>
      <c r="D1306" s="240">
        <f t="shared" si="20"/>
        <v>215.77634888888886</v>
      </c>
      <c r="E1306" s="226" t="s">
        <v>5222</v>
      </c>
      <c r="G1306" s="240">
        <v>201.27</v>
      </c>
    </row>
    <row r="1307" spans="1:7" ht="14.25" x14ac:dyDescent="0.2">
      <c r="A1307" s="237" t="s">
        <v>701</v>
      </c>
      <c r="B1307" s="238" t="s">
        <v>3386</v>
      </c>
      <c r="C1307" s="239" t="s">
        <v>38</v>
      </c>
      <c r="D1307" s="240">
        <f t="shared" si="20"/>
        <v>232.65079481481479</v>
      </c>
      <c r="E1307" s="226" t="s">
        <v>5222</v>
      </c>
      <c r="G1307" s="240">
        <v>217.01</v>
      </c>
    </row>
    <row r="1308" spans="1:7" ht="14.25" x14ac:dyDescent="0.2">
      <c r="A1308" s="237" t="s">
        <v>702</v>
      </c>
      <c r="B1308" s="238" t="s">
        <v>3080</v>
      </c>
      <c r="C1308" s="239" t="s">
        <v>55</v>
      </c>
      <c r="D1308" s="240">
        <f t="shared" si="20"/>
        <v>22.149050370370368</v>
      </c>
      <c r="E1308" s="226" t="s">
        <v>5222</v>
      </c>
      <c r="G1308" s="240">
        <v>20.66</v>
      </c>
    </row>
    <row r="1309" spans="1:7" ht="14.25" x14ac:dyDescent="0.2">
      <c r="A1309" s="237" t="s">
        <v>703</v>
      </c>
      <c r="B1309" s="238" t="s">
        <v>3081</v>
      </c>
      <c r="C1309" s="239" t="s">
        <v>55</v>
      </c>
      <c r="D1309" s="240">
        <f t="shared" si="20"/>
        <v>18.418232592592592</v>
      </c>
      <c r="E1309" s="226" t="s">
        <v>5222</v>
      </c>
      <c r="G1309" s="240">
        <v>17.18</v>
      </c>
    </row>
    <row r="1310" spans="1:7" ht="14.25" x14ac:dyDescent="0.2">
      <c r="A1310" s="237" t="s">
        <v>704</v>
      </c>
      <c r="B1310" s="238" t="s">
        <v>3082</v>
      </c>
      <c r="C1310" s="239" t="s">
        <v>55</v>
      </c>
      <c r="D1310" s="240">
        <f t="shared" si="20"/>
        <v>23.092475555555552</v>
      </c>
      <c r="E1310" s="226" t="s">
        <v>5222</v>
      </c>
      <c r="G1310" s="240">
        <v>21.54</v>
      </c>
    </row>
    <row r="1311" spans="1:7" ht="14.25" x14ac:dyDescent="0.2">
      <c r="A1311" s="237" t="s">
        <v>705</v>
      </c>
      <c r="B1311" s="238" t="s">
        <v>3397</v>
      </c>
      <c r="C1311" s="239" t="s">
        <v>50</v>
      </c>
      <c r="D1311" s="240">
        <f t="shared" si="20"/>
        <v>652.22842518518507</v>
      </c>
      <c r="E1311" s="226" t="s">
        <v>5222</v>
      </c>
      <c r="G1311" s="240">
        <v>608.38</v>
      </c>
    </row>
    <row r="1312" spans="1:7" ht="14.25" x14ac:dyDescent="0.2">
      <c r="A1312" s="237" t="s">
        <v>706</v>
      </c>
      <c r="B1312" s="238" t="s">
        <v>3398</v>
      </c>
      <c r="C1312" s="239" t="s">
        <v>50</v>
      </c>
      <c r="D1312" s="240">
        <f t="shared" si="20"/>
        <v>711.34258962962952</v>
      </c>
      <c r="E1312" s="226" t="s">
        <v>5222</v>
      </c>
      <c r="G1312" s="240">
        <v>663.52</v>
      </c>
    </row>
    <row r="1313" spans="1:7" ht="14.25" x14ac:dyDescent="0.2">
      <c r="A1313" s="237" t="s">
        <v>707</v>
      </c>
      <c r="B1313" s="238" t="s">
        <v>3399</v>
      </c>
      <c r="C1313" s="239" t="s">
        <v>50</v>
      </c>
      <c r="D1313" s="240">
        <f t="shared" si="20"/>
        <v>728.96748740740736</v>
      </c>
      <c r="E1313" s="226" t="s">
        <v>5222</v>
      </c>
      <c r="G1313" s="240">
        <v>679.96</v>
      </c>
    </row>
    <row r="1314" spans="1:7" ht="14.25" x14ac:dyDescent="0.2">
      <c r="A1314" s="237" t="s">
        <v>708</v>
      </c>
      <c r="B1314" s="238" t="s">
        <v>3472</v>
      </c>
      <c r="C1314" s="239" t="s">
        <v>50</v>
      </c>
      <c r="D1314" s="240">
        <f t="shared" si="20"/>
        <v>754.6007785185185</v>
      </c>
      <c r="E1314" s="226" t="s">
        <v>5222</v>
      </c>
      <c r="G1314" s="240">
        <v>703.87</v>
      </c>
    </row>
    <row r="1315" spans="1:7" ht="14.25" x14ac:dyDescent="0.2">
      <c r="A1315" s="237" t="s">
        <v>709</v>
      </c>
      <c r="B1315" s="238" t="s">
        <v>3473</v>
      </c>
      <c r="C1315" s="239" t="s">
        <v>50</v>
      </c>
      <c r="D1315" s="240">
        <f t="shared" si="20"/>
        <v>773.13693925925918</v>
      </c>
      <c r="E1315" s="226" t="s">
        <v>5222</v>
      </c>
      <c r="G1315" s="240">
        <v>721.16</v>
      </c>
    </row>
    <row r="1316" spans="1:7" ht="14.25" x14ac:dyDescent="0.2">
      <c r="A1316" s="237" t="s">
        <v>710</v>
      </c>
      <c r="B1316" s="238" t="s">
        <v>3400</v>
      </c>
      <c r="C1316" s="239" t="s">
        <v>50</v>
      </c>
      <c r="D1316" s="240">
        <f t="shared" si="20"/>
        <v>797.0549118518519</v>
      </c>
      <c r="E1316" s="226" t="s">
        <v>5222</v>
      </c>
      <c r="G1316" s="240">
        <v>743.47</v>
      </c>
    </row>
    <row r="1317" spans="1:7" ht="14.25" x14ac:dyDescent="0.2">
      <c r="A1317" s="237" t="s">
        <v>711</v>
      </c>
      <c r="B1317" s="238" t="s">
        <v>3478</v>
      </c>
      <c r="C1317" s="239" t="s">
        <v>50</v>
      </c>
      <c r="D1317" s="240">
        <f t="shared" si="20"/>
        <v>810.42367555555552</v>
      </c>
      <c r="E1317" s="226" t="s">
        <v>5222</v>
      </c>
      <c r="G1317" s="240">
        <v>755.94</v>
      </c>
    </row>
    <row r="1318" spans="1:7" ht="14.25" x14ac:dyDescent="0.2">
      <c r="A1318" s="237" t="s">
        <v>712</v>
      </c>
      <c r="B1318" s="238" t="s">
        <v>3479</v>
      </c>
      <c r="C1318" s="239" t="s">
        <v>50</v>
      </c>
      <c r="D1318" s="240">
        <f t="shared" si="20"/>
        <v>855.01123629629626</v>
      </c>
      <c r="E1318" s="226" t="s">
        <v>5222</v>
      </c>
      <c r="G1318" s="240">
        <v>797.53</v>
      </c>
    </row>
    <row r="1319" spans="1:7" ht="14.25" x14ac:dyDescent="0.2">
      <c r="A1319" s="237" t="s">
        <v>713</v>
      </c>
      <c r="B1319" s="238" t="s">
        <v>3090</v>
      </c>
      <c r="C1319" s="239" t="s">
        <v>50</v>
      </c>
      <c r="D1319" s="240">
        <f t="shared" si="20"/>
        <v>653.7829325925926</v>
      </c>
      <c r="E1319" s="226" t="s">
        <v>5222</v>
      </c>
      <c r="G1319" s="240">
        <v>609.83000000000004</v>
      </c>
    </row>
    <row r="1320" spans="1:7" ht="14.25" x14ac:dyDescent="0.2">
      <c r="A1320" s="237" t="s">
        <v>714</v>
      </c>
      <c r="B1320" s="238" t="s">
        <v>3818</v>
      </c>
      <c r="C1320" s="239" t="s">
        <v>50</v>
      </c>
      <c r="D1320" s="240">
        <f t="shared" si="20"/>
        <v>97.998291111111115</v>
      </c>
      <c r="E1320" s="226" t="s">
        <v>5222</v>
      </c>
      <c r="G1320" s="240">
        <v>91.41</v>
      </c>
    </row>
    <row r="1321" spans="1:7" ht="14.25" x14ac:dyDescent="0.2">
      <c r="A1321" s="237" t="s">
        <v>715</v>
      </c>
      <c r="B1321" s="238" t="s">
        <v>3098</v>
      </c>
      <c r="C1321" s="239" t="s">
        <v>50</v>
      </c>
      <c r="D1321" s="240">
        <f t="shared" si="20"/>
        <v>337.30666592592593</v>
      </c>
      <c r="E1321" s="226" t="s">
        <v>5222</v>
      </c>
      <c r="G1321" s="240">
        <v>314.63</v>
      </c>
    </row>
    <row r="1322" spans="1:7" ht="14.25" x14ac:dyDescent="0.2">
      <c r="A1322" s="237" t="s">
        <v>716</v>
      </c>
      <c r="B1322" s="238" t="s">
        <v>3099</v>
      </c>
      <c r="C1322" s="239" t="s">
        <v>50</v>
      </c>
      <c r="D1322" s="240">
        <f t="shared" si="20"/>
        <v>512.06546074074072</v>
      </c>
      <c r="E1322" s="226" t="s">
        <v>5222</v>
      </c>
      <c r="G1322" s="240">
        <v>477.64</v>
      </c>
    </row>
    <row r="1323" spans="1:7" ht="14.25" x14ac:dyDescent="0.2">
      <c r="A1323" s="237" t="s">
        <v>717</v>
      </c>
      <c r="B1323" s="238" t="s">
        <v>3100</v>
      </c>
      <c r="C1323" s="239" t="s">
        <v>50</v>
      </c>
      <c r="D1323" s="240">
        <f t="shared" si="20"/>
        <v>210.8340874074074</v>
      </c>
      <c r="E1323" s="226" t="s">
        <v>5222</v>
      </c>
      <c r="G1323" s="240">
        <v>196.66</v>
      </c>
    </row>
    <row r="1324" spans="1:7" ht="14.25" x14ac:dyDescent="0.2">
      <c r="A1324" s="237" t="s">
        <v>718</v>
      </c>
      <c r="B1324" s="238" t="s">
        <v>3819</v>
      </c>
      <c r="C1324" s="239" t="s">
        <v>27</v>
      </c>
      <c r="D1324" s="240">
        <f t="shared" si="20"/>
        <v>140.02359481481483</v>
      </c>
      <c r="E1324" s="226" t="s">
        <v>5222</v>
      </c>
      <c r="G1324" s="240">
        <v>130.61000000000001</v>
      </c>
    </row>
    <row r="1325" spans="1:7" ht="14.25" x14ac:dyDescent="0.2">
      <c r="A1325" s="237" t="s">
        <v>719</v>
      </c>
      <c r="B1325" s="238" t="s">
        <v>3820</v>
      </c>
      <c r="C1325" s="239" t="s">
        <v>27</v>
      </c>
      <c r="D1325" s="240">
        <f t="shared" si="20"/>
        <v>128.48807777777776</v>
      </c>
      <c r="E1325" s="226" t="s">
        <v>5222</v>
      </c>
      <c r="G1325" s="240">
        <v>119.85</v>
      </c>
    </row>
    <row r="1326" spans="1:7" ht="14.25" x14ac:dyDescent="0.2">
      <c r="A1326" s="237" t="s">
        <v>720</v>
      </c>
      <c r="B1326" s="238" t="s">
        <v>3821</v>
      </c>
      <c r="C1326" s="239" t="s">
        <v>27</v>
      </c>
      <c r="D1326" s="240">
        <f t="shared" si="20"/>
        <v>228.85565259259258</v>
      </c>
      <c r="E1326" s="226" t="s">
        <v>5222</v>
      </c>
      <c r="G1326" s="240">
        <v>213.47</v>
      </c>
    </row>
    <row r="1327" spans="1:7" ht="14.25" x14ac:dyDescent="0.2">
      <c r="A1327" s="237" t="s">
        <v>721</v>
      </c>
      <c r="B1327" s="238" t="s">
        <v>3822</v>
      </c>
      <c r="C1327" s="239" t="s">
        <v>27</v>
      </c>
      <c r="D1327" s="240">
        <f t="shared" si="20"/>
        <v>230.07781703703705</v>
      </c>
      <c r="E1327" s="226" t="s">
        <v>5222</v>
      </c>
      <c r="G1327" s="240">
        <v>214.61</v>
      </c>
    </row>
    <row r="1328" spans="1:7" ht="14.25" x14ac:dyDescent="0.2">
      <c r="A1328" s="237" t="s">
        <v>722</v>
      </c>
      <c r="B1328" s="238" t="s">
        <v>3823</v>
      </c>
      <c r="C1328" s="239" t="s">
        <v>27</v>
      </c>
      <c r="D1328" s="240">
        <f t="shared" si="20"/>
        <v>218.13491185185185</v>
      </c>
      <c r="E1328" s="226" t="s">
        <v>5222</v>
      </c>
      <c r="G1328" s="240">
        <v>203.47</v>
      </c>
    </row>
    <row r="1329" spans="1:7" ht="14.25" x14ac:dyDescent="0.2">
      <c r="A1329" s="237" t="s">
        <v>723</v>
      </c>
      <c r="B1329" s="238" t="s">
        <v>3824</v>
      </c>
      <c r="C1329" s="239" t="s">
        <v>27</v>
      </c>
      <c r="D1329" s="240">
        <f t="shared" si="20"/>
        <v>304.0616488888889</v>
      </c>
      <c r="E1329" s="226" t="s">
        <v>5222</v>
      </c>
      <c r="G1329" s="240">
        <v>283.62</v>
      </c>
    </row>
    <row r="1330" spans="1:7" ht="14.25" x14ac:dyDescent="0.2">
      <c r="A1330" s="237" t="s">
        <v>724</v>
      </c>
      <c r="B1330" s="238" t="s">
        <v>3825</v>
      </c>
      <c r="C1330" s="239" t="s">
        <v>27</v>
      </c>
      <c r="D1330" s="240">
        <f t="shared" si="20"/>
        <v>268.67248370370368</v>
      </c>
      <c r="E1330" s="226" t="s">
        <v>5222</v>
      </c>
      <c r="G1330" s="240">
        <v>250.61</v>
      </c>
    </row>
    <row r="1331" spans="1:7" ht="14.25" x14ac:dyDescent="0.2">
      <c r="A1331" s="237" t="s">
        <v>725</v>
      </c>
      <c r="B1331" s="238" t="s">
        <v>3826</v>
      </c>
      <c r="C1331" s="239" t="s">
        <v>27</v>
      </c>
      <c r="D1331" s="240">
        <f t="shared" si="20"/>
        <v>387.89784148148141</v>
      </c>
      <c r="E1331" s="226" t="s">
        <v>5222</v>
      </c>
      <c r="G1331" s="240">
        <v>361.82</v>
      </c>
    </row>
    <row r="1332" spans="1:7" ht="14.25" x14ac:dyDescent="0.2">
      <c r="A1332" s="237" t="s">
        <v>726</v>
      </c>
      <c r="B1332" s="238" t="s">
        <v>3827</v>
      </c>
      <c r="C1332" s="239" t="s">
        <v>27</v>
      </c>
      <c r="D1332" s="240">
        <f t="shared" si="20"/>
        <v>455.95310370370368</v>
      </c>
      <c r="E1332" s="226" t="s">
        <v>5222</v>
      </c>
      <c r="G1332" s="240">
        <v>425.3</v>
      </c>
    </row>
    <row r="1333" spans="1:7" ht="14.25" x14ac:dyDescent="0.2">
      <c r="A1333" s="237" t="s">
        <v>727</v>
      </c>
      <c r="B1333" s="238" t="s">
        <v>3828</v>
      </c>
      <c r="C1333" s="239" t="s">
        <v>27</v>
      </c>
      <c r="D1333" s="240">
        <f t="shared" si="20"/>
        <v>522.14295703703704</v>
      </c>
      <c r="E1333" s="226" t="s">
        <v>5222</v>
      </c>
      <c r="G1333" s="240">
        <v>487.04</v>
      </c>
    </row>
    <row r="1334" spans="1:7" ht="14.25" x14ac:dyDescent="0.2">
      <c r="A1334" s="237" t="s">
        <v>728</v>
      </c>
      <c r="B1334" s="238" t="s">
        <v>3829</v>
      </c>
      <c r="C1334" s="239" t="s">
        <v>27</v>
      </c>
      <c r="D1334" s="240">
        <f t="shared" si="20"/>
        <v>464.93708444444439</v>
      </c>
      <c r="E1334" s="226" t="s">
        <v>5222</v>
      </c>
      <c r="G1334" s="240">
        <v>433.68</v>
      </c>
    </row>
    <row r="1335" spans="1:7" ht="14.25" x14ac:dyDescent="0.2">
      <c r="A1335" s="237" t="s">
        <v>729</v>
      </c>
      <c r="B1335" s="238" t="s">
        <v>3830</v>
      </c>
      <c r="C1335" s="239" t="s">
        <v>27</v>
      </c>
      <c r="D1335" s="240">
        <f t="shared" si="20"/>
        <v>541.3974074074074</v>
      </c>
      <c r="E1335" s="226" t="s">
        <v>5222</v>
      </c>
      <c r="G1335" s="240">
        <v>505</v>
      </c>
    </row>
    <row r="1336" spans="1:7" ht="14.25" x14ac:dyDescent="0.2">
      <c r="A1336" s="237" t="s">
        <v>730</v>
      </c>
      <c r="B1336" s="238" t="s">
        <v>3831</v>
      </c>
      <c r="C1336" s="239" t="s">
        <v>27</v>
      </c>
      <c r="D1336" s="240">
        <f t="shared" si="20"/>
        <v>827.50181555555548</v>
      </c>
      <c r="E1336" s="226" t="s">
        <v>5222</v>
      </c>
      <c r="G1336" s="240">
        <v>771.87</v>
      </c>
    </row>
    <row r="1337" spans="1:7" ht="14.25" x14ac:dyDescent="0.2">
      <c r="A1337" s="237" t="s">
        <v>731</v>
      </c>
      <c r="B1337" s="238" t="s">
        <v>3832</v>
      </c>
      <c r="C1337" s="239" t="s">
        <v>27</v>
      </c>
      <c r="D1337" s="240">
        <f t="shared" si="20"/>
        <v>1128.969045185185</v>
      </c>
      <c r="E1337" s="226" t="s">
        <v>5222</v>
      </c>
      <c r="G1337" s="240">
        <v>1053.07</v>
      </c>
    </row>
    <row r="1338" spans="1:7" ht="14.25" x14ac:dyDescent="0.2">
      <c r="A1338" s="237" t="s">
        <v>732</v>
      </c>
      <c r="B1338" s="238" t="s">
        <v>3833</v>
      </c>
      <c r="C1338" s="239" t="s">
        <v>27</v>
      </c>
      <c r="D1338" s="240">
        <f t="shared" si="20"/>
        <v>100.74280074074075</v>
      </c>
      <c r="E1338" s="226" t="s">
        <v>5222</v>
      </c>
      <c r="G1338" s="240">
        <v>93.97</v>
      </c>
    </row>
    <row r="1339" spans="1:7" ht="14.25" x14ac:dyDescent="0.2">
      <c r="A1339" s="237" t="s">
        <v>733</v>
      </c>
      <c r="B1339" s="238" t="s">
        <v>3834</v>
      </c>
      <c r="C1339" s="239" t="s">
        <v>27</v>
      </c>
      <c r="D1339" s="240">
        <f t="shared" si="20"/>
        <v>117.75661629629629</v>
      </c>
      <c r="E1339" s="226" t="s">
        <v>5222</v>
      </c>
      <c r="G1339" s="240">
        <v>109.84</v>
      </c>
    </row>
    <row r="1340" spans="1:7" ht="14.25" x14ac:dyDescent="0.2">
      <c r="A1340" s="237" t="s">
        <v>734</v>
      </c>
      <c r="B1340" s="238" t="s">
        <v>3835</v>
      </c>
      <c r="C1340" s="239" t="s">
        <v>27</v>
      </c>
      <c r="D1340" s="240">
        <f t="shared" si="20"/>
        <v>133.0229511111111</v>
      </c>
      <c r="E1340" s="226" t="s">
        <v>5222</v>
      </c>
      <c r="G1340" s="240">
        <v>124.08</v>
      </c>
    </row>
    <row r="1341" spans="1:7" ht="14.25" x14ac:dyDescent="0.2">
      <c r="A1341" s="237" t="s">
        <v>735</v>
      </c>
      <c r="B1341" s="238" t="s">
        <v>3836</v>
      </c>
      <c r="C1341" s="239" t="s">
        <v>27</v>
      </c>
      <c r="D1341" s="240">
        <f t="shared" si="20"/>
        <v>182.48844888888888</v>
      </c>
      <c r="E1341" s="226" t="s">
        <v>5222</v>
      </c>
      <c r="G1341" s="240">
        <v>170.22</v>
      </c>
    </row>
    <row r="1342" spans="1:7" ht="14.25" x14ac:dyDescent="0.2">
      <c r="A1342" s="237" t="s">
        <v>736</v>
      </c>
      <c r="B1342" s="238" t="s">
        <v>3837</v>
      </c>
      <c r="C1342" s="239" t="s">
        <v>27</v>
      </c>
      <c r="D1342" s="240">
        <f t="shared" si="20"/>
        <v>224.15996814814815</v>
      </c>
      <c r="E1342" s="226" t="s">
        <v>5222</v>
      </c>
      <c r="G1342" s="240">
        <v>209.09</v>
      </c>
    </row>
    <row r="1343" spans="1:7" ht="14.25" x14ac:dyDescent="0.2">
      <c r="A1343" s="237" t="s">
        <v>737</v>
      </c>
      <c r="B1343" s="238" t="s">
        <v>3838</v>
      </c>
      <c r="C1343" s="239" t="s">
        <v>27</v>
      </c>
      <c r="D1343" s="240">
        <f t="shared" si="20"/>
        <v>374.46475333333336</v>
      </c>
      <c r="E1343" s="226" t="s">
        <v>5222</v>
      </c>
      <c r="G1343" s="240">
        <v>349.29</v>
      </c>
    </row>
    <row r="1344" spans="1:7" ht="14.25" x14ac:dyDescent="0.2">
      <c r="A1344" s="237" t="s">
        <v>738</v>
      </c>
      <c r="B1344" s="238" t="s">
        <v>3839</v>
      </c>
      <c r="C1344" s="239" t="s">
        <v>27</v>
      </c>
      <c r="D1344" s="240">
        <f t="shared" si="20"/>
        <v>571.13674222222221</v>
      </c>
      <c r="E1344" s="226" t="s">
        <v>5222</v>
      </c>
      <c r="G1344" s="240">
        <v>532.74</v>
      </c>
    </row>
    <row r="1345" spans="1:7" ht="14.25" x14ac:dyDescent="0.2">
      <c r="A1345" s="237" t="s">
        <v>3840</v>
      </c>
      <c r="B1345" s="238" t="s">
        <v>3841</v>
      </c>
      <c r="C1345" s="239" t="s">
        <v>50</v>
      </c>
      <c r="D1345" s="240">
        <f t="shared" si="20"/>
        <v>1091.1141096296296</v>
      </c>
      <c r="E1345" s="226" t="s">
        <v>5222</v>
      </c>
      <c r="G1345" s="240">
        <v>1017.76</v>
      </c>
    </row>
    <row r="1346" spans="1:7" ht="14.25" x14ac:dyDescent="0.2">
      <c r="A1346" s="237" t="s">
        <v>739</v>
      </c>
      <c r="B1346" s="238" t="s">
        <v>3105</v>
      </c>
      <c r="C1346" s="239" t="s">
        <v>50</v>
      </c>
      <c r="D1346" s="240">
        <f t="shared" si="20"/>
        <v>182.85295407407406</v>
      </c>
      <c r="E1346" s="226" t="s">
        <v>5222</v>
      </c>
      <c r="G1346" s="240">
        <v>170.56</v>
      </c>
    </row>
    <row r="1347" spans="1:7" ht="14.25" x14ac:dyDescent="0.2">
      <c r="A1347" s="237" t="s">
        <v>740</v>
      </c>
      <c r="B1347" s="238" t="s">
        <v>3192</v>
      </c>
      <c r="C1347" s="239" t="s">
        <v>27</v>
      </c>
      <c r="D1347" s="240">
        <f t="shared" si="20"/>
        <v>75.699150370370361</v>
      </c>
      <c r="E1347" s="226" t="s">
        <v>5222</v>
      </c>
      <c r="G1347" s="240">
        <v>70.61</v>
      </c>
    </row>
    <row r="1348" spans="1:7" ht="14.25" x14ac:dyDescent="0.2">
      <c r="A1348" s="237" t="s">
        <v>741</v>
      </c>
      <c r="B1348" s="238" t="s">
        <v>3193</v>
      </c>
      <c r="C1348" s="239" t="s">
        <v>27</v>
      </c>
      <c r="D1348" s="240">
        <f t="shared" si="20"/>
        <v>126.21528074074074</v>
      </c>
      <c r="E1348" s="226" t="s">
        <v>5222</v>
      </c>
      <c r="G1348" s="240">
        <v>117.73</v>
      </c>
    </row>
    <row r="1349" spans="1:7" ht="14.25" x14ac:dyDescent="0.2">
      <c r="A1349" s="237" t="s">
        <v>742</v>
      </c>
      <c r="B1349" s="238" t="s">
        <v>3194</v>
      </c>
      <c r="C1349" s="239" t="s">
        <v>27</v>
      </c>
      <c r="D1349" s="240">
        <f t="shared" si="20"/>
        <v>213.72868740740742</v>
      </c>
      <c r="E1349" s="226" t="s">
        <v>5222</v>
      </c>
      <c r="G1349" s="240">
        <v>199.36</v>
      </c>
    </row>
    <row r="1350" spans="1:7" ht="14.25" x14ac:dyDescent="0.2">
      <c r="A1350" s="237" t="s">
        <v>743</v>
      </c>
      <c r="B1350" s="238" t="s">
        <v>3842</v>
      </c>
      <c r="C1350" s="239" t="s">
        <v>27</v>
      </c>
      <c r="D1350" s="240">
        <f t="shared" si="20"/>
        <v>27.605907407407408</v>
      </c>
      <c r="E1350" s="226" t="s">
        <v>5222</v>
      </c>
      <c r="G1350" s="240">
        <v>25.75</v>
      </c>
    </row>
    <row r="1351" spans="1:7" ht="14.25" x14ac:dyDescent="0.2">
      <c r="A1351" s="237" t="s">
        <v>744</v>
      </c>
      <c r="B1351" s="238" t="s">
        <v>3843</v>
      </c>
      <c r="C1351" s="239" t="s">
        <v>27</v>
      </c>
      <c r="D1351" s="240">
        <f t="shared" si="20"/>
        <v>113.54336518518517</v>
      </c>
      <c r="E1351" s="226" t="s">
        <v>5222</v>
      </c>
      <c r="G1351" s="240">
        <v>105.91</v>
      </c>
    </row>
    <row r="1352" spans="1:7" ht="14.25" x14ac:dyDescent="0.2">
      <c r="A1352" s="237" t="s">
        <v>745</v>
      </c>
      <c r="B1352" s="238" t="s">
        <v>3844</v>
      </c>
      <c r="C1352" s="239" t="s">
        <v>27</v>
      </c>
      <c r="D1352" s="240">
        <f t="shared" ref="D1352:D1415" si="21">(G1352/(1+0.35))*(1+$D$3)</f>
        <v>153.39235851851853</v>
      </c>
      <c r="E1352" s="226" t="s">
        <v>5222</v>
      </c>
      <c r="G1352" s="240">
        <v>143.08000000000001</v>
      </c>
    </row>
    <row r="1353" spans="1:7" ht="14.25" x14ac:dyDescent="0.2">
      <c r="A1353" s="237" t="s">
        <v>746</v>
      </c>
      <c r="B1353" s="238" t="s">
        <v>3845</v>
      </c>
      <c r="C1353" s="239" t="s">
        <v>55</v>
      </c>
      <c r="D1353" s="240">
        <f t="shared" si="21"/>
        <v>44.994948888888885</v>
      </c>
      <c r="E1353" s="226" t="s">
        <v>5222</v>
      </c>
      <c r="G1353" s="240">
        <v>41.97</v>
      </c>
    </row>
    <row r="1354" spans="1:7" ht="14.25" x14ac:dyDescent="0.2">
      <c r="A1354" s="237" t="s">
        <v>747</v>
      </c>
      <c r="B1354" s="238" t="s">
        <v>3846</v>
      </c>
      <c r="C1354" s="239" t="s">
        <v>38</v>
      </c>
      <c r="D1354" s="240">
        <f t="shared" si="21"/>
        <v>8.4801059259259262</v>
      </c>
      <c r="E1354" s="226" t="s">
        <v>5222</v>
      </c>
      <c r="G1354" s="240">
        <v>7.91</v>
      </c>
    </row>
    <row r="1355" spans="1:7" ht="14.25" x14ac:dyDescent="0.2">
      <c r="A1355" s="237" t="s">
        <v>748</v>
      </c>
      <c r="B1355" s="238" t="s">
        <v>3847</v>
      </c>
      <c r="C1355" s="239" t="s">
        <v>38</v>
      </c>
      <c r="D1355" s="240">
        <f t="shared" si="21"/>
        <v>9.1340711111111101</v>
      </c>
      <c r="E1355" s="226" t="s">
        <v>5222</v>
      </c>
      <c r="G1355" s="240">
        <v>8.52</v>
      </c>
    </row>
    <row r="1356" spans="1:7" ht="14.25" x14ac:dyDescent="0.2">
      <c r="A1356" s="237" t="s">
        <v>749</v>
      </c>
      <c r="B1356" s="238" t="s">
        <v>3848</v>
      </c>
      <c r="C1356" s="239" t="s">
        <v>38</v>
      </c>
      <c r="D1356" s="240">
        <f t="shared" si="21"/>
        <v>10.58137111111111</v>
      </c>
      <c r="E1356" s="226" t="s">
        <v>5222</v>
      </c>
      <c r="G1356" s="240">
        <v>9.8699999999999992</v>
      </c>
    </row>
    <row r="1357" spans="1:7" ht="14.25" x14ac:dyDescent="0.2">
      <c r="A1357" s="237" t="s">
        <v>750</v>
      </c>
      <c r="B1357" s="238" t="s">
        <v>3133</v>
      </c>
      <c r="C1357" s="239" t="s">
        <v>38</v>
      </c>
      <c r="D1357" s="240">
        <f t="shared" si="21"/>
        <v>18.343187407407406</v>
      </c>
      <c r="E1357" s="226" t="s">
        <v>5222</v>
      </c>
      <c r="G1357" s="240">
        <v>17.11</v>
      </c>
    </row>
    <row r="1358" spans="1:7" ht="14.25" x14ac:dyDescent="0.2">
      <c r="A1358" s="237" t="s">
        <v>751</v>
      </c>
      <c r="B1358" s="238" t="s">
        <v>3134</v>
      </c>
      <c r="C1358" s="239" t="s">
        <v>38</v>
      </c>
      <c r="D1358" s="240">
        <f t="shared" si="21"/>
        <v>14.087053333333332</v>
      </c>
      <c r="E1358" s="226" t="s">
        <v>5222</v>
      </c>
      <c r="G1358" s="240">
        <v>13.14</v>
      </c>
    </row>
    <row r="1359" spans="1:7" ht="14.25" x14ac:dyDescent="0.2">
      <c r="A1359" s="237" t="s">
        <v>752</v>
      </c>
      <c r="B1359" s="238" t="s">
        <v>3135</v>
      </c>
      <c r="C1359" s="239" t="s">
        <v>38</v>
      </c>
      <c r="D1359" s="240">
        <f t="shared" si="21"/>
        <v>16.542102962962961</v>
      </c>
      <c r="E1359" s="226" t="s">
        <v>5222</v>
      </c>
      <c r="G1359" s="240">
        <v>15.43</v>
      </c>
    </row>
    <row r="1360" spans="1:7" ht="14.25" x14ac:dyDescent="0.2">
      <c r="A1360" s="237" t="s">
        <v>753</v>
      </c>
      <c r="B1360" s="238" t="s">
        <v>3136</v>
      </c>
      <c r="C1360" s="239" t="s">
        <v>38</v>
      </c>
      <c r="D1360" s="240">
        <f t="shared" si="21"/>
        <v>21.484364444444441</v>
      </c>
      <c r="E1360" s="226" t="s">
        <v>5222</v>
      </c>
      <c r="G1360" s="240">
        <v>20.04</v>
      </c>
    </row>
    <row r="1361" spans="1:7" ht="14.25" x14ac:dyDescent="0.2">
      <c r="A1361" s="237" t="s">
        <v>754</v>
      </c>
      <c r="B1361" s="238" t="s">
        <v>3137</v>
      </c>
      <c r="C1361" s="239" t="s">
        <v>38</v>
      </c>
      <c r="D1361" s="240">
        <f t="shared" si="21"/>
        <v>26.405184444444444</v>
      </c>
      <c r="E1361" s="226" t="s">
        <v>5222</v>
      </c>
      <c r="G1361" s="240">
        <v>24.63</v>
      </c>
    </row>
    <row r="1362" spans="1:7" ht="14.25" x14ac:dyDescent="0.2">
      <c r="A1362" s="237" t="s">
        <v>755</v>
      </c>
      <c r="B1362" s="238" t="s">
        <v>3138</v>
      </c>
      <c r="C1362" s="239" t="s">
        <v>38</v>
      </c>
      <c r="D1362" s="240">
        <f t="shared" si="21"/>
        <v>31.347445925925925</v>
      </c>
      <c r="E1362" s="226" t="s">
        <v>5222</v>
      </c>
      <c r="G1362" s="240">
        <v>29.24</v>
      </c>
    </row>
    <row r="1363" spans="1:7" ht="14.25" x14ac:dyDescent="0.2">
      <c r="A1363" s="237" t="s">
        <v>756</v>
      </c>
      <c r="B1363" s="238" t="s">
        <v>3849</v>
      </c>
      <c r="C1363" s="239" t="s">
        <v>38</v>
      </c>
      <c r="D1363" s="240">
        <f t="shared" si="21"/>
        <v>11.932184444444445</v>
      </c>
      <c r="E1363" s="226" t="s">
        <v>5222</v>
      </c>
      <c r="G1363" s="240">
        <v>11.13</v>
      </c>
    </row>
    <row r="1364" spans="1:7" ht="14.25" x14ac:dyDescent="0.2">
      <c r="A1364" s="237" t="s">
        <v>757</v>
      </c>
      <c r="B1364" s="238" t="s">
        <v>3850</v>
      </c>
      <c r="C1364" s="239" t="s">
        <v>38</v>
      </c>
      <c r="D1364" s="240">
        <f t="shared" si="21"/>
        <v>30.425462222222219</v>
      </c>
      <c r="E1364" s="226" t="s">
        <v>5222</v>
      </c>
      <c r="G1364" s="240">
        <v>28.38</v>
      </c>
    </row>
    <row r="1365" spans="1:7" ht="14.25" x14ac:dyDescent="0.2">
      <c r="A1365" s="237" t="s">
        <v>758</v>
      </c>
      <c r="B1365" s="238" t="s">
        <v>3142</v>
      </c>
      <c r="C1365" s="239" t="s">
        <v>55</v>
      </c>
      <c r="D1365" s="240">
        <f t="shared" si="21"/>
        <v>87.416920000000005</v>
      </c>
      <c r="E1365" s="226" t="s">
        <v>5222</v>
      </c>
      <c r="G1365" s="240">
        <v>81.540000000000006</v>
      </c>
    </row>
    <row r="1366" spans="1:7" ht="14.25" x14ac:dyDescent="0.2">
      <c r="A1366" s="237" t="s">
        <v>759</v>
      </c>
      <c r="B1366" s="238" t="s">
        <v>3851</v>
      </c>
      <c r="C1366" s="239" t="s">
        <v>50</v>
      </c>
      <c r="D1366" s="240">
        <f t="shared" si="21"/>
        <v>233.62638222222219</v>
      </c>
      <c r="E1366" s="226" t="s">
        <v>5222</v>
      </c>
      <c r="G1366" s="240">
        <v>217.92</v>
      </c>
    </row>
    <row r="1367" spans="1:7" ht="14.25" x14ac:dyDescent="0.2">
      <c r="A1367" s="237" t="s">
        <v>760</v>
      </c>
      <c r="B1367" s="238" t="s">
        <v>3114</v>
      </c>
      <c r="C1367" s="239" t="s">
        <v>50</v>
      </c>
      <c r="D1367" s="240">
        <f t="shared" si="21"/>
        <v>151.15172370370371</v>
      </c>
      <c r="E1367" s="226" t="s">
        <v>5222</v>
      </c>
      <c r="G1367" s="240">
        <v>140.99</v>
      </c>
    </row>
    <row r="1368" spans="1:7" ht="14.25" x14ac:dyDescent="0.2">
      <c r="A1368" s="237" t="s">
        <v>761</v>
      </c>
      <c r="B1368" s="238" t="s">
        <v>3852</v>
      </c>
      <c r="C1368" s="239" t="s">
        <v>50</v>
      </c>
      <c r="D1368" s="240">
        <f t="shared" si="21"/>
        <v>131.63997555555554</v>
      </c>
      <c r="E1368" s="226" t="s">
        <v>5222</v>
      </c>
      <c r="G1368" s="240">
        <v>122.79</v>
      </c>
    </row>
    <row r="1369" spans="1:7" ht="14.25" x14ac:dyDescent="0.2">
      <c r="A1369" s="237" t="s">
        <v>762</v>
      </c>
      <c r="B1369" s="238" t="s">
        <v>3853</v>
      </c>
      <c r="C1369" s="239" t="s">
        <v>55</v>
      </c>
      <c r="D1369" s="240">
        <f t="shared" si="21"/>
        <v>84.24358074074074</v>
      </c>
      <c r="E1369" s="226" t="s">
        <v>5222</v>
      </c>
      <c r="G1369" s="240">
        <v>78.58</v>
      </c>
    </row>
    <row r="1370" spans="1:7" ht="14.25" x14ac:dyDescent="0.2">
      <c r="A1370" s="237" t="s">
        <v>763</v>
      </c>
      <c r="B1370" s="238" t="s">
        <v>3202</v>
      </c>
      <c r="C1370" s="239" t="s">
        <v>55</v>
      </c>
      <c r="D1370" s="240">
        <f t="shared" si="21"/>
        <v>85.916016296296291</v>
      </c>
      <c r="E1370" s="226" t="s">
        <v>5222</v>
      </c>
      <c r="G1370" s="240">
        <v>80.14</v>
      </c>
    </row>
    <row r="1371" spans="1:7" ht="14.25" x14ac:dyDescent="0.2">
      <c r="A1371" s="237" t="s">
        <v>764</v>
      </c>
      <c r="B1371" s="238" t="s">
        <v>3203</v>
      </c>
      <c r="C1371" s="239" t="s">
        <v>55</v>
      </c>
      <c r="D1371" s="240">
        <f t="shared" si="21"/>
        <v>56.884250370370374</v>
      </c>
      <c r="E1371" s="226" t="s">
        <v>5222</v>
      </c>
      <c r="G1371" s="240">
        <v>53.06</v>
      </c>
    </row>
    <row r="1372" spans="1:7" ht="14.25" x14ac:dyDescent="0.2">
      <c r="A1372" s="237" t="s">
        <v>765</v>
      </c>
      <c r="B1372" s="238" t="s">
        <v>3854</v>
      </c>
      <c r="C1372" s="239" t="s">
        <v>55</v>
      </c>
      <c r="D1372" s="240">
        <f t="shared" si="21"/>
        <v>57.495332592592597</v>
      </c>
      <c r="E1372" s="226" t="s">
        <v>5222</v>
      </c>
      <c r="G1372" s="240">
        <v>53.63</v>
      </c>
    </row>
    <row r="1373" spans="1:7" ht="14.25" x14ac:dyDescent="0.2">
      <c r="A1373" s="237" t="s">
        <v>766</v>
      </c>
      <c r="B1373" s="238" t="s">
        <v>3556</v>
      </c>
      <c r="C1373" s="239" t="s">
        <v>27</v>
      </c>
      <c r="D1373" s="240">
        <f t="shared" si="21"/>
        <v>110.86318</v>
      </c>
      <c r="E1373" s="226" t="s">
        <v>5222</v>
      </c>
      <c r="G1373" s="240">
        <v>103.41</v>
      </c>
    </row>
    <row r="1374" spans="1:7" ht="14.25" x14ac:dyDescent="0.2">
      <c r="A1374" s="237" t="s">
        <v>767</v>
      </c>
      <c r="B1374" s="238" t="s">
        <v>3855</v>
      </c>
      <c r="C1374" s="239" t="s">
        <v>55</v>
      </c>
      <c r="D1374" s="240">
        <f t="shared" si="21"/>
        <v>38.766198518518515</v>
      </c>
      <c r="E1374" s="226" t="s">
        <v>5222</v>
      </c>
      <c r="G1374" s="240">
        <v>36.159999999999997</v>
      </c>
    </row>
    <row r="1375" spans="1:7" ht="14.25" x14ac:dyDescent="0.2">
      <c r="A1375" s="237" t="s">
        <v>768</v>
      </c>
      <c r="B1375" s="238" t="s">
        <v>3856</v>
      </c>
      <c r="C1375" s="239" t="s">
        <v>27</v>
      </c>
      <c r="D1375" s="240">
        <f t="shared" si="21"/>
        <v>259.39904296296294</v>
      </c>
      <c r="E1375" s="226" t="s">
        <v>5222</v>
      </c>
      <c r="G1375" s="240">
        <v>241.96</v>
      </c>
    </row>
    <row r="1376" spans="1:7" ht="14.25" x14ac:dyDescent="0.2">
      <c r="A1376" s="237" t="s">
        <v>769</v>
      </c>
      <c r="B1376" s="238" t="s">
        <v>3857</v>
      </c>
      <c r="C1376" s="239" t="s">
        <v>27</v>
      </c>
      <c r="D1376" s="240">
        <f t="shared" si="21"/>
        <v>105.66362074074073</v>
      </c>
      <c r="E1376" s="226" t="s">
        <v>5222</v>
      </c>
      <c r="G1376" s="240">
        <v>98.56</v>
      </c>
    </row>
    <row r="1377" spans="1:7" ht="14.25" x14ac:dyDescent="0.2">
      <c r="A1377" s="237" t="s">
        <v>770</v>
      </c>
      <c r="B1377" s="238" t="s">
        <v>3858</v>
      </c>
      <c r="C1377" s="239" t="s">
        <v>28</v>
      </c>
      <c r="D1377" s="240">
        <f t="shared" si="21"/>
        <v>57.870558518518514</v>
      </c>
      <c r="E1377" s="226" t="s">
        <v>5222</v>
      </c>
      <c r="G1377" s="240">
        <v>53.98</v>
      </c>
    </row>
    <row r="1378" spans="1:7" ht="14.25" x14ac:dyDescent="0.2">
      <c r="A1378" s="237" t="s">
        <v>771</v>
      </c>
      <c r="B1378" s="238" t="s">
        <v>3859</v>
      </c>
      <c r="C1378" s="239" t="s">
        <v>28</v>
      </c>
      <c r="D1378" s="240">
        <f t="shared" si="21"/>
        <v>63.316694814814817</v>
      </c>
      <c r="E1378" s="226" t="s">
        <v>5222</v>
      </c>
      <c r="G1378" s="240">
        <v>59.06</v>
      </c>
    </row>
    <row r="1379" spans="1:7" ht="14.25" x14ac:dyDescent="0.2">
      <c r="A1379" s="237" t="s">
        <v>772</v>
      </c>
      <c r="B1379" s="238" t="s">
        <v>3535</v>
      </c>
      <c r="C1379" s="239" t="s">
        <v>28</v>
      </c>
      <c r="D1379" s="240">
        <f t="shared" si="21"/>
        <v>89.775482962962954</v>
      </c>
      <c r="E1379" s="226" t="s">
        <v>5222</v>
      </c>
      <c r="G1379" s="240">
        <v>83.74</v>
      </c>
    </row>
    <row r="1380" spans="1:7" ht="14.25" x14ac:dyDescent="0.2">
      <c r="A1380" s="237" t="s">
        <v>773</v>
      </c>
      <c r="B1380" s="238" t="s">
        <v>3860</v>
      </c>
      <c r="C1380" s="239" t="s">
        <v>28</v>
      </c>
      <c r="D1380" s="240">
        <f t="shared" si="21"/>
        <v>60.003985925925925</v>
      </c>
      <c r="E1380" s="226" t="s">
        <v>5222</v>
      </c>
      <c r="G1380" s="240">
        <v>55.97</v>
      </c>
    </row>
    <row r="1381" spans="1:7" ht="14.25" x14ac:dyDescent="0.2">
      <c r="A1381" s="237" t="s">
        <v>774</v>
      </c>
      <c r="B1381" s="238" t="s">
        <v>3861</v>
      </c>
      <c r="C1381" s="239" t="s">
        <v>28</v>
      </c>
      <c r="D1381" s="240">
        <f t="shared" si="21"/>
        <v>62.909306666666659</v>
      </c>
      <c r="E1381" s="226" t="s">
        <v>5222</v>
      </c>
      <c r="G1381" s="240">
        <v>58.68</v>
      </c>
    </row>
    <row r="1382" spans="1:7" ht="14.25" x14ac:dyDescent="0.2">
      <c r="A1382" s="237" t="s">
        <v>2494</v>
      </c>
      <c r="B1382" s="238" t="s">
        <v>3862</v>
      </c>
      <c r="C1382" s="239" t="s">
        <v>38</v>
      </c>
      <c r="D1382" s="240">
        <f t="shared" si="21"/>
        <v>38.358810370370371</v>
      </c>
      <c r="E1382" s="226" t="s">
        <v>5222</v>
      </c>
      <c r="G1382" s="240">
        <v>35.78</v>
      </c>
    </row>
    <row r="1383" spans="1:7" ht="14.25" x14ac:dyDescent="0.2">
      <c r="A1383" s="237" t="s">
        <v>775</v>
      </c>
      <c r="B1383" s="238" t="s">
        <v>3523</v>
      </c>
      <c r="C1383" s="239" t="s">
        <v>38</v>
      </c>
      <c r="D1383" s="240">
        <f t="shared" si="21"/>
        <v>36.075292592592589</v>
      </c>
      <c r="E1383" s="226" t="s">
        <v>5222</v>
      </c>
      <c r="G1383" s="240">
        <v>33.65</v>
      </c>
    </row>
    <row r="1384" spans="1:7" ht="14.25" x14ac:dyDescent="0.2">
      <c r="A1384" s="237" t="s">
        <v>776</v>
      </c>
      <c r="B1384" s="238" t="s">
        <v>3863</v>
      </c>
      <c r="C1384" s="239" t="s">
        <v>38</v>
      </c>
      <c r="D1384" s="240">
        <f t="shared" si="21"/>
        <v>44.984228148148148</v>
      </c>
      <c r="E1384" s="226" t="s">
        <v>5222</v>
      </c>
      <c r="G1384" s="240">
        <v>41.96</v>
      </c>
    </row>
    <row r="1385" spans="1:7" ht="14.25" x14ac:dyDescent="0.2">
      <c r="A1385" s="237" t="s">
        <v>777</v>
      </c>
      <c r="B1385" s="238" t="s">
        <v>3864</v>
      </c>
      <c r="C1385" s="239" t="s">
        <v>38</v>
      </c>
      <c r="D1385" s="240">
        <f t="shared" si="21"/>
        <v>92.734407407407417</v>
      </c>
      <c r="E1385" s="226" t="s">
        <v>5222</v>
      </c>
      <c r="G1385" s="240">
        <v>86.5</v>
      </c>
    </row>
    <row r="1386" spans="1:7" ht="14.25" x14ac:dyDescent="0.2">
      <c r="A1386" s="237" t="s">
        <v>778</v>
      </c>
      <c r="B1386" s="238" t="s">
        <v>3865</v>
      </c>
      <c r="C1386" s="239" t="s">
        <v>38</v>
      </c>
      <c r="D1386" s="240">
        <f t="shared" si="21"/>
        <v>107.81848962962962</v>
      </c>
      <c r="E1386" s="226" t="s">
        <v>5222</v>
      </c>
      <c r="G1386" s="240">
        <v>100.57</v>
      </c>
    </row>
    <row r="1387" spans="1:7" ht="14.25" x14ac:dyDescent="0.2">
      <c r="A1387" s="237" t="s">
        <v>3866</v>
      </c>
      <c r="B1387" s="238" t="s">
        <v>3867</v>
      </c>
      <c r="C1387" s="239" t="s">
        <v>38</v>
      </c>
      <c r="D1387" s="240">
        <f t="shared" si="21"/>
        <v>174.30852370370368</v>
      </c>
      <c r="E1387" s="226" t="s">
        <v>5222</v>
      </c>
      <c r="G1387" s="240">
        <v>162.59</v>
      </c>
    </row>
    <row r="1388" spans="1:7" ht="14.25" x14ac:dyDescent="0.2">
      <c r="A1388" s="237" t="s">
        <v>779</v>
      </c>
      <c r="B1388" s="238" t="s">
        <v>3868</v>
      </c>
      <c r="C1388" s="239" t="s">
        <v>38</v>
      </c>
      <c r="D1388" s="240">
        <f t="shared" si="21"/>
        <v>46.238554814814819</v>
      </c>
      <c r="E1388" s="226" t="s">
        <v>5222</v>
      </c>
      <c r="G1388" s="240">
        <v>43.13</v>
      </c>
    </row>
    <row r="1389" spans="1:7" ht="14.25" x14ac:dyDescent="0.2">
      <c r="A1389" s="237" t="s">
        <v>3869</v>
      </c>
      <c r="B1389" s="238" t="s">
        <v>3870</v>
      </c>
      <c r="C1389" s="239" t="s">
        <v>38</v>
      </c>
      <c r="D1389" s="240">
        <f t="shared" si="21"/>
        <v>74.927257037037037</v>
      </c>
      <c r="E1389" s="226" t="s">
        <v>5222</v>
      </c>
      <c r="G1389" s="240">
        <v>69.89</v>
      </c>
    </row>
    <row r="1390" spans="1:7" ht="14.25" x14ac:dyDescent="0.2">
      <c r="A1390" s="237" t="s">
        <v>780</v>
      </c>
      <c r="B1390" s="238" t="s">
        <v>3508</v>
      </c>
      <c r="C1390" s="239" t="s">
        <v>38</v>
      </c>
      <c r="D1390" s="240">
        <f t="shared" si="21"/>
        <v>98.427120740740733</v>
      </c>
      <c r="E1390" s="226" t="s">
        <v>5222</v>
      </c>
      <c r="G1390" s="240">
        <v>91.81</v>
      </c>
    </row>
    <row r="1391" spans="1:7" ht="14.25" x14ac:dyDescent="0.2">
      <c r="A1391" s="237" t="s">
        <v>781</v>
      </c>
      <c r="B1391" s="238" t="s">
        <v>3871</v>
      </c>
      <c r="C1391" s="239" t="s">
        <v>38</v>
      </c>
      <c r="D1391" s="240">
        <f t="shared" si="21"/>
        <v>87.427640740740742</v>
      </c>
      <c r="E1391" s="226" t="s">
        <v>5222</v>
      </c>
      <c r="G1391" s="240">
        <v>81.55</v>
      </c>
    </row>
    <row r="1392" spans="1:7" ht="14.25" x14ac:dyDescent="0.2">
      <c r="A1392" s="237" t="s">
        <v>782</v>
      </c>
      <c r="B1392" s="238" t="s">
        <v>3872</v>
      </c>
      <c r="C1392" s="239" t="s">
        <v>38</v>
      </c>
      <c r="D1392" s="240">
        <f t="shared" si="21"/>
        <v>123.04194148148149</v>
      </c>
      <c r="E1392" s="226" t="s">
        <v>5222</v>
      </c>
      <c r="G1392" s="240">
        <v>114.77</v>
      </c>
    </row>
    <row r="1393" spans="1:7" ht="14.25" x14ac:dyDescent="0.2">
      <c r="A1393" s="237" t="s">
        <v>783</v>
      </c>
      <c r="B1393" s="238" t="s">
        <v>3873</v>
      </c>
      <c r="C1393" s="239" t="s">
        <v>38</v>
      </c>
      <c r="D1393" s="240">
        <f t="shared" si="21"/>
        <v>1151.5147629629628</v>
      </c>
      <c r="E1393" s="226" t="s">
        <v>5222</v>
      </c>
      <c r="G1393" s="240">
        <v>1074.0999999999999</v>
      </c>
    </row>
    <row r="1394" spans="1:7" ht="14.25" x14ac:dyDescent="0.2">
      <c r="A1394" s="237" t="s">
        <v>784</v>
      </c>
      <c r="B1394" s="238" t="s">
        <v>3874</v>
      </c>
      <c r="C1394" s="239" t="s">
        <v>38</v>
      </c>
      <c r="D1394" s="240">
        <f t="shared" si="21"/>
        <v>1767.9359140740739</v>
      </c>
      <c r="E1394" s="226" t="s">
        <v>5222</v>
      </c>
      <c r="G1394" s="240">
        <v>1649.08</v>
      </c>
    </row>
    <row r="1395" spans="1:7" ht="14.25" x14ac:dyDescent="0.2">
      <c r="A1395" s="237" t="s">
        <v>785</v>
      </c>
      <c r="B1395" s="238" t="s">
        <v>3875</v>
      </c>
      <c r="C1395" s="239" t="s">
        <v>38</v>
      </c>
      <c r="D1395" s="240">
        <f t="shared" si="21"/>
        <v>1490.8905318518521</v>
      </c>
      <c r="E1395" s="226" t="s">
        <v>5222</v>
      </c>
      <c r="G1395" s="240">
        <v>1390.66</v>
      </c>
    </row>
    <row r="1396" spans="1:7" ht="14.25" x14ac:dyDescent="0.2">
      <c r="A1396" s="237" t="s">
        <v>786</v>
      </c>
      <c r="B1396" s="238" t="s">
        <v>3876</v>
      </c>
      <c r="C1396" s="239" t="s">
        <v>28</v>
      </c>
      <c r="D1396" s="240">
        <f t="shared" si="21"/>
        <v>831.60785925925927</v>
      </c>
      <c r="E1396" s="226" t="s">
        <v>5222</v>
      </c>
      <c r="G1396" s="240">
        <v>775.7</v>
      </c>
    </row>
    <row r="1397" spans="1:7" ht="14.25" x14ac:dyDescent="0.2">
      <c r="A1397" s="237" t="s">
        <v>787</v>
      </c>
      <c r="B1397" s="238" t="s">
        <v>3877</v>
      </c>
      <c r="C1397" s="239" t="s">
        <v>28</v>
      </c>
      <c r="D1397" s="240">
        <f t="shared" si="21"/>
        <v>601.7551777777777</v>
      </c>
      <c r="E1397" s="226" t="s">
        <v>5222</v>
      </c>
      <c r="G1397" s="240">
        <v>561.29999999999995</v>
      </c>
    </row>
    <row r="1398" spans="1:7" ht="14.25" x14ac:dyDescent="0.2">
      <c r="A1398" s="237" t="s">
        <v>788</v>
      </c>
      <c r="B1398" s="238" t="s">
        <v>3878</v>
      </c>
      <c r="C1398" s="239" t="s">
        <v>28</v>
      </c>
      <c r="D1398" s="240">
        <f t="shared" si="21"/>
        <v>601.7551777777777</v>
      </c>
      <c r="E1398" s="226" t="s">
        <v>5222</v>
      </c>
      <c r="G1398" s="240">
        <v>561.29999999999995</v>
      </c>
    </row>
    <row r="1399" spans="1:7" ht="14.25" x14ac:dyDescent="0.2">
      <c r="A1399" s="237" t="s">
        <v>789</v>
      </c>
      <c r="B1399" s="238" t="s">
        <v>3879</v>
      </c>
      <c r="C1399" s="239" t="s">
        <v>28</v>
      </c>
      <c r="D1399" s="240">
        <f t="shared" si="21"/>
        <v>2216.3308955555553</v>
      </c>
      <c r="E1399" s="226" t="s">
        <v>5222</v>
      </c>
      <c r="G1399" s="240">
        <v>2067.33</v>
      </c>
    </row>
    <row r="1400" spans="1:7" ht="14.25" x14ac:dyDescent="0.2">
      <c r="A1400" s="237" t="s">
        <v>790</v>
      </c>
      <c r="B1400" s="238" t="s">
        <v>3880</v>
      </c>
      <c r="C1400" s="239" t="s">
        <v>27</v>
      </c>
      <c r="D1400" s="240">
        <f t="shared" si="21"/>
        <v>400.09804444444438</v>
      </c>
      <c r="E1400" s="226" t="s">
        <v>5222</v>
      </c>
      <c r="G1400" s="240">
        <v>373.2</v>
      </c>
    </row>
    <row r="1401" spans="1:7" ht="14.25" x14ac:dyDescent="0.2">
      <c r="A1401" s="237" t="s">
        <v>791</v>
      </c>
      <c r="B1401" s="238" t="s">
        <v>3881</v>
      </c>
      <c r="C1401" s="239" t="s">
        <v>28</v>
      </c>
      <c r="D1401" s="240">
        <f t="shared" si="21"/>
        <v>189.22107407407407</v>
      </c>
      <c r="E1401" s="226" t="s">
        <v>5222</v>
      </c>
      <c r="G1401" s="240">
        <v>176.5</v>
      </c>
    </row>
    <row r="1402" spans="1:7" ht="14.25" x14ac:dyDescent="0.2">
      <c r="A1402" s="237" t="s">
        <v>792</v>
      </c>
      <c r="B1402" s="238" t="s">
        <v>3577</v>
      </c>
      <c r="C1402" s="239" t="s">
        <v>38</v>
      </c>
      <c r="D1402" s="240">
        <f t="shared" si="21"/>
        <v>13.325880740740741</v>
      </c>
      <c r="E1402" s="226" t="s">
        <v>5222</v>
      </c>
      <c r="G1402" s="240">
        <v>12.43</v>
      </c>
    </row>
    <row r="1403" spans="1:7" ht="14.25" x14ac:dyDescent="0.2">
      <c r="A1403" s="237" t="s">
        <v>793</v>
      </c>
      <c r="B1403" s="238" t="s">
        <v>3882</v>
      </c>
      <c r="C1403" s="239" t="s">
        <v>38</v>
      </c>
      <c r="D1403" s="240">
        <f t="shared" si="21"/>
        <v>15.770209629629628</v>
      </c>
      <c r="E1403" s="226" t="s">
        <v>5222</v>
      </c>
      <c r="G1403" s="240">
        <v>14.71</v>
      </c>
    </row>
    <row r="1404" spans="1:7" ht="14.25" x14ac:dyDescent="0.2">
      <c r="A1404" s="237" t="s">
        <v>794</v>
      </c>
      <c r="B1404" s="238" t="s">
        <v>3586</v>
      </c>
      <c r="C1404" s="239" t="s">
        <v>37</v>
      </c>
      <c r="D1404" s="240">
        <f t="shared" si="21"/>
        <v>5567.934631851851</v>
      </c>
      <c r="E1404" s="226" t="s">
        <v>5222</v>
      </c>
      <c r="G1404" s="240">
        <v>5193.6099999999997</v>
      </c>
    </row>
    <row r="1405" spans="1:7" ht="14.25" x14ac:dyDescent="0.2">
      <c r="A1405" s="237" t="s">
        <v>795</v>
      </c>
      <c r="B1405" s="238" t="s">
        <v>3883</v>
      </c>
      <c r="C1405" s="239" t="s">
        <v>37</v>
      </c>
      <c r="D1405" s="240">
        <f t="shared" si="21"/>
        <v>2290.121754074074</v>
      </c>
      <c r="E1405" s="226" t="s">
        <v>5222</v>
      </c>
      <c r="G1405" s="240">
        <v>2136.16</v>
      </c>
    </row>
    <row r="1406" spans="1:7" ht="14.25" x14ac:dyDescent="0.2">
      <c r="A1406" s="237" t="s">
        <v>796</v>
      </c>
      <c r="B1406" s="238" t="s">
        <v>3884</v>
      </c>
      <c r="C1406" s="239" t="s">
        <v>37</v>
      </c>
      <c r="D1406" s="240">
        <f t="shared" si="21"/>
        <v>9921.5309600000001</v>
      </c>
      <c r="E1406" s="226" t="s">
        <v>5222</v>
      </c>
      <c r="G1406" s="240">
        <v>9254.52</v>
      </c>
    </row>
    <row r="1407" spans="1:7" ht="14.25" x14ac:dyDescent="0.2">
      <c r="A1407" s="237" t="s">
        <v>797</v>
      </c>
      <c r="B1407" s="238" t="s">
        <v>3885</v>
      </c>
      <c r="C1407" s="239" t="s">
        <v>38</v>
      </c>
      <c r="D1407" s="240">
        <f t="shared" si="21"/>
        <v>0.71828962962962961</v>
      </c>
      <c r="E1407" s="226" t="s">
        <v>5222</v>
      </c>
      <c r="G1407" s="240">
        <v>0.67</v>
      </c>
    </row>
    <row r="1408" spans="1:7" ht="14.25" x14ac:dyDescent="0.2">
      <c r="A1408" s="237" t="s">
        <v>798</v>
      </c>
      <c r="B1408" s="238" t="s">
        <v>3886</v>
      </c>
      <c r="C1408" s="239" t="s">
        <v>37</v>
      </c>
      <c r="D1408" s="240">
        <f t="shared" si="21"/>
        <v>10931.596269629628</v>
      </c>
      <c r="E1408" s="226" t="s">
        <v>5222</v>
      </c>
      <c r="G1408" s="240">
        <v>10196.68</v>
      </c>
    </row>
    <row r="1409" spans="1:7" ht="14.25" x14ac:dyDescent="0.2">
      <c r="A1409" s="237" t="s">
        <v>799</v>
      </c>
      <c r="B1409" s="238" t="s">
        <v>3887</v>
      </c>
      <c r="C1409" s="239" t="s">
        <v>37</v>
      </c>
      <c r="D1409" s="240">
        <f t="shared" si="21"/>
        <v>2527.7362518518516</v>
      </c>
      <c r="E1409" s="226" t="s">
        <v>5222</v>
      </c>
      <c r="G1409" s="240">
        <v>2357.8000000000002</v>
      </c>
    </row>
    <row r="1410" spans="1:7" ht="14.25" x14ac:dyDescent="0.2">
      <c r="A1410" s="237" t="s">
        <v>800</v>
      </c>
      <c r="B1410" s="238" t="s">
        <v>3888</v>
      </c>
      <c r="C1410" s="239" t="s">
        <v>214</v>
      </c>
      <c r="D1410" s="240">
        <f t="shared" si="21"/>
        <v>486.56081851851849</v>
      </c>
      <c r="E1410" s="226" t="s">
        <v>5222</v>
      </c>
      <c r="G1410" s="240">
        <v>453.85</v>
      </c>
    </row>
    <row r="1411" spans="1:7" ht="14.25" x14ac:dyDescent="0.2">
      <c r="A1411" s="237" t="s">
        <v>2630</v>
      </c>
      <c r="B1411" s="238" t="s">
        <v>3101</v>
      </c>
      <c r="C1411" s="239" t="s">
        <v>50</v>
      </c>
      <c r="D1411" s="240">
        <f t="shared" si="21"/>
        <v>733.26650444444442</v>
      </c>
      <c r="E1411" s="226" t="s">
        <v>5222</v>
      </c>
      <c r="G1411" s="240">
        <v>683.97</v>
      </c>
    </row>
    <row r="1412" spans="1:7" ht="14.25" x14ac:dyDescent="0.2">
      <c r="A1412" s="237" t="s">
        <v>2631</v>
      </c>
      <c r="B1412" s="238" t="s">
        <v>2508</v>
      </c>
      <c r="C1412" s="239" t="s">
        <v>50</v>
      </c>
      <c r="D1412" s="240">
        <f t="shared" si="21"/>
        <v>849.71519037037035</v>
      </c>
      <c r="E1412" s="226" t="s">
        <v>5222</v>
      </c>
      <c r="G1412" s="240">
        <v>792.59</v>
      </c>
    </row>
    <row r="1413" spans="1:7" ht="14.25" x14ac:dyDescent="0.2">
      <c r="A1413" s="237" t="s">
        <v>2632</v>
      </c>
      <c r="B1413" s="238" t="s">
        <v>2510</v>
      </c>
      <c r="C1413" s="239" t="s">
        <v>50</v>
      </c>
      <c r="D1413" s="240">
        <f t="shared" si="21"/>
        <v>1110.4436051851851</v>
      </c>
      <c r="E1413" s="226" t="s">
        <v>5222</v>
      </c>
      <c r="G1413" s="240">
        <v>1035.79</v>
      </c>
    </row>
    <row r="1414" spans="1:7" ht="14.25" x14ac:dyDescent="0.2">
      <c r="A1414" s="237" t="s">
        <v>2633</v>
      </c>
      <c r="B1414" s="238" t="s">
        <v>3102</v>
      </c>
      <c r="C1414" s="239" t="s">
        <v>50</v>
      </c>
      <c r="D1414" s="240">
        <f t="shared" si="21"/>
        <v>611.98276444444446</v>
      </c>
      <c r="E1414" s="226" t="s">
        <v>5222</v>
      </c>
      <c r="G1414" s="240">
        <v>570.84</v>
      </c>
    </row>
    <row r="1415" spans="1:7" ht="14.25" x14ac:dyDescent="0.2">
      <c r="A1415" s="237" t="s">
        <v>2634</v>
      </c>
      <c r="B1415" s="238" t="s">
        <v>2512</v>
      </c>
      <c r="C1415" s="239" t="s">
        <v>50</v>
      </c>
      <c r="D1415" s="240">
        <f t="shared" si="21"/>
        <v>678.7515377777778</v>
      </c>
      <c r="E1415" s="226" t="s">
        <v>5222</v>
      </c>
      <c r="G1415" s="240">
        <v>633.12</v>
      </c>
    </row>
    <row r="1416" spans="1:7" ht="14.25" x14ac:dyDescent="0.2">
      <c r="A1416" s="237" t="s">
        <v>2635</v>
      </c>
      <c r="B1416" s="238" t="s">
        <v>2514</v>
      </c>
      <c r="C1416" s="239" t="s">
        <v>50</v>
      </c>
      <c r="D1416" s="240">
        <f t="shared" ref="D1416:D1479" si="22">(G1416/(1+0.35))*(1+$D$3)</f>
        <v>863.255485925926</v>
      </c>
      <c r="E1416" s="226" t="s">
        <v>5222</v>
      </c>
      <c r="G1416" s="240">
        <v>805.22</v>
      </c>
    </row>
    <row r="1417" spans="1:7" ht="14.25" x14ac:dyDescent="0.2">
      <c r="A1417" s="237" t="s">
        <v>2636</v>
      </c>
      <c r="B1417" s="238" t="s">
        <v>2517</v>
      </c>
      <c r="C1417" s="239" t="s">
        <v>38</v>
      </c>
      <c r="D1417" s="240">
        <f t="shared" si="22"/>
        <v>506.75869407407407</v>
      </c>
      <c r="E1417" s="226" t="s">
        <v>5222</v>
      </c>
      <c r="G1417" s="240">
        <v>472.69</v>
      </c>
    </row>
    <row r="1418" spans="1:7" ht="14.25" x14ac:dyDescent="0.2">
      <c r="A1418" s="237" t="s">
        <v>2637</v>
      </c>
      <c r="B1418" s="238" t="s">
        <v>2519</v>
      </c>
      <c r="C1418" s="239" t="s">
        <v>38</v>
      </c>
      <c r="D1418" s="240">
        <f t="shared" si="22"/>
        <v>435.12270444444448</v>
      </c>
      <c r="E1418" s="226" t="s">
        <v>5222</v>
      </c>
      <c r="G1418" s="240">
        <v>405.87</v>
      </c>
    </row>
    <row r="1419" spans="1:7" ht="14.25" x14ac:dyDescent="0.2">
      <c r="A1419" s="237" t="s">
        <v>2638</v>
      </c>
      <c r="B1419" s="238" t="s">
        <v>2521</v>
      </c>
      <c r="C1419" s="239" t="s">
        <v>38</v>
      </c>
      <c r="D1419" s="240">
        <f t="shared" si="22"/>
        <v>527.89999481481482</v>
      </c>
      <c r="E1419" s="226" t="s">
        <v>5222</v>
      </c>
      <c r="G1419" s="240">
        <v>492.41</v>
      </c>
    </row>
    <row r="1420" spans="1:7" ht="14.25" x14ac:dyDescent="0.2">
      <c r="A1420" s="237" t="s">
        <v>2639</v>
      </c>
      <c r="B1420" s="238" t="s">
        <v>2523</v>
      </c>
      <c r="C1420" s="239" t="s">
        <v>38</v>
      </c>
      <c r="D1420" s="240">
        <f t="shared" si="22"/>
        <v>447.38723185185182</v>
      </c>
      <c r="E1420" s="226" t="s">
        <v>5222</v>
      </c>
      <c r="G1420" s="240">
        <v>417.31</v>
      </c>
    </row>
    <row r="1421" spans="1:7" ht="14.25" x14ac:dyDescent="0.2">
      <c r="A1421" s="237" t="s">
        <v>2640</v>
      </c>
      <c r="B1421" s="238" t="s">
        <v>2525</v>
      </c>
      <c r="C1421" s="239" t="s">
        <v>38</v>
      </c>
      <c r="D1421" s="240">
        <f t="shared" si="22"/>
        <v>549.05201629629619</v>
      </c>
      <c r="E1421" s="226" t="s">
        <v>5222</v>
      </c>
      <c r="G1421" s="240">
        <v>512.14</v>
      </c>
    </row>
    <row r="1422" spans="1:7" ht="14.25" x14ac:dyDescent="0.2">
      <c r="A1422" s="237" t="s">
        <v>2641</v>
      </c>
      <c r="B1422" s="238" t="s">
        <v>2527</v>
      </c>
      <c r="C1422" s="239" t="s">
        <v>38</v>
      </c>
      <c r="D1422" s="240">
        <f t="shared" si="22"/>
        <v>463.46834296296294</v>
      </c>
      <c r="E1422" s="226" t="s">
        <v>5222</v>
      </c>
      <c r="G1422" s="240">
        <v>432.31</v>
      </c>
    </row>
    <row r="1423" spans="1:7" ht="14.25" x14ac:dyDescent="0.2">
      <c r="A1423" s="237" t="s">
        <v>2642</v>
      </c>
      <c r="B1423" s="238" t="s">
        <v>3103</v>
      </c>
      <c r="C1423" s="239" t="s">
        <v>50</v>
      </c>
      <c r="D1423" s="240">
        <f t="shared" si="22"/>
        <v>903.4261014814814</v>
      </c>
      <c r="E1423" s="226" t="s">
        <v>5222</v>
      </c>
      <c r="G1423" s="240">
        <v>842.69</v>
      </c>
    </row>
    <row r="1424" spans="1:7" ht="14.25" x14ac:dyDescent="0.2">
      <c r="A1424" s="237" t="s">
        <v>2643</v>
      </c>
      <c r="B1424" s="238" t="s">
        <v>3104</v>
      </c>
      <c r="C1424" s="239" t="s">
        <v>50</v>
      </c>
      <c r="D1424" s="240">
        <f t="shared" si="22"/>
        <v>707.55816814814807</v>
      </c>
      <c r="E1424" s="226" t="s">
        <v>5222</v>
      </c>
      <c r="G1424" s="240">
        <v>659.99</v>
      </c>
    </row>
    <row r="1425" spans="1:7" ht="14.25" x14ac:dyDescent="0.2">
      <c r="A1425" s="237" t="s">
        <v>801</v>
      </c>
      <c r="B1425" s="238" t="s">
        <v>3569</v>
      </c>
      <c r="C1425" s="239" t="s">
        <v>38</v>
      </c>
      <c r="D1425" s="240">
        <f t="shared" si="22"/>
        <v>319.82113777777778</v>
      </c>
      <c r="E1425" s="226" t="s">
        <v>5222</v>
      </c>
      <c r="G1425" s="240">
        <v>298.32</v>
      </c>
    </row>
    <row r="1426" spans="1:7" ht="14.25" x14ac:dyDescent="0.2">
      <c r="A1426" s="237" t="s">
        <v>802</v>
      </c>
      <c r="B1426" s="238" t="s">
        <v>3570</v>
      </c>
      <c r="C1426" s="239" t="s">
        <v>84</v>
      </c>
      <c r="D1426" s="240">
        <f t="shared" si="22"/>
        <v>63.230928888888883</v>
      </c>
      <c r="E1426" s="226" t="s">
        <v>5222</v>
      </c>
      <c r="G1426" s="240">
        <v>58.98</v>
      </c>
    </row>
    <row r="1427" spans="1:7" ht="14.25" x14ac:dyDescent="0.2">
      <c r="A1427" s="237" t="s">
        <v>5198</v>
      </c>
      <c r="B1427" s="238" t="s">
        <v>5199</v>
      </c>
      <c r="C1427" s="239" t="s">
        <v>28</v>
      </c>
      <c r="D1427" s="240">
        <f t="shared" si="22"/>
        <v>34.16700074074074</v>
      </c>
      <c r="E1427" s="226" t="s">
        <v>5222</v>
      </c>
      <c r="G1427" s="240">
        <v>31.87</v>
      </c>
    </row>
    <row r="1428" spans="1:7" ht="14.25" x14ac:dyDescent="0.2">
      <c r="A1428" s="237" t="s">
        <v>5200</v>
      </c>
      <c r="B1428" s="238" t="s">
        <v>5201</v>
      </c>
      <c r="C1428" s="239" t="s">
        <v>28</v>
      </c>
      <c r="D1428" s="240">
        <f t="shared" si="22"/>
        <v>34.928173333333326</v>
      </c>
      <c r="E1428" s="226" t="s">
        <v>5222</v>
      </c>
      <c r="G1428" s="240">
        <v>32.58</v>
      </c>
    </row>
    <row r="1429" spans="1:7" ht="14.25" x14ac:dyDescent="0.2">
      <c r="A1429" s="237" t="s">
        <v>803</v>
      </c>
      <c r="B1429" s="238" t="s">
        <v>3889</v>
      </c>
      <c r="C1429" s="239" t="s">
        <v>13</v>
      </c>
      <c r="D1429" s="240">
        <f t="shared" si="22"/>
        <v>51.609645925925925</v>
      </c>
      <c r="E1429" s="226" t="s">
        <v>5222</v>
      </c>
      <c r="G1429" s="240">
        <v>48.14</v>
      </c>
    </row>
    <row r="1430" spans="1:7" ht="14.25" x14ac:dyDescent="0.2">
      <c r="A1430" s="237" t="s">
        <v>804</v>
      </c>
      <c r="B1430" s="238" t="s">
        <v>3890</v>
      </c>
      <c r="C1430" s="239" t="s">
        <v>13</v>
      </c>
      <c r="D1430" s="240">
        <f t="shared" si="22"/>
        <v>8.0083933333333341</v>
      </c>
      <c r="E1430" s="226" t="s">
        <v>5222</v>
      </c>
      <c r="G1430" s="240">
        <v>7.47</v>
      </c>
    </row>
    <row r="1431" spans="1:7" ht="14.25" x14ac:dyDescent="0.2">
      <c r="A1431" s="237" t="s">
        <v>805</v>
      </c>
      <c r="B1431" s="238" t="s">
        <v>3891</v>
      </c>
      <c r="C1431" s="239" t="s">
        <v>13</v>
      </c>
      <c r="D1431" s="240">
        <f t="shared" si="22"/>
        <v>58.224342962962965</v>
      </c>
      <c r="E1431" s="226" t="s">
        <v>5222</v>
      </c>
      <c r="G1431" s="240">
        <v>54.31</v>
      </c>
    </row>
    <row r="1432" spans="1:7" ht="14.25" x14ac:dyDescent="0.2">
      <c r="A1432" s="237" t="s">
        <v>806</v>
      </c>
      <c r="B1432" s="238" t="s">
        <v>3892</v>
      </c>
      <c r="C1432" s="239" t="s">
        <v>13</v>
      </c>
      <c r="D1432" s="240">
        <f t="shared" si="22"/>
        <v>105.39560222222222</v>
      </c>
      <c r="E1432" s="226" t="s">
        <v>5222</v>
      </c>
      <c r="G1432" s="240">
        <v>98.31</v>
      </c>
    </row>
    <row r="1433" spans="1:7" ht="14.25" x14ac:dyDescent="0.2">
      <c r="A1433" s="237" t="s">
        <v>807</v>
      </c>
      <c r="B1433" s="238" t="s">
        <v>3893</v>
      </c>
      <c r="C1433" s="239" t="s">
        <v>13</v>
      </c>
      <c r="D1433" s="240">
        <f t="shared" si="22"/>
        <v>48.886577777777781</v>
      </c>
      <c r="E1433" s="226" t="s">
        <v>5222</v>
      </c>
      <c r="G1433" s="240">
        <v>45.6</v>
      </c>
    </row>
    <row r="1434" spans="1:7" ht="14.25" x14ac:dyDescent="0.2">
      <c r="A1434" s="237" t="s">
        <v>808</v>
      </c>
      <c r="B1434" s="238" t="s">
        <v>3894</v>
      </c>
      <c r="C1434" s="239" t="s">
        <v>13</v>
      </c>
      <c r="D1434" s="240">
        <f t="shared" si="22"/>
        <v>3.3877540740740737</v>
      </c>
      <c r="E1434" s="226" t="s">
        <v>5222</v>
      </c>
      <c r="G1434" s="240">
        <v>3.16</v>
      </c>
    </row>
    <row r="1435" spans="1:7" ht="14.25" x14ac:dyDescent="0.2">
      <c r="A1435" s="237" t="s">
        <v>809</v>
      </c>
      <c r="B1435" s="238" t="s">
        <v>3895</v>
      </c>
      <c r="C1435" s="239" t="s">
        <v>13</v>
      </c>
      <c r="D1435" s="240">
        <f t="shared" si="22"/>
        <v>10.913714074074074</v>
      </c>
      <c r="E1435" s="226" t="s">
        <v>5222</v>
      </c>
      <c r="G1435" s="240">
        <v>10.18</v>
      </c>
    </row>
    <row r="1436" spans="1:7" ht="14.25" x14ac:dyDescent="0.2">
      <c r="A1436" s="237" t="s">
        <v>810</v>
      </c>
      <c r="B1436" s="238" t="s">
        <v>3896</v>
      </c>
      <c r="C1436" s="239" t="s">
        <v>13</v>
      </c>
      <c r="D1436" s="240">
        <f t="shared" si="22"/>
        <v>58.08497333333333</v>
      </c>
      <c r="E1436" s="226" t="s">
        <v>5222</v>
      </c>
      <c r="G1436" s="240">
        <v>54.18</v>
      </c>
    </row>
    <row r="1437" spans="1:7" ht="14.25" x14ac:dyDescent="0.2">
      <c r="A1437" s="237" t="s">
        <v>811</v>
      </c>
      <c r="B1437" s="238" t="s">
        <v>3897</v>
      </c>
      <c r="C1437" s="239" t="s">
        <v>13</v>
      </c>
      <c r="D1437" s="240">
        <f t="shared" si="22"/>
        <v>51.309465185185182</v>
      </c>
      <c r="E1437" s="226" t="s">
        <v>5222</v>
      </c>
      <c r="G1437" s="240">
        <v>47.86</v>
      </c>
    </row>
    <row r="1438" spans="1:7" ht="14.25" x14ac:dyDescent="0.2">
      <c r="A1438" s="237" t="s">
        <v>812</v>
      </c>
      <c r="B1438" s="238" t="s">
        <v>3898</v>
      </c>
      <c r="C1438" s="239" t="s">
        <v>13</v>
      </c>
      <c r="D1438" s="240">
        <f t="shared" si="22"/>
        <v>18.203817777777779</v>
      </c>
      <c r="E1438" s="226" t="s">
        <v>5222</v>
      </c>
      <c r="G1438" s="240">
        <v>16.98</v>
      </c>
    </row>
    <row r="1439" spans="1:7" ht="14.25" x14ac:dyDescent="0.2">
      <c r="A1439" s="237" t="s">
        <v>813</v>
      </c>
      <c r="B1439" s="238" t="s">
        <v>3899</v>
      </c>
      <c r="C1439" s="239" t="s">
        <v>13</v>
      </c>
      <c r="D1439" s="240">
        <f t="shared" si="22"/>
        <v>101.35388296296296</v>
      </c>
      <c r="E1439" s="226" t="s">
        <v>5222</v>
      </c>
      <c r="G1439" s="240">
        <v>94.54</v>
      </c>
    </row>
    <row r="1440" spans="1:7" ht="14.25" x14ac:dyDescent="0.2">
      <c r="A1440" s="237" t="s">
        <v>814</v>
      </c>
      <c r="B1440" s="238" t="s">
        <v>3900</v>
      </c>
      <c r="C1440" s="239" t="s">
        <v>13</v>
      </c>
      <c r="D1440" s="240">
        <f t="shared" si="22"/>
        <v>142.78954592592592</v>
      </c>
      <c r="E1440" s="226" t="s">
        <v>5222</v>
      </c>
      <c r="G1440" s="240">
        <v>133.19</v>
      </c>
    </row>
    <row r="1441" spans="1:7" ht="14.25" x14ac:dyDescent="0.2">
      <c r="A1441" s="237" t="s">
        <v>815</v>
      </c>
      <c r="B1441" s="238" t="s">
        <v>3901</v>
      </c>
      <c r="C1441" s="239" t="s">
        <v>33</v>
      </c>
      <c r="D1441" s="240">
        <f t="shared" si="22"/>
        <v>1.5545074074074072</v>
      </c>
      <c r="E1441" s="226" t="s">
        <v>5222</v>
      </c>
      <c r="G1441" s="240">
        <v>1.45</v>
      </c>
    </row>
    <row r="1442" spans="1:7" ht="14.25" x14ac:dyDescent="0.2">
      <c r="A1442" s="237" t="s">
        <v>816</v>
      </c>
      <c r="B1442" s="238" t="s">
        <v>3902</v>
      </c>
      <c r="C1442" s="239" t="s">
        <v>217</v>
      </c>
      <c r="D1442" s="240">
        <f t="shared" si="22"/>
        <v>7116.9315785185181</v>
      </c>
      <c r="E1442" s="226" t="s">
        <v>5222</v>
      </c>
      <c r="G1442" s="240">
        <v>6638.47</v>
      </c>
    </row>
    <row r="1443" spans="1:7" ht="14.25" x14ac:dyDescent="0.2">
      <c r="A1443" s="237" t="s">
        <v>817</v>
      </c>
      <c r="B1443" s="238" t="s">
        <v>3903</v>
      </c>
      <c r="C1443" s="239" t="s">
        <v>13</v>
      </c>
      <c r="D1443" s="240">
        <f t="shared" si="22"/>
        <v>47.943152592592583</v>
      </c>
      <c r="E1443" s="226" t="s">
        <v>5222</v>
      </c>
      <c r="G1443" s="240">
        <v>44.72</v>
      </c>
    </row>
    <row r="1444" spans="1:7" ht="14.25" x14ac:dyDescent="0.2">
      <c r="A1444" s="237" t="s">
        <v>818</v>
      </c>
      <c r="B1444" s="238" t="s">
        <v>3904</v>
      </c>
      <c r="C1444" s="239" t="s">
        <v>13</v>
      </c>
      <c r="D1444" s="240">
        <f t="shared" si="22"/>
        <v>11.996508888888888</v>
      </c>
      <c r="E1444" s="226" t="s">
        <v>5222</v>
      </c>
      <c r="G1444" s="240">
        <v>11.19</v>
      </c>
    </row>
    <row r="1445" spans="1:7" ht="14.25" x14ac:dyDescent="0.2">
      <c r="A1445" s="237" t="s">
        <v>819</v>
      </c>
      <c r="B1445" s="238" t="s">
        <v>3905</v>
      </c>
      <c r="C1445" s="239" t="s">
        <v>13</v>
      </c>
      <c r="D1445" s="240">
        <f t="shared" si="22"/>
        <v>82.431775555555561</v>
      </c>
      <c r="E1445" s="226" t="s">
        <v>5222</v>
      </c>
      <c r="G1445" s="240">
        <v>76.89</v>
      </c>
    </row>
    <row r="1446" spans="1:7" ht="14.25" x14ac:dyDescent="0.2">
      <c r="A1446" s="237" t="s">
        <v>820</v>
      </c>
      <c r="B1446" s="238" t="s">
        <v>3906</v>
      </c>
      <c r="C1446" s="239" t="s">
        <v>13</v>
      </c>
      <c r="D1446" s="240">
        <f t="shared" si="22"/>
        <v>123.86743851851851</v>
      </c>
      <c r="E1446" s="226" t="s">
        <v>5222</v>
      </c>
      <c r="G1446" s="240">
        <v>115.54</v>
      </c>
    </row>
    <row r="1447" spans="1:7" ht="14.25" x14ac:dyDescent="0.2">
      <c r="A1447" s="237" t="s">
        <v>821</v>
      </c>
      <c r="B1447" s="238" t="s">
        <v>3907</v>
      </c>
      <c r="C1447" s="239" t="s">
        <v>33</v>
      </c>
      <c r="D1447" s="240">
        <f t="shared" si="22"/>
        <v>1.3079303703703704</v>
      </c>
      <c r="E1447" s="226" t="s">
        <v>5222</v>
      </c>
      <c r="G1447" s="240">
        <v>1.22</v>
      </c>
    </row>
    <row r="1448" spans="1:7" ht="14.25" x14ac:dyDescent="0.2">
      <c r="A1448" s="237" t="s">
        <v>822</v>
      </c>
      <c r="B1448" s="238" t="s">
        <v>3908</v>
      </c>
      <c r="C1448" s="239" t="s">
        <v>217</v>
      </c>
      <c r="D1448" s="240">
        <f t="shared" si="22"/>
        <v>5410.0502829629631</v>
      </c>
      <c r="E1448" s="226" t="s">
        <v>5222</v>
      </c>
      <c r="G1448" s="240">
        <v>5046.34</v>
      </c>
    </row>
    <row r="1449" spans="1:7" ht="14.25" x14ac:dyDescent="0.2">
      <c r="A1449" s="237" t="s">
        <v>823</v>
      </c>
      <c r="B1449" s="238" t="s">
        <v>3909</v>
      </c>
      <c r="C1449" s="239" t="s">
        <v>13</v>
      </c>
      <c r="D1449" s="240">
        <f t="shared" si="22"/>
        <v>59.607318518518518</v>
      </c>
      <c r="E1449" s="226" t="s">
        <v>5222</v>
      </c>
      <c r="G1449" s="240">
        <v>55.6</v>
      </c>
    </row>
    <row r="1450" spans="1:7" ht="14.25" x14ac:dyDescent="0.2">
      <c r="A1450" s="237" t="s">
        <v>824</v>
      </c>
      <c r="B1450" s="238" t="s">
        <v>3910</v>
      </c>
      <c r="C1450" s="239" t="s">
        <v>13</v>
      </c>
      <c r="D1450" s="240">
        <f t="shared" si="22"/>
        <v>32.816187407407405</v>
      </c>
      <c r="E1450" s="226" t="s">
        <v>5222</v>
      </c>
      <c r="G1450" s="240">
        <v>30.61</v>
      </c>
    </row>
    <row r="1451" spans="1:7" ht="14.25" x14ac:dyDescent="0.2">
      <c r="A1451" s="237" t="s">
        <v>825</v>
      </c>
      <c r="B1451" s="238" t="s">
        <v>3911</v>
      </c>
      <c r="C1451" s="239" t="s">
        <v>13</v>
      </c>
      <c r="D1451" s="240">
        <f t="shared" si="22"/>
        <v>148.86820592592593</v>
      </c>
      <c r="E1451" s="226" t="s">
        <v>5222</v>
      </c>
      <c r="G1451" s="240">
        <v>138.86000000000001</v>
      </c>
    </row>
    <row r="1452" spans="1:7" ht="14.25" x14ac:dyDescent="0.2">
      <c r="A1452" s="237" t="s">
        <v>826</v>
      </c>
      <c r="B1452" s="238" t="s">
        <v>3912</v>
      </c>
      <c r="C1452" s="239" t="s">
        <v>13</v>
      </c>
      <c r="D1452" s="240">
        <f t="shared" si="22"/>
        <v>190.30386888888887</v>
      </c>
      <c r="E1452" s="226" t="s">
        <v>5222</v>
      </c>
      <c r="G1452" s="240">
        <v>177.51</v>
      </c>
    </row>
    <row r="1453" spans="1:7" ht="14.25" x14ac:dyDescent="0.2">
      <c r="A1453" s="237" t="s">
        <v>827</v>
      </c>
      <c r="B1453" s="238" t="s">
        <v>3913</v>
      </c>
      <c r="C1453" s="239" t="s">
        <v>33</v>
      </c>
      <c r="D1453" s="240">
        <f t="shared" si="22"/>
        <v>2.4228874074074072</v>
      </c>
      <c r="E1453" s="226" t="s">
        <v>5222</v>
      </c>
      <c r="G1453" s="240">
        <v>2.2599999999999998</v>
      </c>
    </row>
    <row r="1454" spans="1:7" ht="14.25" x14ac:dyDescent="0.2">
      <c r="A1454" s="237" t="s">
        <v>828</v>
      </c>
      <c r="B1454" s="238" t="s">
        <v>3914</v>
      </c>
      <c r="C1454" s="239" t="s">
        <v>217</v>
      </c>
      <c r="D1454" s="240">
        <f t="shared" si="22"/>
        <v>11646.369496296296</v>
      </c>
      <c r="E1454" s="226" t="s">
        <v>5222</v>
      </c>
      <c r="G1454" s="240">
        <v>10863.4</v>
      </c>
    </row>
    <row r="1455" spans="1:7" ht="14.25" x14ac:dyDescent="0.2">
      <c r="A1455" s="237" t="s">
        <v>829</v>
      </c>
      <c r="B1455" s="238" t="s">
        <v>3915</v>
      </c>
      <c r="C1455" s="239" t="s">
        <v>13</v>
      </c>
      <c r="D1455" s="240">
        <f t="shared" si="22"/>
        <v>69.406075555555546</v>
      </c>
      <c r="E1455" s="226" t="s">
        <v>5222</v>
      </c>
      <c r="G1455" s="240">
        <v>64.739999999999995</v>
      </c>
    </row>
    <row r="1456" spans="1:7" ht="14.25" x14ac:dyDescent="0.2">
      <c r="A1456" s="237" t="s">
        <v>830</v>
      </c>
      <c r="B1456" s="238" t="s">
        <v>3916</v>
      </c>
      <c r="C1456" s="239" t="s">
        <v>13</v>
      </c>
      <c r="D1456" s="240">
        <f t="shared" si="22"/>
        <v>17.367599999999999</v>
      </c>
      <c r="E1456" s="226" t="s">
        <v>5222</v>
      </c>
      <c r="G1456" s="240">
        <v>16.2</v>
      </c>
    </row>
    <row r="1457" spans="1:7" ht="14.25" x14ac:dyDescent="0.2">
      <c r="A1457" s="237" t="s">
        <v>831</v>
      </c>
      <c r="B1457" s="238" t="s">
        <v>3917</v>
      </c>
      <c r="C1457" s="239" t="s">
        <v>13</v>
      </c>
      <c r="D1457" s="240">
        <f t="shared" si="22"/>
        <v>88.821337037037026</v>
      </c>
      <c r="E1457" s="226" t="s">
        <v>5222</v>
      </c>
      <c r="G1457" s="240">
        <v>82.85</v>
      </c>
    </row>
    <row r="1458" spans="1:7" ht="14.25" x14ac:dyDescent="0.2">
      <c r="A1458" s="237" t="s">
        <v>832</v>
      </c>
      <c r="B1458" s="238" t="s">
        <v>3918</v>
      </c>
      <c r="C1458" s="239" t="s">
        <v>13</v>
      </c>
      <c r="D1458" s="240">
        <f t="shared" si="22"/>
        <v>149.76874814814812</v>
      </c>
      <c r="E1458" s="226" t="s">
        <v>5222</v>
      </c>
      <c r="G1458" s="240">
        <v>139.69999999999999</v>
      </c>
    </row>
    <row r="1459" spans="1:7" ht="14.25" x14ac:dyDescent="0.2">
      <c r="A1459" s="237" t="s">
        <v>833</v>
      </c>
      <c r="B1459" s="238" t="s">
        <v>3919</v>
      </c>
      <c r="C1459" s="239" t="s">
        <v>13</v>
      </c>
      <c r="D1459" s="240">
        <f t="shared" si="22"/>
        <v>50.837752592592594</v>
      </c>
      <c r="E1459" s="226" t="s">
        <v>5222</v>
      </c>
      <c r="G1459" s="240">
        <v>47.42</v>
      </c>
    </row>
    <row r="1460" spans="1:7" ht="14.25" x14ac:dyDescent="0.2">
      <c r="A1460" s="237" t="s">
        <v>834</v>
      </c>
      <c r="B1460" s="238" t="s">
        <v>3920</v>
      </c>
      <c r="C1460" s="239" t="s">
        <v>13</v>
      </c>
      <c r="D1460" s="240">
        <f t="shared" si="22"/>
        <v>18.150214074074071</v>
      </c>
      <c r="E1460" s="226" t="s">
        <v>5222</v>
      </c>
      <c r="G1460" s="240">
        <v>16.93</v>
      </c>
    </row>
    <row r="1461" spans="1:7" ht="14.25" x14ac:dyDescent="0.2">
      <c r="A1461" s="237" t="s">
        <v>835</v>
      </c>
      <c r="B1461" s="238" t="s">
        <v>3921</v>
      </c>
      <c r="C1461" s="239" t="s">
        <v>13</v>
      </c>
      <c r="D1461" s="240">
        <f t="shared" si="22"/>
        <v>101.31100000000001</v>
      </c>
      <c r="E1461" s="226" t="s">
        <v>5222</v>
      </c>
      <c r="G1461" s="240">
        <v>94.5</v>
      </c>
    </row>
    <row r="1462" spans="1:7" ht="14.25" x14ac:dyDescent="0.2">
      <c r="A1462" s="237" t="s">
        <v>836</v>
      </c>
      <c r="B1462" s="238" t="s">
        <v>3922</v>
      </c>
      <c r="C1462" s="239" t="s">
        <v>13</v>
      </c>
      <c r="D1462" s="240">
        <f t="shared" si="22"/>
        <v>142.74666296296297</v>
      </c>
      <c r="E1462" s="226" t="s">
        <v>5222</v>
      </c>
      <c r="G1462" s="240">
        <v>133.15</v>
      </c>
    </row>
    <row r="1463" spans="1:7" ht="14.25" x14ac:dyDescent="0.2">
      <c r="A1463" s="237" t="s">
        <v>837</v>
      </c>
      <c r="B1463" s="238" t="s">
        <v>3923</v>
      </c>
      <c r="C1463" s="239" t="s">
        <v>33</v>
      </c>
      <c r="D1463" s="240">
        <f t="shared" si="22"/>
        <v>1.3936962962962962</v>
      </c>
      <c r="E1463" s="226" t="s">
        <v>5222</v>
      </c>
      <c r="G1463" s="240">
        <v>1.3</v>
      </c>
    </row>
    <row r="1464" spans="1:7" ht="14.25" x14ac:dyDescent="0.2">
      <c r="A1464" s="237" t="s">
        <v>838</v>
      </c>
      <c r="B1464" s="238" t="s">
        <v>3924</v>
      </c>
      <c r="C1464" s="239" t="s">
        <v>217</v>
      </c>
      <c r="D1464" s="240">
        <f t="shared" si="22"/>
        <v>5868.3512288888887</v>
      </c>
      <c r="E1464" s="226" t="s">
        <v>5222</v>
      </c>
      <c r="G1464" s="240">
        <v>5473.83</v>
      </c>
    </row>
    <row r="1465" spans="1:7" ht="14.25" x14ac:dyDescent="0.2">
      <c r="A1465" s="237" t="s">
        <v>839</v>
      </c>
      <c r="B1465" s="238" t="s">
        <v>3925</v>
      </c>
      <c r="C1465" s="239" t="s">
        <v>13</v>
      </c>
      <c r="D1465" s="240">
        <f t="shared" si="22"/>
        <v>64.270840740740738</v>
      </c>
      <c r="E1465" s="226" t="s">
        <v>5222</v>
      </c>
      <c r="G1465" s="240">
        <v>59.95</v>
      </c>
    </row>
    <row r="1466" spans="1:7" ht="14.25" x14ac:dyDescent="0.2">
      <c r="A1466" s="237" t="s">
        <v>840</v>
      </c>
      <c r="B1466" s="238" t="s">
        <v>3926</v>
      </c>
      <c r="C1466" s="239" t="s">
        <v>13</v>
      </c>
      <c r="D1466" s="240">
        <f t="shared" si="22"/>
        <v>46.913961481481479</v>
      </c>
      <c r="E1466" s="226" t="s">
        <v>5222</v>
      </c>
      <c r="G1466" s="240">
        <v>43.76</v>
      </c>
    </row>
    <row r="1467" spans="1:7" ht="14.25" x14ac:dyDescent="0.2">
      <c r="A1467" s="237" t="s">
        <v>841</v>
      </c>
      <c r="B1467" s="238" t="s">
        <v>3927</v>
      </c>
      <c r="C1467" s="239" t="s">
        <v>13</v>
      </c>
      <c r="D1467" s="240">
        <f t="shared" si="22"/>
        <v>85.916016296296291</v>
      </c>
      <c r="E1467" s="226" t="s">
        <v>5222</v>
      </c>
      <c r="G1467" s="240">
        <v>80.14</v>
      </c>
    </row>
    <row r="1468" spans="1:7" ht="14.25" x14ac:dyDescent="0.2">
      <c r="A1468" s="237" t="s">
        <v>842</v>
      </c>
      <c r="B1468" s="238" t="s">
        <v>3928</v>
      </c>
      <c r="C1468" s="239" t="s">
        <v>13</v>
      </c>
      <c r="D1468" s="240">
        <f t="shared" si="22"/>
        <v>127.34095851851851</v>
      </c>
      <c r="E1468" s="226" t="s">
        <v>5222</v>
      </c>
      <c r="G1468" s="240">
        <v>118.78</v>
      </c>
    </row>
    <row r="1469" spans="1:7" ht="14.25" x14ac:dyDescent="0.2">
      <c r="A1469" s="237" t="s">
        <v>843</v>
      </c>
      <c r="B1469" s="238" t="s">
        <v>3929</v>
      </c>
      <c r="C1469" s="239" t="s">
        <v>33</v>
      </c>
      <c r="D1469" s="240">
        <f t="shared" si="22"/>
        <v>2.5836985185185184</v>
      </c>
      <c r="E1469" s="226" t="s">
        <v>5222</v>
      </c>
      <c r="G1469" s="240">
        <v>2.41</v>
      </c>
    </row>
    <row r="1470" spans="1:7" ht="14.25" x14ac:dyDescent="0.2">
      <c r="A1470" s="237" t="s">
        <v>844</v>
      </c>
      <c r="B1470" s="238" t="s">
        <v>3930</v>
      </c>
      <c r="C1470" s="239" t="s">
        <v>217</v>
      </c>
      <c r="D1470" s="240">
        <f t="shared" si="22"/>
        <v>13683.739066666667</v>
      </c>
      <c r="E1470" s="226" t="s">
        <v>5222</v>
      </c>
      <c r="G1470" s="240">
        <v>12763.8</v>
      </c>
    </row>
    <row r="1471" spans="1:7" ht="14.25" x14ac:dyDescent="0.2">
      <c r="A1471" s="237" t="s">
        <v>845</v>
      </c>
      <c r="B1471" s="238" t="s">
        <v>3931</v>
      </c>
      <c r="C1471" s="239" t="s">
        <v>13</v>
      </c>
      <c r="D1471" s="240">
        <f t="shared" si="22"/>
        <v>58.288667407407402</v>
      </c>
      <c r="E1471" s="226" t="s">
        <v>5222</v>
      </c>
      <c r="G1471" s="240">
        <v>54.37</v>
      </c>
    </row>
    <row r="1472" spans="1:7" ht="14.25" x14ac:dyDescent="0.2">
      <c r="A1472" s="237" t="s">
        <v>846</v>
      </c>
      <c r="B1472" s="238" t="s">
        <v>3932</v>
      </c>
      <c r="C1472" s="239" t="s">
        <v>13</v>
      </c>
      <c r="D1472" s="240">
        <f t="shared" si="22"/>
        <v>30.4469037037037</v>
      </c>
      <c r="E1472" s="226" t="s">
        <v>5222</v>
      </c>
      <c r="G1472" s="240">
        <v>28.4</v>
      </c>
    </row>
    <row r="1473" spans="1:7" ht="14.25" x14ac:dyDescent="0.2">
      <c r="A1473" s="237" t="s">
        <v>847</v>
      </c>
      <c r="B1473" s="238" t="s">
        <v>3933</v>
      </c>
      <c r="C1473" s="239" t="s">
        <v>13</v>
      </c>
      <c r="D1473" s="240">
        <f t="shared" si="22"/>
        <v>146.49892222222221</v>
      </c>
      <c r="E1473" s="226" t="s">
        <v>5222</v>
      </c>
      <c r="G1473" s="240">
        <v>136.65</v>
      </c>
    </row>
    <row r="1474" spans="1:7" ht="14.25" x14ac:dyDescent="0.2">
      <c r="A1474" s="237" t="s">
        <v>848</v>
      </c>
      <c r="B1474" s="238" t="s">
        <v>3934</v>
      </c>
      <c r="C1474" s="239" t="s">
        <v>13</v>
      </c>
      <c r="D1474" s="240">
        <f t="shared" si="22"/>
        <v>187.93458518518517</v>
      </c>
      <c r="E1474" s="226" t="s">
        <v>5222</v>
      </c>
      <c r="G1474" s="240">
        <v>175.3</v>
      </c>
    </row>
    <row r="1475" spans="1:7" ht="14.25" x14ac:dyDescent="0.2">
      <c r="A1475" s="237" t="s">
        <v>849</v>
      </c>
      <c r="B1475" s="238" t="s">
        <v>3935</v>
      </c>
      <c r="C1475" s="239" t="s">
        <v>33</v>
      </c>
      <c r="D1475" s="240">
        <f t="shared" si="22"/>
        <v>2.31568</v>
      </c>
      <c r="E1475" s="226" t="s">
        <v>5222</v>
      </c>
      <c r="G1475" s="240">
        <v>2.16</v>
      </c>
    </row>
    <row r="1476" spans="1:7" ht="14.25" x14ac:dyDescent="0.2">
      <c r="A1476" s="237" t="s">
        <v>850</v>
      </c>
      <c r="B1476" s="238" t="s">
        <v>3936</v>
      </c>
      <c r="C1476" s="239" t="s">
        <v>217</v>
      </c>
      <c r="D1476" s="240">
        <f t="shared" si="22"/>
        <v>11380.720261481481</v>
      </c>
      <c r="E1476" s="226" t="s">
        <v>5222</v>
      </c>
      <c r="G1476" s="240">
        <v>10615.61</v>
      </c>
    </row>
    <row r="1477" spans="1:7" ht="14.25" x14ac:dyDescent="0.2">
      <c r="A1477" s="237" t="s">
        <v>851</v>
      </c>
      <c r="B1477" s="238" t="s">
        <v>3937</v>
      </c>
      <c r="C1477" s="239" t="s">
        <v>13</v>
      </c>
      <c r="D1477" s="240">
        <f t="shared" si="22"/>
        <v>79.354922962962959</v>
      </c>
      <c r="E1477" s="226" t="s">
        <v>5222</v>
      </c>
      <c r="G1477" s="240">
        <v>74.02</v>
      </c>
    </row>
    <row r="1478" spans="1:7" ht="14.25" x14ac:dyDescent="0.2">
      <c r="A1478" s="237" t="s">
        <v>852</v>
      </c>
      <c r="B1478" s="238" t="s">
        <v>3938</v>
      </c>
      <c r="C1478" s="239" t="s">
        <v>13</v>
      </c>
      <c r="D1478" s="240">
        <f t="shared" si="22"/>
        <v>29.535640740740742</v>
      </c>
      <c r="E1478" s="226" t="s">
        <v>5222</v>
      </c>
      <c r="G1478" s="240">
        <v>27.55</v>
      </c>
    </row>
    <row r="1479" spans="1:7" ht="14.25" x14ac:dyDescent="0.2">
      <c r="A1479" s="237" t="s">
        <v>853</v>
      </c>
      <c r="B1479" s="238" t="s">
        <v>3939</v>
      </c>
      <c r="C1479" s="239" t="s">
        <v>13</v>
      </c>
      <c r="D1479" s="240">
        <f t="shared" si="22"/>
        <v>166.10715703703701</v>
      </c>
      <c r="E1479" s="226" t="s">
        <v>5222</v>
      </c>
      <c r="G1479" s="240">
        <v>154.94</v>
      </c>
    </row>
    <row r="1480" spans="1:7" ht="14.25" x14ac:dyDescent="0.2">
      <c r="A1480" s="237" t="s">
        <v>854</v>
      </c>
      <c r="B1480" s="238" t="s">
        <v>3940</v>
      </c>
      <c r="C1480" s="239" t="s">
        <v>13</v>
      </c>
      <c r="D1480" s="240">
        <f t="shared" ref="D1480:D1543" si="23">(G1480/(1+0.35))*(1+$D$3)</f>
        <v>227.06528888888889</v>
      </c>
      <c r="E1480" s="226" t="s">
        <v>5222</v>
      </c>
      <c r="G1480" s="240">
        <v>211.8</v>
      </c>
    </row>
    <row r="1481" spans="1:7" ht="14.25" x14ac:dyDescent="0.2">
      <c r="A1481" s="237" t="s">
        <v>855</v>
      </c>
      <c r="B1481" s="238" t="s">
        <v>3941</v>
      </c>
      <c r="C1481" s="239" t="s">
        <v>13</v>
      </c>
      <c r="D1481" s="240">
        <f t="shared" si="23"/>
        <v>87.309712592592589</v>
      </c>
      <c r="E1481" s="226" t="s">
        <v>5222</v>
      </c>
      <c r="G1481" s="240">
        <v>81.44</v>
      </c>
    </row>
    <row r="1482" spans="1:7" ht="14.25" x14ac:dyDescent="0.2">
      <c r="A1482" s="237" t="s">
        <v>856</v>
      </c>
      <c r="B1482" s="238" t="s">
        <v>3942</v>
      </c>
      <c r="C1482" s="239" t="s">
        <v>13</v>
      </c>
      <c r="D1482" s="240">
        <f t="shared" si="23"/>
        <v>42.293322222222223</v>
      </c>
      <c r="E1482" s="226" t="s">
        <v>5222</v>
      </c>
      <c r="G1482" s="240">
        <v>39.450000000000003</v>
      </c>
    </row>
    <row r="1483" spans="1:7" ht="14.25" x14ac:dyDescent="0.2">
      <c r="A1483" s="237" t="s">
        <v>857</v>
      </c>
      <c r="B1483" s="238" t="s">
        <v>3943</v>
      </c>
      <c r="C1483" s="239" t="s">
        <v>13</v>
      </c>
      <c r="D1483" s="240">
        <f t="shared" si="23"/>
        <v>96.647477777777766</v>
      </c>
      <c r="E1483" s="226" t="s">
        <v>5222</v>
      </c>
      <c r="G1483" s="240">
        <v>90.15</v>
      </c>
    </row>
    <row r="1484" spans="1:7" ht="14.25" x14ac:dyDescent="0.2">
      <c r="A1484" s="237" t="s">
        <v>858</v>
      </c>
      <c r="B1484" s="238" t="s">
        <v>3944</v>
      </c>
      <c r="C1484" s="239" t="s">
        <v>13</v>
      </c>
      <c r="D1484" s="240">
        <f t="shared" si="23"/>
        <v>157.59488888888887</v>
      </c>
      <c r="E1484" s="226" t="s">
        <v>5222</v>
      </c>
      <c r="G1484" s="240">
        <v>147</v>
      </c>
    </row>
    <row r="1485" spans="1:7" ht="14.25" x14ac:dyDescent="0.2">
      <c r="A1485" s="237" t="s">
        <v>859</v>
      </c>
      <c r="B1485" s="238" t="s">
        <v>3945</v>
      </c>
      <c r="C1485" s="239" t="s">
        <v>13</v>
      </c>
      <c r="D1485" s="240">
        <f t="shared" si="23"/>
        <v>26.533833333333334</v>
      </c>
      <c r="E1485" s="226" t="s">
        <v>5222</v>
      </c>
      <c r="G1485" s="240">
        <v>24.75</v>
      </c>
    </row>
    <row r="1486" spans="1:7" ht="14.25" x14ac:dyDescent="0.2">
      <c r="A1486" s="237" t="s">
        <v>860</v>
      </c>
      <c r="B1486" s="238" t="s">
        <v>3946</v>
      </c>
      <c r="C1486" s="239" t="s">
        <v>13</v>
      </c>
      <c r="D1486" s="240">
        <f t="shared" si="23"/>
        <v>1.6831562962962963</v>
      </c>
      <c r="E1486" s="226" t="s">
        <v>5222</v>
      </c>
      <c r="G1486" s="240">
        <v>1.57</v>
      </c>
    </row>
    <row r="1487" spans="1:7" ht="14.25" x14ac:dyDescent="0.2">
      <c r="A1487" s="237" t="s">
        <v>861</v>
      </c>
      <c r="B1487" s="238" t="s">
        <v>3947</v>
      </c>
      <c r="C1487" s="239" t="s">
        <v>13</v>
      </c>
      <c r="D1487" s="240">
        <f t="shared" si="23"/>
        <v>5.8106414814814809</v>
      </c>
      <c r="E1487" s="226" t="s">
        <v>5222</v>
      </c>
      <c r="G1487" s="240">
        <v>5.42</v>
      </c>
    </row>
    <row r="1488" spans="1:7" ht="14.25" x14ac:dyDescent="0.2">
      <c r="A1488" s="237" t="s">
        <v>862</v>
      </c>
      <c r="B1488" s="238" t="s">
        <v>3948</v>
      </c>
      <c r="C1488" s="239" t="s">
        <v>13</v>
      </c>
      <c r="D1488" s="240">
        <f t="shared" si="23"/>
        <v>31.497536296296293</v>
      </c>
      <c r="E1488" s="226" t="s">
        <v>5222</v>
      </c>
      <c r="G1488" s="240">
        <v>29.38</v>
      </c>
    </row>
    <row r="1489" spans="1:7" ht="14.25" x14ac:dyDescent="0.2">
      <c r="A1489" s="237" t="s">
        <v>863</v>
      </c>
      <c r="B1489" s="238" t="s">
        <v>3949</v>
      </c>
      <c r="C1489" s="239" t="s">
        <v>13</v>
      </c>
      <c r="D1489" s="240">
        <f t="shared" si="23"/>
        <v>27.026987407407407</v>
      </c>
      <c r="E1489" s="226" t="s">
        <v>5222</v>
      </c>
      <c r="G1489" s="240">
        <v>25.21</v>
      </c>
    </row>
    <row r="1490" spans="1:7" ht="14.25" x14ac:dyDescent="0.2">
      <c r="A1490" s="237" t="s">
        <v>864</v>
      </c>
      <c r="B1490" s="238" t="s">
        <v>3950</v>
      </c>
      <c r="C1490" s="239" t="s">
        <v>13</v>
      </c>
      <c r="D1490" s="240">
        <f t="shared" si="23"/>
        <v>2.6694644444444449</v>
      </c>
      <c r="E1490" s="226" t="s">
        <v>5222</v>
      </c>
      <c r="G1490" s="240">
        <v>2.4900000000000002</v>
      </c>
    </row>
    <row r="1491" spans="1:7" ht="14.25" x14ac:dyDescent="0.2">
      <c r="A1491" s="237" t="s">
        <v>865</v>
      </c>
      <c r="B1491" s="238" t="s">
        <v>3951</v>
      </c>
      <c r="C1491" s="239" t="s">
        <v>13</v>
      </c>
      <c r="D1491" s="240">
        <f t="shared" si="23"/>
        <v>9.5307385185185183</v>
      </c>
      <c r="E1491" s="226" t="s">
        <v>5222</v>
      </c>
      <c r="G1491" s="240">
        <v>8.89</v>
      </c>
    </row>
    <row r="1492" spans="1:7" ht="14.25" x14ac:dyDescent="0.2">
      <c r="A1492" s="237" t="s">
        <v>866</v>
      </c>
      <c r="B1492" s="238" t="s">
        <v>3952</v>
      </c>
      <c r="C1492" s="239" t="s">
        <v>13</v>
      </c>
      <c r="D1492" s="240">
        <f t="shared" si="23"/>
        <v>35.217633333333332</v>
      </c>
      <c r="E1492" s="226" t="s">
        <v>5222</v>
      </c>
      <c r="G1492" s="240">
        <v>32.85</v>
      </c>
    </row>
    <row r="1493" spans="1:7" ht="14.25" x14ac:dyDescent="0.2">
      <c r="A1493" s="237" t="s">
        <v>867</v>
      </c>
      <c r="B1493" s="238" t="s">
        <v>3953</v>
      </c>
      <c r="C1493" s="239" t="s">
        <v>13</v>
      </c>
      <c r="D1493" s="240">
        <f t="shared" si="23"/>
        <v>31.090148148148149</v>
      </c>
      <c r="E1493" s="226" t="s">
        <v>5222</v>
      </c>
      <c r="G1493" s="240">
        <v>29</v>
      </c>
    </row>
    <row r="1494" spans="1:7" ht="14.25" x14ac:dyDescent="0.2">
      <c r="A1494" s="237" t="s">
        <v>868</v>
      </c>
      <c r="B1494" s="238" t="s">
        <v>3954</v>
      </c>
      <c r="C1494" s="239" t="s">
        <v>13</v>
      </c>
      <c r="D1494" s="240">
        <f t="shared" si="23"/>
        <v>10.785065185185186</v>
      </c>
      <c r="E1494" s="226" t="s">
        <v>5222</v>
      </c>
      <c r="G1494" s="240">
        <v>10.06</v>
      </c>
    </row>
    <row r="1495" spans="1:7" ht="14.25" x14ac:dyDescent="0.2">
      <c r="A1495" s="237" t="s">
        <v>869</v>
      </c>
      <c r="B1495" s="238" t="s">
        <v>3955</v>
      </c>
      <c r="C1495" s="239" t="s">
        <v>13</v>
      </c>
      <c r="D1495" s="240">
        <f t="shared" si="23"/>
        <v>21.784545185185184</v>
      </c>
      <c r="E1495" s="226" t="s">
        <v>5222</v>
      </c>
      <c r="G1495" s="240">
        <v>20.32</v>
      </c>
    </row>
    <row r="1496" spans="1:7" ht="14.25" x14ac:dyDescent="0.2">
      <c r="A1496" s="237" t="s">
        <v>870</v>
      </c>
      <c r="B1496" s="238" t="s">
        <v>3956</v>
      </c>
      <c r="C1496" s="239" t="s">
        <v>13</v>
      </c>
      <c r="D1496" s="240">
        <f t="shared" si="23"/>
        <v>47.471439999999994</v>
      </c>
      <c r="E1496" s="226" t="s">
        <v>5222</v>
      </c>
      <c r="G1496" s="240">
        <v>44.28</v>
      </c>
    </row>
    <row r="1497" spans="1:7" ht="14.25" x14ac:dyDescent="0.2">
      <c r="A1497" s="237" t="s">
        <v>871</v>
      </c>
      <c r="B1497" s="238" t="s">
        <v>3957</v>
      </c>
      <c r="C1497" s="239" t="s">
        <v>13</v>
      </c>
      <c r="D1497" s="240">
        <f t="shared" si="23"/>
        <v>32.237267407407408</v>
      </c>
      <c r="E1497" s="226" t="s">
        <v>5222</v>
      </c>
      <c r="G1497" s="240">
        <v>30.07</v>
      </c>
    </row>
    <row r="1498" spans="1:7" ht="14.25" x14ac:dyDescent="0.2">
      <c r="A1498" s="237" t="s">
        <v>872</v>
      </c>
      <c r="B1498" s="238" t="s">
        <v>3958</v>
      </c>
      <c r="C1498" s="239" t="s">
        <v>13</v>
      </c>
      <c r="D1498" s="240">
        <f t="shared" si="23"/>
        <v>13.079303703703703</v>
      </c>
      <c r="E1498" s="226" t="s">
        <v>5222</v>
      </c>
      <c r="G1498" s="240">
        <v>12.2</v>
      </c>
    </row>
    <row r="1499" spans="1:7" ht="14.25" x14ac:dyDescent="0.2">
      <c r="A1499" s="237" t="s">
        <v>873</v>
      </c>
      <c r="B1499" s="238" t="s">
        <v>3959</v>
      </c>
      <c r="C1499" s="239" t="s">
        <v>13</v>
      </c>
      <c r="D1499" s="240">
        <f t="shared" si="23"/>
        <v>23.081754814814815</v>
      </c>
      <c r="E1499" s="226" t="s">
        <v>5222</v>
      </c>
      <c r="G1499" s="240">
        <v>21.53</v>
      </c>
    </row>
    <row r="1500" spans="1:7" ht="14.25" x14ac:dyDescent="0.2">
      <c r="A1500" s="237" t="s">
        <v>874</v>
      </c>
      <c r="B1500" s="238" t="s">
        <v>3960</v>
      </c>
      <c r="C1500" s="239" t="s">
        <v>13</v>
      </c>
      <c r="D1500" s="240">
        <f t="shared" si="23"/>
        <v>48.779370370370373</v>
      </c>
      <c r="E1500" s="226" t="s">
        <v>5222</v>
      </c>
      <c r="G1500" s="240">
        <v>45.5</v>
      </c>
    </row>
    <row r="1501" spans="1:7" ht="14.25" x14ac:dyDescent="0.2">
      <c r="A1501" s="237" t="s">
        <v>875</v>
      </c>
      <c r="B1501" s="238" t="s">
        <v>3961</v>
      </c>
      <c r="C1501" s="239" t="s">
        <v>13</v>
      </c>
      <c r="D1501" s="240">
        <f t="shared" si="23"/>
        <v>26.565995555555553</v>
      </c>
      <c r="E1501" s="226" t="s">
        <v>5222</v>
      </c>
      <c r="G1501" s="240">
        <v>24.78</v>
      </c>
    </row>
    <row r="1502" spans="1:7" ht="14.25" x14ac:dyDescent="0.2">
      <c r="A1502" s="237" t="s">
        <v>876</v>
      </c>
      <c r="B1502" s="238" t="s">
        <v>3962</v>
      </c>
      <c r="C1502" s="239" t="s">
        <v>13</v>
      </c>
      <c r="D1502" s="240">
        <f t="shared" si="23"/>
        <v>1.4580207407407406</v>
      </c>
      <c r="E1502" s="226" t="s">
        <v>5222</v>
      </c>
      <c r="G1502" s="240">
        <v>1.36</v>
      </c>
    </row>
    <row r="1503" spans="1:7" ht="14.25" x14ac:dyDescent="0.2">
      <c r="A1503" s="237" t="s">
        <v>877</v>
      </c>
      <c r="B1503" s="238" t="s">
        <v>3963</v>
      </c>
      <c r="C1503" s="239" t="s">
        <v>13</v>
      </c>
      <c r="D1503" s="240">
        <f t="shared" si="23"/>
        <v>26.608878518518516</v>
      </c>
      <c r="E1503" s="226" t="s">
        <v>5222</v>
      </c>
      <c r="G1503" s="240">
        <v>24.82</v>
      </c>
    </row>
    <row r="1504" spans="1:7" ht="14.25" x14ac:dyDescent="0.2">
      <c r="A1504" s="237" t="s">
        <v>878</v>
      </c>
      <c r="B1504" s="238" t="s">
        <v>3964</v>
      </c>
      <c r="C1504" s="239" t="s">
        <v>13</v>
      </c>
      <c r="D1504" s="240">
        <f t="shared" si="23"/>
        <v>52.295773333333337</v>
      </c>
      <c r="E1504" s="226" t="s">
        <v>5222</v>
      </c>
      <c r="G1504" s="240">
        <v>48.78</v>
      </c>
    </row>
    <row r="1505" spans="1:7" ht="14.25" x14ac:dyDescent="0.2">
      <c r="A1505" s="237" t="s">
        <v>879</v>
      </c>
      <c r="B1505" s="238" t="s">
        <v>3965</v>
      </c>
      <c r="C1505" s="239" t="s">
        <v>13</v>
      </c>
      <c r="D1505" s="240">
        <f t="shared" si="23"/>
        <v>27.412934074074073</v>
      </c>
      <c r="E1505" s="226" t="s">
        <v>5222</v>
      </c>
      <c r="G1505" s="240">
        <v>25.57</v>
      </c>
    </row>
    <row r="1506" spans="1:7" ht="14.25" x14ac:dyDescent="0.2">
      <c r="A1506" s="237" t="s">
        <v>880</v>
      </c>
      <c r="B1506" s="238" t="s">
        <v>3966</v>
      </c>
      <c r="C1506" s="239" t="s">
        <v>13</v>
      </c>
      <c r="D1506" s="240">
        <f t="shared" si="23"/>
        <v>2.8624377777777776</v>
      </c>
      <c r="E1506" s="226" t="s">
        <v>5222</v>
      </c>
      <c r="G1506" s="240">
        <v>2.67</v>
      </c>
    </row>
    <row r="1507" spans="1:7" ht="14.25" x14ac:dyDescent="0.2">
      <c r="A1507" s="237" t="s">
        <v>881</v>
      </c>
      <c r="B1507" s="238" t="s">
        <v>3967</v>
      </c>
      <c r="C1507" s="239" t="s">
        <v>13</v>
      </c>
      <c r="D1507" s="240">
        <f t="shared" si="23"/>
        <v>23.896531111111109</v>
      </c>
      <c r="E1507" s="226" t="s">
        <v>5222</v>
      </c>
      <c r="G1507" s="240">
        <v>22.29</v>
      </c>
    </row>
    <row r="1508" spans="1:7" ht="14.25" x14ac:dyDescent="0.2">
      <c r="A1508" s="237" t="s">
        <v>882</v>
      </c>
      <c r="B1508" s="238" t="s">
        <v>3968</v>
      </c>
      <c r="C1508" s="239" t="s">
        <v>13</v>
      </c>
      <c r="D1508" s="240">
        <f t="shared" si="23"/>
        <v>49.58342592592593</v>
      </c>
      <c r="E1508" s="226" t="s">
        <v>5222</v>
      </c>
      <c r="G1508" s="240">
        <v>46.25</v>
      </c>
    </row>
    <row r="1509" spans="1:7" ht="14.25" x14ac:dyDescent="0.2">
      <c r="A1509" s="237" t="s">
        <v>883</v>
      </c>
      <c r="B1509" s="238" t="s">
        <v>3969</v>
      </c>
      <c r="C1509" s="239" t="s">
        <v>13</v>
      </c>
      <c r="D1509" s="240">
        <f t="shared" si="23"/>
        <v>29.117531851851851</v>
      </c>
      <c r="E1509" s="226" t="s">
        <v>5222</v>
      </c>
      <c r="G1509" s="240">
        <v>27.16</v>
      </c>
    </row>
    <row r="1510" spans="1:7" ht="14.25" x14ac:dyDescent="0.2">
      <c r="A1510" s="237" t="s">
        <v>884</v>
      </c>
      <c r="B1510" s="238" t="s">
        <v>3970</v>
      </c>
      <c r="C1510" s="239" t="s">
        <v>13</v>
      </c>
      <c r="D1510" s="240">
        <f t="shared" si="23"/>
        <v>5.7034340740740737</v>
      </c>
      <c r="E1510" s="226" t="s">
        <v>5222</v>
      </c>
      <c r="G1510" s="240">
        <v>5.32</v>
      </c>
    </row>
    <row r="1511" spans="1:7" ht="14.25" x14ac:dyDescent="0.2">
      <c r="A1511" s="237" t="s">
        <v>885</v>
      </c>
      <c r="B1511" s="238" t="s">
        <v>3971</v>
      </c>
      <c r="C1511" s="239" t="s">
        <v>13</v>
      </c>
      <c r="D1511" s="240">
        <f t="shared" si="23"/>
        <v>30.865012592592588</v>
      </c>
      <c r="E1511" s="226" t="s">
        <v>5222</v>
      </c>
      <c r="G1511" s="240">
        <v>28.79</v>
      </c>
    </row>
    <row r="1512" spans="1:7" ht="14.25" x14ac:dyDescent="0.2">
      <c r="A1512" s="237" t="s">
        <v>886</v>
      </c>
      <c r="B1512" s="238" t="s">
        <v>3972</v>
      </c>
      <c r="C1512" s="239" t="s">
        <v>13</v>
      </c>
      <c r="D1512" s="240">
        <f t="shared" si="23"/>
        <v>56.551907407407398</v>
      </c>
      <c r="E1512" s="226" t="s">
        <v>5222</v>
      </c>
      <c r="G1512" s="240">
        <v>52.75</v>
      </c>
    </row>
    <row r="1513" spans="1:7" ht="14.25" x14ac:dyDescent="0.2">
      <c r="A1513" s="237" t="s">
        <v>887</v>
      </c>
      <c r="B1513" s="238" t="s">
        <v>3973</v>
      </c>
      <c r="C1513" s="239" t="s">
        <v>13</v>
      </c>
      <c r="D1513" s="240">
        <f t="shared" si="23"/>
        <v>31.67978888888889</v>
      </c>
      <c r="E1513" s="226" t="s">
        <v>5222</v>
      </c>
      <c r="G1513" s="240">
        <v>29.55</v>
      </c>
    </row>
    <row r="1514" spans="1:7" ht="14.25" x14ac:dyDescent="0.2">
      <c r="A1514" s="237" t="s">
        <v>888</v>
      </c>
      <c r="B1514" s="238" t="s">
        <v>3974</v>
      </c>
      <c r="C1514" s="239" t="s">
        <v>13</v>
      </c>
      <c r="D1514" s="240">
        <f t="shared" si="23"/>
        <v>9.9702888888888896</v>
      </c>
      <c r="E1514" s="226" t="s">
        <v>5222</v>
      </c>
      <c r="G1514" s="240">
        <v>9.3000000000000007</v>
      </c>
    </row>
    <row r="1515" spans="1:7" ht="14.25" x14ac:dyDescent="0.2">
      <c r="A1515" s="237" t="s">
        <v>889</v>
      </c>
      <c r="B1515" s="238" t="s">
        <v>3975</v>
      </c>
      <c r="C1515" s="239" t="s">
        <v>13</v>
      </c>
      <c r="D1515" s="240">
        <f t="shared" si="23"/>
        <v>39.248631851851847</v>
      </c>
      <c r="E1515" s="226" t="s">
        <v>5222</v>
      </c>
      <c r="G1515" s="240">
        <v>36.61</v>
      </c>
    </row>
    <row r="1516" spans="1:7" ht="14.25" x14ac:dyDescent="0.2">
      <c r="A1516" s="237" t="s">
        <v>890</v>
      </c>
      <c r="B1516" s="238" t="s">
        <v>3976</v>
      </c>
      <c r="C1516" s="239" t="s">
        <v>13</v>
      </c>
      <c r="D1516" s="240">
        <f t="shared" si="23"/>
        <v>64.935526666666675</v>
      </c>
      <c r="E1516" s="226" t="s">
        <v>5222</v>
      </c>
      <c r="G1516" s="240">
        <v>60.57</v>
      </c>
    </row>
    <row r="1517" spans="1:7" ht="14.25" x14ac:dyDescent="0.2">
      <c r="A1517" s="237" t="s">
        <v>891</v>
      </c>
      <c r="B1517" s="238" t="s">
        <v>3977</v>
      </c>
      <c r="C1517" s="239" t="s">
        <v>13</v>
      </c>
      <c r="D1517" s="240">
        <f t="shared" si="23"/>
        <v>26.490950370370371</v>
      </c>
      <c r="E1517" s="226" t="s">
        <v>5222</v>
      </c>
      <c r="G1517" s="240">
        <v>24.71</v>
      </c>
    </row>
    <row r="1518" spans="1:7" ht="14.25" x14ac:dyDescent="0.2">
      <c r="A1518" s="237" t="s">
        <v>892</v>
      </c>
      <c r="B1518" s="238" t="s">
        <v>3978</v>
      </c>
      <c r="C1518" s="239" t="s">
        <v>13</v>
      </c>
      <c r="D1518" s="240">
        <f t="shared" si="23"/>
        <v>1.3293718518518518</v>
      </c>
      <c r="E1518" s="226" t="s">
        <v>5222</v>
      </c>
      <c r="G1518" s="240">
        <v>1.24</v>
      </c>
    </row>
    <row r="1519" spans="1:7" ht="14.25" x14ac:dyDescent="0.2">
      <c r="A1519" s="237" t="s">
        <v>893</v>
      </c>
      <c r="B1519" s="238" t="s">
        <v>3979</v>
      </c>
      <c r="C1519" s="239" t="s">
        <v>13</v>
      </c>
      <c r="D1519" s="240">
        <f t="shared" si="23"/>
        <v>12.575428888888888</v>
      </c>
      <c r="E1519" s="226" t="s">
        <v>5222</v>
      </c>
      <c r="G1519" s="240">
        <v>11.73</v>
      </c>
    </row>
    <row r="1520" spans="1:7" ht="14.25" x14ac:dyDescent="0.2">
      <c r="A1520" s="237" t="s">
        <v>894</v>
      </c>
      <c r="B1520" s="238" t="s">
        <v>3980</v>
      </c>
      <c r="C1520" s="239" t="s">
        <v>13</v>
      </c>
      <c r="D1520" s="240">
        <f t="shared" si="23"/>
        <v>38.2623237037037</v>
      </c>
      <c r="E1520" s="226" t="s">
        <v>5222</v>
      </c>
      <c r="G1520" s="240">
        <v>35.69</v>
      </c>
    </row>
    <row r="1521" spans="1:7" ht="14.25" x14ac:dyDescent="0.2">
      <c r="A1521" s="237" t="s">
        <v>895</v>
      </c>
      <c r="B1521" s="238" t="s">
        <v>3981</v>
      </c>
      <c r="C1521" s="239" t="s">
        <v>13</v>
      </c>
      <c r="D1521" s="240">
        <f t="shared" si="23"/>
        <v>73.254821481481471</v>
      </c>
      <c r="E1521" s="226" t="s">
        <v>5222</v>
      </c>
      <c r="G1521" s="240">
        <v>68.33</v>
      </c>
    </row>
    <row r="1522" spans="1:7" ht="14.25" x14ac:dyDescent="0.2">
      <c r="A1522" s="237" t="s">
        <v>896</v>
      </c>
      <c r="B1522" s="238" t="s">
        <v>3982</v>
      </c>
      <c r="C1522" s="239" t="s">
        <v>13</v>
      </c>
      <c r="D1522" s="240">
        <f t="shared" si="23"/>
        <v>50.366039999999998</v>
      </c>
      <c r="E1522" s="226" t="s">
        <v>5222</v>
      </c>
      <c r="G1522" s="240">
        <v>46.98</v>
      </c>
    </row>
    <row r="1523" spans="1:7" ht="14.25" x14ac:dyDescent="0.2">
      <c r="A1523" s="237" t="s">
        <v>897</v>
      </c>
      <c r="B1523" s="238" t="s">
        <v>3983</v>
      </c>
      <c r="C1523" s="239" t="s">
        <v>13</v>
      </c>
      <c r="D1523" s="240">
        <f t="shared" si="23"/>
        <v>171.39248222222221</v>
      </c>
      <c r="E1523" s="226" t="s">
        <v>5222</v>
      </c>
      <c r="G1523" s="240">
        <v>159.87</v>
      </c>
    </row>
    <row r="1524" spans="1:7" ht="14.25" x14ac:dyDescent="0.2">
      <c r="A1524" s="237" t="s">
        <v>898</v>
      </c>
      <c r="B1524" s="238" t="s">
        <v>3984</v>
      </c>
      <c r="C1524" s="239" t="s">
        <v>13</v>
      </c>
      <c r="D1524" s="240">
        <f t="shared" si="23"/>
        <v>218.56374148148146</v>
      </c>
      <c r="E1524" s="226" t="s">
        <v>5222</v>
      </c>
      <c r="G1524" s="240">
        <v>203.87</v>
      </c>
    </row>
    <row r="1525" spans="1:7" ht="14.25" x14ac:dyDescent="0.2">
      <c r="A1525" s="237" t="s">
        <v>899</v>
      </c>
      <c r="B1525" s="238" t="s">
        <v>3985</v>
      </c>
      <c r="C1525" s="239" t="s">
        <v>13</v>
      </c>
      <c r="D1525" s="240">
        <f t="shared" si="23"/>
        <v>73.254821481481471</v>
      </c>
      <c r="E1525" s="226" t="s">
        <v>5222</v>
      </c>
      <c r="G1525" s="240">
        <v>68.33</v>
      </c>
    </row>
    <row r="1526" spans="1:7" ht="14.25" x14ac:dyDescent="0.2">
      <c r="A1526" s="237" t="s">
        <v>900</v>
      </c>
      <c r="B1526" s="238" t="s">
        <v>3986</v>
      </c>
      <c r="C1526" s="239" t="s">
        <v>13</v>
      </c>
      <c r="D1526" s="240">
        <f t="shared" si="23"/>
        <v>50.366039999999998</v>
      </c>
      <c r="E1526" s="226" t="s">
        <v>5222</v>
      </c>
      <c r="G1526" s="240">
        <v>46.98</v>
      </c>
    </row>
    <row r="1527" spans="1:7" ht="14.25" x14ac:dyDescent="0.2">
      <c r="A1527" s="237" t="s">
        <v>901</v>
      </c>
      <c r="B1527" s="238" t="s">
        <v>3987</v>
      </c>
      <c r="C1527" s="239" t="s">
        <v>13</v>
      </c>
      <c r="D1527" s="240">
        <f t="shared" si="23"/>
        <v>98.266309629629617</v>
      </c>
      <c r="E1527" s="226" t="s">
        <v>5222</v>
      </c>
      <c r="G1527" s="240">
        <v>91.66</v>
      </c>
    </row>
    <row r="1528" spans="1:7" ht="14.25" x14ac:dyDescent="0.2">
      <c r="A1528" s="237" t="s">
        <v>902</v>
      </c>
      <c r="B1528" s="238" t="s">
        <v>3988</v>
      </c>
      <c r="C1528" s="239" t="s">
        <v>13</v>
      </c>
      <c r="D1528" s="240">
        <f t="shared" si="23"/>
        <v>145.43756888888888</v>
      </c>
      <c r="E1528" s="226" t="s">
        <v>5222</v>
      </c>
      <c r="G1528" s="240">
        <v>135.66</v>
      </c>
    </row>
    <row r="1529" spans="1:7" ht="14.25" x14ac:dyDescent="0.2">
      <c r="A1529" s="237" t="s">
        <v>903</v>
      </c>
      <c r="B1529" s="238" t="s">
        <v>3989</v>
      </c>
      <c r="C1529" s="239" t="s">
        <v>13</v>
      </c>
      <c r="D1529" s="240">
        <f t="shared" si="23"/>
        <v>109.95191703703702</v>
      </c>
      <c r="E1529" s="226" t="s">
        <v>5222</v>
      </c>
      <c r="G1529" s="240">
        <v>102.56</v>
      </c>
    </row>
    <row r="1530" spans="1:7" ht="14.25" x14ac:dyDescent="0.2">
      <c r="A1530" s="237" t="s">
        <v>904</v>
      </c>
      <c r="B1530" s="238" t="s">
        <v>3990</v>
      </c>
      <c r="C1530" s="239" t="s">
        <v>13</v>
      </c>
      <c r="D1530" s="240">
        <f t="shared" si="23"/>
        <v>121.24085703703705</v>
      </c>
      <c r="E1530" s="226" t="s">
        <v>5222</v>
      </c>
      <c r="G1530" s="240">
        <v>113.09</v>
      </c>
    </row>
    <row r="1531" spans="1:7" ht="14.25" x14ac:dyDescent="0.2">
      <c r="A1531" s="237" t="s">
        <v>905</v>
      </c>
      <c r="B1531" s="238" t="s">
        <v>3991</v>
      </c>
      <c r="C1531" s="239" t="s">
        <v>13</v>
      </c>
      <c r="D1531" s="240">
        <f t="shared" si="23"/>
        <v>353.57002962962963</v>
      </c>
      <c r="E1531" s="226" t="s">
        <v>5222</v>
      </c>
      <c r="G1531" s="240">
        <v>329.8</v>
      </c>
    </row>
    <row r="1532" spans="1:7" ht="14.25" x14ac:dyDescent="0.2">
      <c r="A1532" s="237" t="s">
        <v>906</v>
      </c>
      <c r="B1532" s="238" t="s">
        <v>3992</v>
      </c>
      <c r="C1532" s="239" t="s">
        <v>13</v>
      </c>
      <c r="D1532" s="240">
        <f t="shared" si="23"/>
        <v>400.74128888888885</v>
      </c>
      <c r="E1532" s="226" t="s">
        <v>5222</v>
      </c>
      <c r="G1532" s="240">
        <v>373.8</v>
      </c>
    </row>
    <row r="1533" spans="1:7" ht="14.25" x14ac:dyDescent="0.2">
      <c r="A1533" s="237" t="s">
        <v>907</v>
      </c>
      <c r="B1533" s="238" t="s">
        <v>3993</v>
      </c>
      <c r="C1533" s="239" t="s">
        <v>13</v>
      </c>
      <c r="D1533" s="240">
        <f t="shared" si="23"/>
        <v>77.907622962962961</v>
      </c>
      <c r="E1533" s="226" t="s">
        <v>5222</v>
      </c>
      <c r="G1533" s="240">
        <v>72.67</v>
      </c>
    </row>
    <row r="1534" spans="1:7" ht="14.25" x14ac:dyDescent="0.2">
      <c r="A1534" s="237" t="s">
        <v>908</v>
      </c>
      <c r="B1534" s="238" t="s">
        <v>3994</v>
      </c>
      <c r="C1534" s="239" t="s">
        <v>13</v>
      </c>
      <c r="D1534" s="240">
        <f t="shared" si="23"/>
        <v>59.350020740740739</v>
      </c>
      <c r="E1534" s="226" t="s">
        <v>5222</v>
      </c>
      <c r="G1534" s="240">
        <v>55.36</v>
      </c>
    </row>
    <row r="1535" spans="1:7" ht="14.25" x14ac:dyDescent="0.2">
      <c r="A1535" s="237" t="s">
        <v>909</v>
      </c>
      <c r="B1535" s="238" t="s">
        <v>3995</v>
      </c>
      <c r="C1535" s="239" t="s">
        <v>13</v>
      </c>
      <c r="D1535" s="240">
        <f t="shared" si="23"/>
        <v>291.41117481481479</v>
      </c>
      <c r="E1535" s="226" t="s">
        <v>5222</v>
      </c>
      <c r="G1535" s="240">
        <v>271.82</v>
      </c>
    </row>
    <row r="1536" spans="1:7" ht="14.25" x14ac:dyDescent="0.2">
      <c r="A1536" s="237" t="s">
        <v>910</v>
      </c>
      <c r="B1536" s="238" t="s">
        <v>3996</v>
      </c>
      <c r="C1536" s="239" t="s">
        <v>13</v>
      </c>
      <c r="D1536" s="240">
        <f t="shared" si="23"/>
        <v>338.58243407407406</v>
      </c>
      <c r="E1536" s="226" t="s">
        <v>5222</v>
      </c>
      <c r="G1536" s="240">
        <v>315.82</v>
      </c>
    </row>
    <row r="1537" spans="1:7" ht="14.25" x14ac:dyDescent="0.2">
      <c r="A1537" s="237" t="s">
        <v>911</v>
      </c>
      <c r="B1537" s="238" t="s">
        <v>3997</v>
      </c>
      <c r="C1537" s="239" t="s">
        <v>13</v>
      </c>
      <c r="D1537" s="240">
        <f t="shared" si="23"/>
        <v>62.448314814814815</v>
      </c>
      <c r="E1537" s="226" t="s">
        <v>5222</v>
      </c>
      <c r="G1537" s="240">
        <v>58.25</v>
      </c>
    </row>
    <row r="1538" spans="1:7" ht="14.25" x14ac:dyDescent="0.2">
      <c r="A1538" s="237" t="s">
        <v>912</v>
      </c>
      <c r="B1538" s="238" t="s">
        <v>3998</v>
      </c>
      <c r="C1538" s="239" t="s">
        <v>13</v>
      </c>
      <c r="D1538" s="240">
        <f t="shared" si="23"/>
        <v>29.492757777777776</v>
      </c>
      <c r="E1538" s="226" t="s">
        <v>5222</v>
      </c>
      <c r="G1538" s="240">
        <v>27.51</v>
      </c>
    </row>
    <row r="1539" spans="1:7" ht="14.25" x14ac:dyDescent="0.2">
      <c r="A1539" s="237" t="s">
        <v>913</v>
      </c>
      <c r="B1539" s="238" t="s">
        <v>3999</v>
      </c>
      <c r="C1539" s="239" t="s">
        <v>13</v>
      </c>
      <c r="D1539" s="240">
        <f t="shared" si="23"/>
        <v>635.56839407407404</v>
      </c>
      <c r="E1539" s="226" t="s">
        <v>5222</v>
      </c>
      <c r="G1539" s="240">
        <v>592.84</v>
      </c>
    </row>
    <row r="1540" spans="1:7" ht="14.25" x14ac:dyDescent="0.2">
      <c r="A1540" s="237" t="s">
        <v>914</v>
      </c>
      <c r="B1540" s="238" t="s">
        <v>4000</v>
      </c>
      <c r="C1540" s="239" t="s">
        <v>13</v>
      </c>
      <c r="D1540" s="240">
        <f t="shared" si="23"/>
        <v>682.73965333333342</v>
      </c>
      <c r="E1540" s="226" t="s">
        <v>5222</v>
      </c>
      <c r="G1540" s="240">
        <v>636.84</v>
      </c>
    </row>
    <row r="1541" spans="1:7" ht="14.25" x14ac:dyDescent="0.2">
      <c r="A1541" s="237" t="s">
        <v>915</v>
      </c>
      <c r="B1541" s="238" t="s">
        <v>4001</v>
      </c>
      <c r="C1541" s="239" t="s">
        <v>13</v>
      </c>
      <c r="D1541" s="240">
        <f t="shared" si="23"/>
        <v>54.804426666666657</v>
      </c>
      <c r="E1541" s="226" t="s">
        <v>5222</v>
      </c>
      <c r="G1541" s="240">
        <v>51.12</v>
      </c>
    </row>
    <row r="1542" spans="1:7" ht="14.25" x14ac:dyDescent="0.2">
      <c r="A1542" s="237" t="s">
        <v>916</v>
      </c>
      <c r="B1542" s="238" t="s">
        <v>4002</v>
      </c>
      <c r="C1542" s="239" t="s">
        <v>13</v>
      </c>
      <c r="D1542" s="240">
        <f t="shared" si="23"/>
        <v>16.520661481481483</v>
      </c>
      <c r="E1542" s="226" t="s">
        <v>5222</v>
      </c>
      <c r="G1542" s="240">
        <v>15.41</v>
      </c>
    </row>
    <row r="1543" spans="1:7" ht="14.25" x14ac:dyDescent="0.2">
      <c r="A1543" s="237" t="s">
        <v>917</v>
      </c>
      <c r="B1543" s="238" t="s">
        <v>4003</v>
      </c>
      <c r="C1543" s="239" t="s">
        <v>13</v>
      </c>
      <c r="D1543" s="240">
        <f t="shared" si="23"/>
        <v>17.764267407407406</v>
      </c>
      <c r="E1543" s="226" t="s">
        <v>5222</v>
      </c>
      <c r="G1543" s="240">
        <v>16.57</v>
      </c>
    </row>
    <row r="1544" spans="1:7" ht="14.25" x14ac:dyDescent="0.2">
      <c r="A1544" s="237" t="s">
        <v>918</v>
      </c>
      <c r="B1544" s="238" t="s">
        <v>4004</v>
      </c>
      <c r="C1544" s="239" t="s">
        <v>13</v>
      </c>
      <c r="D1544" s="240">
        <f t="shared" ref="D1544:D1607" si="24">(G1544/(1+0.35))*(1+$D$3)</f>
        <v>64.935526666666675</v>
      </c>
      <c r="E1544" s="226" t="s">
        <v>5222</v>
      </c>
      <c r="G1544" s="240">
        <v>60.57</v>
      </c>
    </row>
    <row r="1545" spans="1:7" ht="14.25" x14ac:dyDescent="0.2">
      <c r="A1545" s="237" t="s">
        <v>919</v>
      </c>
      <c r="B1545" s="238" t="s">
        <v>4005</v>
      </c>
      <c r="C1545" s="239" t="s">
        <v>13</v>
      </c>
      <c r="D1545" s="240">
        <f t="shared" si="24"/>
        <v>2.0905444444444443</v>
      </c>
      <c r="E1545" s="226" t="s">
        <v>5222</v>
      </c>
      <c r="G1545" s="240">
        <v>1.95</v>
      </c>
    </row>
    <row r="1546" spans="1:7" ht="14.25" x14ac:dyDescent="0.2">
      <c r="A1546" s="237" t="s">
        <v>920</v>
      </c>
      <c r="B1546" s="238" t="s">
        <v>4006</v>
      </c>
      <c r="C1546" s="239" t="s">
        <v>13</v>
      </c>
      <c r="D1546" s="240">
        <f t="shared" si="24"/>
        <v>4.5241525925925918</v>
      </c>
      <c r="E1546" s="226" t="s">
        <v>5222</v>
      </c>
      <c r="G1546" s="240">
        <v>4.22</v>
      </c>
    </row>
    <row r="1547" spans="1:7" ht="14.25" x14ac:dyDescent="0.2">
      <c r="A1547" s="237" t="s">
        <v>921</v>
      </c>
      <c r="B1547" s="238" t="s">
        <v>4007</v>
      </c>
      <c r="C1547" s="239" t="s">
        <v>13</v>
      </c>
      <c r="D1547" s="240">
        <f t="shared" si="24"/>
        <v>4.5241525925925918</v>
      </c>
      <c r="E1547" s="226" t="s">
        <v>5222</v>
      </c>
      <c r="G1547" s="240">
        <v>4.22</v>
      </c>
    </row>
    <row r="1548" spans="1:7" ht="14.25" x14ac:dyDescent="0.2">
      <c r="A1548" s="237" t="s">
        <v>922</v>
      </c>
      <c r="B1548" s="238" t="s">
        <v>4008</v>
      </c>
      <c r="C1548" s="239" t="s">
        <v>13</v>
      </c>
      <c r="D1548" s="240">
        <f t="shared" si="24"/>
        <v>4.5241525925925918</v>
      </c>
      <c r="E1548" s="226" t="s">
        <v>5222</v>
      </c>
      <c r="G1548" s="240">
        <v>4.22</v>
      </c>
    </row>
    <row r="1549" spans="1:7" ht="14.25" x14ac:dyDescent="0.2">
      <c r="A1549" s="237" t="s">
        <v>923</v>
      </c>
      <c r="B1549" s="238" t="s">
        <v>4009</v>
      </c>
      <c r="C1549" s="239" t="s">
        <v>13</v>
      </c>
      <c r="D1549" s="240">
        <f t="shared" si="24"/>
        <v>2.0154992592592591</v>
      </c>
      <c r="E1549" s="226" t="s">
        <v>5222</v>
      </c>
      <c r="G1549" s="240">
        <v>1.88</v>
      </c>
    </row>
    <row r="1550" spans="1:7" ht="14.25" x14ac:dyDescent="0.2">
      <c r="A1550" s="237" t="s">
        <v>924</v>
      </c>
      <c r="B1550" s="238" t="s">
        <v>4010</v>
      </c>
      <c r="C1550" s="239" t="s">
        <v>13</v>
      </c>
      <c r="D1550" s="240">
        <f t="shared" si="24"/>
        <v>4.3633414814814815</v>
      </c>
      <c r="E1550" s="226" t="s">
        <v>5222</v>
      </c>
      <c r="G1550" s="240">
        <v>4.07</v>
      </c>
    </row>
    <row r="1551" spans="1:7" ht="14.25" x14ac:dyDescent="0.2">
      <c r="A1551" s="237" t="s">
        <v>925</v>
      </c>
      <c r="B1551" s="238" t="s">
        <v>4011</v>
      </c>
      <c r="C1551" s="239" t="s">
        <v>13</v>
      </c>
      <c r="D1551" s="240">
        <f t="shared" si="24"/>
        <v>4.3633414814814815</v>
      </c>
      <c r="E1551" s="226" t="s">
        <v>5222</v>
      </c>
      <c r="G1551" s="240">
        <v>4.07</v>
      </c>
    </row>
    <row r="1552" spans="1:7" ht="14.25" x14ac:dyDescent="0.2">
      <c r="A1552" s="237" t="s">
        <v>926</v>
      </c>
      <c r="B1552" s="238" t="s">
        <v>4012</v>
      </c>
      <c r="C1552" s="239" t="s">
        <v>13</v>
      </c>
      <c r="D1552" s="240">
        <f t="shared" si="24"/>
        <v>4.3633414814814815</v>
      </c>
      <c r="E1552" s="226" t="s">
        <v>5222</v>
      </c>
      <c r="G1552" s="240">
        <v>4.07</v>
      </c>
    </row>
    <row r="1553" spans="1:7" ht="14.25" x14ac:dyDescent="0.2">
      <c r="A1553" s="237" t="s">
        <v>927</v>
      </c>
      <c r="B1553" s="238" t="s">
        <v>4013</v>
      </c>
      <c r="C1553" s="239" t="s">
        <v>13</v>
      </c>
      <c r="D1553" s="240">
        <f t="shared" si="24"/>
        <v>2.1977518518518515</v>
      </c>
      <c r="E1553" s="226" t="s">
        <v>5222</v>
      </c>
      <c r="G1553" s="240">
        <v>2.0499999999999998</v>
      </c>
    </row>
    <row r="1554" spans="1:7" ht="14.25" x14ac:dyDescent="0.2">
      <c r="A1554" s="237" t="s">
        <v>928</v>
      </c>
      <c r="B1554" s="238" t="s">
        <v>4014</v>
      </c>
      <c r="C1554" s="239" t="s">
        <v>13</v>
      </c>
      <c r="D1554" s="240">
        <f t="shared" si="24"/>
        <v>4.7492881481481479</v>
      </c>
      <c r="E1554" s="226" t="s">
        <v>5222</v>
      </c>
      <c r="G1554" s="240">
        <v>4.43</v>
      </c>
    </row>
    <row r="1555" spans="1:7" ht="14.25" x14ac:dyDescent="0.2">
      <c r="A1555" s="237" t="s">
        <v>929</v>
      </c>
      <c r="B1555" s="238" t="s">
        <v>4015</v>
      </c>
      <c r="C1555" s="239" t="s">
        <v>13</v>
      </c>
      <c r="D1555" s="240">
        <f t="shared" si="24"/>
        <v>4.7492881481481479</v>
      </c>
      <c r="E1555" s="226" t="s">
        <v>5222</v>
      </c>
      <c r="G1555" s="240">
        <v>4.43</v>
      </c>
    </row>
    <row r="1556" spans="1:7" ht="14.25" x14ac:dyDescent="0.2">
      <c r="A1556" s="237" t="s">
        <v>930</v>
      </c>
      <c r="B1556" s="238" t="s">
        <v>4016</v>
      </c>
      <c r="C1556" s="239" t="s">
        <v>13</v>
      </c>
      <c r="D1556" s="240">
        <f t="shared" si="24"/>
        <v>4.7492881481481479</v>
      </c>
      <c r="E1556" s="226" t="s">
        <v>5222</v>
      </c>
      <c r="G1556" s="240">
        <v>4.43</v>
      </c>
    </row>
    <row r="1557" spans="1:7" ht="14.25" x14ac:dyDescent="0.2">
      <c r="A1557" s="237" t="s">
        <v>931</v>
      </c>
      <c r="B1557" s="238" t="s">
        <v>4017</v>
      </c>
      <c r="C1557" s="239" t="s">
        <v>13</v>
      </c>
      <c r="D1557" s="240">
        <f t="shared" si="24"/>
        <v>2.5086533333333332</v>
      </c>
      <c r="E1557" s="226" t="s">
        <v>5222</v>
      </c>
      <c r="G1557" s="240">
        <v>2.34</v>
      </c>
    </row>
    <row r="1558" spans="1:7" ht="14.25" x14ac:dyDescent="0.2">
      <c r="A1558" s="237" t="s">
        <v>932</v>
      </c>
      <c r="B1558" s="238" t="s">
        <v>4018</v>
      </c>
      <c r="C1558" s="239" t="s">
        <v>13</v>
      </c>
      <c r="D1558" s="240">
        <f t="shared" si="24"/>
        <v>5.4354155555555552</v>
      </c>
      <c r="E1558" s="226" t="s">
        <v>5222</v>
      </c>
      <c r="G1558" s="240">
        <v>5.07</v>
      </c>
    </row>
    <row r="1559" spans="1:7" ht="14.25" x14ac:dyDescent="0.2">
      <c r="A1559" s="237" t="s">
        <v>933</v>
      </c>
      <c r="B1559" s="238" t="s">
        <v>4019</v>
      </c>
      <c r="C1559" s="239" t="s">
        <v>13</v>
      </c>
      <c r="D1559" s="240">
        <f t="shared" si="24"/>
        <v>5.4354155555555552</v>
      </c>
      <c r="E1559" s="226" t="s">
        <v>5222</v>
      </c>
      <c r="G1559" s="240">
        <v>5.07</v>
      </c>
    </row>
    <row r="1560" spans="1:7" ht="14.25" x14ac:dyDescent="0.2">
      <c r="A1560" s="237" t="s">
        <v>934</v>
      </c>
      <c r="B1560" s="238" t="s">
        <v>4020</v>
      </c>
      <c r="C1560" s="239" t="s">
        <v>13</v>
      </c>
      <c r="D1560" s="240">
        <f t="shared" si="24"/>
        <v>5.4354155555555552</v>
      </c>
      <c r="E1560" s="226" t="s">
        <v>5222</v>
      </c>
      <c r="G1560" s="240">
        <v>5.07</v>
      </c>
    </row>
    <row r="1561" spans="1:7" ht="14.25" x14ac:dyDescent="0.2">
      <c r="A1561" s="237" t="s">
        <v>935</v>
      </c>
      <c r="B1561" s="238" t="s">
        <v>4021</v>
      </c>
      <c r="C1561" s="239" t="s">
        <v>13</v>
      </c>
      <c r="D1561" s="240">
        <f t="shared" si="24"/>
        <v>72.600856296296286</v>
      </c>
      <c r="E1561" s="226" t="s">
        <v>5222</v>
      </c>
      <c r="G1561" s="240">
        <v>67.72</v>
      </c>
    </row>
    <row r="1562" spans="1:7" ht="14.25" x14ac:dyDescent="0.2">
      <c r="A1562" s="237" t="s">
        <v>936</v>
      </c>
      <c r="B1562" s="238" t="s">
        <v>4022</v>
      </c>
      <c r="C1562" s="239" t="s">
        <v>13</v>
      </c>
      <c r="D1562" s="240">
        <f t="shared" si="24"/>
        <v>77.125008888888885</v>
      </c>
      <c r="E1562" s="226" t="s">
        <v>5222</v>
      </c>
      <c r="G1562" s="240">
        <v>71.94</v>
      </c>
    </row>
    <row r="1563" spans="1:7" ht="14.25" x14ac:dyDescent="0.2">
      <c r="A1563" s="237" t="s">
        <v>937</v>
      </c>
      <c r="B1563" s="238" t="s">
        <v>4023</v>
      </c>
      <c r="C1563" s="239" t="s">
        <v>13</v>
      </c>
      <c r="D1563" s="240">
        <f t="shared" si="24"/>
        <v>232.84376814814814</v>
      </c>
      <c r="E1563" s="226" t="s">
        <v>5222</v>
      </c>
      <c r="G1563" s="240">
        <v>217.19</v>
      </c>
    </row>
    <row r="1564" spans="1:7" ht="14.25" x14ac:dyDescent="0.2">
      <c r="A1564" s="237" t="s">
        <v>938</v>
      </c>
      <c r="B1564" s="238" t="s">
        <v>4024</v>
      </c>
      <c r="C1564" s="239" t="s">
        <v>13</v>
      </c>
      <c r="D1564" s="240">
        <f t="shared" si="24"/>
        <v>267.90059037037031</v>
      </c>
      <c r="E1564" s="226" t="s">
        <v>5222</v>
      </c>
      <c r="G1564" s="240">
        <v>249.89</v>
      </c>
    </row>
    <row r="1565" spans="1:7" ht="14.25" x14ac:dyDescent="0.2">
      <c r="A1565" s="237" t="s">
        <v>939</v>
      </c>
      <c r="B1565" s="238" t="s">
        <v>4025</v>
      </c>
      <c r="C1565" s="239" t="s">
        <v>33</v>
      </c>
      <c r="D1565" s="240">
        <f t="shared" si="24"/>
        <v>5.038748148148148</v>
      </c>
      <c r="E1565" s="226" t="s">
        <v>5222</v>
      </c>
      <c r="G1565" s="240">
        <v>4.7</v>
      </c>
    </row>
    <row r="1566" spans="1:7" ht="14.25" x14ac:dyDescent="0.2">
      <c r="A1566" s="237" t="s">
        <v>940</v>
      </c>
      <c r="B1566" s="238" t="s">
        <v>4026</v>
      </c>
      <c r="C1566" s="239" t="s">
        <v>13</v>
      </c>
      <c r="D1566" s="240">
        <f t="shared" si="24"/>
        <v>80.662853333333331</v>
      </c>
      <c r="E1566" s="226" t="s">
        <v>5222</v>
      </c>
      <c r="G1566" s="240">
        <v>75.239999999999995</v>
      </c>
    </row>
    <row r="1567" spans="1:7" ht="14.25" x14ac:dyDescent="0.2">
      <c r="A1567" s="237" t="s">
        <v>941</v>
      </c>
      <c r="B1567" s="238" t="s">
        <v>4027</v>
      </c>
      <c r="C1567" s="239" t="s">
        <v>13</v>
      </c>
      <c r="D1567" s="240">
        <f t="shared" si="24"/>
        <v>93.70999481481482</v>
      </c>
      <c r="E1567" s="226" t="s">
        <v>5222</v>
      </c>
      <c r="G1567" s="240">
        <v>87.41</v>
      </c>
    </row>
    <row r="1568" spans="1:7" ht="14.25" x14ac:dyDescent="0.2">
      <c r="A1568" s="237" t="s">
        <v>942</v>
      </c>
      <c r="B1568" s="238" t="s">
        <v>4028</v>
      </c>
      <c r="C1568" s="239" t="s">
        <v>13</v>
      </c>
      <c r="D1568" s="240">
        <f t="shared" si="24"/>
        <v>261.66111925925924</v>
      </c>
      <c r="E1568" s="226" t="s">
        <v>5222</v>
      </c>
      <c r="G1568" s="240">
        <v>244.07</v>
      </c>
    </row>
    <row r="1569" spans="1:7" ht="14.25" x14ac:dyDescent="0.2">
      <c r="A1569" s="237" t="s">
        <v>943</v>
      </c>
      <c r="B1569" s="238" t="s">
        <v>4029</v>
      </c>
      <c r="C1569" s="239" t="s">
        <v>13</v>
      </c>
      <c r="D1569" s="240">
        <f t="shared" si="24"/>
        <v>296.71794148148149</v>
      </c>
      <c r="E1569" s="226" t="s">
        <v>5222</v>
      </c>
      <c r="G1569" s="240">
        <v>276.77</v>
      </c>
    </row>
    <row r="1570" spans="1:7" ht="14.25" x14ac:dyDescent="0.2">
      <c r="A1570" s="237" t="s">
        <v>944</v>
      </c>
      <c r="B1570" s="238" t="s">
        <v>4030</v>
      </c>
      <c r="C1570" s="239" t="s">
        <v>33</v>
      </c>
      <c r="D1570" s="240">
        <f t="shared" si="24"/>
        <v>5.5747851851851848</v>
      </c>
      <c r="E1570" s="226" t="s">
        <v>5222</v>
      </c>
      <c r="G1570" s="240">
        <v>5.2</v>
      </c>
    </row>
    <row r="1571" spans="1:7" ht="14.25" x14ac:dyDescent="0.2">
      <c r="A1571" s="237" t="s">
        <v>945</v>
      </c>
      <c r="B1571" s="238" t="s">
        <v>4031</v>
      </c>
      <c r="C1571" s="239" t="s">
        <v>13</v>
      </c>
      <c r="D1571" s="240">
        <f t="shared" si="24"/>
        <v>70.370942222222226</v>
      </c>
      <c r="E1571" s="226" t="s">
        <v>5222</v>
      </c>
      <c r="G1571" s="240">
        <v>65.64</v>
      </c>
    </row>
    <row r="1572" spans="1:7" ht="14.25" x14ac:dyDescent="0.2">
      <c r="A1572" s="237" t="s">
        <v>946</v>
      </c>
      <c r="B1572" s="238" t="s">
        <v>4032</v>
      </c>
      <c r="C1572" s="239" t="s">
        <v>13</v>
      </c>
      <c r="D1572" s="240">
        <f t="shared" si="24"/>
        <v>68.837876296296287</v>
      </c>
      <c r="E1572" s="226" t="s">
        <v>5222</v>
      </c>
      <c r="G1572" s="240">
        <v>64.209999999999994</v>
      </c>
    </row>
    <row r="1573" spans="1:7" ht="14.25" x14ac:dyDescent="0.2">
      <c r="A1573" s="237" t="s">
        <v>947</v>
      </c>
      <c r="B1573" s="238" t="s">
        <v>4033</v>
      </c>
      <c r="C1573" s="239" t="s">
        <v>13</v>
      </c>
      <c r="D1573" s="240">
        <f t="shared" si="24"/>
        <v>217.631037037037</v>
      </c>
      <c r="E1573" s="226" t="s">
        <v>5222</v>
      </c>
      <c r="G1573" s="240">
        <v>203</v>
      </c>
    </row>
    <row r="1574" spans="1:7" ht="14.25" x14ac:dyDescent="0.2">
      <c r="A1574" s="237" t="s">
        <v>948</v>
      </c>
      <c r="B1574" s="238" t="s">
        <v>4034</v>
      </c>
      <c r="C1574" s="239" t="s">
        <v>13</v>
      </c>
      <c r="D1574" s="240">
        <f t="shared" si="24"/>
        <v>252.68785925925926</v>
      </c>
      <c r="E1574" s="226" t="s">
        <v>5222</v>
      </c>
      <c r="G1574" s="240">
        <v>235.7</v>
      </c>
    </row>
    <row r="1575" spans="1:7" ht="14.25" x14ac:dyDescent="0.2">
      <c r="A1575" s="237" t="s">
        <v>949</v>
      </c>
      <c r="B1575" s="238" t="s">
        <v>4035</v>
      </c>
      <c r="C1575" s="239" t="s">
        <v>33</v>
      </c>
      <c r="D1575" s="240">
        <f t="shared" si="24"/>
        <v>4.7492881481481479</v>
      </c>
      <c r="E1575" s="226" t="s">
        <v>5222</v>
      </c>
      <c r="G1575" s="240">
        <v>4.43</v>
      </c>
    </row>
    <row r="1576" spans="1:7" ht="14.25" x14ac:dyDescent="0.2">
      <c r="A1576" s="237" t="s">
        <v>950</v>
      </c>
      <c r="B1576" s="238" t="s">
        <v>4036</v>
      </c>
      <c r="C1576" s="239" t="s">
        <v>13</v>
      </c>
      <c r="D1576" s="240">
        <f t="shared" si="24"/>
        <v>76.588971851851838</v>
      </c>
      <c r="E1576" s="226" t="s">
        <v>5222</v>
      </c>
      <c r="G1576" s="240">
        <v>71.44</v>
      </c>
    </row>
    <row r="1577" spans="1:7" ht="14.25" x14ac:dyDescent="0.2">
      <c r="A1577" s="237" t="s">
        <v>951</v>
      </c>
      <c r="B1577" s="238" t="s">
        <v>4037</v>
      </c>
      <c r="C1577" s="239" t="s">
        <v>13</v>
      </c>
      <c r="D1577" s="240">
        <f t="shared" si="24"/>
        <v>80.952313333333336</v>
      </c>
      <c r="E1577" s="226" t="s">
        <v>5222</v>
      </c>
      <c r="G1577" s="240">
        <v>75.510000000000005</v>
      </c>
    </row>
    <row r="1578" spans="1:7" ht="14.25" x14ac:dyDescent="0.2">
      <c r="A1578" s="237" t="s">
        <v>952</v>
      </c>
      <c r="B1578" s="238" t="s">
        <v>4038</v>
      </c>
      <c r="C1578" s="239" t="s">
        <v>13</v>
      </c>
      <c r="D1578" s="240">
        <f t="shared" si="24"/>
        <v>290.41414592592594</v>
      </c>
      <c r="E1578" s="226" t="s">
        <v>5222</v>
      </c>
      <c r="G1578" s="240">
        <v>270.89</v>
      </c>
    </row>
    <row r="1579" spans="1:7" ht="14.25" x14ac:dyDescent="0.2">
      <c r="A1579" s="237" t="s">
        <v>953</v>
      </c>
      <c r="B1579" s="238" t="s">
        <v>4039</v>
      </c>
      <c r="C1579" s="239" t="s">
        <v>13</v>
      </c>
      <c r="D1579" s="240">
        <f t="shared" si="24"/>
        <v>325.48168888888887</v>
      </c>
      <c r="E1579" s="226" t="s">
        <v>5222</v>
      </c>
      <c r="G1579" s="240">
        <v>303.60000000000002</v>
      </c>
    </row>
    <row r="1580" spans="1:7" ht="14.25" x14ac:dyDescent="0.2">
      <c r="A1580" s="237" t="s">
        <v>954</v>
      </c>
      <c r="B1580" s="238" t="s">
        <v>4040</v>
      </c>
      <c r="C1580" s="239" t="s">
        <v>33</v>
      </c>
      <c r="D1580" s="240">
        <f t="shared" si="24"/>
        <v>6.1215429629629625</v>
      </c>
      <c r="E1580" s="226" t="s">
        <v>5222</v>
      </c>
      <c r="G1580" s="240">
        <v>5.71</v>
      </c>
    </row>
    <row r="1581" spans="1:7" ht="14.25" x14ac:dyDescent="0.2">
      <c r="A1581" s="237" t="s">
        <v>955</v>
      </c>
      <c r="B1581" s="238" t="s">
        <v>4041</v>
      </c>
      <c r="C1581" s="239" t="s">
        <v>13</v>
      </c>
      <c r="D1581" s="240">
        <f t="shared" si="24"/>
        <v>61.504889629629623</v>
      </c>
      <c r="E1581" s="226" t="s">
        <v>5222</v>
      </c>
      <c r="G1581" s="240">
        <v>57.37</v>
      </c>
    </row>
    <row r="1582" spans="1:7" ht="14.25" x14ac:dyDescent="0.2">
      <c r="A1582" s="237" t="s">
        <v>956</v>
      </c>
      <c r="B1582" s="238" t="s">
        <v>4042</v>
      </c>
      <c r="C1582" s="239" t="s">
        <v>13</v>
      </c>
      <c r="D1582" s="240">
        <f t="shared" si="24"/>
        <v>51.556042222222217</v>
      </c>
      <c r="E1582" s="226" t="s">
        <v>5222</v>
      </c>
      <c r="G1582" s="240">
        <v>48.09</v>
      </c>
    </row>
    <row r="1583" spans="1:7" ht="14.25" x14ac:dyDescent="0.2">
      <c r="A1583" s="237" t="s">
        <v>957</v>
      </c>
      <c r="B1583" s="238" t="s">
        <v>4043</v>
      </c>
      <c r="C1583" s="239" t="s">
        <v>13</v>
      </c>
      <c r="D1583" s="240">
        <f t="shared" si="24"/>
        <v>261.02859555555551</v>
      </c>
      <c r="E1583" s="226" t="s">
        <v>5222</v>
      </c>
      <c r="G1583" s="240">
        <v>243.48</v>
      </c>
    </row>
    <row r="1584" spans="1:7" ht="14.25" x14ac:dyDescent="0.2">
      <c r="A1584" s="237" t="s">
        <v>958</v>
      </c>
      <c r="B1584" s="238" t="s">
        <v>4044</v>
      </c>
      <c r="C1584" s="239" t="s">
        <v>13</v>
      </c>
      <c r="D1584" s="240">
        <f t="shared" si="24"/>
        <v>296.08541777777776</v>
      </c>
      <c r="E1584" s="226" t="s">
        <v>5222</v>
      </c>
      <c r="G1584" s="240">
        <v>276.18</v>
      </c>
    </row>
    <row r="1585" spans="1:7" ht="14.25" x14ac:dyDescent="0.2">
      <c r="A1585" s="237" t="s">
        <v>959</v>
      </c>
      <c r="B1585" s="238" t="s">
        <v>4045</v>
      </c>
      <c r="C1585" s="239" t="s">
        <v>33</v>
      </c>
      <c r="D1585" s="240">
        <f t="shared" si="24"/>
        <v>5.5640644444444449</v>
      </c>
      <c r="E1585" s="226" t="s">
        <v>5222</v>
      </c>
      <c r="G1585" s="240">
        <v>5.19</v>
      </c>
    </row>
    <row r="1586" spans="1:7" ht="14.25" x14ac:dyDescent="0.2">
      <c r="A1586" s="237" t="s">
        <v>960</v>
      </c>
      <c r="B1586" s="238" t="s">
        <v>4046</v>
      </c>
      <c r="C1586" s="239" t="s">
        <v>13</v>
      </c>
      <c r="D1586" s="240">
        <f t="shared" si="24"/>
        <v>155.39713703703703</v>
      </c>
      <c r="E1586" s="226" t="s">
        <v>5222</v>
      </c>
      <c r="G1586" s="240">
        <v>144.94999999999999</v>
      </c>
    </row>
    <row r="1587" spans="1:7" ht="14.25" x14ac:dyDescent="0.2">
      <c r="A1587" s="237" t="s">
        <v>961</v>
      </c>
      <c r="B1587" s="238" t="s">
        <v>4047</v>
      </c>
      <c r="C1587" s="239" t="s">
        <v>13</v>
      </c>
      <c r="D1587" s="240">
        <f t="shared" si="24"/>
        <v>189.58557925925925</v>
      </c>
      <c r="E1587" s="226" t="s">
        <v>5222</v>
      </c>
      <c r="G1587" s="240">
        <v>176.84</v>
      </c>
    </row>
    <row r="1588" spans="1:7" ht="14.25" x14ac:dyDescent="0.2">
      <c r="A1588" s="237" t="s">
        <v>962</v>
      </c>
      <c r="B1588" s="238" t="s">
        <v>4048</v>
      </c>
      <c r="C1588" s="239" t="s">
        <v>13</v>
      </c>
      <c r="D1588" s="240">
        <f t="shared" si="24"/>
        <v>533.83928518518508</v>
      </c>
      <c r="E1588" s="226" t="s">
        <v>5222</v>
      </c>
      <c r="G1588" s="240">
        <v>497.95</v>
      </c>
    </row>
    <row r="1589" spans="1:7" ht="14.25" x14ac:dyDescent="0.2">
      <c r="A1589" s="237" t="s">
        <v>963</v>
      </c>
      <c r="B1589" s="238" t="s">
        <v>4049</v>
      </c>
      <c r="C1589" s="239" t="s">
        <v>13</v>
      </c>
      <c r="D1589" s="240">
        <f t="shared" si="24"/>
        <v>584.25892888888882</v>
      </c>
      <c r="E1589" s="226" t="s">
        <v>5222</v>
      </c>
      <c r="G1589" s="240">
        <v>544.98</v>
      </c>
    </row>
    <row r="1590" spans="1:7" ht="14.25" x14ac:dyDescent="0.2">
      <c r="A1590" s="237" t="s">
        <v>964</v>
      </c>
      <c r="B1590" s="238" t="s">
        <v>4050</v>
      </c>
      <c r="C1590" s="239" t="s">
        <v>33</v>
      </c>
      <c r="D1590" s="240">
        <f t="shared" si="24"/>
        <v>10.988759259259258</v>
      </c>
      <c r="E1590" s="226" t="s">
        <v>5222</v>
      </c>
      <c r="G1590" s="240">
        <v>10.25</v>
      </c>
    </row>
    <row r="1591" spans="1:7" ht="14.25" x14ac:dyDescent="0.2">
      <c r="A1591" s="237" t="s">
        <v>965</v>
      </c>
      <c r="B1591" s="238" t="s">
        <v>4051</v>
      </c>
      <c r="C1591" s="239" t="s">
        <v>13</v>
      </c>
      <c r="D1591" s="240">
        <f t="shared" si="24"/>
        <v>94.621257777777785</v>
      </c>
      <c r="E1591" s="226" t="s">
        <v>5222</v>
      </c>
      <c r="G1591" s="240">
        <v>88.26</v>
      </c>
    </row>
    <row r="1592" spans="1:7" ht="14.25" x14ac:dyDescent="0.2">
      <c r="A1592" s="237" t="s">
        <v>966</v>
      </c>
      <c r="B1592" s="238" t="s">
        <v>4052</v>
      </c>
      <c r="C1592" s="239" t="s">
        <v>13</v>
      </c>
      <c r="D1592" s="240">
        <f t="shared" si="24"/>
        <v>116.10562222222221</v>
      </c>
      <c r="E1592" s="226" t="s">
        <v>5222</v>
      </c>
      <c r="G1592" s="240">
        <v>108.3</v>
      </c>
    </row>
    <row r="1593" spans="1:7" ht="14.25" x14ac:dyDescent="0.2">
      <c r="A1593" s="237" t="s">
        <v>967</v>
      </c>
      <c r="B1593" s="238" t="s">
        <v>4053</v>
      </c>
      <c r="C1593" s="239" t="s">
        <v>13</v>
      </c>
      <c r="D1593" s="240">
        <f t="shared" si="24"/>
        <v>350.01074370370367</v>
      </c>
      <c r="E1593" s="226" t="s">
        <v>5222</v>
      </c>
      <c r="G1593" s="240">
        <v>326.48</v>
      </c>
    </row>
    <row r="1594" spans="1:7" ht="14.25" x14ac:dyDescent="0.2">
      <c r="A1594" s="237" t="s">
        <v>968</v>
      </c>
      <c r="B1594" s="238" t="s">
        <v>4054</v>
      </c>
      <c r="C1594" s="239" t="s">
        <v>13</v>
      </c>
      <c r="D1594" s="240">
        <f t="shared" si="24"/>
        <v>385.06756592592592</v>
      </c>
      <c r="E1594" s="226" t="s">
        <v>5222</v>
      </c>
      <c r="G1594" s="240">
        <v>359.18</v>
      </c>
    </row>
    <row r="1595" spans="1:7" ht="14.25" x14ac:dyDescent="0.2">
      <c r="A1595" s="237" t="s">
        <v>969</v>
      </c>
      <c r="B1595" s="238" t="s">
        <v>4055</v>
      </c>
      <c r="C1595" s="239" t="s">
        <v>33</v>
      </c>
      <c r="D1595" s="240">
        <f t="shared" si="24"/>
        <v>7.2365000000000004</v>
      </c>
      <c r="E1595" s="226" t="s">
        <v>5222</v>
      </c>
      <c r="G1595" s="240">
        <v>6.75</v>
      </c>
    </row>
    <row r="1596" spans="1:7" ht="14.25" x14ac:dyDescent="0.2">
      <c r="A1596" s="237" t="s">
        <v>970</v>
      </c>
      <c r="B1596" s="238" t="s">
        <v>4056</v>
      </c>
      <c r="C1596" s="239" t="s">
        <v>13</v>
      </c>
      <c r="D1596" s="240">
        <f t="shared" si="24"/>
        <v>95.114411851851841</v>
      </c>
      <c r="E1596" s="226" t="s">
        <v>5222</v>
      </c>
      <c r="G1596" s="240">
        <v>88.72</v>
      </c>
    </row>
    <row r="1597" spans="1:7" ht="14.25" x14ac:dyDescent="0.2">
      <c r="A1597" s="237" t="s">
        <v>971</v>
      </c>
      <c r="B1597" s="238" t="s">
        <v>4057</v>
      </c>
      <c r="C1597" s="239" t="s">
        <v>13</v>
      </c>
      <c r="D1597" s="240">
        <f t="shared" si="24"/>
        <v>117.05976814814814</v>
      </c>
      <c r="E1597" s="226" t="s">
        <v>5222</v>
      </c>
      <c r="G1597" s="240">
        <v>109.19</v>
      </c>
    </row>
    <row r="1598" spans="1:7" ht="14.25" x14ac:dyDescent="0.2">
      <c r="A1598" s="237" t="s">
        <v>972</v>
      </c>
      <c r="B1598" s="238" t="s">
        <v>4058</v>
      </c>
      <c r="C1598" s="239" t="s">
        <v>13</v>
      </c>
      <c r="D1598" s="240">
        <f t="shared" si="24"/>
        <v>359.39139185185184</v>
      </c>
      <c r="E1598" s="226" t="s">
        <v>5222</v>
      </c>
      <c r="G1598" s="240">
        <v>335.23</v>
      </c>
    </row>
    <row r="1599" spans="1:7" ht="14.25" x14ac:dyDescent="0.2">
      <c r="A1599" s="237" t="s">
        <v>973</v>
      </c>
      <c r="B1599" s="238" t="s">
        <v>4059</v>
      </c>
      <c r="C1599" s="239" t="s">
        <v>13</v>
      </c>
      <c r="D1599" s="240">
        <f t="shared" si="24"/>
        <v>394.44821407407403</v>
      </c>
      <c r="E1599" s="226" t="s">
        <v>5222</v>
      </c>
      <c r="G1599" s="240">
        <v>367.93</v>
      </c>
    </row>
    <row r="1600" spans="1:7" ht="14.25" x14ac:dyDescent="0.2">
      <c r="A1600" s="237" t="s">
        <v>974</v>
      </c>
      <c r="B1600" s="238" t="s">
        <v>4060</v>
      </c>
      <c r="C1600" s="239" t="s">
        <v>33</v>
      </c>
      <c r="D1600" s="240">
        <f t="shared" si="24"/>
        <v>7.4187525925925923</v>
      </c>
      <c r="E1600" s="226" t="s">
        <v>5222</v>
      </c>
      <c r="G1600" s="240">
        <v>6.92</v>
      </c>
    </row>
    <row r="1601" spans="1:7" ht="14.25" x14ac:dyDescent="0.2">
      <c r="A1601" s="237" t="s">
        <v>975</v>
      </c>
      <c r="B1601" s="238" t="s">
        <v>4061</v>
      </c>
      <c r="C1601" s="239" t="s">
        <v>13</v>
      </c>
      <c r="D1601" s="240">
        <f t="shared" si="24"/>
        <v>172.87194444444444</v>
      </c>
      <c r="E1601" s="226" t="s">
        <v>5222</v>
      </c>
      <c r="G1601" s="240">
        <v>161.25</v>
      </c>
    </row>
    <row r="1602" spans="1:7" ht="14.25" x14ac:dyDescent="0.2">
      <c r="A1602" s="237" t="s">
        <v>976</v>
      </c>
      <c r="B1602" s="238" t="s">
        <v>4062</v>
      </c>
      <c r="C1602" s="239" t="s">
        <v>13</v>
      </c>
      <c r="D1602" s="240">
        <f t="shared" si="24"/>
        <v>283.1776459259259</v>
      </c>
      <c r="E1602" s="226" t="s">
        <v>5222</v>
      </c>
      <c r="G1602" s="240">
        <v>264.14</v>
      </c>
    </row>
    <row r="1603" spans="1:7" ht="14.25" x14ac:dyDescent="0.2">
      <c r="A1603" s="237" t="s">
        <v>977</v>
      </c>
      <c r="B1603" s="238" t="s">
        <v>4063</v>
      </c>
      <c r="C1603" s="239" t="s">
        <v>13</v>
      </c>
      <c r="D1603" s="240">
        <f t="shared" si="24"/>
        <v>517.08276740740746</v>
      </c>
      <c r="E1603" s="226" t="s">
        <v>5222</v>
      </c>
      <c r="G1603" s="240">
        <v>482.32</v>
      </c>
    </row>
    <row r="1604" spans="1:7" ht="14.25" x14ac:dyDescent="0.2">
      <c r="A1604" s="237" t="s">
        <v>978</v>
      </c>
      <c r="B1604" s="238" t="s">
        <v>4064</v>
      </c>
      <c r="C1604" s="239" t="s">
        <v>13</v>
      </c>
      <c r="D1604" s="240">
        <f t="shared" si="24"/>
        <v>552.13958962962954</v>
      </c>
      <c r="E1604" s="226" t="s">
        <v>5222</v>
      </c>
      <c r="G1604" s="240">
        <v>515.02</v>
      </c>
    </row>
    <row r="1605" spans="1:7" ht="14.25" x14ac:dyDescent="0.2">
      <c r="A1605" s="237" t="s">
        <v>979</v>
      </c>
      <c r="B1605" s="238" t="s">
        <v>4065</v>
      </c>
      <c r="C1605" s="239" t="s">
        <v>33</v>
      </c>
      <c r="D1605" s="240">
        <f t="shared" si="24"/>
        <v>10.377677037037037</v>
      </c>
      <c r="E1605" s="226" t="s">
        <v>5222</v>
      </c>
      <c r="G1605" s="240">
        <v>9.68</v>
      </c>
    </row>
    <row r="1606" spans="1:7" ht="14.25" x14ac:dyDescent="0.2">
      <c r="A1606" s="237" t="s">
        <v>980</v>
      </c>
      <c r="B1606" s="238" t="s">
        <v>4066</v>
      </c>
      <c r="C1606" s="239" t="s">
        <v>13</v>
      </c>
      <c r="D1606" s="240">
        <f t="shared" si="24"/>
        <v>61.590655555555557</v>
      </c>
      <c r="E1606" s="226" t="s">
        <v>5222</v>
      </c>
      <c r="G1606" s="240">
        <v>57.45</v>
      </c>
    </row>
    <row r="1607" spans="1:7" ht="14.25" x14ac:dyDescent="0.2">
      <c r="A1607" s="237" t="s">
        <v>981</v>
      </c>
      <c r="B1607" s="238" t="s">
        <v>4067</v>
      </c>
      <c r="C1607" s="239" t="s">
        <v>13</v>
      </c>
      <c r="D1607" s="240">
        <f t="shared" si="24"/>
        <v>54.514966666666666</v>
      </c>
      <c r="E1607" s="226" t="s">
        <v>5222</v>
      </c>
      <c r="G1607" s="240">
        <v>50.85</v>
      </c>
    </row>
    <row r="1608" spans="1:7" ht="14.25" x14ac:dyDescent="0.2">
      <c r="A1608" s="237" t="s">
        <v>982</v>
      </c>
      <c r="B1608" s="238" t="s">
        <v>4068</v>
      </c>
      <c r="C1608" s="239" t="s">
        <v>13</v>
      </c>
      <c r="D1608" s="240">
        <f t="shared" ref="D1608:D1671" si="25">(G1608/(1+0.35))*(1+$D$3)</f>
        <v>189.51053407407409</v>
      </c>
      <c r="E1608" s="226" t="s">
        <v>5222</v>
      </c>
      <c r="G1608" s="240">
        <v>176.77</v>
      </c>
    </row>
    <row r="1609" spans="1:7" ht="14.25" x14ac:dyDescent="0.2">
      <c r="A1609" s="237" t="s">
        <v>983</v>
      </c>
      <c r="B1609" s="238" t="s">
        <v>4069</v>
      </c>
      <c r="C1609" s="239" t="s">
        <v>13</v>
      </c>
      <c r="D1609" s="240">
        <f t="shared" si="25"/>
        <v>224.56735629629628</v>
      </c>
      <c r="E1609" s="226" t="s">
        <v>5222</v>
      </c>
      <c r="G1609" s="240">
        <v>209.47</v>
      </c>
    </row>
    <row r="1610" spans="1:7" ht="14.25" x14ac:dyDescent="0.2">
      <c r="A1610" s="237" t="s">
        <v>984</v>
      </c>
      <c r="B1610" s="238" t="s">
        <v>4070</v>
      </c>
      <c r="C1610" s="239" t="s">
        <v>33</v>
      </c>
      <c r="D1610" s="240">
        <f t="shared" si="25"/>
        <v>4.223971851851851</v>
      </c>
      <c r="E1610" s="226" t="s">
        <v>5222</v>
      </c>
      <c r="G1610" s="240">
        <v>3.94</v>
      </c>
    </row>
    <row r="1611" spans="1:7" ht="14.25" x14ac:dyDescent="0.2">
      <c r="A1611" s="237" t="s">
        <v>985</v>
      </c>
      <c r="B1611" s="238" t="s">
        <v>4071</v>
      </c>
      <c r="C1611" s="239" t="s">
        <v>13</v>
      </c>
      <c r="D1611" s="240">
        <f t="shared" si="25"/>
        <v>73.694371851851841</v>
      </c>
      <c r="E1611" s="226" t="s">
        <v>5222</v>
      </c>
      <c r="G1611" s="240">
        <v>68.739999999999995</v>
      </c>
    </row>
    <row r="1612" spans="1:7" ht="14.25" x14ac:dyDescent="0.2">
      <c r="A1612" s="237" t="s">
        <v>986</v>
      </c>
      <c r="B1612" s="238" t="s">
        <v>4072</v>
      </c>
      <c r="C1612" s="239" t="s">
        <v>13</v>
      </c>
      <c r="D1612" s="240">
        <f t="shared" si="25"/>
        <v>79.387085185185185</v>
      </c>
      <c r="E1612" s="226" t="s">
        <v>5222</v>
      </c>
      <c r="G1612" s="240">
        <v>74.05</v>
      </c>
    </row>
    <row r="1613" spans="1:7" ht="14.25" x14ac:dyDescent="0.2">
      <c r="A1613" s="237" t="s">
        <v>987</v>
      </c>
      <c r="B1613" s="238" t="s">
        <v>4073</v>
      </c>
      <c r="C1613" s="239" t="s">
        <v>13</v>
      </c>
      <c r="D1613" s="240">
        <f t="shared" si="25"/>
        <v>240.97008962962963</v>
      </c>
      <c r="E1613" s="226" t="s">
        <v>5222</v>
      </c>
      <c r="G1613" s="240">
        <v>224.77</v>
      </c>
    </row>
    <row r="1614" spans="1:7" ht="14.25" x14ac:dyDescent="0.2">
      <c r="A1614" s="237" t="s">
        <v>988</v>
      </c>
      <c r="B1614" s="238" t="s">
        <v>4074</v>
      </c>
      <c r="C1614" s="239" t="s">
        <v>13</v>
      </c>
      <c r="D1614" s="240">
        <f t="shared" si="25"/>
        <v>276.02691185185188</v>
      </c>
      <c r="E1614" s="226" t="s">
        <v>5222</v>
      </c>
      <c r="G1614" s="240">
        <v>257.47000000000003</v>
      </c>
    </row>
    <row r="1615" spans="1:7" ht="14.25" x14ac:dyDescent="0.2">
      <c r="A1615" s="237" t="s">
        <v>989</v>
      </c>
      <c r="B1615" s="238" t="s">
        <v>4075</v>
      </c>
      <c r="C1615" s="239" t="s">
        <v>33</v>
      </c>
      <c r="D1615" s="240">
        <f t="shared" si="25"/>
        <v>5.1888385185185184</v>
      </c>
      <c r="E1615" s="226" t="s">
        <v>5222</v>
      </c>
      <c r="G1615" s="240">
        <v>4.84</v>
      </c>
    </row>
    <row r="1616" spans="1:7" ht="14.25" x14ac:dyDescent="0.2">
      <c r="A1616" s="237" t="s">
        <v>990</v>
      </c>
      <c r="B1616" s="238" t="s">
        <v>4076</v>
      </c>
      <c r="C1616" s="239" t="s">
        <v>13</v>
      </c>
      <c r="D1616" s="240">
        <f t="shared" si="25"/>
        <v>77.789694814814808</v>
      </c>
      <c r="E1616" s="226" t="s">
        <v>5222</v>
      </c>
      <c r="G1616" s="240">
        <v>72.56</v>
      </c>
    </row>
    <row r="1617" spans="1:7" ht="14.25" x14ac:dyDescent="0.2">
      <c r="A1617" s="237" t="s">
        <v>991</v>
      </c>
      <c r="B1617" s="238" t="s">
        <v>4077</v>
      </c>
      <c r="C1617" s="239" t="s">
        <v>13</v>
      </c>
      <c r="D1617" s="240">
        <f t="shared" si="25"/>
        <v>87.792145925925922</v>
      </c>
      <c r="E1617" s="226" t="s">
        <v>5222</v>
      </c>
      <c r="G1617" s="240">
        <v>81.89</v>
      </c>
    </row>
    <row r="1618" spans="1:7" ht="14.25" x14ac:dyDescent="0.2">
      <c r="A1618" s="237" t="s">
        <v>992</v>
      </c>
      <c r="B1618" s="238" t="s">
        <v>4078</v>
      </c>
      <c r="C1618" s="239" t="s">
        <v>13</v>
      </c>
      <c r="D1618" s="240">
        <f t="shared" si="25"/>
        <v>288.61306148148145</v>
      </c>
      <c r="E1618" s="226" t="s">
        <v>5222</v>
      </c>
      <c r="G1618" s="240">
        <v>269.20999999999998</v>
      </c>
    </row>
    <row r="1619" spans="1:7" ht="14.25" x14ac:dyDescent="0.2">
      <c r="A1619" s="237" t="s">
        <v>993</v>
      </c>
      <c r="B1619" s="238" t="s">
        <v>4079</v>
      </c>
      <c r="C1619" s="239" t="s">
        <v>13</v>
      </c>
      <c r="D1619" s="240">
        <f t="shared" si="25"/>
        <v>323.6698837037037</v>
      </c>
      <c r="E1619" s="226" t="s">
        <v>5222</v>
      </c>
      <c r="G1619" s="240">
        <v>301.91000000000003</v>
      </c>
    </row>
    <row r="1620" spans="1:7" ht="14.25" x14ac:dyDescent="0.2">
      <c r="A1620" s="237" t="s">
        <v>994</v>
      </c>
      <c r="B1620" s="238" t="s">
        <v>4080</v>
      </c>
      <c r="C1620" s="239" t="s">
        <v>33</v>
      </c>
      <c r="D1620" s="240">
        <f t="shared" si="25"/>
        <v>6.089380740740741</v>
      </c>
      <c r="E1620" s="226" t="s">
        <v>5222</v>
      </c>
      <c r="G1620" s="240">
        <v>5.68</v>
      </c>
    </row>
    <row r="1621" spans="1:7" ht="14.25" x14ac:dyDescent="0.2">
      <c r="A1621" s="237" t="s">
        <v>995</v>
      </c>
      <c r="B1621" s="238" t="s">
        <v>4081</v>
      </c>
      <c r="C1621" s="239" t="s">
        <v>13</v>
      </c>
      <c r="D1621" s="240">
        <f t="shared" si="25"/>
        <v>131.31835333333331</v>
      </c>
      <c r="E1621" s="226" t="s">
        <v>5222</v>
      </c>
      <c r="G1621" s="240">
        <v>122.49</v>
      </c>
    </row>
    <row r="1622" spans="1:7" ht="14.25" x14ac:dyDescent="0.2">
      <c r="A1622" s="237" t="s">
        <v>996</v>
      </c>
      <c r="B1622" s="238" t="s">
        <v>4082</v>
      </c>
      <c r="C1622" s="239" t="s">
        <v>13</v>
      </c>
      <c r="D1622" s="240">
        <f t="shared" si="25"/>
        <v>91.362152592592579</v>
      </c>
      <c r="E1622" s="226" t="s">
        <v>5222</v>
      </c>
      <c r="G1622" s="240">
        <v>85.22</v>
      </c>
    </row>
    <row r="1623" spans="1:7" ht="14.25" x14ac:dyDescent="0.2">
      <c r="A1623" s="237" t="s">
        <v>997</v>
      </c>
      <c r="B1623" s="238" t="s">
        <v>4083</v>
      </c>
      <c r="C1623" s="239" t="s">
        <v>13</v>
      </c>
      <c r="D1623" s="240">
        <f t="shared" si="25"/>
        <v>225.80024148148146</v>
      </c>
      <c r="E1623" s="226" t="s">
        <v>5222</v>
      </c>
      <c r="G1623" s="240">
        <v>210.62</v>
      </c>
    </row>
    <row r="1624" spans="1:7" ht="14.25" x14ac:dyDescent="0.2">
      <c r="A1624" s="237" t="s">
        <v>998</v>
      </c>
      <c r="B1624" s="238" t="s">
        <v>4084</v>
      </c>
      <c r="C1624" s="239" t="s">
        <v>13</v>
      </c>
      <c r="D1624" s="240">
        <f t="shared" si="25"/>
        <v>312.64896222222222</v>
      </c>
      <c r="E1624" s="226" t="s">
        <v>5222</v>
      </c>
      <c r="G1624" s="240">
        <v>291.63</v>
      </c>
    </row>
    <row r="1625" spans="1:7" ht="14.25" x14ac:dyDescent="0.2">
      <c r="A1625" s="237" t="s">
        <v>999</v>
      </c>
      <c r="B1625" s="238" t="s">
        <v>4085</v>
      </c>
      <c r="C1625" s="239" t="s">
        <v>33</v>
      </c>
      <c r="D1625" s="240">
        <f t="shared" si="25"/>
        <v>5.6927133333333328</v>
      </c>
      <c r="E1625" s="226" t="s">
        <v>5222</v>
      </c>
      <c r="G1625" s="240">
        <v>5.31</v>
      </c>
    </row>
    <row r="1626" spans="1:7" ht="14.25" x14ac:dyDescent="0.2">
      <c r="A1626" s="237" t="s">
        <v>1000</v>
      </c>
      <c r="B1626" s="238" t="s">
        <v>4086</v>
      </c>
      <c r="C1626" s="239" t="s">
        <v>13</v>
      </c>
      <c r="D1626" s="240">
        <f t="shared" si="25"/>
        <v>147.61387925925925</v>
      </c>
      <c r="E1626" s="226" t="s">
        <v>5222</v>
      </c>
      <c r="G1626" s="240">
        <v>137.69</v>
      </c>
    </row>
    <row r="1627" spans="1:7" ht="14.25" x14ac:dyDescent="0.2">
      <c r="A1627" s="237" t="s">
        <v>1001</v>
      </c>
      <c r="B1627" s="238" t="s">
        <v>4087</v>
      </c>
      <c r="C1627" s="239" t="s">
        <v>13</v>
      </c>
      <c r="D1627" s="240">
        <f t="shared" si="25"/>
        <v>124.85374666666665</v>
      </c>
      <c r="E1627" s="226" t="s">
        <v>5222</v>
      </c>
      <c r="G1627" s="240">
        <v>116.46</v>
      </c>
    </row>
    <row r="1628" spans="1:7" ht="14.25" x14ac:dyDescent="0.2">
      <c r="A1628" s="237" t="s">
        <v>1002</v>
      </c>
      <c r="B1628" s="238" t="s">
        <v>4088</v>
      </c>
      <c r="C1628" s="239" t="s">
        <v>13</v>
      </c>
      <c r="D1628" s="240">
        <f t="shared" si="25"/>
        <v>285.8792725925926</v>
      </c>
      <c r="E1628" s="226" t="s">
        <v>5222</v>
      </c>
      <c r="G1628" s="240">
        <v>266.66000000000003</v>
      </c>
    </row>
    <row r="1629" spans="1:7" ht="14.25" x14ac:dyDescent="0.2">
      <c r="A1629" s="237" t="s">
        <v>1003</v>
      </c>
      <c r="B1629" s="238" t="s">
        <v>4089</v>
      </c>
      <c r="C1629" s="239" t="s">
        <v>13</v>
      </c>
      <c r="D1629" s="240">
        <f t="shared" si="25"/>
        <v>372.7279933333333</v>
      </c>
      <c r="E1629" s="226" t="s">
        <v>5222</v>
      </c>
      <c r="G1629" s="240">
        <v>347.67</v>
      </c>
    </row>
    <row r="1630" spans="1:7" ht="14.25" x14ac:dyDescent="0.2">
      <c r="A1630" s="237" t="s">
        <v>1004</v>
      </c>
      <c r="B1630" s="238" t="s">
        <v>4090</v>
      </c>
      <c r="C1630" s="239" t="s">
        <v>33</v>
      </c>
      <c r="D1630" s="240">
        <f t="shared" si="25"/>
        <v>6.7862288888888882</v>
      </c>
      <c r="E1630" s="226" t="s">
        <v>5222</v>
      </c>
      <c r="G1630" s="240">
        <v>6.33</v>
      </c>
    </row>
    <row r="1631" spans="1:7" ht="14.25" x14ac:dyDescent="0.2">
      <c r="A1631" s="237" t="s">
        <v>1005</v>
      </c>
      <c r="B1631" s="238" t="s">
        <v>4091</v>
      </c>
      <c r="C1631" s="239" t="s">
        <v>13</v>
      </c>
      <c r="D1631" s="240">
        <f t="shared" si="25"/>
        <v>110.93822518518517</v>
      </c>
      <c r="E1631" s="226" t="s">
        <v>5222</v>
      </c>
      <c r="G1631" s="240">
        <v>103.48</v>
      </c>
    </row>
    <row r="1632" spans="1:7" ht="14.25" x14ac:dyDescent="0.2">
      <c r="A1632" s="237" t="s">
        <v>1006</v>
      </c>
      <c r="B1632" s="238" t="s">
        <v>4092</v>
      </c>
      <c r="C1632" s="239" t="s">
        <v>13</v>
      </c>
      <c r="D1632" s="240">
        <f t="shared" si="25"/>
        <v>102.69397555555555</v>
      </c>
      <c r="E1632" s="226" t="s">
        <v>5222</v>
      </c>
      <c r="G1632" s="240">
        <v>95.79</v>
      </c>
    </row>
    <row r="1633" spans="1:7" ht="14.25" x14ac:dyDescent="0.2">
      <c r="A1633" s="237" t="s">
        <v>1007</v>
      </c>
      <c r="B1633" s="238" t="s">
        <v>4093</v>
      </c>
      <c r="C1633" s="239" t="s">
        <v>13</v>
      </c>
      <c r="D1633" s="240">
        <f t="shared" si="25"/>
        <v>336.59909703703704</v>
      </c>
      <c r="E1633" s="226" t="s">
        <v>5222</v>
      </c>
      <c r="G1633" s="240">
        <v>313.97000000000003</v>
      </c>
    </row>
    <row r="1634" spans="1:7" ht="14.25" x14ac:dyDescent="0.2">
      <c r="A1634" s="237" t="s">
        <v>1008</v>
      </c>
      <c r="B1634" s="238" t="s">
        <v>4094</v>
      </c>
      <c r="C1634" s="239" t="s">
        <v>13</v>
      </c>
      <c r="D1634" s="240">
        <f t="shared" si="25"/>
        <v>397.55722888888886</v>
      </c>
      <c r="E1634" s="226" t="s">
        <v>5222</v>
      </c>
      <c r="G1634" s="240">
        <v>370.83</v>
      </c>
    </row>
    <row r="1635" spans="1:7" ht="14.25" x14ac:dyDescent="0.2">
      <c r="A1635" s="237" t="s">
        <v>1009</v>
      </c>
      <c r="B1635" s="238" t="s">
        <v>4095</v>
      </c>
      <c r="C1635" s="239" t="s">
        <v>33</v>
      </c>
      <c r="D1635" s="240">
        <f t="shared" si="25"/>
        <v>7.2365000000000004</v>
      </c>
      <c r="E1635" s="226" t="s">
        <v>5222</v>
      </c>
      <c r="G1635" s="240">
        <v>6.75</v>
      </c>
    </row>
    <row r="1636" spans="1:7" ht="14.25" x14ac:dyDescent="0.2">
      <c r="A1636" s="237" t="s">
        <v>1010</v>
      </c>
      <c r="B1636" s="238" t="s">
        <v>4096</v>
      </c>
      <c r="C1636" s="239" t="s">
        <v>13</v>
      </c>
      <c r="D1636" s="240">
        <f t="shared" si="25"/>
        <v>105.5992962962963</v>
      </c>
      <c r="E1636" s="226" t="s">
        <v>5222</v>
      </c>
      <c r="G1636" s="240">
        <v>98.5</v>
      </c>
    </row>
    <row r="1637" spans="1:7" ht="14.25" x14ac:dyDescent="0.2">
      <c r="A1637" s="237" t="s">
        <v>1011</v>
      </c>
      <c r="B1637" s="238" t="s">
        <v>4097</v>
      </c>
      <c r="C1637" s="239" t="s">
        <v>13</v>
      </c>
      <c r="D1637" s="240">
        <f t="shared" si="25"/>
        <v>91.748099259259249</v>
      </c>
      <c r="E1637" s="226" t="s">
        <v>5222</v>
      </c>
      <c r="G1637" s="240">
        <v>85.58</v>
      </c>
    </row>
    <row r="1638" spans="1:7" ht="14.25" x14ac:dyDescent="0.2">
      <c r="A1638" s="237" t="s">
        <v>1012</v>
      </c>
      <c r="B1638" s="238" t="s">
        <v>4098</v>
      </c>
      <c r="C1638" s="239" t="s">
        <v>13</v>
      </c>
      <c r="D1638" s="240">
        <f t="shared" si="25"/>
        <v>251.26200074074075</v>
      </c>
      <c r="E1638" s="226" t="s">
        <v>5222</v>
      </c>
      <c r="G1638" s="240">
        <v>234.37</v>
      </c>
    </row>
    <row r="1639" spans="1:7" ht="14.25" x14ac:dyDescent="0.2">
      <c r="A1639" s="237" t="s">
        <v>1013</v>
      </c>
      <c r="B1639" s="238" t="s">
        <v>4099</v>
      </c>
      <c r="C1639" s="239" t="s">
        <v>13</v>
      </c>
      <c r="D1639" s="240">
        <f t="shared" si="25"/>
        <v>312.22013259259262</v>
      </c>
      <c r="E1639" s="226" t="s">
        <v>5222</v>
      </c>
      <c r="G1639" s="240">
        <v>291.23</v>
      </c>
    </row>
    <row r="1640" spans="1:7" ht="14.25" x14ac:dyDescent="0.2">
      <c r="A1640" s="237" t="s">
        <v>1014</v>
      </c>
      <c r="B1640" s="238" t="s">
        <v>4100</v>
      </c>
      <c r="C1640" s="239" t="s">
        <v>13</v>
      </c>
      <c r="D1640" s="240">
        <f t="shared" si="25"/>
        <v>92.841614814814804</v>
      </c>
      <c r="E1640" s="226" t="s">
        <v>5222</v>
      </c>
      <c r="G1640" s="240">
        <v>86.6</v>
      </c>
    </row>
    <row r="1641" spans="1:7" ht="14.25" x14ac:dyDescent="0.2">
      <c r="A1641" s="237" t="s">
        <v>1015</v>
      </c>
      <c r="B1641" s="238" t="s">
        <v>4101</v>
      </c>
      <c r="C1641" s="239" t="s">
        <v>13</v>
      </c>
      <c r="D1641" s="240">
        <f t="shared" si="25"/>
        <v>118.72148296296295</v>
      </c>
      <c r="E1641" s="226" t="s">
        <v>5222</v>
      </c>
      <c r="G1641" s="240">
        <v>110.74</v>
      </c>
    </row>
    <row r="1642" spans="1:7" ht="14.25" x14ac:dyDescent="0.2">
      <c r="A1642" s="237" t="s">
        <v>1016</v>
      </c>
      <c r="B1642" s="238" t="s">
        <v>4102</v>
      </c>
      <c r="C1642" s="239" t="s">
        <v>13</v>
      </c>
      <c r="D1642" s="240">
        <f t="shared" si="25"/>
        <v>274.4402422222222</v>
      </c>
      <c r="E1642" s="226" t="s">
        <v>5222</v>
      </c>
      <c r="G1642" s="240">
        <v>255.99</v>
      </c>
    </row>
    <row r="1643" spans="1:7" ht="14.25" x14ac:dyDescent="0.2">
      <c r="A1643" s="237" t="s">
        <v>1017</v>
      </c>
      <c r="B1643" s="238" t="s">
        <v>4103</v>
      </c>
      <c r="C1643" s="239" t="s">
        <v>13</v>
      </c>
      <c r="D1643" s="240">
        <f t="shared" si="25"/>
        <v>309.49706444444445</v>
      </c>
      <c r="E1643" s="226" t="s">
        <v>5222</v>
      </c>
      <c r="G1643" s="240">
        <v>288.69</v>
      </c>
    </row>
    <row r="1644" spans="1:7" ht="14.25" x14ac:dyDescent="0.2">
      <c r="A1644" s="237" t="s">
        <v>1018</v>
      </c>
      <c r="B1644" s="238" t="s">
        <v>4104</v>
      </c>
      <c r="C1644" s="239" t="s">
        <v>33</v>
      </c>
      <c r="D1644" s="240">
        <f t="shared" si="25"/>
        <v>5.6283888888888889</v>
      </c>
      <c r="E1644" s="226" t="s">
        <v>5222</v>
      </c>
      <c r="G1644" s="240">
        <v>5.25</v>
      </c>
    </row>
    <row r="1645" spans="1:7" ht="14.25" x14ac:dyDescent="0.2">
      <c r="A1645" s="237" t="s">
        <v>1019</v>
      </c>
      <c r="B1645" s="238" t="s">
        <v>4105</v>
      </c>
      <c r="C1645" s="239" t="s">
        <v>13</v>
      </c>
      <c r="D1645" s="240">
        <f t="shared" si="25"/>
        <v>91.512242962962958</v>
      </c>
      <c r="E1645" s="226" t="s">
        <v>5222</v>
      </c>
      <c r="G1645" s="240">
        <v>85.36</v>
      </c>
    </row>
    <row r="1646" spans="1:7" ht="14.25" x14ac:dyDescent="0.2">
      <c r="A1646" s="237" t="s">
        <v>1020</v>
      </c>
      <c r="B1646" s="238" t="s">
        <v>4106</v>
      </c>
      <c r="C1646" s="239" t="s">
        <v>13</v>
      </c>
      <c r="D1646" s="240">
        <f t="shared" si="25"/>
        <v>115.98769407407407</v>
      </c>
      <c r="E1646" s="226" t="s">
        <v>5222</v>
      </c>
      <c r="G1646" s="240">
        <v>108.19</v>
      </c>
    </row>
    <row r="1647" spans="1:7" ht="14.25" x14ac:dyDescent="0.2">
      <c r="A1647" s="237" t="s">
        <v>1021</v>
      </c>
      <c r="B1647" s="238" t="s">
        <v>4107</v>
      </c>
      <c r="C1647" s="239" t="s">
        <v>13</v>
      </c>
      <c r="D1647" s="240">
        <f t="shared" si="25"/>
        <v>271.70645333333334</v>
      </c>
      <c r="E1647" s="226" t="s">
        <v>5222</v>
      </c>
      <c r="G1647" s="240">
        <v>253.44</v>
      </c>
    </row>
    <row r="1648" spans="1:7" ht="14.25" x14ac:dyDescent="0.2">
      <c r="A1648" s="237" t="s">
        <v>1022</v>
      </c>
      <c r="B1648" s="238" t="s">
        <v>4108</v>
      </c>
      <c r="C1648" s="239" t="s">
        <v>13</v>
      </c>
      <c r="D1648" s="240">
        <f t="shared" si="25"/>
        <v>306.76327555555554</v>
      </c>
      <c r="E1648" s="226" t="s">
        <v>5222</v>
      </c>
      <c r="G1648" s="240">
        <v>286.14</v>
      </c>
    </row>
    <row r="1649" spans="1:7" ht="14.25" x14ac:dyDescent="0.2">
      <c r="A1649" s="237" t="s">
        <v>1023</v>
      </c>
      <c r="B1649" s="238" t="s">
        <v>4109</v>
      </c>
      <c r="C1649" s="239" t="s">
        <v>33</v>
      </c>
      <c r="D1649" s="240">
        <f t="shared" si="25"/>
        <v>5.7677585185185185</v>
      </c>
      <c r="E1649" s="226" t="s">
        <v>5222</v>
      </c>
      <c r="G1649" s="240">
        <v>5.38</v>
      </c>
    </row>
    <row r="1650" spans="1:7" ht="14.25" x14ac:dyDescent="0.2">
      <c r="A1650" s="237" t="s">
        <v>1024</v>
      </c>
      <c r="B1650" s="238" t="s">
        <v>4110</v>
      </c>
      <c r="C1650" s="239" t="s">
        <v>13</v>
      </c>
      <c r="D1650" s="240">
        <f t="shared" si="25"/>
        <v>91.426477037037031</v>
      </c>
      <c r="E1650" s="226" t="s">
        <v>5222</v>
      </c>
      <c r="G1650" s="240">
        <v>85.28</v>
      </c>
    </row>
    <row r="1651" spans="1:7" ht="14.25" x14ac:dyDescent="0.2">
      <c r="A1651" s="237" t="s">
        <v>1025</v>
      </c>
      <c r="B1651" s="238" t="s">
        <v>4111</v>
      </c>
      <c r="C1651" s="239" t="s">
        <v>13</v>
      </c>
      <c r="D1651" s="240">
        <f t="shared" si="25"/>
        <v>101.80415407407406</v>
      </c>
      <c r="E1651" s="226" t="s">
        <v>5222</v>
      </c>
      <c r="G1651" s="240">
        <v>94.96</v>
      </c>
    </row>
    <row r="1652" spans="1:7" ht="14.25" x14ac:dyDescent="0.2">
      <c r="A1652" s="237" t="s">
        <v>1026</v>
      </c>
      <c r="B1652" s="238" t="s">
        <v>4112</v>
      </c>
      <c r="C1652" s="239" t="s">
        <v>13</v>
      </c>
      <c r="D1652" s="240">
        <f t="shared" si="25"/>
        <v>294.19856740740738</v>
      </c>
      <c r="E1652" s="226" t="s">
        <v>5222</v>
      </c>
      <c r="G1652" s="240">
        <v>274.42</v>
      </c>
    </row>
    <row r="1653" spans="1:7" ht="14.25" x14ac:dyDescent="0.2">
      <c r="A1653" s="237" t="s">
        <v>1027</v>
      </c>
      <c r="B1653" s="238" t="s">
        <v>4113</v>
      </c>
      <c r="C1653" s="239" t="s">
        <v>13</v>
      </c>
      <c r="D1653" s="240">
        <f t="shared" si="25"/>
        <v>329.25538962962963</v>
      </c>
      <c r="E1653" s="226" t="s">
        <v>5222</v>
      </c>
      <c r="G1653" s="240">
        <v>307.12</v>
      </c>
    </row>
    <row r="1654" spans="1:7" ht="14.25" x14ac:dyDescent="0.2">
      <c r="A1654" s="237" t="s">
        <v>1028</v>
      </c>
      <c r="B1654" s="238" t="s">
        <v>4114</v>
      </c>
      <c r="C1654" s="239" t="s">
        <v>33</v>
      </c>
      <c r="D1654" s="240">
        <f t="shared" si="25"/>
        <v>5.9928940740740728</v>
      </c>
      <c r="E1654" s="226" t="s">
        <v>5222</v>
      </c>
      <c r="G1654" s="240">
        <v>5.59</v>
      </c>
    </row>
    <row r="1655" spans="1:7" ht="14.25" x14ac:dyDescent="0.2">
      <c r="A1655" s="237" t="s">
        <v>1029</v>
      </c>
      <c r="B1655" s="238" t="s">
        <v>4115</v>
      </c>
      <c r="C1655" s="239" t="s">
        <v>13</v>
      </c>
      <c r="D1655" s="240">
        <f t="shared" si="25"/>
        <v>91.426477037037031</v>
      </c>
      <c r="E1655" s="226" t="s">
        <v>5222</v>
      </c>
      <c r="G1655" s="240">
        <v>85.28</v>
      </c>
    </row>
    <row r="1656" spans="1:7" ht="14.25" x14ac:dyDescent="0.2">
      <c r="A1656" s="237" t="s">
        <v>1030</v>
      </c>
      <c r="B1656" s="238" t="s">
        <v>4116</v>
      </c>
      <c r="C1656" s="239" t="s">
        <v>13</v>
      </c>
      <c r="D1656" s="240">
        <f t="shared" si="25"/>
        <v>101.80415407407406</v>
      </c>
      <c r="E1656" s="226" t="s">
        <v>5222</v>
      </c>
      <c r="G1656" s="240">
        <v>94.96</v>
      </c>
    </row>
    <row r="1657" spans="1:7" ht="14.25" x14ac:dyDescent="0.2">
      <c r="A1657" s="237" t="s">
        <v>1031</v>
      </c>
      <c r="B1657" s="238" t="s">
        <v>4117</v>
      </c>
      <c r="C1657" s="239" t="s">
        <v>13</v>
      </c>
      <c r="D1657" s="240">
        <f t="shared" si="25"/>
        <v>294.19856740740738</v>
      </c>
      <c r="E1657" s="226" t="s">
        <v>5222</v>
      </c>
      <c r="G1657" s="240">
        <v>274.42</v>
      </c>
    </row>
    <row r="1658" spans="1:7" ht="14.25" x14ac:dyDescent="0.2">
      <c r="A1658" s="237" t="s">
        <v>1032</v>
      </c>
      <c r="B1658" s="238" t="s">
        <v>4118</v>
      </c>
      <c r="C1658" s="239" t="s">
        <v>13</v>
      </c>
      <c r="D1658" s="240">
        <f t="shared" si="25"/>
        <v>329.25538962962963</v>
      </c>
      <c r="E1658" s="226" t="s">
        <v>5222</v>
      </c>
      <c r="G1658" s="240">
        <v>307.12</v>
      </c>
    </row>
    <row r="1659" spans="1:7" ht="14.25" x14ac:dyDescent="0.2">
      <c r="A1659" s="237" t="s">
        <v>1033</v>
      </c>
      <c r="B1659" s="238" t="s">
        <v>4119</v>
      </c>
      <c r="C1659" s="239" t="s">
        <v>33</v>
      </c>
      <c r="D1659" s="240">
        <f t="shared" si="25"/>
        <v>5.9928940740740728</v>
      </c>
      <c r="E1659" s="226" t="s">
        <v>5222</v>
      </c>
      <c r="G1659" s="240">
        <v>5.59</v>
      </c>
    </row>
    <row r="1660" spans="1:7" ht="14.25" x14ac:dyDescent="0.2">
      <c r="A1660" s="237" t="s">
        <v>1034</v>
      </c>
      <c r="B1660" s="238" t="s">
        <v>4120</v>
      </c>
      <c r="C1660" s="239" t="s">
        <v>13</v>
      </c>
      <c r="D1660" s="240">
        <f t="shared" si="25"/>
        <v>75.784916296296288</v>
      </c>
      <c r="E1660" s="226" t="s">
        <v>5222</v>
      </c>
      <c r="G1660" s="240">
        <v>70.69</v>
      </c>
    </row>
    <row r="1661" spans="1:7" ht="14.25" x14ac:dyDescent="0.2">
      <c r="A1661" s="237" t="s">
        <v>1035</v>
      </c>
      <c r="B1661" s="238" t="s">
        <v>4121</v>
      </c>
      <c r="C1661" s="239" t="s">
        <v>13</v>
      </c>
      <c r="D1661" s="240">
        <f t="shared" si="25"/>
        <v>83.686102222222232</v>
      </c>
      <c r="E1661" s="226" t="s">
        <v>5222</v>
      </c>
      <c r="G1661" s="240">
        <v>78.06</v>
      </c>
    </row>
    <row r="1662" spans="1:7" ht="14.25" x14ac:dyDescent="0.2">
      <c r="A1662" s="237" t="s">
        <v>1036</v>
      </c>
      <c r="B1662" s="238" t="s">
        <v>4122</v>
      </c>
      <c r="C1662" s="239" t="s">
        <v>13</v>
      </c>
      <c r="D1662" s="240">
        <f t="shared" si="25"/>
        <v>245.26910666666669</v>
      </c>
      <c r="E1662" s="226" t="s">
        <v>5222</v>
      </c>
      <c r="G1662" s="240">
        <v>228.78</v>
      </c>
    </row>
    <row r="1663" spans="1:7" ht="14.25" x14ac:dyDescent="0.2">
      <c r="A1663" s="237" t="s">
        <v>1037</v>
      </c>
      <c r="B1663" s="238" t="s">
        <v>4123</v>
      </c>
      <c r="C1663" s="239" t="s">
        <v>13</v>
      </c>
      <c r="D1663" s="240">
        <f t="shared" si="25"/>
        <v>280.32592888888888</v>
      </c>
      <c r="E1663" s="226" t="s">
        <v>5222</v>
      </c>
      <c r="G1663" s="240">
        <v>261.48</v>
      </c>
    </row>
    <row r="1664" spans="1:7" ht="14.25" x14ac:dyDescent="0.2">
      <c r="A1664" s="237" t="s">
        <v>1038</v>
      </c>
      <c r="B1664" s="238" t="s">
        <v>4124</v>
      </c>
      <c r="C1664" s="239" t="s">
        <v>33</v>
      </c>
      <c r="D1664" s="240">
        <f t="shared" si="25"/>
        <v>5.274604444444444</v>
      </c>
      <c r="E1664" s="226" t="s">
        <v>5222</v>
      </c>
      <c r="G1664" s="240">
        <v>4.92</v>
      </c>
    </row>
    <row r="1665" spans="1:7" ht="14.25" x14ac:dyDescent="0.2">
      <c r="A1665" s="237" t="s">
        <v>1039</v>
      </c>
      <c r="B1665" s="238" t="s">
        <v>4125</v>
      </c>
      <c r="C1665" s="239" t="s">
        <v>13</v>
      </c>
      <c r="D1665" s="240">
        <f t="shared" si="25"/>
        <v>209.63336444444442</v>
      </c>
      <c r="E1665" s="226" t="s">
        <v>5222</v>
      </c>
      <c r="G1665" s="240">
        <v>195.54</v>
      </c>
    </row>
    <row r="1666" spans="1:7" ht="14.25" x14ac:dyDescent="0.2">
      <c r="A1666" s="237" t="s">
        <v>1040</v>
      </c>
      <c r="B1666" s="238" t="s">
        <v>4126</v>
      </c>
      <c r="C1666" s="239" t="s">
        <v>13</v>
      </c>
      <c r="D1666" s="240">
        <f t="shared" si="25"/>
        <v>350.4610148148148</v>
      </c>
      <c r="E1666" s="226" t="s">
        <v>5222</v>
      </c>
      <c r="G1666" s="240">
        <v>326.89999999999998</v>
      </c>
    </row>
    <row r="1667" spans="1:7" ht="14.25" x14ac:dyDescent="0.2">
      <c r="A1667" s="237" t="s">
        <v>1041</v>
      </c>
      <c r="B1667" s="238" t="s">
        <v>4127</v>
      </c>
      <c r="C1667" s="239" t="s">
        <v>13</v>
      </c>
      <c r="D1667" s="240">
        <f t="shared" si="25"/>
        <v>533.97865481481472</v>
      </c>
      <c r="E1667" s="226" t="s">
        <v>5222</v>
      </c>
      <c r="G1667" s="240">
        <v>498.08</v>
      </c>
    </row>
    <row r="1668" spans="1:7" ht="14.25" x14ac:dyDescent="0.2">
      <c r="A1668" s="237" t="s">
        <v>1042</v>
      </c>
      <c r="B1668" s="238" t="s">
        <v>4128</v>
      </c>
      <c r="C1668" s="239" t="s">
        <v>13</v>
      </c>
      <c r="D1668" s="240">
        <f t="shared" si="25"/>
        <v>569.03547703703703</v>
      </c>
      <c r="E1668" s="226" t="s">
        <v>5222</v>
      </c>
      <c r="G1668" s="240">
        <v>530.78</v>
      </c>
    </row>
    <row r="1669" spans="1:7" ht="14.25" x14ac:dyDescent="0.2">
      <c r="A1669" s="237" t="s">
        <v>1043</v>
      </c>
      <c r="B1669" s="238" t="s">
        <v>4129</v>
      </c>
      <c r="C1669" s="239" t="s">
        <v>33</v>
      </c>
      <c r="D1669" s="240">
        <f t="shared" si="25"/>
        <v>10.699299259259259</v>
      </c>
      <c r="E1669" s="226" t="s">
        <v>5222</v>
      </c>
      <c r="G1669" s="240">
        <v>9.98</v>
      </c>
    </row>
    <row r="1670" spans="1:7" ht="14.25" x14ac:dyDescent="0.2">
      <c r="A1670" s="237" t="s">
        <v>1044</v>
      </c>
      <c r="B1670" s="238" t="s">
        <v>4130</v>
      </c>
      <c r="C1670" s="239" t="s">
        <v>13</v>
      </c>
      <c r="D1670" s="240">
        <f t="shared" si="25"/>
        <v>214.57562592592595</v>
      </c>
      <c r="E1670" s="226" t="s">
        <v>5222</v>
      </c>
      <c r="G1670" s="240">
        <v>200.15</v>
      </c>
    </row>
    <row r="1671" spans="1:7" ht="14.25" x14ac:dyDescent="0.2">
      <c r="A1671" s="237" t="s">
        <v>1045</v>
      </c>
      <c r="B1671" s="238" t="s">
        <v>4131</v>
      </c>
      <c r="C1671" s="239" t="s">
        <v>13</v>
      </c>
      <c r="D1671" s="240">
        <f t="shared" si="25"/>
        <v>360.38842074074074</v>
      </c>
      <c r="E1671" s="226" t="s">
        <v>5222</v>
      </c>
      <c r="G1671" s="240">
        <v>336.16</v>
      </c>
    </row>
    <row r="1672" spans="1:7" ht="14.25" x14ac:dyDescent="0.2">
      <c r="A1672" s="237" t="s">
        <v>1046</v>
      </c>
      <c r="B1672" s="238" t="s">
        <v>4132</v>
      </c>
      <c r="C1672" s="239" t="s">
        <v>13</v>
      </c>
      <c r="D1672" s="240">
        <f t="shared" ref="D1672:D1735" si="26">(G1672/(1+0.35))*(1+$D$3)</f>
        <v>696.31211111111111</v>
      </c>
      <c r="E1672" s="226" t="s">
        <v>5222</v>
      </c>
      <c r="G1672" s="240">
        <v>649.5</v>
      </c>
    </row>
    <row r="1673" spans="1:7" ht="14.25" x14ac:dyDescent="0.2">
      <c r="A1673" s="237" t="s">
        <v>1047</v>
      </c>
      <c r="B1673" s="238" t="s">
        <v>4133</v>
      </c>
      <c r="C1673" s="239" t="s">
        <v>13</v>
      </c>
      <c r="D1673" s="240">
        <f t="shared" si="26"/>
        <v>731.3689333333333</v>
      </c>
      <c r="E1673" s="226" t="s">
        <v>5222</v>
      </c>
      <c r="G1673" s="240">
        <v>682.2</v>
      </c>
    </row>
    <row r="1674" spans="1:7" ht="14.25" x14ac:dyDescent="0.2">
      <c r="A1674" s="237" t="s">
        <v>1048</v>
      </c>
      <c r="B1674" s="238" t="s">
        <v>4134</v>
      </c>
      <c r="C1674" s="239" t="s">
        <v>13</v>
      </c>
      <c r="D1674" s="240">
        <f t="shared" si="26"/>
        <v>84.029165925925909</v>
      </c>
      <c r="E1674" s="226" t="s">
        <v>5222</v>
      </c>
      <c r="G1674" s="240">
        <v>78.38</v>
      </c>
    </row>
    <row r="1675" spans="1:7" ht="14.25" x14ac:dyDescent="0.2">
      <c r="A1675" s="237" t="s">
        <v>1049</v>
      </c>
      <c r="B1675" s="238" t="s">
        <v>4135</v>
      </c>
      <c r="C1675" s="239" t="s">
        <v>13</v>
      </c>
      <c r="D1675" s="240">
        <f t="shared" si="26"/>
        <v>100.61415185185183</v>
      </c>
      <c r="E1675" s="226" t="s">
        <v>5222</v>
      </c>
      <c r="G1675" s="240">
        <v>93.85</v>
      </c>
    </row>
    <row r="1676" spans="1:7" ht="14.25" x14ac:dyDescent="0.2">
      <c r="A1676" s="237" t="s">
        <v>1050</v>
      </c>
      <c r="B1676" s="238" t="s">
        <v>4136</v>
      </c>
      <c r="C1676" s="239" t="s">
        <v>13</v>
      </c>
      <c r="D1676" s="240">
        <f t="shared" si="26"/>
        <v>261.63967777777776</v>
      </c>
      <c r="E1676" s="226" t="s">
        <v>5222</v>
      </c>
      <c r="G1676" s="240">
        <v>244.05</v>
      </c>
    </row>
    <row r="1677" spans="1:7" ht="14.25" x14ac:dyDescent="0.2">
      <c r="A1677" s="237" t="s">
        <v>1051</v>
      </c>
      <c r="B1677" s="238" t="s">
        <v>4137</v>
      </c>
      <c r="C1677" s="239" t="s">
        <v>13</v>
      </c>
      <c r="D1677" s="240">
        <f t="shared" si="26"/>
        <v>296.69650000000001</v>
      </c>
      <c r="E1677" s="226" t="s">
        <v>5222</v>
      </c>
      <c r="G1677" s="240">
        <v>276.75</v>
      </c>
    </row>
    <row r="1678" spans="1:7" ht="14.25" x14ac:dyDescent="0.2">
      <c r="A1678" s="237" t="s">
        <v>1052</v>
      </c>
      <c r="B1678" s="238" t="s">
        <v>4138</v>
      </c>
      <c r="C1678" s="239" t="s">
        <v>13</v>
      </c>
      <c r="D1678" s="240">
        <f t="shared" si="26"/>
        <v>94.985762962962951</v>
      </c>
      <c r="E1678" s="226" t="s">
        <v>5222</v>
      </c>
      <c r="G1678" s="240">
        <v>88.6</v>
      </c>
    </row>
    <row r="1679" spans="1:7" ht="14.25" x14ac:dyDescent="0.2">
      <c r="A1679" s="237" t="s">
        <v>1053</v>
      </c>
      <c r="B1679" s="238" t="s">
        <v>4139</v>
      </c>
      <c r="C1679" s="239" t="s">
        <v>13</v>
      </c>
      <c r="D1679" s="240">
        <f t="shared" si="26"/>
        <v>114.2616548148148</v>
      </c>
      <c r="E1679" s="226" t="s">
        <v>5222</v>
      </c>
      <c r="G1679" s="240">
        <v>106.58</v>
      </c>
    </row>
    <row r="1680" spans="1:7" ht="14.25" x14ac:dyDescent="0.2">
      <c r="A1680" s="237" t="s">
        <v>1054</v>
      </c>
      <c r="B1680" s="238" t="s">
        <v>4140</v>
      </c>
      <c r="C1680" s="239" t="s">
        <v>13</v>
      </c>
      <c r="D1680" s="240">
        <f t="shared" si="26"/>
        <v>463.09311703703702</v>
      </c>
      <c r="E1680" s="226" t="s">
        <v>5222</v>
      </c>
      <c r="G1680" s="240">
        <v>431.96</v>
      </c>
    </row>
    <row r="1681" spans="1:7" ht="14.25" x14ac:dyDescent="0.2">
      <c r="A1681" s="237" t="s">
        <v>1055</v>
      </c>
      <c r="B1681" s="238" t="s">
        <v>4141</v>
      </c>
      <c r="C1681" s="239" t="s">
        <v>13</v>
      </c>
      <c r="D1681" s="240">
        <f t="shared" si="26"/>
        <v>498.14993925925927</v>
      </c>
      <c r="E1681" s="226" t="s">
        <v>5222</v>
      </c>
      <c r="G1681" s="240">
        <v>464.66</v>
      </c>
    </row>
    <row r="1682" spans="1:7" ht="14.25" x14ac:dyDescent="0.2">
      <c r="A1682" s="237" t="s">
        <v>1056</v>
      </c>
      <c r="B1682" s="238" t="s">
        <v>4142</v>
      </c>
      <c r="C1682" s="239" t="s">
        <v>33</v>
      </c>
      <c r="D1682" s="240">
        <f t="shared" si="26"/>
        <v>9.3699274074074079</v>
      </c>
      <c r="E1682" s="226" t="s">
        <v>5222</v>
      </c>
      <c r="G1682" s="240">
        <v>8.74</v>
      </c>
    </row>
    <row r="1683" spans="1:7" ht="14.25" x14ac:dyDescent="0.2">
      <c r="A1683" s="237" t="s">
        <v>1057</v>
      </c>
      <c r="B1683" s="238" t="s">
        <v>4143</v>
      </c>
      <c r="C1683" s="239" t="s">
        <v>13</v>
      </c>
      <c r="D1683" s="240">
        <f t="shared" si="26"/>
        <v>96.550991111111117</v>
      </c>
      <c r="E1683" s="226" t="s">
        <v>5222</v>
      </c>
      <c r="G1683" s="240">
        <v>90.06</v>
      </c>
    </row>
    <row r="1684" spans="1:7" ht="14.25" x14ac:dyDescent="0.2">
      <c r="A1684" s="237" t="s">
        <v>1058</v>
      </c>
      <c r="B1684" s="238" t="s">
        <v>4144</v>
      </c>
      <c r="C1684" s="239" t="s">
        <v>13</v>
      </c>
      <c r="D1684" s="240">
        <f t="shared" si="26"/>
        <v>117.25274148148148</v>
      </c>
      <c r="E1684" s="226" t="s">
        <v>5222</v>
      </c>
      <c r="G1684" s="240">
        <v>109.37</v>
      </c>
    </row>
    <row r="1685" spans="1:7" ht="14.25" x14ac:dyDescent="0.2">
      <c r="A1685" s="237" t="s">
        <v>1059</v>
      </c>
      <c r="B1685" s="238" t="s">
        <v>4145</v>
      </c>
      <c r="C1685" s="239" t="s">
        <v>13</v>
      </c>
      <c r="D1685" s="240">
        <f t="shared" si="26"/>
        <v>466.08420370370368</v>
      </c>
      <c r="E1685" s="226" t="s">
        <v>5222</v>
      </c>
      <c r="G1685" s="240">
        <v>434.75</v>
      </c>
    </row>
    <row r="1686" spans="1:7" ht="14.25" x14ac:dyDescent="0.2">
      <c r="A1686" s="237" t="s">
        <v>1060</v>
      </c>
      <c r="B1686" s="238" t="s">
        <v>4146</v>
      </c>
      <c r="C1686" s="239" t="s">
        <v>13</v>
      </c>
      <c r="D1686" s="240">
        <f t="shared" si="26"/>
        <v>501.14102592592593</v>
      </c>
      <c r="E1686" s="226" t="s">
        <v>5222</v>
      </c>
      <c r="G1686" s="240">
        <v>467.45</v>
      </c>
    </row>
    <row r="1687" spans="1:7" ht="14.25" x14ac:dyDescent="0.2">
      <c r="A1687" s="237" t="s">
        <v>1061</v>
      </c>
      <c r="B1687" s="238" t="s">
        <v>4147</v>
      </c>
      <c r="C1687" s="239" t="s">
        <v>33</v>
      </c>
      <c r="D1687" s="240">
        <f t="shared" si="26"/>
        <v>9.4235311111111102</v>
      </c>
      <c r="E1687" s="226" t="s">
        <v>5222</v>
      </c>
      <c r="G1687" s="240">
        <v>8.7899999999999991</v>
      </c>
    </row>
    <row r="1688" spans="1:7" ht="14.25" x14ac:dyDescent="0.2">
      <c r="A1688" s="237" t="s">
        <v>1062</v>
      </c>
      <c r="B1688" s="238" t="s">
        <v>4148</v>
      </c>
      <c r="C1688" s="239" t="s">
        <v>13</v>
      </c>
      <c r="D1688" s="240">
        <f t="shared" si="26"/>
        <v>36.600608888888885</v>
      </c>
      <c r="E1688" s="226" t="s">
        <v>5222</v>
      </c>
      <c r="G1688" s="240">
        <v>34.14</v>
      </c>
    </row>
    <row r="1689" spans="1:7" ht="14.25" x14ac:dyDescent="0.2">
      <c r="A1689" s="237" t="s">
        <v>1063</v>
      </c>
      <c r="B1689" s="238" t="s">
        <v>4149</v>
      </c>
      <c r="C1689" s="239" t="s">
        <v>13</v>
      </c>
      <c r="D1689" s="240">
        <f t="shared" si="26"/>
        <v>3.1626185185185185</v>
      </c>
      <c r="E1689" s="226" t="s">
        <v>5222</v>
      </c>
      <c r="G1689" s="240">
        <v>2.95</v>
      </c>
    </row>
    <row r="1690" spans="1:7" ht="14.25" x14ac:dyDescent="0.2">
      <c r="A1690" s="237" t="s">
        <v>1064</v>
      </c>
      <c r="B1690" s="238" t="s">
        <v>4150</v>
      </c>
      <c r="C1690" s="239" t="s">
        <v>13</v>
      </c>
      <c r="D1690" s="240">
        <f t="shared" si="26"/>
        <v>3.1626185185185185</v>
      </c>
      <c r="E1690" s="226" t="s">
        <v>5222</v>
      </c>
      <c r="G1690" s="240">
        <v>2.95</v>
      </c>
    </row>
    <row r="1691" spans="1:7" ht="14.25" x14ac:dyDescent="0.2">
      <c r="A1691" s="237" t="s">
        <v>1065</v>
      </c>
      <c r="B1691" s="238" t="s">
        <v>4151</v>
      </c>
      <c r="C1691" s="239" t="s">
        <v>13</v>
      </c>
      <c r="D1691" s="240">
        <f t="shared" si="26"/>
        <v>38.230161481481474</v>
      </c>
      <c r="E1691" s="226" t="s">
        <v>5222</v>
      </c>
      <c r="G1691" s="240">
        <v>35.659999999999997</v>
      </c>
    </row>
    <row r="1692" spans="1:7" ht="14.25" x14ac:dyDescent="0.2">
      <c r="A1692" s="237" t="s">
        <v>1066</v>
      </c>
      <c r="B1692" s="238" t="s">
        <v>4152</v>
      </c>
      <c r="C1692" s="239" t="s">
        <v>13</v>
      </c>
      <c r="D1692" s="240">
        <f t="shared" si="26"/>
        <v>29.589244444444443</v>
      </c>
      <c r="E1692" s="226" t="s">
        <v>5222</v>
      </c>
      <c r="G1692" s="240">
        <v>27.6</v>
      </c>
    </row>
    <row r="1693" spans="1:7" ht="14.25" x14ac:dyDescent="0.2">
      <c r="A1693" s="237" t="s">
        <v>1067</v>
      </c>
      <c r="B1693" s="238" t="s">
        <v>4153</v>
      </c>
      <c r="C1693" s="239" t="s">
        <v>13</v>
      </c>
      <c r="D1693" s="240">
        <f t="shared" si="26"/>
        <v>7.0864096296296299</v>
      </c>
      <c r="E1693" s="226" t="s">
        <v>5222</v>
      </c>
      <c r="G1693" s="240">
        <v>6.61</v>
      </c>
    </row>
    <row r="1694" spans="1:7" ht="14.25" x14ac:dyDescent="0.2">
      <c r="A1694" s="237" t="s">
        <v>1068</v>
      </c>
      <c r="B1694" s="238" t="s">
        <v>4154</v>
      </c>
      <c r="C1694" s="239" t="s">
        <v>13</v>
      </c>
      <c r="D1694" s="240">
        <f t="shared" si="26"/>
        <v>11.953625925925927</v>
      </c>
      <c r="E1694" s="226" t="s">
        <v>5222</v>
      </c>
      <c r="G1694" s="240">
        <v>11.15</v>
      </c>
    </row>
    <row r="1695" spans="1:7" ht="14.25" x14ac:dyDescent="0.2">
      <c r="A1695" s="237" t="s">
        <v>1069</v>
      </c>
      <c r="B1695" s="238" t="s">
        <v>4155</v>
      </c>
      <c r="C1695" s="239" t="s">
        <v>13</v>
      </c>
      <c r="D1695" s="240">
        <f t="shared" si="26"/>
        <v>37.651241481481478</v>
      </c>
      <c r="E1695" s="226" t="s">
        <v>5222</v>
      </c>
      <c r="G1695" s="240">
        <v>35.119999999999997</v>
      </c>
    </row>
    <row r="1696" spans="1:7" ht="14.25" x14ac:dyDescent="0.2">
      <c r="A1696" s="237" t="s">
        <v>1070</v>
      </c>
      <c r="B1696" s="238" t="s">
        <v>4156</v>
      </c>
      <c r="C1696" s="239" t="s">
        <v>13</v>
      </c>
      <c r="D1696" s="240">
        <f t="shared" si="26"/>
        <v>27.723835555555556</v>
      </c>
      <c r="E1696" s="226" t="s">
        <v>5222</v>
      </c>
      <c r="G1696" s="240">
        <v>25.86</v>
      </c>
    </row>
    <row r="1697" spans="1:7" ht="14.25" x14ac:dyDescent="0.2">
      <c r="A1697" s="237" t="s">
        <v>1071</v>
      </c>
      <c r="B1697" s="238" t="s">
        <v>4157</v>
      </c>
      <c r="C1697" s="239" t="s">
        <v>13</v>
      </c>
      <c r="D1697" s="240">
        <f t="shared" si="26"/>
        <v>3.6986555555555554</v>
      </c>
      <c r="E1697" s="226" t="s">
        <v>5222</v>
      </c>
      <c r="G1697" s="240">
        <v>3.45</v>
      </c>
    </row>
    <row r="1698" spans="1:7" ht="14.25" x14ac:dyDescent="0.2">
      <c r="A1698" s="237" t="s">
        <v>1072</v>
      </c>
      <c r="B1698" s="238" t="s">
        <v>4158</v>
      </c>
      <c r="C1698" s="239" t="s">
        <v>13</v>
      </c>
      <c r="D1698" s="240">
        <f t="shared" si="26"/>
        <v>11.267498518518519</v>
      </c>
      <c r="E1698" s="226" t="s">
        <v>5222</v>
      </c>
      <c r="G1698" s="240">
        <v>10.51</v>
      </c>
    </row>
    <row r="1699" spans="1:7" ht="14.25" x14ac:dyDescent="0.2">
      <c r="A1699" s="237" t="s">
        <v>1073</v>
      </c>
      <c r="B1699" s="238" t="s">
        <v>4159</v>
      </c>
      <c r="C1699" s="239" t="s">
        <v>13</v>
      </c>
      <c r="D1699" s="240">
        <f t="shared" si="26"/>
        <v>36.954393333333329</v>
      </c>
      <c r="E1699" s="226" t="s">
        <v>5222</v>
      </c>
      <c r="G1699" s="240">
        <v>34.47</v>
      </c>
    </row>
    <row r="1700" spans="1:7" ht="14.25" x14ac:dyDescent="0.2">
      <c r="A1700" s="237" t="s">
        <v>1074</v>
      </c>
      <c r="B1700" s="238" t="s">
        <v>4160</v>
      </c>
      <c r="C1700" s="239" t="s">
        <v>13</v>
      </c>
      <c r="D1700" s="240">
        <f t="shared" si="26"/>
        <v>60.850924444444438</v>
      </c>
      <c r="E1700" s="226" t="s">
        <v>5222</v>
      </c>
      <c r="G1700" s="240">
        <v>56.76</v>
      </c>
    </row>
    <row r="1701" spans="1:7" ht="14.25" x14ac:dyDescent="0.2">
      <c r="A1701" s="237" t="s">
        <v>1075</v>
      </c>
      <c r="B1701" s="238" t="s">
        <v>4161</v>
      </c>
      <c r="C1701" s="239" t="s">
        <v>13</v>
      </c>
      <c r="D1701" s="240">
        <f t="shared" si="26"/>
        <v>25.558245925925924</v>
      </c>
      <c r="E1701" s="226" t="s">
        <v>5222</v>
      </c>
      <c r="G1701" s="240">
        <v>23.84</v>
      </c>
    </row>
    <row r="1702" spans="1:7" ht="14.25" x14ac:dyDescent="0.2">
      <c r="A1702" s="237" t="s">
        <v>1076</v>
      </c>
      <c r="B1702" s="238" t="s">
        <v>4162</v>
      </c>
      <c r="C1702" s="239" t="s">
        <v>13</v>
      </c>
      <c r="D1702" s="240">
        <f t="shared" si="26"/>
        <v>121.84121851851853</v>
      </c>
      <c r="E1702" s="226" t="s">
        <v>5222</v>
      </c>
      <c r="G1702" s="240">
        <v>113.65</v>
      </c>
    </row>
    <row r="1703" spans="1:7" ht="14.25" x14ac:dyDescent="0.2">
      <c r="A1703" s="237" t="s">
        <v>1077</v>
      </c>
      <c r="B1703" s="238" t="s">
        <v>4163</v>
      </c>
      <c r="C1703" s="239" t="s">
        <v>13</v>
      </c>
      <c r="D1703" s="240">
        <f t="shared" si="26"/>
        <v>169.00175703703701</v>
      </c>
      <c r="E1703" s="226" t="s">
        <v>5222</v>
      </c>
      <c r="G1703" s="240">
        <v>157.63999999999999</v>
      </c>
    </row>
    <row r="1704" spans="1:7" ht="14.25" x14ac:dyDescent="0.2">
      <c r="A1704" s="237" t="s">
        <v>1078</v>
      </c>
      <c r="B1704" s="238" t="s">
        <v>4164</v>
      </c>
      <c r="C1704" s="239" t="s">
        <v>13</v>
      </c>
      <c r="D1704" s="240">
        <f t="shared" si="26"/>
        <v>66.189853333333332</v>
      </c>
      <c r="E1704" s="226" t="s">
        <v>5222</v>
      </c>
      <c r="G1704" s="240">
        <v>61.74</v>
      </c>
    </row>
    <row r="1705" spans="1:7" ht="14.25" x14ac:dyDescent="0.2">
      <c r="A1705" s="237" t="s">
        <v>1079</v>
      </c>
      <c r="B1705" s="238" t="s">
        <v>4165</v>
      </c>
      <c r="C1705" s="239" t="s">
        <v>13</v>
      </c>
      <c r="D1705" s="240">
        <f t="shared" si="26"/>
        <v>35.517814074074074</v>
      </c>
      <c r="E1705" s="226" t="s">
        <v>5222</v>
      </c>
      <c r="G1705" s="240">
        <v>33.130000000000003</v>
      </c>
    </row>
    <row r="1706" spans="1:7" ht="14.25" x14ac:dyDescent="0.2">
      <c r="A1706" s="237" t="s">
        <v>1080</v>
      </c>
      <c r="B1706" s="238" t="s">
        <v>4166</v>
      </c>
      <c r="C1706" s="239" t="s">
        <v>13</v>
      </c>
      <c r="D1706" s="240">
        <f t="shared" si="26"/>
        <v>131.80078666666665</v>
      </c>
      <c r="E1706" s="226" t="s">
        <v>5222</v>
      </c>
      <c r="G1706" s="240">
        <v>122.94</v>
      </c>
    </row>
    <row r="1707" spans="1:7" ht="14.25" x14ac:dyDescent="0.2">
      <c r="A1707" s="237" t="s">
        <v>1081</v>
      </c>
      <c r="B1707" s="238" t="s">
        <v>4167</v>
      </c>
      <c r="C1707" s="239" t="s">
        <v>13</v>
      </c>
      <c r="D1707" s="240">
        <f t="shared" si="26"/>
        <v>178.9720459259259</v>
      </c>
      <c r="E1707" s="226" t="s">
        <v>5222</v>
      </c>
      <c r="G1707" s="240">
        <v>166.94</v>
      </c>
    </row>
    <row r="1708" spans="1:7" ht="14.25" x14ac:dyDescent="0.2">
      <c r="A1708" s="237" t="s">
        <v>1082</v>
      </c>
      <c r="B1708" s="238" t="s">
        <v>4168</v>
      </c>
      <c r="C1708" s="239" t="s">
        <v>13</v>
      </c>
      <c r="D1708" s="240">
        <f t="shared" si="26"/>
        <v>68.902200740740739</v>
      </c>
      <c r="E1708" s="226" t="s">
        <v>5222</v>
      </c>
      <c r="G1708" s="240">
        <v>64.27</v>
      </c>
    </row>
    <row r="1709" spans="1:7" ht="14.25" x14ac:dyDescent="0.2">
      <c r="A1709" s="237" t="s">
        <v>1083</v>
      </c>
      <c r="B1709" s="238" t="s">
        <v>4169</v>
      </c>
      <c r="C1709" s="239" t="s">
        <v>13</v>
      </c>
      <c r="D1709" s="240">
        <f t="shared" si="26"/>
        <v>40.599445185185182</v>
      </c>
      <c r="E1709" s="226" t="s">
        <v>5222</v>
      </c>
      <c r="G1709" s="240">
        <v>37.869999999999997</v>
      </c>
    </row>
    <row r="1710" spans="1:7" ht="14.25" x14ac:dyDescent="0.2">
      <c r="A1710" s="237" t="s">
        <v>1084</v>
      </c>
      <c r="B1710" s="238" t="s">
        <v>4170</v>
      </c>
      <c r="C1710" s="239" t="s">
        <v>13</v>
      </c>
      <c r="D1710" s="240">
        <f t="shared" si="26"/>
        <v>186.63737555555554</v>
      </c>
      <c r="E1710" s="226" t="s">
        <v>5222</v>
      </c>
      <c r="G1710" s="240">
        <v>174.09</v>
      </c>
    </row>
    <row r="1711" spans="1:7" ht="14.25" x14ac:dyDescent="0.2">
      <c r="A1711" s="237" t="s">
        <v>1085</v>
      </c>
      <c r="B1711" s="238" t="s">
        <v>4171</v>
      </c>
      <c r="C1711" s="239" t="s">
        <v>13</v>
      </c>
      <c r="D1711" s="240">
        <f t="shared" si="26"/>
        <v>233.80863481481478</v>
      </c>
      <c r="E1711" s="226" t="s">
        <v>5222</v>
      </c>
      <c r="G1711" s="240">
        <v>218.09</v>
      </c>
    </row>
    <row r="1712" spans="1:7" ht="14.25" x14ac:dyDescent="0.2">
      <c r="A1712" s="237" t="s">
        <v>1086</v>
      </c>
      <c r="B1712" s="238" t="s">
        <v>4172</v>
      </c>
      <c r="C1712" s="239" t="s">
        <v>13</v>
      </c>
      <c r="D1712" s="240">
        <f t="shared" si="26"/>
        <v>88.992868888888893</v>
      </c>
      <c r="E1712" s="226" t="s">
        <v>5222</v>
      </c>
      <c r="G1712" s="240">
        <v>83.01</v>
      </c>
    </row>
    <row r="1713" spans="1:7" ht="14.25" x14ac:dyDescent="0.2">
      <c r="A1713" s="237" t="s">
        <v>1087</v>
      </c>
      <c r="B1713" s="238" t="s">
        <v>4173</v>
      </c>
      <c r="C1713" s="239" t="s">
        <v>13</v>
      </c>
      <c r="D1713" s="240">
        <f t="shared" si="26"/>
        <v>78.11131703703704</v>
      </c>
      <c r="E1713" s="226" t="s">
        <v>5222</v>
      </c>
      <c r="G1713" s="240">
        <v>72.86</v>
      </c>
    </row>
    <row r="1714" spans="1:7" ht="14.25" x14ac:dyDescent="0.2">
      <c r="A1714" s="237" t="s">
        <v>1088</v>
      </c>
      <c r="B1714" s="238" t="s">
        <v>4174</v>
      </c>
      <c r="C1714" s="239" t="s">
        <v>13</v>
      </c>
      <c r="D1714" s="240">
        <f t="shared" si="26"/>
        <v>369.12582444444445</v>
      </c>
      <c r="E1714" s="226" t="s">
        <v>5222</v>
      </c>
      <c r="G1714" s="240">
        <v>344.31</v>
      </c>
    </row>
    <row r="1715" spans="1:7" ht="14.25" x14ac:dyDescent="0.2">
      <c r="A1715" s="237" t="s">
        <v>1089</v>
      </c>
      <c r="B1715" s="238" t="s">
        <v>4175</v>
      </c>
      <c r="C1715" s="239" t="s">
        <v>13</v>
      </c>
      <c r="D1715" s="240">
        <f t="shared" si="26"/>
        <v>416.29708370370372</v>
      </c>
      <c r="E1715" s="226" t="s">
        <v>5222</v>
      </c>
      <c r="G1715" s="240">
        <v>388.31</v>
      </c>
    </row>
    <row r="1716" spans="1:7" ht="14.25" x14ac:dyDescent="0.2">
      <c r="A1716" s="237" t="s">
        <v>1090</v>
      </c>
      <c r="B1716" s="238" t="s">
        <v>4176</v>
      </c>
      <c r="C1716" s="239" t="s">
        <v>13</v>
      </c>
      <c r="D1716" s="240">
        <f t="shared" si="26"/>
        <v>82.142315555555555</v>
      </c>
      <c r="E1716" s="226" t="s">
        <v>5222</v>
      </c>
      <c r="G1716" s="240">
        <v>76.62</v>
      </c>
    </row>
    <row r="1717" spans="1:7" ht="14.25" x14ac:dyDescent="0.2">
      <c r="A1717" s="237" t="s">
        <v>1091</v>
      </c>
      <c r="B1717" s="238" t="s">
        <v>4177</v>
      </c>
      <c r="C1717" s="239" t="s">
        <v>13</v>
      </c>
      <c r="D1717" s="240">
        <f t="shared" si="26"/>
        <v>96.74396444444443</v>
      </c>
      <c r="E1717" s="226" t="s">
        <v>5222</v>
      </c>
      <c r="G1717" s="240">
        <v>90.24</v>
      </c>
    </row>
    <row r="1718" spans="1:7" ht="14.25" x14ac:dyDescent="0.2">
      <c r="A1718" s="237" t="s">
        <v>1092</v>
      </c>
      <c r="B1718" s="238" t="s">
        <v>4178</v>
      </c>
      <c r="C1718" s="239" t="s">
        <v>13</v>
      </c>
      <c r="D1718" s="240">
        <f t="shared" si="26"/>
        <v>125.75428888888889</v>
      </c>
      <c r="E1718" s="226" t="s">
        <v>5222</v>
      </c>
      <c r="G1718" s="240">
        <v>117.3</v>
      </c>
    </row>
    <row r="1719" spans="1:7" ht="14.25" x14ac:dyDescent="0.2">
      <c r="A1719" s="237" t="s">
        <v>1093</v>
      </c>
      <c r="B1719" s="238" t="s">
        <v>4179</v>
      </c>
      <c r="C1719" s="239" t="s">
        <v>13</v>
      </c>
      <c r="D1719" s="240">
        <f t="shared" si="26"/>
        <v>160.8111111111111</v>
      </c>
      <c r="E1719" s="226" t="s">
        <v>5222</v>
      </c>
      <c r="G1719" s="240">
        <v>150</v>
      </c>
    </row>
    <row r="1720" spans="1:7" ht="14.25" x14ac:dyDescent="0.2">
      <c r="A1720" s="237" t="s">
        <v>1094</v>
      </c>
      <c r="B1720" s="238" t="s">
        <v>4180</v>
      </c>
      <c r="C1720" s="239" t="s">
        <v>13</v>
      </c>
      <c r="D1720" s="240">
        <f t="shared" si="26"/>
        <v>175.05897555555555</v>
      </c>
      <c r="E1720" s="226" t="s">
        <v>5222</v>
      </c>
      <c r="G1720" s="240">
        <v>163.29</v>
      </c>
    </row>
    <row r="1721" spans="1:7" ht="14.25" x14ac:dyDescent="0.2">
      <c r="A1721" s="237" t="s">
        <v>1095</v>
      </c>
      <c r="B1721" s="238" t="s">
        <v>4181</v>
      </c>
      <c r="C1721" s="239" t="s">
        <v>13</v>
      </c>
      <c r="D1721" s="240">
        <f t="shared" si="26"/>
        <v>287.65891555555555</v>
      </c>
      <c r="E1721" s="226" t="s">
        <v>5222</v>
      </c>
      <c r="G1721" s="240">
        <v>268.32</v>
      </c>
    </row>
    <row r="1722" spans="1:7" ht="14.25" x14ac:dyDescent="0.2">
      <c r="A1722" s="237" t="s">
        <v>1096</v>
      </c>
      <c r="B1722" s="238" t="s">
        <v>4182</v>
      </c>
      <c r="C1722" s="239" t="s">
        <v>13</v>
      </c>
      <c r="D1722" s="240">
        <f t="shared" si="26"/>
        <v>379.52494296296288</v>
      </c>
      <c r="E1722" s="226" t="s">
        <v>5222</v>
      </c>
      <c r="G1722" s="240">
        <v>354.01</v>
      </c>
    </row>
    <row r="1723" spans="1:7" ht="14.25" x14ac:dyDescent="0.2">
      <c r="A1723" s="237" t="s">
        <v>1097</v>
      </c>
      <c r="B1723" s="238" t="s">
        <v>4183</v>
      </c>
      <c r="C1723" s="239" t="s">
        <v>13</v>
      </c>
      <c r="D1723" s="240">
        <f t="shared" si="26"/>
        <v>414.58176518518513</v>
      </c>
      <c r="E1723" s="226" t="s">
        <v>5222</v>
      </c>
      <c r="G1723" s="240">
        <v>386.71</v>
      </c>
    </row>
    <row r="1724" spans="1:7" ht="14.25" x14ac:dyDescent="0.2">
      <c r="A1724" s="237" t="s">
        <v>1098</v>
      </c>
      <c r="B1724" s="238" t="s">
        <v>4184</v>
      </c>
      <c r="C1724" s="239" t="s">
        <v>13</v>
      </c>
      <c r="D1724" s="240">
        <f t="shared" si="26"/>
        <v>47.278466666666667</v>
      </c>
      <c r="E1724" s="226" t="s">
        <v>5222</v>
      </c>
      <c r="G1724" s="240">
        <v>44.1</v>
      </c>
    </row>
    <row r="1725" spans="1:7" ht="14.25" x14ac:dyDescent="0.2">
      <c r="A1725" s="237" t="s">
        <v>1099</v>
      </c>
      <c r="B1725" s="238" t="s">
        <v>4185</v>
      </c>
      <c r="C1725" s="239" t="s">
        <v>13</v>
      </c>
      <c r="D1725" s="240">
        <f t="shared" si="26"/>
        <v>21.645175555555557</v>
      </c>
      <c r="E1725" s="226" t="s">
        <v>5222</v>
      </c>
      <c r="G1725" s="240">
        <v>20.190000000000001</v>
      </c>
    </row>
    <row r="1726" spans="1:7" ht="14.25" x14ac:dyDescent="0.2">
      <c r="A1726" s="237" t="s">
        <v>1100</v>
      </c>
      <c r="B1726" s="238" t="s">
        <v>4186</v>
      </c>
      <c r="C1726" s="239" t="s">
        <v>13</v>
      </c>
      <c r="D1726" s="240">
        <f t="shared" si="26"/>
        <v>81.038079259259263</v>
      </c>
      <c r="E1726" s="226" t="s">
        <v>5222</v>
      </c>
      <c r="G1726" s="240">
        <v>75.59</v>
      </c>
    </row>
    <row r="1727" spans="1:7" ht="14.25" x14ac:dyDescent="0.2">
      <c r="A1727" s="237" t="s">
        <v>1101</v>
      </c>
      <c r="B1727" s="238" t="s">
        <v>4187</v>
      </c>
      <c r="C1727" s="239" t="s">
        <v>13</v>
      </c>
      <c r="D1727" s="240">
        <f t="shared" si="26"/>
        <v>116.09490148148149</v>
      </c>
      <c r="E1727" s="226" t="s">
        <v>5222</v>
      </c>
      <c r="G1727" s="240">
        <v>108.29</v>
      </c>
    </row>
    <row r="1728" spans="1:7" ht="14.25" x14ac:dyDescent="0.2">
      <c r="A1728" s="237" t="s">
        <v>1102</v>
      </c>
      <c r="B1728" s="238" t="s">
        <v>4188</v>
      </c>
      <c r="C1728" s="239" t="s">
        <v>13</v>
      </c>
      <c r="D1728" s="240">
        <f t="shared" si="26"/>
        <v>40.535120740740737</v>
      </c>
      <c r="E1728" s="226" t="s">
        <v>5222</v>
      </c>
      <c r="G1728" s="240">
        <v>37.81</v>
      </c>
    </row>
    <row r="1729" spans="1:7" ht="14.25" x14ac:dyDescent="0.2">
      <c r="A1729" s="237" t="s">
        <v>1103</v>
      </c>
      <c r="B1729" s="238" t="s">
        <v>4189</v>
      </c>
      <c r="C1729" s="239" t="s">
        <v>13</v>
      </c>
      <c r="D1729" s="240">
        <f t="shared" si="26"/>
        <v>9.7022703703703712</v>
      </c>
      <c r="E1729" s="226" t="s">
        <v>5222</v>
      </c>
      <c r="G1729" s="240">
        <v>9.0500000000000007</v>
      </c>
    </row>
    <row r="1730" spans="1:7" ht="14.25" x14ac:dyDescent="0.2">
      <c r="A1730" s="237" t="s">
        <v>1104</v>
      </c>
      <c r="B1730" s="238" t="s">
        <v>4190</v>
      </c>
      <c r="C1730" s="239" t="s">
        <v>13</v>
      </c>
      <c r="D1730" s="240">
        <f t="shared" si="26"/>
        <v>17.732105185185183</v>
      </c>
      <c r="E1730" s="226" t="s">
        <v>5222</v>
      </c>
      <c r="G1730" s="240">
        <v>16.54</v>
      </c>
    </row>
    <row r="1731" spans="1:7" ht="14.25" x14ac:dyDescent="0.2">
      <c r="A1731" s="237" t="s">
        <v>1105</v>
      </c>
      <c r="B1731" s="238" t="s">
        <v>4191</v>
      </c>
      <c r="C1731" s="239" t="s">
        <v>13</v>
      </c>
      <c r="D1731" s="240">
        <f t="shared" si="26"/>
        <v>52.788927407407407</v>
      </c>
      <c r="E1731" s="226" t="s">
        <v>5222</v>
      </c>
      <c r="G1731" s="240">
        <v>49.24</v>
      </c>
    </row>
    <row r="1732" spans="1:7" ht="14.25" x14ac:dyDescent="0.2">
      <c r="A1732" s="237" t="s">
        <v>1106</v>
      </c>
      <c r="B1732" s="238" t="s">
        <v>4192</v>
      </c>
      <c r="C1732" s="239" t="s">
        <v>13</v>
      </c>
      <c r="D1732" s="240">
        <f t="shared" si="26"/>
        <v>44.673326666666668</v>
      </c>
      <c r="E1732" s="226" t="s">
        <v>5222</v>
      </c>
      <c r="G1732" s="240">
        <v>41.67</v>
      </c>
    </row>
    <row r="1733" spans="1:7" ht="14.25" x14ac:dyDescent="0.2">
      <c r="A1733" s="237" t="s">
        <v>1107</v>
      </c>
      <c r="B1733" s="238" t="s">
        <v>4193</v>
      </c>
      <c r="C1733" s="239" t="s">
        <v>13</v>
      </c>
      <c r="D1733" s="240">
        <f t="shared" si="26"/>
        <v>17.356879259259259</v>
      </c>
      <c r="E1733" s="226" t="s">
        <v>5222</v>
      </c>
      <c r="G1733" s="240">
        <v>16.190000000000001</v>
      </c>
    </row>
    <row r="1734" spans="1:7" ht="14.25" x14ac:dyDescent="0.2">
      <c r="A1734" s="237" t="s">
        <v>1108</v>
      </c>
      <c r="B1734" s="238" t="s">
        <v>4194</v>
      </c>
      <c r="C1734" s="239" t="s">
        <v>13</v>
      </c>
      <c r="D1734" s="240">
        <f t="shared" si="26"/>
        <v>31.293842222222221</v>
      </c>
      <c r="E1734" s="226" t="s">
        <v>5222</v>
      </c>
      <c r="G1734" s="240">
        <v>29.19</v>
      </c>
    </row>
    <row r="1735" spans="1:7" ht="14.25" x14ac:dyDescent="0.2">
      <c r="A1735" s="237" t="s">
        <v>1109</v>
      </c>
      <c r="B1735" s="238" t="s">
        <v>4195</v>
      </c>
      <c r="C1735" s="239" t="s">
        <v>13</v>
      </c>
      <c r="D1735" s="240">
        <f t="shared" si="26"/>
        <v>66.350664444444448</v>
      </c>
      <c r="E1735" s="226" t="s">
        <v>5222</v>
      </c>
      <c r="G1735" s="240">
        <v>61.89</v>
      </c>
    </row>
    <row r="1736" spans="1:7" ht="14.25" x14ac:dyDescent="0.2">
      <c r="A1736" s="237" t="s">
        <v>1110</v>
      </c>
      <c r="B1736" s="238" t="s">
        <v>4196</v>
      </c>
      <c r="C1736" s="239" t="s">
        <v>13</v>
      </c>
      <c r="D1736" s="240">
        <f t="shared" ref="D1736:D1799" si="27">(G1736/(1+0.35))*(1+$D$3)</f>
        <v>1.1685607407407408</v>
      </c>
      <c r="E1736" s="226" t="s">
        <v>5222</v>
      </c>
      <c r="G1736" s="240">
        <v>1.0900000000000001</v>
      </c>
    </row>
    <row r="1737" spans="1:7" ht="14.25" x14ac:dyDescent="0.2">
      <c r="A1737" s="237" t="s">
        <v>1111</v>
      </c>
      <c r="B1737" s="238" t="s">
        <v>4197</v>
      </c>
      <c r="C1737" s="239" t="s">
        <v>13</v>
      </c>
      <c r="D1737" s="240">
        <f t="shared" si="27"/>
        <v>2.2620762962962959</v>
      </c>
      <c r="E1737" s="226" t="s">
        <v>5222</v>
      </c>
      <c r="G1737" s="240">
        <v>2.11</v>
      </c>
    </row>
    <row r="1738" spans="1:7" ht="14.25" x14ac:dyDescent="0.2">
      <c r="A1738" s="237" t="s">
        <v>1112</v>
      </c>
      <c r="B1738" s="238" t="s">
        <v>4198</v>
      </c>
      <c r="C1738" s="239" t="s">
        <v>13</v>
      </c>
      <c r="D1738" s="240">
        <f t="shared" si="27"/>
        <v>9.895243703703704</v>
      </c>
      <c r="E1738" s="226" t="s">
        <v>5222</v>
      </c>
      <c r="G1738" s="240">
        <v>9.23</v>
      </c>
    </row>
    <row r="1739" spans="1:7" ht="14.25" x14ac:dyDescent="0.2">
      <c r="A1739" s="237" t="s">
        <v>1113</v>
      </c>
      <c r="B1739" s="238" t="s">
        <v>4199</v>
      </c>
      <c r="C1739" s="239" t="s">
        <v>13</v>
      </c>
      <c r="D1739" s="240">
        <f t="shared" si="27"/>
        <v>9.895243703703704</v>
      </c>
      <c r="E1739" s="226" t="s">
        <v>5222</v>
      </c>
      <c r="G1739" s="240">
        <v>9.23</v>
      </c>
    </row>
    <row r="1740" spans="1:7" ht="14.25" x14ac:dyDescent="0.2">
      <c r="A1740" s="237" t="s">
        <v>1114</v>
      </c>
      <c r="B1740" s="238" t="s">
        <v>4200</v>
      </c>
      <c r="C1740" s="239" t="s">
        <v>13</v>
      </c>
      <c r="D1740" s="240">
        <f t="shared" si="27"/>
        <v>444.35326222222227</v>
      </c>
      <c r="E1740" s="226" t="s">
        <v>5222</v>
      </c>
      <c r="G1740" s="240">
        <v>414.48</v>
      </c>
    </row>
    <row r="1741" spans="1:7" ht="14.25" x14ac:dyDescent="0.2">
      <c r="A1741" s="237" t="s">
        <v>1115</v>
      </c>
      <c r="B1741" s="238" t="s">
        <v>4201</v>
      </c>
      <c r="C1741" s="239" t="s">
        <v>13</v>
      </c>
      <c r="D1741" s="240">
        <f t="shared" si="27"/>
        <v>19.157963703703704</v>
      </c>
      <c r="E1741" s="226" t="s">
        <v>5222</v>
      </c>
      <c r="G1741" s="240">
        <v>17.87</v>
      </c>
    </row>
    <row r="1742" spans="1:7" ht="14.25" x14ac:dyDescent="0.2">
      <c r="A1742" s="237" t="s">
        <v>1116</v>
      </c>
      <c r="B1742" s="238" t="s">
        <v>4202</v>
      </c>
      <c r="C1742" s="239" t="s">
        <v>13</v>
      </c>
      <c r="D1742" s="240">
        <f t="shared" si="27"/>
        <v>702.86248370370367</v>
      </c>
      <c r="E1742" s="226" t="s">
        <v>5222</v>
      </c>
      <c r="G1742" s="240">
        <v>655.61</v>
      </c>
    </row>
    <row r="1743" spans="1:7" ht="14.25" x14ac:dyDescent="0.2">
      <c r="A1743" s="237" t="s">
        <v>1117</v>
      </c>
      <c r="B1743" s="238" t="s">
        <v>4203</v>
      </c>
      <c r="C1743" s="239" t="s">
        <v>13</v>
      </c>
      <c r="D1743" s="240">
        <f t="shared" si="27"/>
        <v>1136.2162659259259</v>
      </c>
      <c r="E1743" s="226" t="s">
        <v>5222</v>
      </c>
      <c r="G1743" s="240">
        <v>1059.83</v>
      </c>
    </row>
    <row r="1744" spans="1:7" ht="14.25" x14ac:dyDescent="0.2">
      <c r="A1744" s="237" t="s">
        <v>1118</v>
      </c>
      <c r="B1744" s="238" t="s">
        <v>4204</v>
      </c>
      <c r="C1744" s="239" t="s">
        <v>13</v>
      </c>
      <c r="D1744" s="240">
        <f t="shared" si="27"/>
        <v>196.7363133333333</v>
      </c>
      <c r="E1744" s="226" t="s">
        <v>5222</v>
      </c>
      <c r="G1744" s="240">
        <v>183.51</v>
      </c>
    </row>
    <row r="1745" spans="1:7" ht="14.25" x14ac:dyDescent="0.2">
      <c r="A1745" s="237" t="s">
        <v>1119</v>
      </c>
      <c r="B1745" s="238" t="s">
        <v>4205</v>
      </c>
      <c r="C1745" s="239" t="s">
        <v>13</v>
      </c>
      <c r="D1745" s="240">
        <f t="shared" si="27"/>
        <v>286.39386814814816</v>
      </c>
      <c r="E1745" s="226" t="s">
        <v>5222</v>
      </c>
      <c r="G1745" s="240">
        <v>267.14</v>
      </c>
    </row>
    <row r="1746" spans="1:7" ht="14.25" x14ac:dyDescent="0.2">
      <c r="A1746" s="237" t="s">
        <v>1120</v>
      </c>
      <c r="B1746" s="238" t="s">
        <v>4206</v>
      </c>
      <c r="C1746" s="239" t="s">
        <v>13</v>
      </c>
      <c r="D1746" s="240">
        <f t="shared" si="27"/>
        <v>337.21017925925923</v>
      </c>
      <c r="E1746" s="226" t="s">
        <v>5222</v>
      </c>
      <c r="G1746" s="240">
        <v>314.54000000000002</v>
      </c>
    </row>
    <row r="1747" spans="1:7" ht="14.25" x14ac:dyDescent="0.2">
      <c r="A1747" s="237" t="s">
        <v>1121</v>
      </c>
      <c r="B1747" s="238" t="s">
        <v>4207</v>
      </c>
      <c r="C1747" s="239" t="s">
        <v>13</v>
      </c>
      <c r="D1747" s="240">
        <f t="shared" si="27"/>
        <v>372.26700148148149</v>
      </c>
      <c r="E1747" s="226" t="s">
        <v>5222</v>
      </c>
      <c r="G1747" s="240">
        <v>347.24</v>
      </c>
    </row>
    <row r="1748" spans="1:7" ht="14.25" x14ac:dyDescent="0.2">
      <c r="A1748" s="237" t="s">
        <v>1122</v>
      </c>
      <c r="B1748" s="238" t="s">
        <v>4208</v>
      </c>
      <c r="C1748" s="239" t="s">
        <v>13</v>
      </c>
      <c r="D1748" s="240">
        <f t="shared" si="27"/>
        <v>95.575403703703714</v>
      </c>
      <c r="E1748" s="226" t="s">
        <v>5222</v>
      </c>
      <c r="G1748" s="240">
        <v>89.15</v>
      </c>
    </row>
    <row r="1749" spans="1:7" ht="14.25" x14ac:dyDescent="0.2">
      <c r="A1749" s="237" t="s">
        <v>1123</v>
      </c>
      <c r="B1749" s="238" t="s">
        <v>4209</v>
      </c>
      <c r="C1749" s="239" t="s">
        <v>13</v>
      </c>
      <c r="D1749" s="240">
        <f t="shared" si="27"/>
        <v>107.20740740740742</v>
      </c>
      <c r="E1749" s="226" t="s">
        <v>5222</v>
      </c>
      <c r="G1749" s="240">
        <v>100</v>
      </c>
    </row>
    <row r="1750" spans="1:7" ht="14.25" x14ac:dyDescent="0.2">
      <c r="A1750" s="237" t="s">
        <v>1124</v>
      </c>
      <c r="B1750" s="238" t="s">
        <v>4210</v>
      </c>
      <c r="C1750" s="239" t="s">
        <v>13</v>
      </c>
      <c r="D1750" s="240">
        <f t="shared" si="27"/>
        <v>174.29780296296298</v>
      </c>
      <c r="E1750" s="226" t="s">
        <v>5222</v>
      </c>
      <c r="G1750" s="240">
        <v>162.58000000000001</v>
      </c>
    </row>
    <row r="1751" spans="1:7" ht="14.25" x14ac:dyDescent="0.2">
      <c r="A1751" s="237" t="s">
        <v>1125</v>
      </c>
      <c r="B1751" s="238" t="s">
        <v>4211</v>
      </c>
      <c r="C1751" s="239" t="s">
        <v>13</v>
      </c>
      <c r="D1751" s="240">
        <f t="shared" si="27"/>
        <v>209.35462518518517</v>
      </c>
      <c r="E1751" s="226" t="s">
        <v>5222</v>
      </c>
      <c r="G1751" s="240">
        <v>195.28</v>
      </c>
    </row>
    <row r="1752" spans="1:7" ht="14.25" x14ac:dyDescent="0.2">
      <c r="A1752" s="237" t="s">
        <v>1126</v>
      </c>
      <c r="B1752" s="238" t="s">
        <v>4212</v>
      </c>
      <c r="C1752" s="239" t="s">
        <v>13</v>
      </c>
      <c r="D1752" s="240">
        <f t="shared" si="27"/>
        <v>94.739185925925923</v>
      </c>
      <c r="E1752" s="226" t="s">
        <v>5222</v>
      </c>
      <c r="G1752" s="240">
        <v>88.37</v>
      </c>
    </row>
    <row r="1753" spans="1:7" ht="14.25" x14ac:dyDescent="0.2">
      <c r="A1753" s="237" t="s">
        <v>1127</v>
      </c>
      <c r="B1753" s="238" t="s">
        <v>4213</v>
      </c>
      <c r="C1753" s="239" t="s">
        <v>13</v>
      </c>
      <c r="D1753" s="240">
        <f t="shared" si="27"/>
        <v>105.71722444444444</v>
      </c>
      <c r="E1753" s="226" t="s">
        <v>5222</v>
      </c>
      <c r="G1753" s="240">
        <v>98.61</v>
      </c>
    </row>
    <row r="1754" spans="1:7" ht="14.25" x14ac:dyDescent="0.2">
      <c r="A1754" s="237" t="s">
        <v>1128</v>
      </c>
      <c r="B1754" s="238" t="s">
        <v>4214</v>
      </c>
      <c r="C1754" s="239" t="s">
        <v>13</v>
      </c>
      <c r="D1754" s="240">
        <f t="shared" si="27"/>
        <v>167.0505822222222</v>
      </c>
      <c r="E1754" s="226" t="s">
        <v>5222</v>
      </c>
      <c r="G1754" s="240">
        <v>155.82</v>
      </c>
    </row>
    <row r="1755" spans="1:7" ht="14.25" x14ac:dyDescent="0.2">
      <c r="A1755" s="237" t="s">
        <v>1129</v>
      </c>
      <c r="B1755" s="238" t="s">
        <v>4215</v>
      </c>
      <c r="C1755" s="239" t="s">
        <v>13</v>
      </c>
      <c r="D1755" s="240">
        <f t="shared" si="27"/>
        <v>202.10740444444446</v>
      </c>
      <c r="E1755" s="226" t="s">
        <v>5222</v>
      </c>
      <c r="G1755" s="240">
        <v>188.52</v>
      </c>
    </row>
    <row r="1756" spans="1:7" ht="14.25" x14ac:dyDescent="0.2">
      <c r="A1756" s="237" t="s">
        <v>1130</v>
      </c>
      <c r="B1756" s="238" t="s">
        <v>4216</v>
      </c>
      <c r="C1756" s="239" t="s">
        <v>13</v>
      </c>
      <c r="D1756" s="240">
        <f t="shared" si="27"/>
        <v>72.28995481481482</v>
      </c>
      <c r="E1756" s="226" t="s">
        <v>5222</v>
      </c>
      <c r="G1756" s="240">
        <v>67.430000000000007</v>
      </c>
    </row>
    <row r="1757" spans="1:7" ht="14.25" x14ac:dyDescent="0.2">
      <c r="A1757" s="237" t="s">
        <v>1131</v>
      </c>
      <c r="B1757" s="238" t="s">
        <v>4217</v>
      </c>
      <c r="C1757" s="239" t="s">
        <v>13</v>
      </c>
      <c r="D1757" s="240">
        <f t="shared" si="27"/>
        <v>67.251206666666661</v>
      </c>
      <c r="E1757" s="226" t="s">
        <v>5222</v>
      </c>
      <c r="G1757" s="240">
        <v>62.73</v>
      </c>
    </row>
    <row r="1758" spans="1:7" ht="14.25" x14ac:dyDescent="0.2">
      <c r="A1758" s="237" t="s">
        <v>1132</v>
      </c>
      <c r="B1758" s="238" t="s">
        <v>4218</v>
      </c>
      <c r="C1758" s="239" t="s">
        <v>13</v>
      </c>
      <c r="D1758" s="240">
        <f t="shared" si="27"/>
        <v>181.92024962962961</v>
      </c>
      <c r="E1758" s="226" t="s">
        <v>5222</v>
      </c>
      <c r="G1758" s="240">
        <v>169.69</v>
      </c>
    </row>
    <row r="1759" spans="1:7" ht="14.25" x14ac:dyDescent="0.2">
      <c r="A1759" s="237" t="s">
        <v>1133</v>
      </c>
      <c r="B1759" s="238" t="s">
        <v>4219</v>
      </c>
      <c r="C1759" s="239" t="s">
        <v>13</v>
      </c>
      <c r="D1759" s="240">
        <f t="shared" si="27"/>
        <v>216.97707185185183</v>
      </c>
      <c r="E1759" s="226" t="s">
        <v>5222</v>
      </c>
      <c r="G1759" s="240">
        <v>202.39</v>
      </c>
    </row>
    <row r="1760" spans="1:7" ht="14.25" x14ac:dyDescent="0.2">
      <c r="A1760" s="237" t="s">
        <v>1134</v>
      </c>
      <c r="B1760" s="238" t="s">
        <v>4220</v>
      </c>
      <c r="C1760" s="239" t="s">
        <v>13</v>
      </c>
      <c r="D1760" s="240">
        <f t="shared" si="27"/>
        <v>123.26707703703703</v>
      </c>
      <c r="E1760" s="226" t="s">
        <v>5222</v>
      </c>
      <c r="G1760" s="240">
        <v>114.98</v>
      </c>
    </row>
    <row r="1761" spans="1:7" ht="14.25" x14ac:dyDescent="0.2">
      <c r="A1761" s="237" t="s">
        <v>1135</v>
      </c>
      <c r="B1761" s="238" t="s">
        <v>4221</v>
      </c>
      <c r="C1761" s="239" t="s">
        <v>13</v>
      </c>
      <c r="D1761" s="240">
        <f t="shared" si="27"/>
        <v>159.28876592592593</v>
      </c>
      <c r="E1761" s="226" t="s">
        <v>5222</v>
      </c>
      <c r="G1761" s="240">
        <v>148.58000000000001</v>
      </c>
    </row>
    <row r="1762" spans="1:7" ht="14.25" x14ac:dyDescent="0.2">
      <c r="A1762" s="237" t="s">
        <v>1136</v>
      </c>
      <c r="B1762" s="238" t="s">
        <v>4222</v>
      </c>
      <c r="C1762" s="239" t="s">
        <v>13</v>
      </c>
      <c r="D1762" s="240">
        <f t="shared" si="27"/>
        <v>272.88573481481478</v>
      </c>
      <c r="E1762" s="226" t="s">
        <v>5222</v>
      </c>
      <c r="G1762" s="240">
        <v>254.54</v>
      </c>
    </row>
    <row r="1763" spans="1:7" ht="14.25" x14ac:dyDescent="0.2">
      <c r="A1763" s="237" t="s">
        <v>1137</v>
      </c>
      <c r="B1763" s="238" t="s">
        <v>4223</v>
      </c>
      <c r="C1763" s="239" t="s">
        <v>13</v>
      </c>
      <c r="D1763" s="240">
        <f t="shared" si="27"/>
        <v>307.94255703703703</v>
      </c>
      <c r="E1763" s="226" t="s">
        <v>5222</v>
      </c>
      <c r="G1763" s="240">
        <v>287.24</v>
      </c>
    </row>
    <row r="1764" spans="1:7" ht="14.25" x14ac:dyDescent="0.2">
      <c r="A1764" s="237" t="s">
        <v>1138</v>
      </c>
      <c r="B1764" s="238" t="s">
        <v>4224</v>
      </c>
      <c r="C1764" s="239" t="s">
        <v>13</v>
      </c>
      <c r="D1764" s="240">
        <f t="shared" si="27"/>
        <v>123.18131111111111</v>
      </c>
      <c r="E1764" s="226" t="s">
        <v>5222</v>
      </c>
      <c r="G1764" s="240">
        <v>114.9</v>
      </c>
    </row>
    <row r="1765" spans="1:7" ht="14.25" x14ac:dyDescent="0.2">
      <c r="A1765" s="237" t="s">
        <v>1139</v>
      </c>
      <c r="B1765" s="238" t="s">
        <v>4225</v>
      </c>
      <c r="C1765" s="239" t="s">
        <v>13</v>
      </c>
      <c r="D1765" s="240">
        <f t="shared" si="27"/>
        <v>159.14939629629629</v>
      </c>
      <c r="E1765" s="226" t="s">
        <v>5222</v>
      </c>
      <c r="G1765" s="240">
        <v>148.44999999999999</v>
      </c>
    </row>
    <row r="1766" spans="1:7" ht="14.25" x14ac:dyDescent="0.2">
      <c r="A1766" s="237" t="s">
        <v>1140</v>
      </c>
      <c r="B1766" s="238" t="s">
        <v>4226</v>
      </c>
      <c r="C1766" s="239" t="s">
        <v>13</v>
      </c>
      <c r="D1766" s="240">
        <f t="shared" si="27"/>
        <v>294.38081999999997</v>
      </c>
      <c r="E1766" s="226" t="s">
        <v>5222</v>
      </c>
      <c r="G1766" s="240">
        <v>274.58999999999997</v>
      </c>
    </row>
    <row r="1767" spans="1:7" ht="14.25" x14ac:dyDescent="0.2">
      <c r="A1767" s="237" t="s">
        <v>1141</v>
      </c>
      <c r="B1767" s="238" t="s">
        <v>4227</v>
      </c>
      <c r="C1767" s="239" t="s">
        <v>13</v>
      </c>
      <c r="D1767" s="240">
        <f t="shared" si="27"/>
        <v>329.43764222222222</v>
      </c>
      <c r="E1767" s="226" t="s">
        <v>5222</v>
      </c>
      <c r="G1767" s="240">
        <v>307.29000000000002</v>
      </c>
    </row>
    <row r="1768" spans="1:7" ht="14.25" x14ac:dyDescent="0.2">
      <c r="A1768" s="237" t="s">
        <v>1142</v>
      </c>
      <c r="B1768" s="238" t="s">
        <v>4228</v>
      </c>
      <c r="C1768" s="239" t="s">
        <v>13</v>
      </c>
      <c r="D1768" s="240">
        <f t="shared" si="27"/>
        <v>256.33291111111106</v>
      </c>
      <c r="E1768" s="226" t="s">
        <v>5222</v>
      </c>
      <c r="G1768" s="240">
        <v>239.1</v>
      </c>
    </row>
    <row r="1769" spans="1:7" ht="14.25" x14ac:dyDescent="0.2">
      <c r="A1769" s="237" t="s">
        <v>1143</v>
      </c>
      <c r="B1769" s="238" t="s">
        <v>4229</v>
      </c>
      <c r="C1769" s="239" t="s">
        <v>13</v>
      </c>
      <c r="D1769" s="240">
        <f t="shared" si="27"/>
        <v>399.62633185185183</v>
      </c>
      <c r="E1769" s="226" t="s">
        <v>5222</v>
      </c>
      <c r="G1769" s="240">
        <v>372.76</v>
      </c>
    </row>
    <row r="1770" spans="1:7" ht="14.25" x14ac:dyDescent="0.2">
      <c r="A1770" s="237" t="s">
        <v>1144</v>
      </c>
      <c r="B1770" s="238" t="s">
        <v>4230</v>
      </c>
      <c r="C1770" s="239" t="s">
        <v>13</v>
      </c>
      <c r="D1770" s="240">
        <f t="shared" si="27"/>
        <v>602.99878370370368</v>
      </c>
      <c r="E1770" s="226" t="s">
        <v>5222</v>
      </c>
      <c r="G1770" s="240">
        <v>562.46</v>
      </c>
    </row>
    <row r="1771" spans="1:7" ht="14.25" x14ac:dyDescent="0.2">
      <c r="A1771" s="237" t="s">
        <v>1145</v>
      </c>
      <c r="B1771" s="238" t="s">
        <v>4231</v>
      </c>
      <c r="C1771" s="239" t="s">
        <v>13</v>
      </c>
      <c r="D1771" s="240">
        <f t="shared" si="27"/>
        <v>638.05560592592587</v>
      </c>
      <c r="E1771" s="226" t="s">
        <v>5222</v>
      </c>
      <c r="G1771" s="240">
        <v>595.16</v>
      </c>
    </row>
    <row r="1772" spans="1:7" ht="14.25" x14ac:dyDescent="0.2">
      <c r="A1772" s="237" t="s">
        <v>1146</v>
      </c>
      <c r="B1772" s="238" t="s">
        <v>4232</v>
      </c>
      <c r="C1772" s="239" t="s">
        <v>13</v>
      </c>
      <c r="D1772" s="240">
        <f t="shared" si="27"/>
        <v>157.19822148148148</v>
      </c>
      <c r="E1772" s="226" t="s">
        <v>5222</v>
      </c>
      <c r="G1772" s="240">
        <v>146.63</v>
      </c>
    </row>
    <row r="1773" spans="1:7" ht="14.25" x14ac:dyDescent="0.2">
      <c r="A1773" s="237" t="s">
        <v>1147</v>
      </c>
      <c r="B1773" s="238" t="s">
        <v>4233</v>
      </c>
      <c r="C1773" s="239" t="s">
        <v>13</v>
      </c>
      <c r="D1773" s="240">
        <f t="shared" si="27"/>
        <v>220.57924074074072</v>
      </c>
      <c r="E1773" s="226" t="s">
        <v>5222</v>
      </c>
      <c r="G1773" s="240">
        <v>205.75</v>
      </c>
    </row>
    <row r="1774" spans="1:7" ht="14.25" x14ac:dyDescent="0.2">
      <c r="A1774" s="237" t="s">
        <v>1148</v>
      </c>
      <c r="B1774" s="238" t="s">
        <v>4234</v>
      </c>
      <c r="C1774" s="239" t="s">
        <v>13</v>
      </c>
      <c r="D1774" s="240">
        <f t="shared" si="27"/>
        <v>387.00801999999999</v>
      </c>
      <c r="E1774" s="226" t="s">
        <v>5222</v>
      </c>
      <c r="G1774" s="240">
        <v>360.99</v>
      </c>
    </row>
    <row r="1775" spans="1:7" ht="14.25" x14ac:dyDescent="0.2">
      <c r="A1775" s="237" t="s">
        <v>1149</v>
      </c>
      <c r="B1775" s="238" t="s">
        <v>4235</v>
      </c>
      <c r="C1775" s="239" t="s">
        <v>13</v>
      </c>
      <c r="D1775" s="240">
        <f t="shared" si="27"/>
        <v>422.06484222222218</v>
      </c>
      <c r="E1775" s="226" t="s">
        <v>5222</v>
      </c>
      <c r="G1775" s="240">
        <v>393.69</v>
      </c>
    </row>
    <row r="1776" spans="1:7" ht="14.25" x14ac:dyDescent="0.2">
      <c r="A1776" s="237" t="s">
        <v>1150</v>
      </c>
      <c r="B1776" s="238" t="s">
        <v>4236</v>
      </c>
      <c r="C1776" s="239" t="s">
        <v>13</v>
      </c>
      <c r="D1776" s="240">
        <f t="shared" si="27"/>
        <v>65.289311111111104</v>
      </c>
      <c r="E1776" s="226" t="s">
        <v>5222</v>
      </c>
      <c r="G1776" s="240">
        <v>60.9</v>
      </c>
    </row>
    <row r="1777" spans="1:7" ht="14.25" x14ac:dyDescent="0.2">
      <c r="A1777" s="237" t="s">
        <v>1151</v>
      </c>
      <c r="B1777" s="238" t="s">
        <v>4237</v>
      </c>
      <c r="C1777" s="239" t="s">
        <v>13</v>
      </c>
      <c r="D1777" s="240">
        <f t="shared" si="27"/>
        <v>34.981777037037041</v>
      </c>
      <c r="E1777" s="226" t="s">
        <v>5222</v>
      </c>
      <c r="G1777" s="240">
        <v>32.630000000000003</v>
      </c>
    </row>
    <row r="1778" spans="1:7" ht="14.25" x14ac:dyDescent="0.2">
      <c r="A1778" s="237" t="s">
        <v>1152</v>
      </c>
      <c r="B1778" s="238" t="s">
        <v>4238</v>
      </c>
      <c r="C1778" s="239" t="s">
        <v>13</v>
      </c>
      <c r="D1778" s="240">
        <f t="shared" si="27"/>
        <v>74.862932592592585</v>
      </c>
      <c r="E1778" s="226" t="s">
        <v>5222</v>
      </c>
      <c r="G1778" s="240">
        <v>69.83</v>
      </c>
    </row>
    <row r="1779" spans="1:7" ht="14.25" x14ac:dyDescent="0.2">
      <c r="A1779" s="237" t="s">
        <v>1153</v>
      </c>
      <c r="B1779" s="238" t="s">
        <v>4239</v>
      </c>
      <c r="C1779" s="239" t="s">
        <v>13</v>
      </c>
      <c r="D1779" s="240">
        <f t="shared" si="27"/>
        <v>122.03419185185184</v>
      </c>
      <c r="E1779" s="226" t="s">
        <v>5222</v>
      </c>
      <c r="G1779" s="240">
        <v>113.83</v>
      </c>
    </row>
    <row r="1780" spans="1:7" ht="14.25" x14ac:dyDescent="0.2">
      <c r="A1780" s="237" t="s">
        <v>1154</v>
      </c>
      <c r="B1780" s="238" t="s">
        <v>4240</v>
      </c>
      <c r="C1780" s="239" t="s">
        <v>13</v>
      </c>
      <c r="D1780" s="240">
        <f t="shared" si="27"/>
        <v>93.602787407407405</v>
      </c>
      <c r="E1780" s="226" t="s">
        <v>5222</v>
      </c>
      <c r="G1780" s="240">
        <v>87.31</v>
      </c>
    </row>
    <row r="1781" spans="1:7" ht="14.25" x14ac:dyDescent="0.2">
      <c r="A1781" s="237" t="s">
        <v>1155</v>
      </c>
      <c r="B1781" s="238" t="s">
        <v>4241</v>
      </c>
      <c r="C1781" s="239" t="s">
        <v>13</v>
      </c>
      <c r="D1781" s="240">
        <f t="shared" si="27"/>
        <v>89.657554814814802</v>
      </c>
      <c r="E1781" s="226" t="s">
        <v>5222</v>
      </c>
      <c r="G1781" s="240">
        <v>83.63</v>
      </c>
    </row>
    <row r="1782" spans="1:7" ht="14.25" x14ac:dyDescent="0.2">
      <c r="A1782" s="237" t="s">
        <v>1156</v>
      </c>
      <c r="B1782" s="238" t="s">
        <v>4242</v>
      </c>
      <c r="C1782" s="239" t="s">
        <v>13</v>
      </c>
      <c r="D1782" s="240">
        <f t="shared" si="27"/>
        <v>188.37413555555557</v>
      </c>
      <c r="E1782" s="226" t="s">
        <v>5222</v>
      </c>
      <c r="G1782" s="240">
        <v>175.71</v>
      </c>
    </row>
    <row r="1783" spans="1:7" ht="14.25" x14ac:dyDescent="0.2">
      <c r="A1783" s="237" t="s">
        <v>1157</v>
      </c>
      <c r="B1783" s="238" t="s">
        <v>4243</v>
      </c>
      <c r="C1783" s="239" t="s">
        <v>13</v>
      </c>
      <c r="D1783" s="240">
        <f t="shared" si="27"/>
        <v>235.54539481481481</v>
      </c>
      <c r="E1783" s="226" t="s">
        <v>5222</v>
      </c>
      <c r="G1783" s="240">
        <v>219.71</v>
      </c>
    </row>
    <row r="1784" spans="1:7" ht="14.25" x14ac:dyDescent="0.2">
      <c r="A1784" s="237" t="s">
        <v>1158</v>
      </c>
      <c r="B1784" s="238" t="s">
        <v>4244</v>
      </c>
      <c r="C1784" s="239" t="s">
        <v>13</v>
      </c>
      <c r="D1784" s="240">
        <f t="shared" si="27"/>
        <v>286.34026444444441</v>
      </c>
      <c r="E1784" s="226" t="s">
        <v>5222</v>
      </c>
      <c r="G1784" s="240">
        <v>267.08999999999997</v>
      </c>
    </row>
    <row r="1785" spans="1:7" ht="14.25" x14ac:dyDescent="0.2">
      <c r="A1785" s="237" t="s">
        <v>1159</v>
      </c>
      <c r="B1785" s="238" t="s">
        <v>4245</v>
      </c>
      <c r="C1785" s="239" t="s">
        <v>13</v>
      </c>
      <c r="D1785" s="240">
        <f t="shared" si="27"/>
        <v>473.71737111111105</v>
      </c>
      <c r="E1785" s="226" t="s">
        <v>5222</v>
      </c>
      <c r="G1785" s="240">
        <v>441.87</v>
      </c>
    </row>
    <row r="1786" spans="1:7" ht="14.25" x14ac:dyDescent="0.2">
      <c r="A1786" s="237" t="s">
        <v>1160</v>
      </c>
      <c r="B1786" s="238" t="s">
        <v>4246</v>
      </c>
      <c r="C1786" s="239" t="s">
        <v>13</v>
      </c>
      <c r="D1786" s="240">
        <f t="shared" si="27"/>
        <v>710.16330814814808</v>
      </c>
      <c r="E1786" s="226" t="s">
        <v>5222</v>
      </c>
      <c r="G1786" s="240">
        <v>662.42</v>
      </c>
    </row>
    <row r="1787" spans="1:7" ht="14.25" x14ac:dyDescent="0.2">
      <c r="A1787" s="237" t="s">
        <v>1161</v>
      </c>
      <c r="B1787" s="238" t="s">
        <v>4247</v>
      </c>
      <c r="C1787" s="239" t="s">
        <v>13</v>
      </c>
      <c r="D1787" s="240">
        <f t="shared" si="27"/>
        <v>745.22013037037027</v>
      </c>
      <c r="E1787" s="226" t="s">
        <v>5222</v>
      </c>
      <c r="G1787" s="240">
        <v>695.12</v>
      </c>
    </row>
    <row r="1788" spans="1:7" ht="14.25" x14ac:dyDescent="0.2">
      <c r="A1788" s="237" t="s">
        <v>1162</v>
      </c>
      <c r="B1788" s="238" t="s">
        <v>4248</v>
      </c>
      <c r="C1788" s="239" t="s">
        <v>13</v>
      </c>
      <c r="D1788" s="240">
        <f t="shared" si="27"/>
        <v>422.46150962962957</v>
      </c>
      <c r="E1788" s="226" t="s">
        <v>5222</v>
      </c>
      <c r="G1788" s="240">
        <v>394.06</v>
      </c>
    </row>
    <row r="1789" spans="1:7" ht="14.25" x14ac:dyDescent="0.2">
      <c r="A1789" s="237" t="s">
        <v>1163</v>
      </c>
      <c r="B1789" s="238" t="s">
        <v>4249</v>
      </c>
      <c r="C1789" s="239" t="s">
        <v>13</v>
      </c>
      <c r="D1789" s="240">
        <f t="shared" si="27"/>
        <v>745.61679777777783</v>
      </c>
      <c r="E1789" s="226" t="s">
        <v>5222</v>
      </c>
      <c r="G1789" s="240">
        <v>695.49</v>
      </c>
    </row>
    <row r="1790" spans="1:7" ht="14.25" x14ac:dyDescent="0.2">
      <c r="A1790" s="237" t="s">
        <v>1164</v>
      </c>
      <c r="B1790" s="238" t="s">
        <v>4250</v>
      </c>
      <c r="C1790" s="239" t="s">
        <v>13</v>
      </c>
      <c r="D1790" s="240">
        <f t="shared" si="27"/>
        <v>1519.9866222222222</v>
      </c>
      <c r="E1790" s="226" t="s">
        <v>5222</v>
      </c>
      <c r="G1790" s="240">
        <v>1417.8</v>
      </c>
    </row>
    <row r="1791" spans="1:7" ht="14.25" x14ac:dyDescent="0.2">
      <c r="A1791" s="237" t="s">
        <v>1165</v>
      </c>
      <c r="B1791" s="238" t="s">
        <v>4251</v>
      </c>
      <c r="C1791" s="239" t="s">
        <v>13</v>
      </c>
      <c r="D1791" s="240">
        <f t="shared" si="27"/>
        <v>1555.0434444444443</v>
      </c>
      <c r="E1791" s="226" t="s">
        <v>5222</v>
      </c>
      <c r="G1791" s="240">
        <v>1450.5</v>
      </c>
    </row>
    <row r="1792" spans="1:7" ht="14.25" x14ac:dyDescent="0.2">
      <c r="A1792" s="237" t="s">
        <v>1166</v>
      </c>
      <c r="B1792" s="238" t="s">
        <v>4252</v>
      </c>
      <c r="C1792" s="239" t="s">
        <v>13</v>
      </c>
      <c r="D1792" s="240">
        <f t="shared" si="27"/>
        <v>122.01275037037037</v>
      </c>
      <c r="E1792" s="226" t="s">
        <v>5222</v>
      </c>
      <c r="G1792" s="240">
        <v>113.81</v>
      </c>
    </row>
    <row r="1793" spans="1:7" ht="14.25" x14ac:dyDescent="0.2">
      <c r="A1793" s="237" t="s">
        <v>1167</v>
      </c>
      <c r="B1793" s="238" t="s">
        <v>4253</v>
      </c>
      <c r="C1793" s="239" t="s">
        <v>13</v>
      </c>
      <c r="D1793" s="240">
        <f t="shared" si="27"/>
        <v>160.32867777777778</v>
      </c>
      <c r="E1793" s="226" t="s">
        <v>5222</v>
      </c>
      <c r="G1793" s="240">
        <v>149.55000000000001</v>
      </c>
    </row>
    <row r="1794" spans="1:7" ht="14.25" x14ac:dyDescent="0.2">
      <c r="A1794" s="237" t="s">
        <v>1168</v>
      </c>
      <c r="B1794" s="238" t="s">
        <v>4254</v>
      </c>
      <c r="C1794" s="239" t="s">
        <v>13</v>
      </c>
      <c r="D1794" s="240">
        <f t="shared" si="27"/>
        <v>175.04825481481481</v>
      </c>
      <c r="E1794" s="226" t="s">
        <v>5222</v>
      </c>
      <c r="G1794" s="240">
        <v>163.28</v>
      </c>
    </row>
    <row r="1795" spans="1:7" ht="14.25" x14ac:dyDescent="0.2">
      <c r="A1795" s="237" t="s">
        <v>1169</v>
      </c>
      <c r="B1795" s="238" t="s">
        <v>4255</v>
      </c>
      <c r="C1795" s="239" t="s">
        <v>13</v>
      </c>
      <c r="D1795" s="240">
        <f t="shared" si="27"/>
        <v>210.10507703703703</v>
      </c>
      <c r="E1795" s="226" t="s">
        <v>5222</v>
      </c>
      <c r="G1795" s="240">
        <v>195.98</v>
      </c>
    </row>
    <row r="1796" spans="1:7" ht="14.25" x14ac:dyDescent="0.2">
      <c r="A1796" s="237" t="s">
        <v>1170</v>
      </c>
      <c r="B1796" s="238" t="s">
        <v>4256</v>
      </c>
      <c r="C1796" s="239" t="s">
        <v>13</v>
      </c>
      <c r="D1796" s="240">
        <f t="shared" si="27"/>
        <v>17.571294074074075</v>
      </c>
      <c r="E1796" s="226" t="s">
        <v>5222</v>
      </c>
      <c r="G1796" s="240">
        <v>16.39</v>
      </c>
    </row>
    <row r="1797" spans="1:7" ht="14.25" x14ac:dyDescent="0.2">
      <c r="A1797" s="237" t="s">
        <v>1171</v>
      </c>
      <c r="B1797" s="238" t="s">
        <v>4257</v>
      </c>
      <c r="C1797" s="239" t="s">
        <v>13</v>
      </c>
      <c r="D1797" s="240">
        <f t="shared" si="27"/>
        <v>9.8523607407407408</v>
      </c>
      <c r="E1797" s="226" t="s">
        <v>5222</v>
      </c>
      <c r="G1797" s="240">
        <v>9.19</v>
      </c>
    </row>
    <row r="1798" spans="1:7" ht="14.25" x14ac:dyDescent="0.2">
      <c r="A1798" s="237" t="s">
        <v>1172</v>
      </c>
      <c r="B1798" s="238" t="s">
        <v>4258</v>
      </c>
      <c r="C1798" s="239" t="s">
        <v>13</v>
      </c>
      <c r="D1798" s="240">
        <f t="shared" si="27"/>
        <v>64.603183703703692</v>
      </c>
      <c r="E1798" s="226" t="s">
        <v>5222</v>
      </c>
      <c r="G1798" s="240">
        <v>60.26</v>
      </c>
    </row>
    <row r="1799" spans="1:7" ht="14.25" x14ac:dyDescent="0.2">
      <c r="A1799" s="237" t="s">
        <v>1173</v>
      </c>
      <c r="B1799" s="238" t="s">
        <v>4259</v>
      </c>
      <c r="C1799" s="239" t="s">
        <v>13</v>
      </c>
      <c r="D1799" s="240">
        <f t="shared" si="27"/>
        <v>76.395998518518525</v>
      </c>
      <c r="E1799" s="226" t="s">
        <v>5222</v>
      </c>
      <c r="G1799" s="240">
        <v>71.260000000000005</v>
      </c>
    </row>
    <row r="1800" spans="1:7" ht="14.25" x14ac:dyDescent="0.2">
      <c r="A1800" s="237" t="s">
        <v>1174</v>
      </c>
      <c r="B1800" s="238" t="s">
        <v>4260</v>
      </c>
      <c r="C1800" s="239" t="s">
        <v>13</v>
      </c>
      <c r="D1800" s="240">
        <f t="shared" ref="D1800:D1863" si="28">(G1800/(1+0.35))*(1+$D$3)</f>
        <v>17.989402962962963</v>
      </c>
      <c r="E1800" s="226" t="s">
        <v>5222</v>
      </c>
      <c r="G1800" s="240">
        <v>16.78</v>
      </c>
    </row>
    <row r="1801" spans="1:7" ht="14.25" x14ac:dyDescent="0.2">
      <c r="A1801" s="237" t="s">
        <v>1175</v>
      </c>
      <c r="B1801" s="238" t="s">
        <v>4261</v>
      </c>
      <c r="C1801" s="239" t="s">
        <v>13</v>
      </c>
      <c r="D1801" s="240">
        <f t="shared" si="28"/>
        <v>10.57065037037037</v>
      </c>
      <c r="E1801" s="226" t="s">
        <v>5222</v>
      </c>
      <c r="G1801" s="240">
        <v>9.86</v>
      </c>
    </row>
    <row r="1802" spans="1:7" ht="14.25" x14ac:dyDescent="0.2">
      <c r="A1802" s="237" t="s">
        <v>1176</v>
      </c>
      <c r="B1802" s="238" t="s">
        <v>4262</v>
      </c>
      <c r="C1802" s="239" t="s">
        <v>13</v>
      </c>
      <c r="D1802" s="240">
        <f t="shared" si="28"/>
        <v>84.768897037037021</v>
      </c>
      <c r="E1802" s="226" t="s">
        <v>5222</v>
      </c>
      <c r="G1802" s="240">
        <v>79.069999999999993</v>
      </c>
    </row>
    <row r="1803" spans="1:7" ht="14.25" x14ac:dyDescent="0.2">
      <c r="A1803" s="237" t="s">
        <v>1177</v>
      </c>
      <c r="B1803" s="238" t="s">
        <v>4263</v>
      </c>
      <c r="C1803" s="239" t="s">
        <v>13</v>
      </c>
      <c r="D1803" s="240">
        <f t="shared" si="28"/>
        <v>96.56171185185184</v>
      </c>
      <c r="E1803" s="226" t="s">
        <v>5222</v>
      </c>
      <c r="G1803" s="240">
        <v>90.07</v>
      </c>
    </row>
    <row r="1804" spans="1:7" ht="14.25" x14ac:dyDescent="0.2">
      <c r="A1804" s="237" t="s">
        <v>1178</v>
      </c>
      <c r="B1804" s="238" t="s">
        <v>4264</v>
      </c>
      <c r="C1804" s="239" t="s">
        <v>13</v>
      </c>
      <c r="D1804" s="240">
        <f t="shared" si="28"/>
        <v>19.318774814814812</v>
      </c>
      <c r="E1804" s="226" t="s">
        <v>5222</v>
      </c>
      <c r="G1804" s="240">
        <v>18.02</v>
      </c>
    </row>
    <row r="1805" spans="1:7" ht="14.25" x14ac:dyDescent="0.2">
      <c r="A1805" s="237" t="s">
        <v>1179</v>
      </c>
      <c r="B1805" s="238" t="s">
        <v>4265</v>
      </c>
      <c r="C1805" s="239" t="s">
        <v>13</v>
      </c>
      <c r="D1805" s="240">
        <f t="shared" si="28"/>
        <v>12.832726666666668</v>
      </c>
      <c r="E1805" s="226" t="s">
        <v>5222</v>
      </c>
      <c r="G1805" s="240">
        <v>11.97</v>
      </c>
    </row>
    <row r="1806" spans="1:7" ht="14.25" x14ac:dyDescent="0.2">
      <c r="A1806" s="237" t="s">
        <v>1180</v>
      </c>
      <c r="B1806" s="238" t="s">
        <v>4266</v>
      </c>
      <c r="C1806" s="239" t="s">
        <v>13</v>
      </c>
      <c r="D1806" s="240">
        <f t="shared" si="28"/>
        <v>120.45824296296296</v>
      </c>
      <c r="E1806" s="226" t="s">
        <v>5222</v>
      </c>
      <c r="G1806" s="240">
        <v>112.36</v>
      </c>
    </row>
    <row r="1807" spans="1:7" ht="14.25" x14ac:dyDescent="0.2">
      <c r="A1807" s="237" t="s">
        <v>1181</v>
      </c>
      <c r="B1807" s="238" t="s">
        <v>4267</v>
      </c>
      <c r="C1807" s="239" t="s">
        <v>13</v>
      </c>
      <c r="D1807" s="240">
        <f t="shared" si="28"/>
        <v>132.25105777777776</v>
      </c>
      <c r="E1807" s="226" t="s">
        <v>5222</v>
      </c>
      <c r="G1807" s="240">
        <v>123.36</v>
      </c>
    </row>
    <row r="1808" spans="1:7" ht="14.25" x14ac:dyDescent="0.2">
      <c r="A1808" s="237" t="s">
        <v>1182</v>
      </c>
      <c r="B1808" s="238" t="s">
        <v>4268</v>
      </c>
      <c r="C1808" s="239" t="s">
        <v>13</v>
      </c>
      <c r="D1808" s="240">
        <f t="shared" si="28"/>
        <v>20.197875555555555</v>
      </c>
      <c r="E1808" s="226" t="s">
        <v>5222</v>
      </c>
      <c r="G1808" s="240">
        <v>18.84</v>
      </c>
    </row>
    <row r="1809" spans="1:7" ht="14.25" x14ac:dyDescent="0.2">
      <c r="A1809" s="237" t="s">
        <v>1183</v>
      </c>
      <c r="B1809" s="238" t="s">
        <v>4269</v>
      </c>
      <c r="C1809" s="239" t="s">
        <v>13</v>
      </c>
      <c r="D1809" s="240">
        <f t="shared" si="28"/>
        <v>14.344351111111111</v>
      </c>
      <c r="E1809" s="226" t="s">
        <v>5222</v>
      </c>
      <c r="G1809" s="240">
        <v>13.38</v>
      </c>
    </row>
    <row r="1810" spans="1:7" ht="14.25" x14ac:dyDescent="0.2">
      <c r="A1810" s="237" t="s">
        <v>1184</v>
      </c>
      <c r="B1810" s="238" t="s">
        <v>4270</v>
      </c>
      <c r="C1810" s="239" t="s">
        <v>13</v>
      </c>
      <c r="D1810" s="240">
        <f t="shared" si="28"/>
        <v>162.54787111111111</v>
      </c>
      <c r="E1810" s="226" t="s">
        <v>5222</v>
      </c>
      <c r="G1810" s="240">
        <v>151.62</v>
      </c>
    </row>
    <row r="1811" spans="1:7" ht="14.25" x14ac:dyDescent="0.2">
      <c r="A1811" s="237" t="s">
        <v>1185</v>
      </c>
      <c r="B1811" s="238" t="s">
        <v>4271</v>
      </c>
      <c r="C1811" s="239" t="s">
        <v>13</v>
      </c>
      <c r="D1811" s="240">
        <f t="shared" si="28"/>
        <v>174.34068592592592</v>
      </c>
      <c r="E1811" s="226" t="s">
        <v>5222</v>
      </c>
      <c r="G1811" s="240">
        <v>162.62</v>
      </c>
    </row>
    <row r="1812" spans="1:7" ht="14.25" x14ac:dyDescent="0.2">
      <c r="A1812" s="237" t="s">
        <v>1186</v>
      </c>
      <c r="B1812" s="238" t="s">
        <v>4272</v>
      </c>
      <c r="C1812" s="239" t="s">
        <v>13</v>
      </c>
      <c r="D1812" s="240">
        <f t="shared" si="28"/>
        <v>12.232365185185184</v>
      </c>
      <c r="E1812" s="226" t="s">
        <v>5222</v>
      </c>
      <c r="G1812" s="240">
        <v>11.41</v>
      </c>
    </row>
    <row r="1813" spans="1:7" ht="14.25" x14ac:dyDescent="0.2">
      <c r="A1813" s="237" t="s">
        <v>1187</v>
      </c>
      <c r="B1813" s="238" t="s">
        <v>4273</v>
      </c>
      <c r="C1813" s="239" t="s">
        <v>13</v>
      </c>
      <c r="D1813" s="240">
        <f t="shared" si="28"/>
        <v>0.71828962962962961</v>
      </c>
      <c r="E1813" s="226" t="s">
        <v>5222</v>
      </c>
      <c r="G1813" s="240">
        <v>0.67</v>
      </c>
    </row>
    <row r="1814" spans="1:7" ht="14.25" x14ac:dyDescent="0.2">
      <c r="A1814" s="237" t="s">
        <v>1188</v>
      </c>
      <c r="B1814" s="238" t="s">
        <v>4274</v>
      </c>
      <c r="C1814" s="239" t="s">
        <v>13</v>
      </c>
      <c r="D1814" s="240">
        <f t="shared" si="28"/>
        <v>6.732625185185185</v>
      </c>
      <c r="E1814" s="226" t="s">
        <v>5222</v>
      </c>
      <c r="G1814" s="240">
        <v>6.28</v>
      </c>
    </row>
    <row r="1815" spans="1:7" ht="14.25" x14ac:dyDescent="0.2">
      <c r="A1815" s="237" t="s">
        <v>1189</v>
      </c>
      <c r="B1815" s="238" t="s">
        <v>4275</v>
      </c>
      <c r="C1815" s="239" t="s">
        <v>13</v>
      </c>
      <c r="D1815" s="240">
        <f t="shared" si="28"/>
        <v>18.52544</v>
      </c>
      <c r="E1815" s="226" t="s">
        <v>5222</v>
      </c>
      <c r="G1815" s="240">
        <v>17.28</v>
      </c>
    </row>
    <row r="1816" spans="1:7" ht="14.25" x14ac:dyDescent="0.2">
      <c r="A1816" s="237" t="s">
        <v>1190</v>
      </c>
      <c r="B1816" s="238" t="s">
        <v>4276</v>
      </c>
      <c r="C1816" s="239" t="s">
        <v>13</v>
      </c>
      <c r="D1816" s="240">
        <f t="shared" si="28"/>
        <v>13.207952592592591</v>
      </c>
      <c r="E1816" s="226" t="s">
        <v>5222</v>
      </c>
      <c r="G1816" s="240">
        <v>12.32</v>
      </c>
    </row>
    <row r="1817" spans="1:7" ht="14.25" x14ac:dyDescent="0.2">
      <c r="A1817" s="237" t="s">
        <v>1191</v>
      </c>
      <c r="B1817" s="238" t="s">
        <v>4277</v>
      </c>
      <c r="C1817" s="239" t="s">
        <v>13</v>
      </c>
      <c r="D1817" s="240">
        <f t="shared" si="28"/>
        <v>2.2727970370370372</v>
      </c>
      <c r="E1817" s="226" t="s">
        <v>5222</v>
      </c>
      <c r="G1817" s="240">
        <v>2.12</v>
      </c>
    </row>
    <row r="1818" spans="1:7" ht="14.25" x14ac:dyDescent="0.2">
      <c r="A1818" s="237" t="s">
        <v>1192</v>
      </c>
      <c r="B1818" s="238" t="s">
        <v>4278</v>
      </c>
      <c r="C1818" s="239" t="s">
        <v>13</v>
      </c>
      <c r="D1818" s="240">
        <f t="shared" si="28"/>
        <v>8.8124488888888894</v>
      </c>
      <c r="E1818" s="226" t="s">
        <v>5222</v>
      </c>
      <c r="G1818" s="240">
        <v>8.2200000000000006</v>
      </c>
    </row>
    <row r="1819" spans="1:7" ht="14.25" x14ac:dyDescent="0.2">
      <c r="A1819" s="237" t="s">
        <v>1193</v>
      </c>
      <c r="B1819" s="238" t="s">
        <v>4279</v>
      </c>
      <c r="C1819" s="239" t="s">
        <v>13</v>
      </c>
      <c r="D1819" s="240">
        <f t="shared" si="28"/>
        <v>20.594542962962961</v>
      </c>
      <c r="E1819" s="226" t="s">
        <v>5222</v>
      </c>
      <c r="G1819" s="240">
        <v>19.21</v>
      </c>
    </row>
    <row r="1820" spans="1:7" ht="14.25" x14ac:dyDescent="0.2">
      <c r="A1820" s="237" t="s">
        <v>1194</v>
      </c>
      <c r="B1820" s="238" t="s">
        <v>4280</v>
      </c>
      <c r="C1820" s="239" t="s">
        <v>13</v>
      </c>
      <c r="D1820" s="240">
        <f t="shared" si="28"/>
        <v>47.782341481481481</v>
      </c>
      <c r="E1820" s="226" t="s">
        <v>5222</v>
      </c>
      <c r="G1820" s="240">
        <v>44.57</v>
      </c>
    </row>
    <row r="1821" spans="1:7" ht="14.25" x14ac:dyDescent="0.2">
      <c r="A1821" s="237" t="s">
        <v>1195</v>
      </c>
      <c r="B1821" s="238" t="s">
        <v>4281</v>
      </c>
      <c r="C1821" s="239" t="s">
        <v>13</v>
      </c>
      <c r="D1821" s="240">
        <f t="shared" si="28"/>
        <v>1.1792814814814816</v>
      </c>
      <c r="E1821" s="226" t="s">
        <v>5222</v>
      </c>
      <c r="G1821" s="240">
        <v>1.1000000000000001</v>
      </c>
    </row>
    <row r="1822" spans="1:7" ht="14.25" x14ac:dyDescent="0.2">
      <c r="A1822" s="237" t="s">
        <v>1196</v>
      </c>
      <c r="B1822" s="238" t="s">
        <v>4282</v>
      </c>
      <c r="C1822" s="239" t="s">
        <v>13</v>
      </c>
      <c r="D1822" s="240">
        <f t="shared" si="28"/>
        <v>3.7844214814814814</v>
      </c>
      <c r="E1822" s="226" t="s">
        <v>5222</v>
      </c>
      <c r="G1822" s="240">
        <v>3.53</v>
      </c>
    </row>
    <row r="1823" spans="1:7" ht="14.25" x14ac:dyDescent="0.2">
      <c r="A1823" s="237" t="s">
        <v>1197</v>
      </c>
      <c r="B1823" s="238" t="s">
        <v>4283</v>
      </c>
      <c r="C1823" s="239" t="s">
        <v>13</v>
      </c>
      <c r="D1823" s="240">
        <f t="shared" si="28"/>
        <v>50.955680740740746</v>
      </c>
      <c r="E1823" s="226" t="s">
        <v>5222</v>
      </c>
      <c r="G1823" s="240">
        <v>47.53</v>
      </c>
    </row>
    <row r="1824" spans="1:7" ht="14.25" x14ac:dyDescent="0.2">
      <c r="A1824" s="237" t="s">
        <v>1198</v>
      </c>
      <c r="B1824" s="238" t="s">
        <v>4284</v>
      </c>
      <c r="C1824" s="239" t="s">
        <v>13</v>
      </c>
      <c r="D1824" s="240">
        <f t="shared" si="28"/>
        <v>51.212978518518518</v>
      </c>
      <c r="E1824" s="226" t="s">
        <v>5222</v>
      </c>
      <c r="G1824" s="240">
        <v>47.77</v>
      </c>
    </row>
    <row r="1825" spans="1:7" ht="14.25" x14ac:dyDescent="0.2">
      <c r="A1825" s="237" t="s">
        <v>1199</v>
      </c>
      <c r="B1825" s="238" t="s">
        <v>4285</v>
      </c>
      <c r="C1825" s="239" t="s">
        <v>13</v>
      </c>
      <c r="D1825" s="240">
        <f t="shared" si="28"/>
        <v>7.8046992592592588</v>
      </c>
      <c r="E1825" s="226" t="s">
        <v>5222</v>
      </c>
      <c r="G1825" s="240">
        <v>7.28</v>
      </c>
    </row>
    <row r="1826" spans="1:7" ht="14.25" x14ac:dyDescent="0.2">
      <c r="A1826" s="237" t="s">
        <v>1200</v>
      </c>
      <c r="B1826" s="238" t="s">
        <v>4286</v>
      </c>
      <c r="C1826" s="239" t="s">
        <v>13</v>
      </c>
      <c r="D1826" s="240">
        <f t="shared" si="28"/>
        <v>25.976354814814812</v>
      </c>
      <c r="E1826" s="226" t="s">
        <v>5222</v>
      </c>
      <c r="G1826" s="240">
        <v>24.23</v>
      </c>
    </row>
    <row r="1827" spans="1:7" ht="14.25" x14ac:dyDescent="0.2">
      <c r="A1827" s="237" t="s">
        <v>1201</v>
      </c>
      <c r="B1827" s="238" t="s">
        <v>4287</v>
      </c>
      <c r="C1827" s="239" t="s">
        <v>13</v>
      </c>
      <c r="D1827" s="240">
        <f t="shared" si="28"/>
        <v>73.14761407407407</v>
      </c>
      <c r="E1827" s="226" t="s">
        <v>5222</v>
      </c>
      <c r="G1827" s="240">
        <v>68.23</v>
      </c>
    </row>
    <row r="1828" spans="1:7" ht="14.25" x14ac:dyDescent="0.2">
      <c r="A1828" s="237" t="s">
        <v>1202</v>
      </c>
      <c r="B1828" s="238" t="s">
        <v>4288</v>
      </c>
      <c r="C1828" s="239" t="s">
        <v>13</v>
      </c>
      <c r="D1828" s="240">
        <f t="shared" si="28"/>
        <v>260.82490148148145</v>
      </c>
      <c r="E1828" s="226" t="s">
        <v>5222</v>
      </c>
      <c r="G1828" s="240">
        <v>243.29</v>
      </c>
    </row>
    <row r="1829" spans="1:7" ht="14.25" x14ac:dyDescent="0.2">
      <c r="A1829" s="237" t="s">
        <v>1203</v>
      </c>
      <c r="B1829" s="238" t="s">
        <v>4289</v>
      </c>
      <c r="C1829" s="239" t="s">
        <v>13</v>
      </c>
      <c r="D1829" s="240">
        <f t="shared" si="28"/>
        <v>421.7110577777778</v>
      </c>
      <c r="E1829" s="226" t="s">
        <v>5222</v>
      </c>
      <c r="G1829" s="240">
        <v>393.36</v>
      </c>
    </row>
    <row r="1830" spans="1:7" ht="14.25" x14ac:dyDescent="0.2">
      <c r="A1830" s="237" t="s">
        <v>1204</v>
      </c>
      <c r="B1830" s="238" t="s">
        <v>4290</v>
      </c>
      <c r="C1830" s="239" t="s">
        <v>13</v>
      </c>
      <c r="D1830" s="240">
        <f t="shared" si="28"/>
        <v>599.64319185185195</v>
      </c>
      <c r="E1830" s="226" t="s">
        <v>5222</v>
      </c>
      <c r="G1830" s="240">
        <v>559.33000000000004</v>
      </c>
    </row>
    <row r="1831" spans="1:7" ht="14.25" x14ac:dyDescent="0.2">
      <c r="A1831" s="237" t="s">
        <v>1205</v>
      </c>
      <c r="B1831" s="238" t="s">
        <v>4291</v>
      </c>
      <c r="C1831" s="239" t="s">
        <v>13</v>
      </c>
      <c r="D1831" s="240">
        <f t="shared" si="28"/>
        <v>634.70001407407403</v>
      </c>
      <c r="E1831" s="226" t="s">
        <v>5222</v>
      </c>
      <c r="G1831" s="240">
        <v>592.03</v>
      </c>
    </row>
    <row r="1832" spans="1:7" ht="14.25" x14ac:dyDescent="0.2">
      <c r="A1832" s="237" t="s">
        <v>1206</v>
      </c>
      <c r="B1832" s="238" t="s">
        <v>4292</v>
      </c>
      <c r="C1832" s="239" t="s">
        <v>13</v>
      </c>
      <c r="D1832" s="240">
        <f t="shared" si="28"/>
        <v>41.596474074074067</v>
      </c>
      <c r="E1832" s="226" t="s">
        <v>5222</v>
      </c>
      <c r="G1832" s="240">
        <v>38.799999999999997</v>
      </c>
    </row>
    <row r="1833" spans="1:7" ht="14.25" x14ac:dyDescent="0.2">
      <c r="A1833" s="237" t="s">
        <v>1207</v>
      </c>
      <c r="B1833" s="238" t="s">
        <v>4293</v>
      </c>
      <c r="C1833" s="239" t="s">
        <v>13</v>
      </c>
      <c r="D1833" s="240">
        <f t="shared" si="28"/>
        <v>12.221644444444445</v>
      </c>
      <c r="E1833" s="226" t="s">
        <v>5222</v>
      </c>
      <c r="G1833" s="240">
        <v>11.4</v>
      </c>
    </row>
    <row r="1834" spans="1:7" ht="14.25" x14ac:dyDescent="0.2">
      <c r="A1834" s="237" t="s">
        <v>1208</v>
      </c>
      <c r="B1834" s="238" t="s">
        <v>4294</v>
      </c>
      <c r="C1834" s="239" t="s">
        <v>13</v>
      </c>
      <c r="D1834" s="240">
        <f t="shared" si="28"/>
        <v>363.76545407407406</v>
      </c>
      <c r="E1834" s="226" t="s">
        <v>5222</v>
      </c>
      <c r="G1834" s="240">
        <v>339.31</v>
      </c>
    </row>
    <row r="1835" spans="1:7" ht="14.25" x14ac:dyDescent="0.2">
      <c r="A1835" s="237" t="s">
        <v>1209</v>
      </c>
      <c r="B1835" s="238" t="s">
        <v>4295</v>
      </c>
      <c r="C1835" s="239" t="s">
        <v>13</v>
      </c>
      <c r="D1835" s="240">
        <f t="shared" si="28"/>
        <v>398.82227629629631</v>
      </c>
      <c r="E1835" s="226" t="s">
        <v>5222</v>
      </c>
      <c r="G1835" s="240">
        <v>372.01</v>
      </c>
    </row>
    <row r="1836" spans="1:7" ht="14.25" x14ac:dyDescent="0.2">
      <c r="A1836" s="237" t="s">
        <v>1210</v>
      </c>
      <c r="B1836" s="238" t="s">
        <v>4296</v>
      </c>
      <c r="C1836" s="239" t="s">
        <v>13</v>
      </c>
      <c r="D1836" s="240">
        <f t="shared" si="28"/>
        <v>26.072841481481479</v>
      </c>
      <c r="E1836" s="226" t="s">
        <v>5222</v>
      </c>
      <c r="G1836" s="240">
        <v>24.32</v>
      </c>
    </row>
    <row r="1837" spans="1:7" ht="14.25" x14ac:dyDescent="0.2">
      <c r="A1837" s="237" t="s">
        <v>1211</v>
      </c>
      <c r="B1837" s="238" t="s">
        <v>4297</v>
      </c>
      <c r="C1837" s="239" t="s">
        <v>13</v>
      </c>
      <c r="D1837" s="240">
        <f t="shared" si="28"/>
        <v>0.85765925925925923</v>
      </c>
      <c r="E1837" s="226" t="s">
        <v>5222</v>
      </c>
      <c r="G1837" s="240">
        <v>0.8</v>
      </c>
    </row>
    <row r="1838" spans="1:7" ht="14.25" x14ac:dyDescent="0.2">
      <c r="A1838" s="237" t="s">
        <v>1212</v>
      </c>
      <c r="B1838" s="238" t="s">
        <v>4298</v>
      </c>
      <c r="C1838" s="239" t="s">
        <v>13</v>
      </c>
      <c r="D1838" s="240">
        <f t="shared" si="28"/>
        <v>12.586149629629629</v>
      </c>
      <c r="E1838" s="226" t="s">
        <v>5222</v>
      </c>
      <c r="G1838" s="240">
        <v>11.74</v>
      </c>
    </row>
    <row r="1839" spans="1:7" ht="14.25" x14ac:dyDescent="0.2">
      <c r="A1839" s="237" t="s">
        <v>1213</v>
      </c>
      <c r="B1839" s="238" t="s">
        <v>4299</v>
      </c>
      <c r="C1839" s="239" t="s">
        <v>13</v>
      </c>
      <c r="D1839" s="240">
        <f t="shared" si="28"/>
        <v>38.273044444444452</v>
      </c>
      <c r="E1839" s="226" t="s">
        <v>5222</v>
      </c>
      <c r="G1839" s="240">
        <v>35.700000000000003</v>
      </c>
    </row>
    <row r="1840" spans="1:7" ht="14.25" x14ac:dyDescent="0.2">
      <c r="A1840" s="237" t="s">
        <v>1214</v>
      </c>
      <c r="B1840" s="238" t="s">
        <v>4300</v>
      </c>
      <c r="C1840" s="239" t="s">
        <v>13</v>
      </c>
      <c r="D1840" s="240">
        <f t="shared" si="28"/>
        <v>26.801851851851854</v>
      </c>
      <c r="E1840" s="226" t="s">
        <v>5222</v>
      </c>
      <c r="G1840" s="240">
        <v>25</v>
      </c>
    </row>
    <row r="1841" spans="1:7" ht="14.25" x14ac:dyDescent="0.2">
      <c r="A1841" s="237" t="s">
        <v>1215</v>
      </c>
      <c r="B1841" s="238" t="s">
        <v>4301</v>
      </c>
      <c r="C1841" s="239" t="s">
        <v>13</v>
      </c>
      <c r="D1841" s="240">
        <f t="shared" si="28"/>
        <v>2.4764911111111112</v>
      </c>
      <c r="E1841" s="226" t="s">
        <v>5222</v>
      </c>
      <c r="G1841" s="240">
        <v>2.31</v>
      </c>
    </row>
    <row r="1842" spans="1:7" ht="14.25" x14ac:dyDescent="0.2">
      <c r="A1842" s="237" t="s">
        <v>1216</v>
      </c>
      <c r="B1842" s="238" t="s">
        <v>4302</v>
      </c>
      <c r="C1842" s="239" t="s">
        <v>13</v>
      </c>
      <c r="D1842" s="240">
        <f t="shared" si="28"/>
        <v>25.172299259259258</v>
      </c>
      <c r="E1842" s="226" t="s">
        <v>5222</v>
      </c>
      <c r="G1842" s="240">
        <v>23.48</v>
      </c>
    </row>
    <row r="1843" spans="1:7" ht="14.25" x14ac:dyDescent="0.2">
      <c r="A1843" s="237" t="s">
        <v>1217</v>
      </c>
      <c r="B1843" s="238" t="s">
        <v>4303</v>
      </c>
      <c r="C1843" s="239" t="s">
        <v>13</v>
      </c>
      <c r="D1843" s="240">
        <f t="shared" si="28"/>
        <v>50.859194074074075</v>
      </c>
      <c r="E1843" s="226" t="s">
        <v>5222</v>
      </c>
      <c r="G1843" s="240">
        <v>47.44</v>
      </c>
    </row>
    <row r="1844" spans="1:7" ht="14.25" x14ac:dyDescent="0.2">
      <c r="A1844" s="237" t="s">
        <v>1218</v>
      </c>
      <c r="B1844" s="238" t="s">
        <v>4304</v>
      </c>
      <c r="C1844" s="239" t="s">
        <v>13</v>
      </c>
      <c r="D1844" s="240">
        <f t="shared" si="28"/>
        <v>27.766718518518516</v>
      </c>
      <c r="E1844" s="226" t="s">
        <v>5222</v>
      </c>
      <c r="G1844" s="240">
        <v>25.9</v>
      </c>
    </row>
    <row r="1845" spans="1:7" ht="14.25" x14ac:dyDescent="0.2">
      <c r="A1845" s="237" t="s">
        <v>1219</v>
      </c>
      <c r="B1845" s="238" t="s">
        <v>4305</v>
      </c>
      <c r="C1845" s="239" t="s">
        <v>13</v>
      </c>
      <c r="D1845" s="240">
        <f t="shared" si="28"/>
        <v>4.6099185185185183</v>
      </c>
      <c r="E1845" s="226" t="s">
        <v>5222</v>
      </c>
      <c r="G1845" s="240">
        <v>4.3</v>
      </c>
    </row>
    <row r="1846" spans="1:7" ht="14.25" x14ac:dyDescent="0.2">
      <c r="A1846" s="237" t="s">
        <v>1220</v>
      </c>
      <c r="B1846" s="238" t="s">
        <v>4306</v>
      </c>
      <c r="C1846" s="239" t="s">
        <v>13</v>
      </c>
      <c r="D1846" s="240">
        <f t="shared" si="28"/>
        <v>29.010324444444439</v>
      </c>
      <c r="E1846" s="226" t="s">
        <v>5222</v>
      </c>
      <c r="G1846" s="240">
        <v>27.06</v>
      </c>
    </row>
    <row r="1847" spans="1:7" ht="14.25" x14ac:dyDescent="0.2">
      <c r="A1847" s="237" t="s">
        <v>1221</v>
      </c>
      <c r="B1847" s="238" t="s">
        <v>4307</v>
      </c>
      <c r="C1847" s="239" t="s">
        <v>13</v>
      </c>
      <c r="D1847" s="240">
        <f t="shared" si="28"/>
        <v>54.697219259259256</v>
      </c>
      <c r="E1847" s="226" t="s">
        <v>5222</v>
      </c>
      <c r="G1847" s="240">
        <v>51.02</v>
      </c>
    </row>
    <row r="1848" spans="1:7" ht="14.25" x14ac:dyDescent="0.2">
      <c r="A1848" s="237" t="s">
        <v>1222</v>
      </c>
      <c r="B1848" s="238" t="s">
        <v>4308</v>
      </c>
      <c r="C1848" s="239" t="s">
        <v>13</v>
      </c>
      <c r="D1848" s="240">
        <f t="shared" si="28"/>
        <v>28.881675555555557</v>
      </c>
      <c r="E1848" s="226" t="s">
        <v>5222</v>
      </c>
      <c r="G1848" s="240">
        <v>26.94</v>
      </c>
    </row>
    <row r="1849" spans="1:7" ht="14.25" x14ac:dyDescent="0.2">
      <c r="A1849" s="237" t="s">
        <v>1223</v>
      </c>
      <c r="B1849" s="238" t="s">
        <v>4309</v>
      </c>
      <c r="C1849" s="239" t="s">
        <v>13</v>
      </c>
      <c r="D1849" s="240">
        <f t="shared" si="28"/>
        <v>7.1185718518518506</v>
      </c>
      <c r="E1849" s="226" t="s">
        <v>5222</v>
      </c>
      <c r="G1849" s="240">
        <v>6.64</v>
      </c>
    </row>
    <row r="1850" spans="1:7" ht="14.25" x14ac:dyDescent="0.2">
      <c r="A1850" s="237" t="s">
        <v>1224</v>
      </c>
      <c r="B1850" s="238" t="s">
        <v>4310</v>
      </c>
      <c r="C1850" s="239" t="s">
        <v>13</v>
      </c>
      <c r="D1850" s="240">
        <f t="shared" si="28"/>
        <v>31.508257037037037</v>
      </c>
      <c r="E1850" s="226" t="s">
        <v>5222</v>
      </c>
      <c r="G1850" s="240">
        <v>29.39</v>
      </c>
    </row>
    <row r="1851" spans="1:7" ht="14.25" x14ac:dyDescent="0.2">
      <c r="A1851" s="237" t="s">
        <v>1225</v>
      </c>
      <c r="B1851" s="238" t="s">
        <v>4311</v>
      </c>
      <c r="C1851" s="239" t="s">
        <v>13</v>
      </c>
      <c r="D1851" s="240">
        <f t="shared" si="28"/>
        <v>57.195151851851854</v>
      </c>
      <c r="E1851" s="226" t="s">
        <v>5222</v>
      </c>
      <c r="G1851" s="240">
        <v>53.35</v>
      </c>
    </row>
    <row r="1852" spans="1:7" ht="14.25" x14ac:dyDescent="0.2">
      <c r="A1852" s="237" t="s">
        <v>1226</v>
      </c>
      <c r="B1852" s="238" t="s">
        <v>4312</v>
      </c>
      <c r="C1852" s="239" t="s">
        <v>13</v>
      </c>
      <c r="D1852" s="240">
        <f t="shared" si="28"/>
        <v>66.222015555555558</v>
      </c>
      <c r="E1852" s="226" t="s">
        <v>5222</v>
      </c>
      <c r="G1852" s="240">
        <v>61.77</v>
      </c>
    </row>
    <row r="1853" spans="1:7" ht="14.25" x14ac:dyDescent="0.2">
      <c r="A1853" s="237" t="s">
        <v>1227</v>
      </c>
      <c r="B1853" s="238" t="s">
        <v>4313</v>
      </c>
      <c r="C1853" s="239" t="s">
        <v>13</v>
      </c>
      <c r="D1853" s="240">
        <f t="shared" si="28"/>
        <v>80.898709629629622</v>
      </c>
      <c r="E1853" s="226" t="s">
        <v>5222</v>
      </c>
      <c r="G1853" s="240">
        <v>75.459999999999994</v>
      </c>
    </row>
    <row r="1854" spans="1:7" ht="14.25" x14ac:dyDescent="0.2">
      <c r="A1854" s="237" t="s">
        <v>1228</v>
      </c>
      <c r="B1854" s="238" t="s">
        <v>4314</v>
      </c>
      <c r="C1854" s="239" t="s">
        <v>13</v>
      </c>
      <c r="D1854" s="240">
        <f t="shared" si="28"/>
        <v>274.55817037037036</v>
      </c>
      <c r="E1854" s="226" t="s">
        <v>5222</v>
      </c>
      <c r="G1854" s="240">
        <v>256.10000000000002</v>
      </c>
    </row>
    <row r="1855" spans="1:7" ht="14.25" x14ac:dyDescent="0.2">
      <c r="A1855" s="237" t="s">
        <v>1229</v>
      </c>
      <c r="B1855" s="238" t="s">
        <v>4315</v>
      </c>
      <c r="C1855" s="239" t="s">
        <v>13</v>
      </c>
      <c r="D1855" s="240">
        <f t="shared" si="28"/>
        <v>300.24506518518518</v>
      </c>
      <c r="E1855" s="226" t="s">
        <v>5222</v>
      </c>
      <c r="G1855" s="240">
        <v>280.06</v>
      </c>
    </row>
    <row r="1856" spans="1:7" ht="14.25" x14ac:dyDescent="0.2">
      <c r="A1856" s="237" t="s">
        <v>1230</v>
      </c>
      <c r="B1856" s="238" t="s">
        <v>4316</v>
      </c>
      <c r="C1856" s="239" t="s">
        <v>13</v>
      </c>
      <c r="D1856" s="240">
        <f t="shared" si="28"/>
        <v>39.816831111111107</v>
      </c>
      <c r="E1856" s="226" t="s">
        <v>5222</v>
      </c>
      <c r="G1856" s="240">
        <v>37.14</v>
      </c>
    </row>
    <row r="1857" spans="1:7" ht="14.25" x14ac:dyDescent="0.2">
      <c r="A1857" s="237" t="s">
        <v>1231</v>
      </c>
      <c r="B1857" s="238" t="s">
        <v>4317</v>
      </c>
      <c r="C1857" s="239" t="s">
        <v>13</v>
      </c>
      <c r="D1857" s="240">
        <f t="shared" si="28"/>
        <v>28.195548148148148</v>
      </c>
      <c r="E1857" s="226" t="s">
        <v>5222</v>
      </c>
      <c r="G1857" s="240">
        <v>26.3</v>
      </c>
    </row>
    <row r="1858" spans="1:7" ht="14.25" x14ac:dyDescent="0.2">
      <c r="A1858" s="237" t="s">
        <v>1232</v>
      </c>
      <c r="B1858" s="238" t="s">
        <v>4318</v>
      </c>
      <c r="C1858" s="239" t="s">
        <v>13</v>
      </c>
      <c r="D1858" s="240">
        <f t="shared" si="28"/>
        <v>141.06350666666668</v>
      </c>
      <c r="E1858" s="226" t="s">
        <v>5222</v>
      </c>
      <c r="G1858" s="240">
        <v>131.58000000000001</v>
      </c>
    </row>
    <row r="1859" spans="1:7" ht="14.25" x14ac:dyDescent="0.2">
      <c r="A1859" s="237" t="s">
        <v>1233</v>
      </c>
      <c r="B1859" s="238" t="s">
        <v>4319</v>
      </c>
      <c r="C1859" s="239" t="s">
        <v>13</v>
      </c>
      <c r="D1859" s="240">
        <f t="shared" si="28"/>
        <v>166.76112222222224</v>
      </c>
      <c r="E1859" s="226" t="s">
        <v>5222</v>
      </c>
      <c r="G1859" s="240">
        <v>155.55000000000001</v>
      </c>
    </row>
    <row r="1860" spans="1:7" ht="14.25" x14ac:dyDescent="0.2">
      <c r="A1860" s="237" t="s">
        <v>1234</v>
      </c>
      <c r="B1860" s="238" t="s">
        <v>4320</v>
      </c>
      <c r="C1860" s="239" t="s">
        <v>13</v>
      </c>
      <c r="D1860" s="240">
        <f t="shared" si="28"/>
        <v>143.40062814814814</v>
      </c>
      <c r="E1860" s="226" t="s">
        <v>5222</v>
      </c>
      <c r="G1860" s="240">
        <v>133.76</v>
      </c>
    </row>
    <row r="1861" spans="1:7" ht="14.25" x14ac:dyDescent="0.2">
      <c r="A1861" s="237" t="s">
        <v>1235</v>
      </c>
      <c r="B1861" s="238" t="s">
        <v>4321</v>
      </c>
      <c r="C1861" s="239" t="s">
        <v>13</v>
      </c>
      <c r="D1861" s="240">
        <f t="shared" si="28"/>
        <v>195.66423925925923</v>
      </c>
      <c r="E1861" s="226" t="s">
        <v>5222</v>
      </c>
      <c r="G1861" s="240">
        <v>182.51</v>
      </c>
    </row>
    <row r="1862" spans="1:7" ht="14.25" x14ac:dyDescent="0.2">
      <c r="A1862" s="237" t="s">
        <v>1236</v>
      </c>
      <c r="B1862" s="238" t="s">
        <v>4322</v>
      </c>
      <c r="C1862" s="239" t="s">
        <v>13</v>
      </c>
      <c r="D1862" s="240">
        <f t="shared" si="28"/>
        <v>362.23238814814812</v>
      </c>
      <c r="E1862" s="226" t="s">
        <v>5222</v>
      </c>
      <c r="G1862" s="240">
        <v>337.88</v>
      </c>
    </row>
    <row r="1863" spans="1:7" ht="14.25" x14ac:dyDescent="0.2">
      <c r="A1863" s="237" t="s">
        <v>1237</v>
      </c>
      <c r="B1863" s="238" t="s">
        <v>4323</v>
      </c>
      <c r="C1863" s="239" t="s">
        <v>13</v>
      </c>
      <c r="D1863" s="240">
        <f t="shared" si="28"/>
        <v>397.28921037037031</v>
      </c>
      <c r="E1863" s="226" t="s">
        <v>5222</v>
      </c>
      <c r="G1863" s="240">
        <v>370.58</v>
      </c>
    </row>
    <row r="1864" spans="1:7" ht="14.25" x14ac:dyDescent="0.2">
      <c r="A1864" s="237" t="s">
        <v>1238</v>
      </c>
      <c r="B1864" s="238" t="s">
        <v>4324</v>
      </c>
      <c r="C1864" s="239" t="s">
        <v>13</v>
      </c>
      <c r="D1864" s="240">
        <f t="shared" ref="D1864:D1927" si="29">(G1864/(1+0.35))*(1+$D$3)</f>
        <v>120.47968444444444</v>
      </c>
      <c r="E1864" s="226" t="s">
        <v>5222</v>
      </c>
      <c r="G1864" s="240">
        <v>112.38</v>
      </c>
    </row>
    <row r="1865" spans="1:7" ht="14.25" x14ac:dyDescent="0.2">
      <c r="A1865" s="237" t="s">
        <v>1239</v>
      </c>
      <c r="B1865" s="238" t="s">
        <v>4325</v>
      </c>
      <c r="C1865" s="239" t="s">
        <v>13</v>
      </c>
      <c r="D1865" s="240">
        <f t="shared" si="29"/>
        <v>154.28217999999998</v>
      </c>
      <c r="E1865" s="226" t="s">
        <v>5222</v>
      </c>
      <c r="G1865" s="240">
        <v>143.91</v>
      </c>
    </row>
    <row r="1866" spans="1:7" ht="14.25" x14ac:dyDescent="0.2">
      <c r="A1866" s="237" t="s">
        <v>1240</v>
      </c>
      <c r="B1866" s="238" t="s">
        <v>4326</v>
      </c>
      <c r="C1866" s="239" t="s">
        <v>13</v>
      </c>
      <c r="D1866" s="240">
        <f t="shared" si="29"/>
        <v>354.19183259259256</v>
      </c>
      <c r="E1866" s="226" t="s">
        <v>5222</v>
      </c>
      <c r="G1866" s="240">
        <v>330.38</v>
      </c>
    </row>
    <row r="1867" spans="1:7" ht="14.25" x14ac:dyDescent="0.2">
      <c r="A1867" s="237" t="s">
        <v>1241</v>
      </c>
      <c r="B1867" s="238" t="s">
        <v>4327</v>
      </c>
      <c r="C1867" s="239" t="s">
        <v>13</v>
      </c>
      <c r="D1867" s="240">
        <f t="shared" si="29"/>
        <v>389.24865481481476</v>
      </c>
      <c r="E1867" s="226" t="s">
        <v>5222</v>
      </c>
      <c r="G1867" s="240">
        <v>363.08</v>
      </c>
    </row>
    <row r="1868" spans="1:7" ht="14.25" x14ac:dyDescent="0.2">
      <c r="A1868" s="237" t="s">
        <v>1242</v>
      </c>
      <c r="B1868" s="238" t="s">
        <v>4328</v>
      </c>
      <c r="C1868" s="239" t="s">
        <v>13</v>
      </c>
      <c r="D1868" s="240">
        <f t="shared" si="29"/>
        <v>743.93364148148135</v>
      </c>
      <c r="E1868" s="226" t="s">
        <v>5222</v>
      </c>
      <c r="G1868" s="240">
        <v>693.92</v>
      </c>
    </row>
    <row r="1869" spans="1:7" ht="14.25" x14ac:dyDescent="0.2">
      <c r="A1869" s="237" t="s">
        <v>1243</v>
      </c>
      <c r="B1869" s="238" t="s">
        <v>4329</v>
      </c>
      <c r="C1869" s="239" t="s">
        <v>13</v>
      </c>
      <c r="D1869" s="240">
        <f t="shared" si="29"/>
        <v>1252.4719785185184</v>
      </c>
      <c r="E1869" s="226" t="s">
        <v>5222</v>
      </c>
      <c r="G1869" s="240">
        <v>1168.27</v>
      </c>
    </row>
    <row r="1870" spans="1:7" ht="14.25" x14ac:dyDescent="0.2">
      <c r="A1870" s="237" t="s">
        <v>1244</v>
      </c>
      <c r="B1870" s="238" t="s">
        <v>4330</v>
      </c>
      <c r="C1870" s="239" t="s">
        <v>13</v>
      </c>
      <c r="D1870" s="240">
        <f t="shared" si="29"/>
        <v>1679.8757496296296</v>
      </c>
      <c r="E1870" s="226" t="s">
        <v>5222</v>
      </c>
      <c r="G1870" s="240">
        <v>1566.94</v>
      </c>
    </row>
    <row r="1871" spans="1:7" ht="14.25" x14ac:dyDescent="0.2">
      <c r="A1871" s="237" t="s">
        <v>1245</v>
      </c>
      <c r="B1871" s="238" t="s">
        <v>4331</v>
      </c>
      <c r="C1871" s="239" t="s">
        <v>13</v>
      </c>
      <c r="D1871" s="240">
        <f t="shared" si="29"/>
        <v>1730.2953933333333</v>
      </c>
      <c r="E1871" s="226" t="s">
        <v>5222</v>
      </c>
      <c r="G1871" s="240">
        <v>1613.97</v>
      </c>
    </row>
    <row r="1872" spans="1:7" ht="14.25" x14ac:dyDescent="0.2">
      <c r="A1872" s="237" t="s">
        <v>1246</v>
      </c>
      <c r="B1872" s="238" t="s">
        <v>4332</v>
      </c>
      <c r="C1872" s="239" t="s">
        <v>13</v>
      </c>
      <c r="D1872" s="240">
        <f t="shared" si="29"/>
        <v>96.30441407407406</v>
      </c>
      <c r="E1872" s="226" t="s">
        <v>5222</v>
      </c>
      <c r="G1872" s="240">
        <v>89.83</v>
      </c>
    </row>
    <row r="1873" spans="1:7" ht="14.25" x14ac:dyDescent="0.2">
      <c r="A1873" s="237" t="s">
        <v>1247</v>
      </c>
      <c r="B1873" s="238" t="s">
        <v>4333</v>
      </c>
      <c r="C1873" s="239" t="s">
        <v>13</v>
      </c>
      <c r="D1873" s="240">
        <f t="shared" si="29"/>
        <v>82.871325925925916</v>
      </c>
      <c r="E1873" s="226" t="s">
        <v>5222</v>
      </c>
      <c r="G1873" s="240">
        <v>77.3</v>
      </c>
    </row>
    <row r="1874" spans="1:7" ht="14.25" x14ac:dyDescent="0.2">
      <c r="A1874" s="237" t="s">
        <v>1248</v>
      </c>
      <c r="B1874" s="238" t="s">
        <v>4334</v>
      </c>
      <c r="C1874" s="239" t="s">
        <v>13</v>
      </c>
      <c r="D1874" s="240">
        <f t="shared" si="29"/>
        <v>718.6755762962963</v>
      </c>
      <c r="E1874" s="226" t="s">
        <v>5222</v>
      </c>
      <c r="G1874" s="240">
        <v>670.36</v>
      </c>
    </row>
    <row r="1875" spans="1:7" ht="14.25" x14ac:dyDescent="0.2">
      <c r="A1875" s="237" t="s">
        <v>1249</v>
      </c>
      <c r="B1875" s="238" t="s">
        <v>4335</v>
      </c>
      <c r="C1875" s="239" t="s">
        <v>13</v>
      </c>
      <c r="D1875" s="240">
        <f t="shared" si="29"/>
        <v>769.09522000000004</v>
      </c>
      <c r="E1875" s="226" t="s">
        <v>5222</v>
      </c>
      <c r="G1875" s="240">
        <v>717.39</v>
      </c>
    </row>
    <row r="1876" spans="1:7" ht="14.25" x14ac:dyDescent="0.2">
      <c r="A1876" s="237" t="s">
        <v>1250</v>
      </c>
      <c r="B1876" s="238" t="s">
        <v>4336</v>
      </c>
      <c r="C1876" s="239" t="s">
        <v>13</v>
      </c>
      <c r="D1876" s="240">
        <f t="shared" si="29"/>
        <v>48.468468888888886</v>
      </c>
      <c r="E1876" s="226" t="s">
        <v>5222</v>
      </c>
      <c r="G1876" s="240">
        <v>45.21</v>
      </c>
    </row>
    <row r="1877" spans="1:7" ht="14.25" x14ac:dyDescent="0.2">
      <c r="A1877" s="237" t="s">
        <v>1251</v>
      </c>
      <c r="B1877" s="238" t="s">
        <v>4337</v>
      </c>
      <c r="C1877" s="239" t="s">
        <v>13</v>
      </c>
      <c r="D1877" s="240">
        <f t="shared" si="29"/>
        <v>2.3907251851851852</v>
      </c>
      <c r="E1877" s="226" t="s">
        <v>5222</v>
      </c>
      <c r="G1877" s="240">
        <v>2.23</v>
      </c>
    </row>
    <row r="1878" spans="1:7" ht="14.25" x14ac:dyDescent="0.2">
      <c r="A1878" s="237" t="s">
        <v>1252</v>
      </c>
      <c r="B1878" s="238" t="s">
        <v>4338</v>
      </c>
      <c r="C1878" s="239" t="s">
        <v>13</v>
      </c>
      <c r="D1878" s="240">
        <f t="shared" si="29"/>
        <v>20.959048148148149</v>
      </c>
      <c r="E1878" s="226" t="s">
        <v>5222</v>
      </c>
      <c r="G1878" s="240">
        <v>19.55</v>
      </c>
    </row>
    <row r="1879" spans="1:7" ht="14.25" x14ac:dyDescent="0.2">
      <c r="A1879" s="237" t="s">
        <v>1253</v>
      </c>
      <c r="B1879" s="238" t="s">
        <v>4339</v>
      </c>
      <c r="C1879" s="239" t="s">
        <v>13</v>
      </c>
      <c r="D1879" s="240">
        <f t="shared" si="29"/>
        <v>68.119586666666663</v>
      </c>
      <c r="E1879" s="226" t="s">
        <v>5222</v>
      </c>
      <c r="G1879" s="240">
        <v>63.54</v>
      </c>
    </row>
    <row r="1880" spans="1:7" ht="14.25" x14ac:dyDescent="0.2">
      <c r="A1880" s="237" t="s">
        <v>1254</v>
      </c>
      <c r="B1880" s="238" t="s">
        <v>4340</v>
      </c>
      <c r="C1880" s="239" t="s">
        <v>13</v>
      </c>
      <c r="D1880" s="240">
        <f t="shared" si="29"/>
        <v>60.775879259259248</v>
      </c>
      <c r="E1880" s="226" t="s">
        <v>5222</v>
      </c>
      <c r="G1880" s="240">
        <v>56.69</v>
      </c>
    </row>
    <row r="1881" spans="1:7" ht="14.25" x14ac:dyDescent="0.2">
      <c r="A1881" s="237" t="s">
        <v>1255</v>
      </c>
      <c r="B1881" s="238" t="s">
        <v>4341</v>
      </c>
      <c r="C1881" s="239" t="s">
        <v>13</v>
      </c>
      <c r="D1881" s="240">
        <f t="shared" si="29"/>
        <v>25.075812592592595</v>
      </c>
      <c r="E1881" s="226" t="s">
        <v>5222</v>
      </c>
      <c r="G1881" s="240">
        <v>23.39</v>
      </c>
    </row>
    <row r="1882" spans="1:7" ht="14.25" x14ac:dyDescent="0.2">
      <c r="A1882" s="237" t="s">
        <v>1256</v>
      </c>
      <c r="B1882" s="238" t="s">
        <v>4342</v>
      </c>
      <c r="C1882" s="239" t="s">
        <v>13</v>
      </c>
      <c r="D1882" s="240">
        <f t="shared" si="29"/>
        <v>60.775879259259248</v>
      </c>
      <c r="E1882" s="226" t="s">
        <v>5222</v>
      </c>
      <c r="G1882" s="240">
        <v>56.69</v>
      </c>
    </row>
    <row r="1883" spans="1:7" ht="14.25" x14ac:dyDescent="0.2">
      <c r="A1883" s="237" t="s">
        <v>1257</v>
      </c>
      <c r="B1883" s="238" t="s">
        <v>4343</v>
      </c>
      <c r="C1883" s="239" t="s">
        <v>13</v>
      </c>
      <c r="D1883" s="240">
        <f t="shared" si="29"/>
        <v>107.94713851851851</v>
      </c>
      <c r="E1883" s="226" t="s">
        <v>5222</v>
      </c>
      <c r="G1883" s="240">
        <v>100.69</v>
      </c>
    </row>
    <row r="1884" spans="1:7" ht="14.25" x14ac:dyDescent="0.2">
      <c r="A1884" s="237" t="s">
        <v>1258</v>
      </c>
      <c r="B1884" s="238" t="s">
        <v>4344</v>
      </c>
      <c r="C1884" s="239" t="s">
        <v>13</v>
      </c>
      <c r="D1884" s="240">
        <f t="shared" si="29"/>
        <v>25.740498518518518</v>
      </c>
      <c r="E1884" s="226" t="s">
        <v>5222</v>
      </c>
      <c r="G1884" s="240">
        <v>24.01</v>
      </c>
    </row>
    <row r="1885" spans="1:7" ht="14.25" x14ac:dyDescent="0.2">
      <c r="A1885" s="237" t="s">
        <v>1259</v>
      </c>
      <c r="B1885" s="238" t="s">
        <v>4345</v>
      </c>
      <c r="C1885" s="239" t="s">
        <v>13</v>
      </c>
      <c r="D1885" s="240">
        <f t="shared" si="29"/>
        <v>9.6486666666666665E-2</v>
      </c>
      <c r="E1885" s="226" t="s">
        <v>5222</v>
      </c>
      <c r="G1885" s="240">
        <v>0.09</v>
      </c>
    </row>
    <row r="1886" spans="1:7" ht="14.25" x14ac:dyDescent="0.2">
      <c r="A1886" s="237" t="s">
        <v>1260</v>
      </c>
      <c r="B1886" s="238" t="s">
        <v>4346</v>
      </c>
      <c r="C1886" s="239" t="s">
        <v>13</v>
      </c>
      <c r="D1886" s="240">
        <f t="shared" si="29"/>
        <v>7.5259599999999995</v>
      </c>
      <c r="E1886" s="226" t="s">
        <v>5222</v>
      </c>
      <c r="G1886" s="240">
        <v>7.02</v>
      </c>
    </row>
    <row r="1887" spans="1:7" ht="14.25" x14ac:dyDescent="0.2">
      <c r="A1887" s="237" t="s">
        <v>1261</v>
      </c>
      <c r="B1887" s="238" t="s">
        <v>4347</v>
      </c>
      <c r="C1887" s="239" t="s">
        <v>13</v>
      </c>
      <c r="D1887" s="240">
        <f t="shared" si="29"/>
        <v>33.212854814814811</v>
      </c>
      <c r="E1887" s="226" t="s">
        <v>5222</v>
      </c>
      <c r="G1887" s="240">
        <v>30.98</v>
      </c>
    </row>
    <row r="1888" spans="1:7" ht="14.25" x14ac:dyDescent="0.2">
      <c r="A1888" s="237" t="s">
        <v>1262</v>
      </c>
      <c r="B1888" s="238" t="s">
        <v>4348</v>
      </c>
      <c r="C1888" s="239" t="s">
        <v>13</v>
      </c>
      <c r="D1888" s="240">
        <f t="shared" si="29"/>
        <v>1.1471192592592594</v>
      </c>
      <c r="E1888" s="226" t="s">
        <v>5222</v>
      </c>
      <c r="G1888" s="240">
        <v>1.07</v>
      </c>
    </row>
    <row r="1889" spans="1:7" ht="14.25" x14ac:dyDescent="0.2">
      <c r="A1889" s="237" t="s">
        <v>1263</v>
      </c>
      <c r="B1889" s="238" t="s">
        <v>4349</v>
      </c>
      <c r="C1889" s="239" t="s">
        <v>13</v>
      </c>
      <c r="D1889" s="240">
        <f t="shared" si="29"/>
        <v>1.8868503703703703</v>
      </c>
      <c r="E1889" s="226" t="s">
        <v>5222</v>
      </c>
      <c r="G1889" s="240">
        <v>1.76</v>
      </c>
    </row>
    <row r="1890" spans="1:7" ht="14.25" x14ac:dyDescent="0.2">
      <c r="A1890" s="237" t="s">
        <v>1264</v>
      </c>
      <c r="B1890" s="238" t="s">
        <v>4350</v>
      </c>
      <c r="C1890" s="239" t="s">
        <v>13</v>
      </c>
      <c r="D1890" s="240">
        <f t="shared" si="29"/>
        <v>1.8868503703703703</v>
      </c>
      <c r="E1890" s="226" t="s">
        <v>5222</v>
      </c>
      <c r="G1890" s="240">
        <v>1.76</v>
      </c>
    </row>
    <row r="1891" spans="1:7" ht="14.25" x14ac:dyDescent="0.2">
      <c r="A1891" s="237" t="s">
        <v>1265</v>
      </c>
      <c r="B1891" s="238" t="s">
        <v>4351</v>
      </c>
      <c r="C1891" s="239" t="s">
        <v>13</v>
      </c>
      <c r="D1891" s="240">
        <f t="shared" si="29"/>
        <v>1.8868503703703703</v>
      </c>
      <c r="E1891" s="226" t="s">
        <v>5222</v>
      </c>
      <c r="G1891" s="240">
        <v>1.76</v>
      </c>
    </row>
    <row r="1892" spans="1:7" ht="14.25" x14ac:dyDescent="0.2">
      <c r="A1892" s="237" t="s">
        <v>1266</v>
      </c>
      <c r="B1892" s="238" t="s">
        <v>4352</v>
      </c>
      <c r="C1892" s="239" t="s">
        <v>13</v>
      </c>
      <c r="D1892" s="240">
        <f t="shared" si="29"/>
        <v>6.5396518518518514</v>
      </c>
      <c r="E1892" s="226" t="s">
        <v>5222</v>
      </c>
      <c r="G1892" s="240">
        <v>6.1</v>
      </c>
    </row>
    <row r="1893" spans="1:7" ht="14.25" x14ac:dyDescent="0.2">
      <c r="A1893" s="237" t="s">
        <v>1267</v>
      </c>
      <c r="B1893" s="238" t="s">
        <v>4353</v>
      </c>
      <c r="C1893" s="239" t="s">
        <v>13</v>
      </c>
      <c r="D1893" s="240">
        <f t="shared" si="29"/>
        <v>10.785065185185186</v>
      </c>
      <c r="E1893" s="226" t="s">
        <v>5222</v>
      </c>
      <c r="G1893" s="240">
        <v>10.06</v>
      </c>
    </row>
    <row r="1894" spans="1:7" ht="14.25" x14ac:dyDescent="0.2">
      <c r="A1894" s="237" t="s">
        <v>1268</v>
      </c>
      <c r="B1894" s="238" t="s">
        <v>4354</v>
      </c>
      <c r="C1894" s="239" t="s">
        <v>13</v>
      </c>
      <c r="D1894" s="240">
        <f t="shared" si="29"/>
        <v>10.785065185185186</v>
      </c>
      <c r="E1894" s="226" t="s">
        <v>5222</v>
      </c>
      <c r="G1894" s="240">
        <v>10.06</v>
      </c>
    </row>
    <row r="1895" spans="1:7" ht="14.25" x14ac:dyDescent="0.2">
      <c r="A1895" s="237" t="s">
        <v>1269</v>
      </c>
      <c r="B1895" s="238" t="s">
        <v>4355</v>
      </c>
      <c r="C1895" s="239" t="s">
        <v>13</v>
      </c>
      <c r="D1895" s="240">
        <f t="shared" si="29"/>
        <v>10.785065185185186</v>
      </c>
      <c r="E1895" s="226" t="s">
        <v>5222</v>
      </c>
      <c r="G1895" s="240">
        <v>10.06</v>
      </c>
    </row>
    <row r="1896" spans="1:7" ht="14.25" x14ac:dyDescent="0.2">
      <c r="A1896" s="237" t="s">
        <v>1270</v>
      </c>
      <c r="B1896" s="238" t="s">
        <v>4356</v>
      </c>
      <c r="C1896" s="239" t="s">
        <v>13</v>
      </c>
      <c r="D1896" s="240">
        <f t="shared" si="29"/>
        <v>0.46099185185185182</v>
      </c>
      <c r="E1896" s="226" t="s">
        <v>5222</v>
      </c>
      <c r="G1896" s="240">
        <v>0.43</v>
      </c>
    </row>
    <row r="1897" spans="1:7" ht="14.25" x14ac:dyDescent="0.2">
      <c r="A1897" s="237" t="s">
        <v>1271</v>
      </c>
      <c r="B1897" s="238" t="s">
        <v>4357</v>
      </c>
      <c r="C1897" s="239" t="s">
        <v>13</v>
      </c>
      <c r="D1897" s="240">
        <f t="shared" si="29"/>
        <v>0.75045185185185181</v>
      </c>
      <c r="E1897" s="226" t="s">
        <v>5222</v>
      </c>
      <c r="G1897" s="240">
        <v>0.7</v>
      </c>
    </row>
    <row r="1898" spans="1:7" ht="14.25" x14ac:dyDescent="0.2">
      <c r="A1898" s="237" t="s">
        <v>1272</v>
      </c>
      <c r="B1898" s="238" t="s">
        <v>4358</v>
      </c>
      <c r="C1898" s="239" t="s">
        <v>13</v>
      </c>
      <c r="D1898" s="240">
        <f t="shared" si="29"/>
        <v>0.75045185185185181</v>
      </c>
      <c r="E1898" s="226" t="s">
        <v>5222</v>
      </c>
      <c r="G1898" s="240">
        <v>0.7</v>
      </c>
    </row>
    <row r="1899" spans="1:7" ht="14.25" x14ac:dyDescent="0.2">
      <c r="A1899" s="237" t="s">
        <v>1273</v>
      </c>
      <c r="B1899" s="238" t="s">
        <v>4359</v>
      </c>
      <c r="C1899" s="239" t="s">
        <v>13</v>
      </c>
      <c r="D1899" s="240">
        <f t="shared" si="29"/>
        <v>0.75045185185185181</v>
      </c>
      <c r="E1899" s="226" t="s">
        <v>5222</v>
      </c>
      <c r="G1899" s="240">
        <v>0.7</v>
      </c>
    </row>
    <row r="1900" spans="1:7" ht="14.25" x14ac:dyDescent="0.2">
      <c r="A1900" s="237" t="s">
        <v>1274</v>
      </c>
      <c r="B1900" s="238" t="s">
        <v>4360</v>
      </c>
      <c r="C1900" s="239" t="s">
        <v>13</v>
      </c>
      <c r="D1900" s="240">
        <f t="shared" si="29"/>
        <v>95.746935555555552</v>
      </c>
      <c r="E1900" s="226" t="s">
        <v>5222</v>
      </c>
      <c r="G1900" s="240">
        <v>89.31</v>
      </c>
    </row>
    <row r="1901" spans="1:7" ht="14.25" x14ac:dyDescent="0.2">
      <c r="A1901" s="237" t="s">
        <v>1275</v>
      </c>
      <c r="B1901" s="238" t="s">
        <v>4361</v>
      </c>
      <c r="C1901" s="239" t="s">
        <v>13</v>
      </c>
      <c r="D1901" s="240">
        <f t="shared" si="29"/>
        <v>109.59813259259259</v>
      </c>
      <c r="E1901" s="226" t="s">
        <v>5222</v>
      </c>
      <c r="G1901" s="240">
        <v>102.23</v>
      </c>
    </row>
    <row r="1902" spans="1:7" ht="14.25" x14ac:dyDescent="0.2">
      <c r="A1902" s="237" t="s">
        <v>1276</v>
      </c>
      <c r="B1902" s="238" t="s">
        <v>4362</v>
      </c>
      <c r="C1902" s="239" t="s">
        <v>13</v>
      </c>
      <c r="D1902" s="240">
        <f t="shared" si="29"/>
        <v>273.55042074074072</v>
      </c>
      <c r="E1902" s="226" t="s">
        <v>5222</v>
      </c>
      <c r="G1902" s="240">
        <v>255.16</v>
      </c>
    </row>
    <row r="1903" spans="1:7" ht="14.25" x14ac:dyDescent="0.2">
      <c r="A1903" s="237" t="s">
        <v>1277</v>
      </c>
      <c r="B1903" s="238" t="s">
        <v>4363</v>
      </c>
      <c r="C1903" s="239" t="s">
        <v>13</v>
      </c>
      <c r="D1903" s="240">
        <f t="shared" si="29"/>
        <v>308.60724296296297</v>
      </c>
      <c r="E1903" s="226" t="s">
        <v>5222</v>
      </c>
      <c r="G1903" s="240">
        <v>287.86</v>
      </c>
    </row>
    <row r="1904" spans="1:7" ht="14.25" x14ac:dyDescent="0.2">
      <c r="A1904" s="237" t="s">
        <v>1278</v>
      </c>
      <c r="B1904" s="238" t="s">
        <v>4364</v>
      </c>
      <c r="C1904" s="239" t="s">
        <v>13</v>
      </c>
      <c r="D1904" s="240">
        <f t="shared" si="29"/>
        <v>124.00680814814815</v>
      </c>
      <c r="E1904" s="226" t="s">
        <v>5222</v>
      </c>
      <c r="G1904" s="240">
        <v>115.67</v>
      </c>
    </row>
    <row r="1905" spans="1:7" ht="14.25" x14ac:dyDescent="0.2">
      <c r="A1905" s="237" t="s">
        <v>1279</v>
      </c>
      <c r="B1905" s="238" t="s">
        <v>4365</v>
      </c>
      <c r="C1905" s="239" t="s">
        <v>13</v>
      </c>
      <c r="D1905" s="240">
        <f t="shared" si="29"/>
        <v>160.63957925925925</v>
      </c>
      <c r="E1905" s="226" t="s">
        <v>5222</v>
      </c>
      <c r="G1905" s="240">
        <v>149.84</v>
      </c>
    </row>
    <row r="1906" spans="1:7" ht="14.25" x14ac:dyDescent="0.2">
      <c r="A1906" s="237" t="s">
        <v>1280</v>
      </c>
      <c r="B1906" s="238" t="s">
        <v>4366</v>
      </c>
      <c r="C1906" s="239" t="s">
        <v>13</v>
      </c>
      <c r="D1906" s="240">
        <f t="shared" si="29"/>
        <v>326.33934814814808</v>
      </c>
      <c r="E1906" s="226" t="s">
        <v>5222</v>
      </c>
      <c r="G1906" s="240">
        <v>304.39999999999998</v>
      </c>
    </row>
    <row r="1907" spans="1:7" ht="14.25" x14ac:dyDescent="0.2">
      <c r="A1907" s="237" t="s">
        <v>1281</v>
      </c>
      <c r="B1907" s="238" t="s">
        <v>4367</v>
      </c>
      <c r="C1907" s="239" t="s">
        <v>13</v>
      </c>
      <c r="D1907" s="240">
        <f t="shared" si="29"/>
        <v>361.39617037037038</v>
      </c>
      <c r="E1907" s="226" t="s">
        <v>5222</v>
      </c>
      <c r="G1907" s="240">
        <v>337.1</v>
      </c>
    </row>
    <row r="1908" spans="1:7" ht="14.25" x14ac:dyDescent="0.2">
      <c r="A1908" s="237" t="s">
        <v>1282</v>
      </c>
      <c r="B1908" s="238" t="s">
        <v>4368</v>
      </c>
      <c r="C1908" s="239" t="s">
        <v>13</v>
      </c>
      <c r="D1908" s="240">
        <f t="shared" si="29"/>
        <v>169.80581259259256</v>
      </c>
      <c r="E1908" s="226" t="s">
        <v>5222</v>
      </c>
      <c r="G1908" s="240">
        <v>158.38999999999999</v>
      </c>
    </row>
    <row r="1909" spans="1:7" ht="14.25" x14ac:dyDescent="0.2">
      <c r="A1909" s="237" t="s">
        <v>1283</v>
      </c>
      <c r="B1909" s="238" t="s">
        <v>4369</v>
      </c>
      <c r="C1909" s="239" t="s">
        <v>13</v>
      </c>
      <c r="D1909" s="240">
        <f t="shared" si="29"/>
        <v>243.33937333333333</v>
      </c>
      <c r="E1909" s="226" t="s">
        <v>5222</v>
      </c>
      <c r="G1909" s="240">
        <v>226.98</v>
      </c>
    </row>
    <row r="1910" spans="1:7" ht="14.25" x14ac:dyDescent="0.2">
      <c r="A1910" s="237" t="s">
        <v>1284</v>
      </c>
      <c r="B1910" s="238" t="s">
        <v>4370</v>
      </c>
      <c r="C1910" s="239" t="s">
        <v>13</v>
      </c>
      <c r="D1910" s="240">
        <f t="shared" si="29"/>
        <v>477.73764888888883</v>
      </c>
      <c r="E1910" s="226" t="s">
        <v>5222</v>
      </c>
      <c r="G1910" s="240">
        <v>445.62</v>
      </c>
    </row>
    <row r="1911" spans="1:7" ht="14.25" x14ac:dyDescent="0.2">
      <c r="A1911" s="237" t="s">
        <v>1285</v>
      </c>
      <c r="B1911" s="238" t="s">
        <v>4371</v>
      </c>
      <c r="C1911" s="239" t="s">
        <v>13</v>
      </c>
      <c r="D1911" s="240">
        <f t="shared" si="29"/>
        <v>512.79447111111108</v>
      </c>
      <c r="E1911" s="226" t="s">
        <v>5222</v>
      </c>
      <c r="G1911" s="240">
        <v>478.32</v>
      </c>
    </row>
    <row r="1912" spans="1:7" ht="14.25" x14ac:dyDescent="0.2">
      <c r="A1912" s="237" t="s">
        <v>1286</v>
      </c>
      <c r="B1912" s="238" t="s">
        <v>4372</v>
      </c>
      <c r="C1912" s="239" t="s">
        <v>13</v>
      </c>
      <c r="D1912" s="240">
        <f t="shared" si="29"/>
        <v>103.38010296296297</v>
      </c>
      <c r="E1912" s="226" t="s">
        <v>5222</v>
      </c>
      <c r="G1912" s="240">
        <v>96.43</v>
      </c>
    </row>
    <row r="1913" spans="1:7" ht="14.25" x14ac:dyDescent="0.2">
      <c r="A1913" s="237" t="s">
        <v>1287</v>
      </c>
      <c r="B1913" s="238" t="s">
        <v>4373</v>
      </c>
      <c r="C1913" s="239" t="s">
        <v>13</v>
      </c>
      <c r="D1913" s="240">
        <f t="shared" si="29"/>
        <v>123.38500518518519</v>
      </c>
      <c r="E1913" s="226" t="s">
        <v>5222</v>
      </c>
      <c r="G1913" s="240">
        <v>115.09</v>
      </c>
    </row>
    <row r="1914" spans="1:7" ht="14.25" x14ac:dyDescent="0.2">
      <c r="A1914" s="237" t="s">
        <v>1288</v>
      </c>
      <c r="B1914" s="238" t="s">
        <v>4374</v>
      </c>
      <c r="C1914" s="239" t="s">
        <v>13</v>
      </c>
      <c r="D1914" s="240">
        <f t="shared" si="29"/>
        <v>254.28524962962962</v>
      </c>
      <c r="E1914" s="226" t="s">
        <v>5222</v>
      </c>
      <c r="G1914" s="240">
        <v>237.19</v>
      </c>
    </row>
    <row r="1915" spans="1:7" ht="14.25" x14ac:dyDescent="0.2">
      <c r="A1915" s="237" t="s">
        <v>1289</v>
      </c>
      <c r="B1915" s="238" t="s">
        <v>4375</v>
      </c>
      <c r="C1915" s="239" t="s">
        <v>13</v>
      </c>
      <c r="D1915" s="240">
        <f t="shared" si="29"/>
        <v>289.34207185185181</v>
      </c>
      <c r="E1915" s="226" t="s">
        <v>5222</v>
      </c>
      <c r="G1915" s="240">
        <v>269.89</v>
      </c>
    </row>
    <row r="1916" spans="1:7" ht="14.25" x14ac:dyDescent="0.2">
      <c r="A1916" s="237" t="s">
        <v>1290</v>
      </c>
      <c r="B1916" s="238" t="s">
        <v>4376</v>
      </c>
      <c r="C1916" s="239" t="s">
        <v>13</v>
      </c>
      <c r="D1916" s="240">
        <f t="shared" si="29"/>
        <v>122.90257185185185</v>
      </c>
      <c r="E1916" s="226" t="s">
        <v>5222</v>
      </c>
      <c r="G1916" s="240">
        <v>114.64</v>
      </c>
    </row>
    <row r="1917" spans="1:7" ht="14.25" x14ac:dyDescent="0.2">
      <c r="A1917" s="237" t="s">
        <v>1291</v>
      </c>
      <c r="B1917" s="238" t="s">
        <v>4377</v>
      </c>
      <c r="C1917" s="239" t="s">
        <v>13</v>
      </c>
      <c r="D1917" s="240">
        <f t="shared" si="29"/>
        <v>158.64552148148147</v>
      </c>
      <c r="E1917" s="226" t="s">
        <v>5222</v>
      </c>
      <c r="G1917" s="240">
        <v>147.97999999999999</v>
      </c>
    </row>
    <row r="1918" spans="1:7" ht="14.25" x14ac:dyDescent="0.2">
      <c r="A1918" s="237" t="s">
        <v>1292</v>
      </c>
      <c r="B1918" s="238" t="s">
        <v>4378</v>
      </c>
      <c r="C1918" s="239" t="s">
        <v>13</v>
      </c>
      <c r="D1918" s="240">
        <f t="shared" si="29"/>
        <v>331.73188074074073</v>
      </c>
      <c r="E1918" s="226" t="s">
        <v>5222</v>
      </c>
      <c r="G1918" s="240">
        <v>309.43</v>
      </c>
    </row>
    <row r="1919" spans="1:7" ht="14.25" x14ac:dyDescent="0.2">
      <c r="A1919" s="237" t="s">
        <v>1293</v>
      </c>
      <c r="B1919" s="238" t="s">
        <v>4379</v>
      </c>
      <c r="C1919" s="239" t="s">
        <v>13</v>
      </c>
      <c r="D1919" s="240">
        <f t="shared" si="29"/>
        <v>366.78870296296293</v>
      </c>
      <c r="E1919" s="226" t="s">
        <v>5222</v>
      </c>
      <c r="G1919" s="240">
        <v>342.13</v>
      </c>
    </row>
    <row r="1920" spans="1:7" ht="14.25" x14ac:dyDescent="0.2">
      <c r="A1920" s="237" t="s">
        <v>1294</v>
      </c>
      <c r="B1920" s="238" t="s">
        <v>4380</v>
      </c>
      <c r="C1920" s="239" t="s">
        <v>13</v>
      </c>
      <c r="D1920" s="240">
        <f t="shared" si="29"/>
        <v>37.179528888888889</v>
      </c>
      <c r="E1920" s="226" t="s">
        <v>5222</v>
      </c>
      <c r="G1920" s="240">
        <v>34.68</v>
      </c>
    </row>
    <row r="1921" spans="1:7" ht="14.25" x14ac:dyDescent="0.2">
      <c r="A1921" s="237" t="s">
        <v>1295</v>
      </c>
      <c r="B1921" s="238" t="s">
        <v>4381</v>
      </c>
      <c r="C1921" s="239" t="s">
        <v>13</v>
      </c>
      <c r="D1921" s="240">
        <f t="shared" si="29"/>
        <v>4.2025303703703702</v>
      </c>
      <c r="E1921" s="226" t="s">
        <v>5222</v>
      </c>
      <c r="G1921" s="240">
        <v>3.92</v>
      </c>
    </row>
    <row r="1922" spans="1:7" ht="14.25" x14ac:dyDescent="0.2">
      <c r="A1922" s="237" t="s">
        <v>1296</v>
      </c>
      <c r="B1922" s="238" t="s">
        <v>4382</v>
      </c>
      <c r="C1922" s="239" t="s">
        <v>13</v>
      </c>
      <c r="D1922" s="240">
        <f t="shared" si="29"/>
        <v>86.141151851851845</v>
      </c>
      <c r="E1922" s="226" t="s">
        <v>5222</v>
      </c>
      <c r="G1922" s="240">
        <v>80.349999999999994</v>
      </c>
    </row>
    <row r="1923" spans="1:7" ht="14.25" x14ac:dyDescent="0.2">
      <c r="A1923" s="237" t="s">
        <v>1297</v>
      </c>
      <c r="B1923" s="238" t="s">
        <v>4383</v>
      </c>
      <c r="C1923" s="239" t="s">
        <v>13</v>
      </c>
      <c r="D1923" s="240">
        <f t="shared" si="29"/>
        <v>121.19797407407407</v>
      </c>
      <c r="E1923" s="226" t="s">
        <v>5222</v>
      </c>
      <c r="G1923" s="240">
        <v>113.05</v>
      </c>
    </row>
    <row r="1924" spans="1:7" ht="14.25" x14ac:dyDescent="0.2">
      <c r="A1924" s="237" t="s">
        <v>1298</v>
      </c>
      <c r="B1924" s="238" t="s">
        <v>4384</v>
      </c>
      <c r="C1924" s="239" t="s">
        <v>13</v>
      </c>
      <c r="D1924" s="240">
        <f t="shared" si="29"/>
        <v>329.76998518518519</v>
      </c>
      <c r="E1924" s="226" t="s">
        <v>5222</v>
      </c>
      <c r="G1924" s="240">
        <v>307.60000000000002</v>
      </c>
    </row>
    <row r="1925" spans="1:7" ht="14.25" x14ac:dyDescent="0.2">
      <c r="A1925" s="237" t="s">
        <v>1299</v>
      </c>
      <c r="B1925" s="238" t="s">
        <v>4385</v>
      </c>
      <c r="C1925" s="239" t="s">
        <v>13</v>
      </c>
      <c r="D1925" s="240">
        <f t="shared" si="29"/>
        <v>555.61310962962955</v>
      </c>
      <c r="E1925" s="226" t="s">
        <v>5222</v>
      </c>
      <c r="G1925" s="240">
        <v>518.26</v>
      </c>
    </row>
    <row r="1926" spans="1:7" ht="14.25" x14ac:dyDescent="0.2">
      <c r="A1926" s="237" t="s">
        <v>1300</v>
      </c>
      <c r="B1926" s="238" t="s">
        <v>4386</v>
      </c>
      <c r="C1926" s="239" t="s">
        <v>13</v>
      </c>
      <c r="D1926" s="240">
        <f t="shared" si="29"/>
        <v>832.45479777777769</v>
      </c>
      <c r="E1926" s="226" t="s">
        <v>5222</v>
      </c>
      <c r="G1926" s="240">
        <v>776.49</v>
      </c>
    </row>
    <row r="1927" spans="1:7" ht="14.25" x14ac:dyDescent="0.2">
      <c r="A1927" s="237" t="s">
        <v>1301</v>
      </c>
      <c r="B1927" s="238" t="s">
        <v>4387</v>
      </c>
      <c r="C1927" s="239" t="s">
        <v>13</v>
      </c>
      <c r="D1927" s="240">
        <f t="shared" si="29"/>
        <v>867.51161999999999</v>
      </c>
      <c r="E1927" s="226" t="s">
        <v>5222</v>
      </c>
      <c r="G1927" s="240">
        <v>809.19</v>
      </c>
    </row>
    <row r="1928" spans="1:7" ht="14.25" x14ac:dyDescent="0.2">
      <c r="A1928" s="237" t="s">
        <v>1302</v>
      </c>
      <c r="B1928" s="238" t="s">
        <v>4388</v>
      </c>
      <c r="C1928" s="239" t="s">
        <v>13</v>
      </c>
      <c r="D1928" s="240">
        <f t="shared" ref="D1928:D1991" si="30">(G1928/(1+0.35))*(1+$D$3)</f>
        <v>462.20329555555554</v>
      </c>
      <c r="E1928" s="226" t="s">
        <v>5222</v>
      </c>
      <c r="G1928" s="240">
        <v>431.13</v>
      </c>
    </row>
    <row r="1929" spans="1:7" ht="14.25" x14ac:dyDescent="0.2">
      <c r="A1929" s="237" t="s">
        <v>1303</v>
      </c>
      <c r="B1929" s="238" t="s">
        <v>4389</v>
      </c>
      <c r="C1929" s="239" t="s">
        <v>13</v>
      </c>
      <c r="D1929" s="240">
        <f t="shared" si="30"/>
        <v>857.48772740740753</v>
      </c>
      <c r="E1929" s="226" t="s">
        <v>5222</v>
      </c>
      <c r="G1929" s="240">
        <v>799.84</v>
      </c>
    </row>
    <row r="1930" spans="1:7" ht="14.25" x14ac:dyDescent="0.2">
      <c r="A1930" s="237" t="s">
        <v>1304</v>
      </c>
      <c r="B1930" s="238" t="s">
        <v>4390</v>
      </c>
      <c r="C1930" s="239" t="s">
        <v>13</v>
      </c>
      <c r="D1930" s="240">
        <f t="shared" si="30"/>
        <v>1210.3930711111111</v>
      </c>
      <c r="E1930" s="226" t="s">
        <v>5222</v>
      </c>
      <c r="G1930" s="240">
        <v>1129.02</v>
      </c>
    </row>
    <row r="1931" spans="1:7" ht="14.25" x14ac:dyDescent="0.2">
      <c r="A1931" s="237" t="s">
        <v>1305</v>
      </c>
      <c r="B1931" s="238" t="s">
        <v>4391</v>
      </c>
      <c r="C1931" s="239" t="s">
        <v>13</v>
      </c>
      <c r="D1931" s="240">
        <f t="shared" si="30"/>
        <v>1245.4498933333334</v>
      </c>
      <c r="E1931" s="226" t="s">
        <v>5222</v>
      </c>
      <c r="G1931" s="240">
        <v>1161.72</v>
      </c>
    </row>
    <row r="1932" spans="1:7" ht="14.25" x14ac:dyDescent="0.2">
      <c r="A1932" s="237" t="s">
        <v>1306</v>
      </c>
      <c r="B1932" s="238" t="s">
        <v>4392</v>
      </c>
      <c r="C1932" s="239" t="s">
        <v>13</v>
      </c>
      <c r="D1932" s="240">
        <f t="shared" si="30"/>
        <v>85.680160000000001</v>
      </c>
      <c r="E1932" s="226" t="s">
        <v>5222</v>
      </c>
      <c r="G1932" s="240">
        <v>79.92</v>
      </c>
    </row>
    <row r="1933" spans="1:7" ht="14.25" x14ac:dyDescent="0.2">
      <c r="A1933" s="237" t="s">
        <v>1307</v>
      </c>
      <c r="B1933" s="238" t="s">
        <v>4393</v>
      </c>
      <c r="C1933" s="239" t="s">
        <v>13</v>
      </c>
      <c r="D1933" s="240">
        <f t="shared" si="30"/>
        <v>112.73930962962962</v>
      </c>
      <c r="E1933" s="226" t="s">
        <v>5222</v>
      </c>
      <c r="G1933" s="240">
        <v>105.16</v>
      </c>
    </row>
    <row r="1934" spans="1:7" ht="14.25" x14ac:dyDescent="0.2">
      <c r="A1934" s="237" t="s">
        <v>1308</v>
      </c>
      <c r="B1934" s="238" t="s">
        <v>4394</v>
      </c>
      <c r="C1934" s="239" t="s">
        <v>13</v>
      </c>
      <c r="D1934" s="240">
        <f t="shared" si="30"/>
        <v>119.00022222222222</v>
      </c>
      <c r="E1934" s="226" t="s">
        <v>5222</v>
      </c>
      <c r="G1934" s="240">
        <v>111</v>
      </c>
    </row>
    <row r="1935" spans="1:7" ht="14.25" x14ac:dyDescent="0.2">
      <c r="A1935" s="237" t="s">
        <v>1309</v>
      </c>
      <c r="B1935" s="238" t="s">
        <v>4395</v>
      </c>
      <c r="C1935" s="239" t="s">
        <v>13</v>
      </c>
      <c r="D1935" s="240">
        <f t="shared" si="30"/>
        <v>154.05704444444441</v>
      </c>
      <c r="E1935" s="226" t="s">
        <v>5222</v>
      </c>
      <c r="G1935" s="240">
        <v>143.69999999999999</v>
      </c>
    </row>
    <row r="1936" spans="1:7" ht="14.25" x14ac:dyDescent="0.2">
      <c r="A1936" s="237" t="s">
        <v>1310</v>
      </c>
      <c r="B1936" s="238" t="s">
        <v>4396</v>
      </c>
      <c r="C1936" s="239" t="s">
        <v>13</v>
      </c>
      <c r="D1936" s="240">
        <f t="shared" si="30"/>
        <v>28.388521481481479</v>
      </c>
      <c r="E1936" s="226" t="s">
        <v>5222</v>
      </c>
      <c r="G1936" s="240">
        <v>26.48</v>
      </c>
    </row>
    <row r="1937" spans="1:7" ht="14.25" x14ac:dyDescent="0.2">
      <c r="A1937" s="237" t="s">
        <v>1311</v>
      </c>
      <c r="B1937" s="238" t="s">
        <v>4397</v>
      </c>
      <c r="C1937" s="239" t="s">
        <v>13</v>
      </c>
      <c r="D1937" s="240">
        <f t="shared" si="30"/>
        <v>6.207308888888889</v>
      </c>
      <c r="E1937" s="226" t="s">
        <v>5222</v>
      </c>
      <c r="G1937" s="240">
        <v>5.79</v>
      </c>
    </row>
    <row r="1938" spans="1:7" ht="14.25" x14ac:dyDescent="0.2">
      <c r="A1938" s="237" t="s">
        <v>1312</v>
      </c>
      <c r="B1938" s="238" t="s">
        <v>4398</v>
      </c>
      <c r="C1938" s="239" t="s">
        <v>13</v>
      </c>
      <c r="D1938" s="240">
        <f t="shared" si="30"/>
        <v>6.207308888888889</v>
      </c>
      <c r="E1938" s="226" t="s">
        <v>5222</v>
      </c>
      <c r="G1938" s="240">
        <v>5.79</v>
      </c>
    </row>
    <row r="1939" spans="1:7" ht="14.25" x14ac:dyDescent="0.2">
      <c r="A1939" s="237" t="s">
        <v>1313</v>
      </c>
      <c r="B1939" s="238" t="s">
        <v>4399</v>
      </c>
      <c r="C1939" s="239" t="s">
        <v>13</v>
      </c>
      <c r="D1939" s="240">
        <f t="shared" si="30"/>
        <v>31.894203703703703</v>
      </c>
      <c r="E1939" s="226" t="s">
        <v>5222</v>
      </c>
      <c r="G1939" s="240">
        <v>29.75</v>
      </c>
    </row>
    <row r="1940" spans="1:7" ht="14.25" x14ac:dyDescent="0.2">
      <c r="A1940" s="237" t="s">
        <v>1314</v>
      </c>
      <c r="B1940" s="238" t="s">
        <v>4400</v>
      </c>
      <c r="C1940" s="239" t="s">
        <v>13</v>
      </c>
      <c r="D1940" s="240">
        <f t="shared" si="30"/>
        <v>72.10770222222223</v>
      </c>
      <c r="E1940" s="226" t="s">
        <v>5222</v>
      </c>
      <c r="G1940" s="240">
        <v>67.260000000000005</v>
      </c>
    </row>
    <row r="1941" spans="1:7" ht="14.25" x14ac:dyDescent="0.2">
      <c r="A1941" s="237" t="s">
        <v>1315</v>
      </c>
      <c r="B1941" s="238" t="s">
        <v>4401</v>
      </c>
      <c r="C1941" s="239" t="s">
        <v>13</v>
      </c>
      <c r="D1941" s="240">
        <f t="shared" si="30"/>
        <v>68.323280740740728</v>
      </c>
      <c r="E1941" s="226" t="s">
        <v>5222</v>
      </c>
      <c r="G1941" s="240">
        <v>63.73</v>
      </c>
    </row>
    <row r="1942" spans="1:7" ht="14.25" x14ac:dyDescent="0.2">
      <c r="A1942" s="237" t="s">
        <v>1316</v>
      </c>
      <c r="B1942" s="238" t="s">
        <v>4402</v>
      </c>
      <c r="C1942" s="239" t="s">
        <v>13</v>
      </c>
      <c r="D1942" s="240">
        <f t="shared" si="30"/>
        <v>159.91056888888889</v>
      </c>
      <c r="E1942" s="226" t="s">
        <v>5222</v>
      </c>
      <c r="G1942" s="240">
        <v>149.16</v>
      </c>
    </row>
    <row r="1943" spans="1:7" ht="14.25" x14ac:dyDescent="0.2">
      <c r="A1943" s="237" t="s">
        <v>1317</v>
      </c>
      <c r="B1943" s="238" t="s">
        <v>4403</v>
      </c>
      <c r="C1943" s="239" t="s">
        <v>13</v>
      </c>
      <c r="D1943" s="240">
        <f t="shared" si="30"/>
        <v>194.96739111111111</v>
      </c>
      <c r="E1943" s="226" t="s">
        <v>5222</v>
      </c>
      <c r="G1943" s="240">
        <v>181.86</v>
      </c>
    </row>
    <row r="1944" spans="1:7" ht="14.25" x14ac:dyDescent="0.2">
      <c r="A1944" s="237" t="s">
        <v>1318</v>
      </c>
      <c r="B1944" s="238" t="s">
        <v>4404</v>
      </c>
      <c r="C1944" s="239" t="s">
        <v>13</v>
      </c>
      <c r="D1944" s="240">
        <f t="shared" si="30"/>
        <v>0.48243333333333333</v>
      </c>
      <c r="E1944" s="226" t="s">
        <v>5222</v>
      </c>
      <c r="G1944" s="240">
        <v>0.45</v>
      </c>
    </row>
    <row r="1945" spans="1:7" ht="14.25" x14ac:dyDescent="0.2">
      <c r="A1945" s="237" t="s">
        <v>1319</v>
      </c>
      <c r="B1945" s="238" t="s">
        <v>4405</v>
      </c>
      <c r="C1945" s="239" t="s">
        <v>13</v>
      </c>
      <c r="D1945" s="240">
        <f t="shared" si="30"/>
        <v>1.114957037037037</v>
      </c>
      <c r="E1945" s="226" t="s">
        <v>5222</v>
      </c>
      <c r="G1945" s="240">
        <v>1.04</v>
      </c>
    </row>
    <row r="1946" spans="1:7" ht="14.25" x14ac:dyDescent="0.2">
      <c r="A1946" s="237" t="s">
        <v>1320</v>
      </c>
      <c r="B1946" s="238" t="s">
        <v>4406</v>
      </c>
      <c r="C1946" s="239" t="s">
        <v>13</v>
      </c>
      <c r="D1946" s="240">
        <f t="shared" si="30"/>
        <v>2.401445925925926</v>
      </c>
      <c r="E1946" s="226" t="s">
        <v>5222</v>
      </c>
      <c r="G1946" s="240">
        <v>2.2400000000000002</v>
      </c>
    </row>
    <row r="1947" spans="1:7" ht="14.25" x14ac:dyDescent="0.2">
      <c r="A1947" s="237" t="s">
        <v>1321</v>
      </c>
      <c r="B1947" s="238" t="s">
        <v>4407</v>
      </c>
      <c r="C1947" s="239" t="s">
        <v>13</v>
      </c>
      <c r="D1947" s="240">
        <f t="shared" si="30"/>
        <v>2.401445925925926</v>
      </c>
      <c r="E1947" s="226" t="s">
        <v>5222</v>
      </c>
      <c r="G1947" s="240">
        <v>2.2400000000000002</v>
      </c>
    </row>
    <row r="1948" spans="1:7" ht="14.25" x14ac:dyDescent="0.2">
      <c r="A1948" s="237" t="s">
        <v>1322</v>
      </c>
      <c r="B1948" s="238" t="s">
        <v>4408</v>
      </c>
      <c r="C1948" s="239" t="s">
        <v>13</v>
      </c>
      <c r="D1948" s="240">
        <f t="shared" si="30"/>
        <v>0.19297333333333333</v>
      </c>
      <c r="E1948" s="226" t="s">
        <v>5222</v>
      </c>
      <c r="G1948" s="240">
        <v>0.18</v>
      </c>
    </row>
    <row r="1949" spans="1:7" ht="14.25" x14ac:dyDescent="0.2">
      <c r="A1949" s="237" t="s">
        <v>1323</v>
      </c>
      <c r="B1949" s="238" t="s">
        <v>4409</v>
      </c>
      <c r="C1949" s="239" t="s">
        <v>13</v>
      </c>
      <c r="D1949" s="240">
        <f t="shared" si="30"/>
        <v>0.45027111111111107</v>
      </c>
      <c r="E1949" s="226" t="s">
        <v>5222</v>
      </c>
      <c r="G1949" s="240">
        <v>0.42</v>
      </c>
    </row>
    <row r="1950" spans="1:7" ht="14.25" x14ac:dyDescent="0.2">
      <c r="A1950" s="237" t="s">
        <v>1324</v>
      </c>
      <c r="B1950" s="238" t="s">
        <v>4410</v>
      </c>
      <c r="C1950" s="239" t="s">
        <v>13</v>
      </c>
      <c r="D1950" s="240">
        <f t="shared" si="30"/>
        <v>1.4794622222222222</v>
      </c>
      <c r="E1950" s="226" t="s">
        <v>5222</v>
      </c>
      <c r="G1950" s="240">
        <v>1.38</v>
      </c>
    </row>
    <row r="1951" spans="1:7" ht="14.25" x14ac:dyDescent="0.2">
      <c r="A1951" s="237" t="s">
        <v>1325</v>
      </c>
      <c r="B1951" s="238" t="s">
        <v>4411</v>
      </c>
      <c r="C1951" s="239" t="s">
        <v>13</v>
      </c>
      <c r="D1951" s="240">
        <f t="shared" si="30"/>
        <v>1.4794622222222222</v>
      </c>
      <c r="E1951" s="226" t="s">
        <v>5222</v>
      </c>
      <c r="G1951" s="240">
        <v>1.38</v>
      </c>
    </row>
    <row r="1952" spans="1:7" ht="14.25" x14ac:dyDescent="0.2">
      <c r="A1952" s="237" t="s">
        <v>1326</v>
      </c>
      <c r="B1952" s="238" t="s">
        <v>4412</v>
      </c>
      <c r="C1952" s="239" t="s">
        <v>13</v>
      </c>
      <c r="D1952" s="240">
        <f t="shared" si="30"/>
        <v>3.6021688888888885</v>
      </c>
      <c r="E1952" s="226" t="s">
        <v>5222</v>
      </c>
      <c r="G1952" s="240">
        <v>3.36</v>
      </c>
    </row>
    <row r="1953" spans="1:7" ht="14.25" x14ac:dyDescent="0.2">
      <c r="A1953" s="237" t="s">
        <v>1327</v>
      </c>
      <c r="B1953" s="238" t="s">
        <v>4413</v>
      </c>
      <c r="C1953" s="239" t="s">
        <v>13</v>
      </c>
      <c r="D1953" s="240">
        <f t="shared" si="30"/>
        <v>6.8612740740740739</v>
      </c>
      <c r="E1953" s="226" t="s">
        <v>5222</v>
      </c>
      <c r="G1953" s="240">
        <v>6.4</v>
      </c>
    </row>
    <row r="1954" spans="1:7" ht="14.25" x14ac:dyDescent="0.2">
      <c r="A1954" s="237" t="s">
        <v>1328</v>
      </c>
      <c r="B1954" s="238" t="s">
        <v>4414</v>
      </c>
      <c r="C1954" s="239" t="s">
        <v>13</v>
      </c>
      <c r="D1954" s="240">
        <f t="shared" si="30"/>
        <v>6.8612740740740739</v>
      </c>
      <c r="E1954" s="226" t="s">
        <v>5222</v>
      </c>
      <c r="G1954" s="240">
        <v>6.4</v>
      </c>
    </row>
    <row r="1955" spans="1:7" ht="14.25" x14ac:dyDescent="0.2">
      <c r="A1955" s="237" t="s">
        <v>1329</v>
      </c>
      <c r="B1955" s="238" t="s">
        <v>4415</v>
      </c>
      <c r="C1955" s="239" t="s">
        <v>13</v>
      </c>
      <c r="D1955" s="240">
        <f t="shared" si="30"/>
        <v>6.8612740740740739</v>
      </c>
      <c r="E1955" s="226" t="s">
        <v>5222</v>
      </c>
      <c r="G1955" s="240">
        <v>6.4</v>
      </c>
    </row>
    <row r="1956" spans="1:7" ht="14.25" x14ac:dyDescent="0.2">
      <c r="A1956" s="237" t="s">
        <v>1330</v>
      </c>
      <c r="B1956" s="238" t="s">
        <v>4416</v>
      </c>
      <c r="C1956" s="239" t="s">
        <v>13</v>
      </c>
      <c r="D1956" s="240">
        <f t="shared" si="30"/>
        <v>81.734927407407397</v>
      </c>
      <c r="E1956" s="226" t="s">
        <v>5222</v>
      </c>
      <c r="G1956" s="240">
        <v>76.239999999999995</v>
      </c>
    </row>
    <row r="1957" spans="1:7" ht="14.25" x14ac:dyDescent="0.2">
      <c r="A1957" s="237" t="s">
        <v>1331</v>
      </c>
      <c r="B1957" s="238" t="s">
        <v>4417</v>
      </c>
      <c r="C1957" s="239" t="s">
        <v>13</v>
      </c>
      <c r="D1957" s="240">
        <f t="shared" si="30"/>
        <v>78.186362222222229</v>
      </c>
      <c r="E1957" s="226" t="s">
        <v>5222</v>
      </c>
      <c r="G1957" s="240">
        <v>72.930000000000007</v>
      </c>
    </row>
    <row r="1958" spans="1:7" ht="14.25" x14ac:dyDescent="0.2">
      <c r="A1958" s="237" t="s">
        <v>1332</v>
      </c>
      <c r="B1958" s="238" t="s">
        <v>4418</v>
      </c>
      <c r="C1958" s="239" t="s">
        <v>13</v>
      </c>
      <c r="D1958" s="240">
        <f t="shared" si="30"/>
        <v>172.1000511111111</v>
      </c>
      <c r="E1958" s="226" t="s">
        <v>5222</v>
      </c>
      <c r="G1958" s="240">
        <v>160.53</v>
      </c>
    </row>
    <row r="1959" spans="1:7" ht="14.25" x14ac:dyDescent="0.2">
      <c r="A1959" s="237" t="s">
        <v>1333</v>
      </c>
      <c r="B1959" s="238" t="s">
        <v>4419</v>
      </c>
      <c r="C1959" s="239" t="s">
        <v>13</v>
      </c>
      <c r="D1959" s="240">
        <f t="shared" si="30"/>
        <v>207.15687333333332</v>
      </c>
      <c r="E1959" s="226" t="s">
        <v>5222</v>
      </c>
      <c r="G1959" s="240">
        <v>193.23</v>
      </c>
    </row>
    <row r="1960" spans="1:7" ht="14.25" x14ac:dyDescent="0.2">
      <c r="A1960" s="237" t="s">
        <v>1334</v>
      </c>
      <c r="B1960" s="238" t="s">
        <v>4420</v>
      </c>
      <c r="C1960" s="239" t="s">
        <v>13</v>
      </c>
      <c r="D1960" s="240">
        <f t="shared" si="30"/>
        <v>88.778454074074077</v>
      </c>
      <c r="E1960" s="226" t="s">
        <v>5222</v>
      </c>
      <c r="G1960" s="240">
        <v>82.81</v>
      </c>
    </row>
    <row r="1961" spans="1:7" ht="14.25" x14ac:dyDescent="0.2">
      <c r="A1961" s="237" t="s">
        <v>1335</v>
      </c>
      <c r="B1961" s="238" t="s">
        <v>4421</v>
      </c>
      <c r="C1961" s="239" t="s">
        <v>13</v>
      </c>
      <c r="D1961" s="240">
        <f t="shared" si="30"/>
        <v>89.979177037037033</v>
      </c>
      <c r="E1961" s="226" t="s">
        <v>5222</v>
      </c>
      <c r="G1961" s="240">
        <v>83.93</v>
      </c>
    </row>
    <row r="1962" spans="1:7" ht="14.25" x14ac:dyDescent="0.2">
      <c r="A1962" s="237" t="s">
        <v>1336</v>
      </c>
      <c r="B1962" s="238" t="s">
        <v>4422</v>
      </c>
      <c r="C1962" s="239" t="s">
        <v>13</v>
      </c>
      <c r="D1962" s="240">
        <f t="shared" si="30"/>
        <v>183.90358666666665</v>
      </c>
      <c r="E1962" s="226" t="s">
        <v>5222</v>
      </c>
      <c r="G1962" s="240">
        <v>171.54</v>
      </c>
    </row>
    <row r="1963" spans="1:7" ht="14.25" x14ac:dyDescent="0.2">
      <c r="A1963" s="237" t="s">
        <v>1337</v>
      </c>
      <c r="B1963" s="238" t="s">
        <v>4423</v>
      </c>
      <c r="C1963" s="239" t="s">
        <v>13</v>
      </c>
      <c r="D1963" s="240">
        <f t="shared" si="30"/>
        <v>218.96040888888891</v>
      </c>
      <c r="E1963" s="226" t="s">
        <v>5222</v>
      </c>
      <c r="G1963" s="240">
        <v>204.24</v>
      </c>
    </row>
    <row r="1964" spans="1:7" ht="14.25" x14ac:dyDescent="0.2">
      <c r="A1964" s="237" t="s">
        <v>1338</v>
      </c>
      <c r="B1964" s="238" t="s">
        <v>4424</v>
      </c>
      <c r="C1964" s="239" t="s">
        <v>13</v>
      </c>
      <c r="D1964" s="240">
        <f t="shared" si="30"/>
        <v>90.772511851851846</v>
      </c>
      <c r="E1964" s="226" t="s">
        <v>5222</v>
      </c>
      <c r="G1964" s="240">
        <v>84.67</v>
      </c>
    </row>
    <row r="1965" spans="1:7" ht="14.25" x14ac:dyDescent="0.2">
      <c r="A1965" s="237" t="s">
        <v>1339</v>
      </c>
      <c r="B1965" s="238" t="s">
        <v>4425</v>
      </c>
      <c r="C1965" s="239" t="s">
        <v>13</v>
      </c>
      <c r="D1965" s="240">
        <f t="shared" si="30"/>
        <v>93.324048148148151</v>
      </c>
      <c r="E1965" s="226" t="s">
        <v>5222</v>
      </c>
      <c r="G1965" s="240">
        <v>87.05</v>
      </c>
    </row>
    <row r="1966" spans="1:7" ht="14.25" x14ac:dyDescent="0.2">
      <c r="A1966" s="237" t="s">
        <v>1340</v>
      </c>
      <c r="B1966" s="238" t="s">
        <v>4426</v>
      </c>
      <c r="C1966" s="239" t="s">
        <v>13</v>
      </c>
      <c r="D1966" s="240">
        <f t="shared" si="30"/>
        <v>241.46324370370368</v>
      </c>
      <c r="E1966" s="226" t="s">
        <v>5222</v>
      </c>
      <c r="G1966" s="240">
        <v>225.23</v>
      </c>
    </row>
    <row r="1967" spans="1:7" ht="14.25" x14ac:dyDescent="0.2">
      <c r="A1967" s="237" t="s">
        <v>1341</v>
      </c>
      <c r="B1967" s="238" t="s">
        <v>4427</v>
      </c>
      <c r="C1967" s="239" t="s">
        <v>13</v>
      </c>
      <c r="D1967" s="240">
        <f t="shared" si="30"/>
        <v>276.52006592592591</v>
      </c>
      <c r="E1967" s="226" t="s">
        <v>5222</v>
      </c>
      <c r="G1967" s="240">
        <v>257.93</v>
      </c>
    </row>
    <row r="1968" spans="1:7" ht="14.25" x14ac:dyDescent="0.2">
      <c r="A1968" s="237" t="s">
        <v>1342</v>
      </c>
      <c r="B1968" s="238" t="s">
        <v>4428</v>
      </c>
      <c r="C1968" s="239" t="s">
        <v>13</v>
      </c>
      <c r="D1968" s="240">
        <f t="shared" si="30"/>
        <v>97.312163703703689</v>
      </c>
      <c r="E1968" s="226" t="s">
        <v>5222</v>
      </c>
      <c r="G1968" s="240">
        <v>90.77</v>
      </c>
    </row>
    <row r="1969" spans="1:7" ht="14.25" x14ac:dyDescent="0.2">
      <c r="A1969" s="237" t="s">
        <v>1343</v>
      </c>
      <c r="B1969" s="238" t="s">
        <v>4429</v>
      </c>
      <c r="C1969" s="239" t="s">
        <v>13</v>
      </c>
      <c r="D1969" s="240">
        <f t="shared" si="30"/>
        <v>104.26992444444444</v>
      </c>
      <c r="E1969" s="226" t="s">
        <v>5222</v>
      </c>
      <c r="G1969" s="240">
        <v>97.26</v>
      </c>
    </row>
    <row r="1970" spans="1:7" ht="14.25" x14ac:dyDescent="0.2">
      <c r="A1970" s="237" t="s">
        <v>1344</v>
      </c>
      <c r="B1970" s="238" t="s">
        <v>4430</v>
      </c>
      <c r="C1970" s="239" t="s">
        <v>13</v>
      </c>
      <c r="D1970" s="240">
        <f t="shared" si="30"/>
        <v>291.41117481481479</v>
      </c>
      <c r="E1970" s="226" t="s">
        <v>5222</v>
      </c>
      <c r="G1970" s="240">
        <v>271.82</v>
      </c>
    </row>
    <row r="1971" spans="1:7" ht="14.25" x14ac:dyDescent="0.2">
      <c r="A1971" s="237" t="s">
        <v>1345</v>
      </c>
      <c r="B1971" s="238" t="s">
        <v>4431</v>
      </c>
      <c r="C1971" s="239" t="s">
        <v>13</v>
      </c>
      <c r="D1971" s="240">
        <f t="shared" si="30"/>
        <v>326.46799703703698</v>
      </c>
      <c r="E1971" s="226" t="s">
        <v>5222</v>
      </c>
      <c r="G1971" s="240">
        <v>304.52</v>
      </c>
    </row>
    <row r="1972" spans="1:7" ht="14.25" x14ac:dyDescent="0.2">
      <c r="A1972" s="237" t="s">
        <v>1346</v>
      </c>
      <c r="B1972" s="238" t="s">
        <v>4432</v>
      </c>
      <c r="C1972" s="239" t="s">
        <v>13</v>
      </c>
      <c r="D1972" s="240">
        <f t="shared" si="30"/>
        <v>211.27363777777776</v>
      </c>
      <c r="E1972" s="226" t="s">
        <v>5222</v>
      </c>
      <c r="G1972" s="240">
        <v>197.07</v>
      </c>
    </row>
    <row r="1973" spans="1:7" ht="14.25" x14ac:dyDescent="0.2">
      <c r="A1973" s="237" t="s">
        <v>1347</v>
      </c>
      <c r="B1973" s="238" t="s">
        <v>4433</v>
      </c>
      <c r="C1973" s="239" t="s">
        <v>13</v>
      </c>
      <c r="D1973" s="240">
        <f t="shared" si="30"/>
        <v>295.16343407407408</v>
      </c>
      <c r="E1973" s="226" t="s">
        <v>5222</v>
      </c>
      <c r="G1973" s="240">
        <v>275.32</v>
      </c>
    </row>
    <row r="1974" spans="1:7" ht="14.25" x14ac:dyDescent="0.2">
      <c r="A1974" s="237" t="s">
        <v>1348</v>
      </c>
      <c r="B1974" s="238" t="s">
        <v>4434</v>
      </c>
      <c r="C1974" s="239" t="s">
        <v>13</v>
      </c>
      <c r="D1974" s="240">
        <f t="shared" si="30"/>
        <v>484.48099481481478</v>
      </c>
      <c r="E1974" s="226" t="s">
        <v>5222</v>
      </c>
      <c r="G1974" s="240">
        <v>451.91</v>
      </c>
    </row>
    <row r="1975" spans="1:7" ht="14.25" x14ac:dyDescent="0.2">
      <c r="A1975" s="237" t="s">
        <v>1349</v>
      </c>
      <c r="B1975" s="238" t="s">
        <v>4435</v>
      </c>
      <c r="C1975" s="239" t="s">
        <v>13</v>
      </c>
      <c r="D1975" s="240">
        <f t="shared" si="30"/>
        <v>519.53781703703703</v>
      </c>
      <c r="E1975" s="226" t="s">
        <v>5222</v>
      </c>
      <c r="G1975" s="240">
        <v>484.61</v>
      </c>
    </row>
    <row r="1976" spans="1:7" ht="14.25" x14ac:dyDescent="0.2">
      <c r="A1976" s="237" t="s">
        <v>1350</v>
      </c>
      <c r="B1976" s="238" t="s">
        <v>4436</v>
      </c>
      <c r="C1976" s="239" t="s">
        <v>13</v>
      </c>
      <c r="D1976" s="240">
        <f t="shared" si="30"/>
        <v>217.12716222222221</v>
      </c>
      <c r="E1976" s="226" t="s">
        <v>5222</v>
      </c>
      <c r="G1976" s="240">
        <v>202.53</v>
      </c>
    </row>
    <row r="1977" spans="1:7" ht="14.25" x14ac:dyDescent="0.2">
      <c r="A1977" s="237" t="s">
        <v>1351</v>
      </c>
      <c r="B1977" s="238" t="s">
        <v>4437</v>
      </c>
      <c r="C1977" s="239" t="s">
        <v>13</v>
      </c>
      <c r="D1977" s="240">
        <f t="shared" si="30"/>
        <v>304.96219111111105</v>
      </c>
      <c r="E1977" s="226" t="s">
        <v>5222</v>
      </c>
      <c r="G1977" s="240">
        <v>284.45999999999998</v>
      </c>
    </row>
    <row r="1978" spans="1:7" ht="14.25" x14ac:dyDescent="0.2">
      <c r="A1978" s="237" t="s">
        <v>1352</v>
      </c>
      <c r="B1978" s="238" t="s">
        <v>4438</v>
      </c>
      <c r="C1978" s="239" t="s">
        <v>13</v>
      </c>
      <c r="D1978" s="240">
        <f t="shared" si="30"/>
        <v>509.18158148148143</v>
      </c>
      <c r="E1978" s="226" t="s">
        <v>5222</v>
      </c>
      <c r="G1978" s="240">
        <v>474.95</v>
      </c>
    </row>
    <row r="1979" spans="1:7" ht="14.25" x14ac:dyDescent="0.2">
      <c r="A1979" s="237" t="s">
        <v>1353</v>
      </c>
      <c r="B1979" s="238" t="s">
        <v>4439</v>
      </c>
      <c r="C1979" s="239" t="s">
        <v>13</v>
      </c>
      <c r="D1979" s="240">
        <f t="shared" si="30"/>
        <v>544.23840370370363</v>
      </c>
      <c r="E1979" s="226" t="s">
        <v>5222</v>
      </c>
      <c r="G1979" s="240">
        <v>507.65</v>
      </c>
    </row>
    <row r="1980" spans="1:7" ht="14.25" x14ac:dyDescent="0.2">
      <c r="A1980" s="237" t="s">
        <v>1354</v>
      </c>
      <c r="B1980" s="238" t="s">
        <v>4440</v>
      </c>
      <c r="C1980" s="239" t="s">
        <v>13</v>
      </c>
      <c r="D1980" s="240">
        <f t="shared" si="30"/>
        <v>92.863056296296307</v>
      </c>
      <c r="E1980" s="226" t="s">
        <v>5222</v>
      </c>
      <c r="G1980" s="240">
        <v>86.62</v>
      </c>
    </row>
    <row r="1981" spans="1:7" ht="14.25" x14ac:dyDescent="0.2">
      <c r="A1981" s="237" t="s">
        <v>1355</v>
      </c>
      <c r="B1981" s="238" t="s">
        <v>4441</v>
      </c>
      <c r="C1981" s="239" t="s">
        <v>13</v>
      </c>
      <c r="D1981" s="240">
        <f t="shared" si="30"/>
        <v>96.819009629629633</v>
      </c>
      <c r="E1981" s="226" t="s">
        <v>5222</v>
      </c>
      <c r="G1981" s="240">
        <v>90.31</v>
      </c>
    </row>
    <row r="1982" spans="1:7" ht="14.25" x14ac:dyDescent="0.2">
      <c r="A1982" s="237" t="s">
        <v>1356</v>
      </c>
      <c r="B1982" s="238" t="s">
        <v>4442</v>
      </c>
      <c r="C1982" s="239" t="s">
        <v>13</v>
      </c>
      <c r="D1982" s="240">
        <f t="shared" si="30"/>
        <v>210.57678962962959</v>
      </c>
      <c r="E1982" s="226" t="s">
        <v>5222</v>
      </c>
      <c r="G1982" s="240">
        <v>196.42</v>
      </c>
    </row>
    <row r="1983" spans="1:7" ht="14.25" x14ac:dyDescent="0.2">
      <c r="A1983" s="237" t="s">
        <v>1357</v>
      </c>
      <c r="B1983" s="238" t="s">
        <v>4443</v>
      </c>
      <c r="C1983" s="239" t="s">
        <v>13</v>
      </c>
      <c r="D1983" s="240">
        <f t="shared" si="30"/>
        <v>245.63361185185187</v>
      </c>
      <c r="E1983" s="226" t="s">
        <v>5222</v>
      </c>
      <c r="G1983" s="240">
        <v>229.12</v>
      </c>
    </row>
    <row r="1984" spans="1:7" ht="14.25" x14ac:dyDescent="0.2">
      <c r="A1984" s="237" t="s">
        <v>1358</v>
      </c>
      <c r="B1984" s="238" t="s">
        <v>4444</v>
      </c>
      <c r="C1984" s="239" t="s">
        <v>13</v>
      </c>
      <c r="D1984" s="240">
        <f t="shared" si="30"/>
        <v>100.67847629629628</v>
      </c>
      <c r="E1984" s="226" t="s">
        <v>5222</v>
      </c>
      <c r="G1984" s="240">
        <v>93.91</v>
      </c>
    </row>
    <row r="1985" spans="1:7" ht="14.25" x14ac:dyDescent="0.2">
      <c r="A1985" s="237" t="s">
        <v>1359</v>
      </c>
      <c r="B1985" s="238" t="s">
        <v>4445</v>
      </c>
      <c r="C1985" s="239" t="s">
        <v>13</v>
      </c>
      <c r="D1985" s="240">
        <f t="shared" si="30"/>
        <v>109.90903407407407</v>
      </c>
      <c r="E1985" s="226" t="s">
        <v>5222</v>
      </c>
      <c r="G1985" s="240">
        <v>102.52</v>
      </c>
    </row>
    <row r="1986" spans="1:7" ht="14.25" x14ac:dyDescent="0.2">
      <c r="A1986" s="237" t="s">
        <v>1360</v>
      </c>
      <c r="B1986" s="238" t="s">
        <v>4446</v>
      </c>
      <c r="C1986" s="239" t="s">
        <v>13</v>
      </c>
      <c r="D1986" s="240">
        <f t="shared" si="30"/>
        <v>310.33328222222224</v>
      </c>
      <c r="E1986" s="226" t="s">
        <v>5222</v>
      </c>
      <c r="G1986" s="240">
        <v>289.47000000000003</v>
      </c>
    </row>
    <row r="1987" spans="1:7" ht="14.25" x14ac:dyDescent="0.2">
      <c r="A1987" s="237" t="s">
        <v>1361</v>
      </c>
      <c r="B1987" s="238" t="s">
        <v>4447</v>
      </c>
      <c r="C1987" s="239" t="s">
        <v>13</v>
      </c>
      <c r="D1987" s="240">
        <f t="shared" si="30"/>
        <v>345.39010444444443</v>
      </c>
      <c r="E1987" s="226" t="s">
        <v>5222</v>
      </c>
      <c r="G1987" s="240">
        <v>322.17</v>
      </c>
    </row>
    <row r="1988" spans="1:7" ht="14.25" x14ac:dyDescent="0.2">
      <c r="A1988" s="237" t="s">
        <v>1362</v>
      </c>
      <c r="B1988" s="238" t="s">
        <v>4448</v>
      </c>
      <c r="C1988" s="239" t="s">
        <v>13</v>
      </c>
      <c r="D1988" s="240">
        <f t="shared" si="30"/>
        <v>66.093366666666668</v>
      </c>
      <c r="E1988" s="226" t="s">
        <v>5222</v>
      </c>
      <c r="G1988" s="240">
        <v>61.65</v>
      </c>
    </row>
    <row r="1989" spans="1:7" ht="14.25" x14ac:dyDescent="0.2">
      <c r="A1989" s="237" t="s">
        <v>1363</v>
      </c>
      <c r="B1989" s="238" t="s">
        <v>4449</v>
      </c>
      <c r="C1989" s="239" t="s">
        <v>13</v>
      </c>
      <c r="D1989" s="240">
        <f t="shared" si="30"/>
        <v>51.98487185185185</v>
      </c>
      <c r="E1989" s="226" t="s">
        <v>5222</v>
      </c>
      <c r="G1989" s="240">
        <v>48.49</v>
      </c>
    </row>
    <row r="1990" spans="1:7" ht="14.25" x14ac:dyDescent="0.2">
      <c r="A1990" s="237" t="s">
        <v>1364</v>
      </c>
      <c r="B1990" s="238" t="s">
        <v>4450</v>
      </c>
      <c r="C1990" s="239" t="s">
        <v>13</v>
      </c>
      <c r="D1990" s="240">
        <f t="shared" si="30"/>
        <v>81.188169629629627</v>
      </c>
      <c r="E1990" s="226" t="s">
        <v>5222</v>
      </c>
      <c r="G1990" s="240">
        <v>75.73</v>
      </c>
    </row>
    <row r="1991" spans="1:7" ht="14.25" x14ac:dyDescent="0.2">
      <c r="A1991" s="237" t="s">
        <v>1365</v>
      </c>
      <c r="B1991" s="238" t="s">
        <v>4451</v>
      </c>
      <c r="C1991" s="239" t="s">
        <v>13</v>
      </c>
      <c r="D1991" s="240">
        <f t="shared" si="30"/>
        <v>116.24499185185185</v>
      </c>
      <c r="E1991" s="226" t="s">
        <v>5222</v>
      </c>
      <c r="G1991" s="240">
        <v>108.43</v>
      </c>
    </row>
    <row r="1992" spans="1:7" ht="14.25" x14ac:dyDescent="0.2">
      <c r="A1992" s="237" t="s">
        <v>1366</v>
      </c>
      <c r="B1992" s="238" t="s">
        <v>4452</v>
      </c>
      <c r="C1992" s="239" t="s">
        <v>13</v>
      </c>
      <c r="D1992" s="240">
        <f t="shared" ref="D1992:D2055" si="31">(G1992/(1+0.35))*(1+$D$3)</f>
        <v>192.75891851851853</v>
      </c>
      <c r="E1992" s="226" t="s">
        <v>5222</v>
      </c>
      <c r="G1992" s="240">
        <v>179.8</v>
      </c>
    </row>
    <row r="1993" spans="1:7" ht="14.25" x14ac:dyDescent="0.2">
      <c r="A1993" s="237" t="s">
        <v>1367</v>
      </c>
      <c r="B1993" s="238" t="s">
        <v>4453</v>
      </c>
      <c r="C1993" s="239" t="s">
        <v>13</v>
      </c>
      <c r="D1993" s="240">
        <f t="shared" si="31"/>
        <v>264.14833111111108</v>
      </c>
      <c r="E1993" s="226" t="s">
        <v>5222</v>
      </c>
      <c r="G1993" s="240">
        <v>246.39</v>
      </c>
    </row>
    <row r="1994" spans="1:7" ht="14.25" x14ac:dyDescent="0.2">
      <c r="A1994" s="237" t="s">
        <v>1368</v>
      </c>
      <c r="B1994" s="238" t="s">
        <v>4454</v>
      </c>
      <c r="C1994" s="239" t="s">
        <v>13</v>
      </c>
      <c r="D1994" s="240">
        <f t="shared" si="31"/>
        <v>342.03451259259259</v>
      </c>
      <c r="E1994" s="226" t="s">
        <v>5222</v>
      </c>
      <c r="G1994" s="240">
        <v>319.04000000000002</v>
      </c>
    </row>
    <row r="1995" spans="1:7" ht="14.25" x14ac:dyDescent="0.2">
      <c r="A1995" s="237" t="s">
        <v>1369</v>
      </c>
      <c r="B1995" s="238" t="s">
        <v>4455</v>
      </c>
      <c r="C1995" s="239" t="s">
        <v>13</v>
      </c>
      <c r="D1995" s="240">
        <f t="shared" si="31"/>
        <v>377.10205555555552</v>
      </c>
      <c r="E1995" s="226" t="s">
        <v>5222</v>
      </c>
      <c r="G1995" s="240">
        <v>351.75</v>
      </c>
    </row>
    <row r="1996" spans="1:7" ht="14.25" x14ac:dyDescent="0.2">
      <c r="A1996" s="237" t="s">
        <v>1370</v>
      </c>
      <c r="B1996" s="238" t="s">
        <v>4456</v>
      </c>
      <c r="C1996" s="239" t="s">
        <v>13</v>
      </c>
      <c r="D1996" s="240">
        <f t="shared" si="31"/>
        <v>203.1044333333333</v>
      </c>
      <c r="E1996" s="226" t="s">
        <v>5222</v>
      </c>
      <c r="G1996" s="240">
        <v>189.45</v>
      </c>
    </row>
    <row r="1997" spans="1:7" ht="14.25" x14ac:dyDescent="0.2">
      <c r="A1997" s="237" t="s">
        <v>1371</v>
      </c>
      <c r="B1997" s="238" t="s">
        <v>4457</v>
      </c>
      <c r="C1997" s="239" t="s">
        <v>13</v>
      </c>
      <c r="D1997" s="240">
        <f t="shared" si="31"/>
        <v>281.4837688888889</v>
      </c>
      <c r="E1997" s="226" t="s">
        <v>5222</v>
      </c>
      <c r="G1997" s="240">
        <v>262.56</v>
      </c>
    </row>
    <row r="1998" spans="1:7" ht="14.25" x14ac:dyDescent="0.2">
      <c r="A1998" s="237" t="s">
        <v>1372</v>
      </c>
      <c r="B1998" s="238" t="s">
        <v>4458</v>
      </c>
      <c r="C1998" s="239" t="s">
        <v>13</v>
      </c>
      <c r="D1998" s="240">
        <f t="shared" si="31"/>
        <v>409.13562888888885</v>
      </c>
      <c r="E1998" s="226" t="s">
        <v>5222</v>
      </c>
      <c r="G1998" s="240">
        <v>381.63</v>
      </c>
    </row>
    <row r="1999" spans="1:7" ht="14.25" x14ac:dyDescent="0.2">
      <c r="A1999" s="237" t="s">
        <v>1373</v>
      </c>
      <c r="B1999" s="238" t="s">
        <v>4459</v>
      </c>
      <c r="C1999" s="239" t="s">
        <v>13</v>
      </c>
      <c r="D1999" s="240">
        <f t="shared" si="31"/>
        <v>444.1924511111111</v>
      </c>
      <c r="E1999" s="226" t="s">
        <v>5222</v>
      </c>
      <c r="G1999" s="240">
        <v>414.33</v>
      </c>
    </row>
    <row r="2000" spans="1:7" ht="14.25" x14ac:dyDescent="0.2">
      <c r="A2000" s="237" t="s">
        <v>1374</v>
      </c>
      <c r="B2000" s="238" t="s">
        <v>4460</v>
      </c>
      <c r="C2000" s="239" t="s">
        <v>13</v>
      </c>
      <c r="D2000" s="240">
        <f t="shared" si="31"/>
        <v>89.400257037037036</v>
      </c>
      <c r="E2000" s="226" t="s">
        <v>5222</v>
      </c>
      <c r="G2000" s="240">
        <v>83.39</v>
      </c>
    </row>
    <row r="2001" spans="1:7" ht="14.25" x14ac:dyDescent="0.2">
      <c r="A2001" s="237" t="s">
        <v>1375</v>
      </c>
      <c r="B2001" s="238" t="s">
        <v>4461</v>
      </c>
      <c r="C2001" s="239" t="s">
        <v>13</v>
      </c>
      <c r="D2001" s="240">
        <f t="shared" si="31"/>
        <v>91.019088888888888</v>
      </c>
      <c r="E2001" s="226" t="s">
        <v>5222</v>
      </c>
      <c r="G2001" s="240">
        <v>84.9</v>
      </c>
    </row>
    <row r="2002" spans="1:7" ht="14.25" x14ac:dyDescent="0.2">
      <c r="A2002" s="237" t="s">
        <v>1376</v>
      </c>
      <c r="B2002" s="238" t="s">
        <v>4462</v>
      </c>
      <c r="C2002" s="239" t="s">
        <v>13</v>
      </c>
      <c r="D2002" s="240">
        <f t="shared" si="31"/>
        <v>227.80502000000001</v>
      </c>
      <c r="E2002" s="226" t="s">
        <v>5222</v>
      </c>
      <c r="G2002" s="240">
        <v>212.49</v>
      </c>
    </row>
    <row r="2003" spans="1:7" ht="14.25" x14ac:dyDescent="0.2">
      <c r="A2003" s="237" t="s">
        <v>1377</v>
      </c>
      <c r="B2003" s="238" t="s">
        <v>4463</v>
      </c>
      <c r="C2003" s="239" t="s">
        <v>13</v>
      </c>
      <c r="D2003" s="240">
        <f t="shared" si="31"/>
        <v>262.86184222222221</v>
      </c>
      <c r="E2003" s="226" t="s">
        <v>5222</v>
      </c>
      <c r="G2003" s="240">
        <v>245.19</v>
      </c>
    </row>
    <row r="2004" spans="1:7" ht="14.25" x14ac:dyDescent="0.2">
      <c r="A2004" s="237" t="s">
        <v>1378</v>
      </c>
      <c r="B2004" s="238" t="s">
        <v>4464</v>
      </c>
      <c r="C2004" s="239" t="s">
        <v>13</v>
      </c>
      <c r="D2004" s="240">
        <f t="shared" si="31"/>
        <v>107.29317333333333</v>
      </c>
      <c r="E2004" s="226" t="s">
        <v>5222</v>
      </c>
      <c r="G2004" s="240">
        <v>100.08</v>
      </c>
    </row>
    <row r="2005" spans="1:7" ht="14.25" x14ac:dyDescent="0.2">
      <c r="A2005" s="237" t="s">
        <v>1379</v>
      </c>
      <c r="B2005" s="238" t="s">
        <v>4465</v>
      </c>
      <c r="C2005" s="239" t="s">
        <v>13</v>
      </c>
      <c r="D2005" s="240">
        <f t="shared" si="31"/>
        <v>120.99427999999999</v>
      </c>
      <c r="E2005" s="226" t="s">
        <v>5222</v>
      </c>
      <c r="G2005" s="240">
        <v>112.86</v>
      </c>
    </row>
    <row r="2006" spans="1:7" ht="14.25" x14ac:dyDescent="0.2">
      <c r="A2006" s="237" t="s">
        <v>1380</v>
      </c>
      <c r="B2006" s="238" t="s">
        <v>4466</v>
      </c>
      <c r="C2006" s="239" t="s">
        <v>13</v>
      </c>
      <c r="D2006" s="240">
        <f t="shared" si="31"/>
        <v>266.23887555555552</v>
      </c>
      <c r="E2006" s="226" t="s">
        <v>5222</v>
      </c>
      <c r="G2006" s="240">
        <v>248.34</v>
      </c>
    </row>
    <row r="2007" spans="1:7" ht="14.25" x14ac:dyDescent="0.2">
      <c r="A2007" s="237" t="s">
        <v>1381</v>
      </c>
      <c r="B2007" s="238" t="s">
        <v>4467</v>
      </c>
      <c r="C2007" s="239" t="s">
        <v>13</v>
      </c>
      <c r="D2007" s="240">
        <f t="shared" si="31"/>
        <v>301.29569777777778</v>
      </c>
      <c r="E2007" s="226" t="s">
        <v>5222</v>
      </c>
      <c r="G2007" s="240">
        <v>281.04000000000002</v>
      </c>
    </row>
    <row r="2008" spans="1:7" ht="14.25" x14ac:dyDescent="0.2">
      <c r="A2008" s="237" t="s">
        <v>1382</v>
      </c>
      <c r="B2008" s="238" t="s">
        <v>4468</v>
      </c>
      <c r="C2008" s="239" t="s">
        <v>13</v>
      </c>
      <c r="D2008" s="240">
        <f t="shared" si="31"/>
        <v>85.487186666666659</v>
      </c>
      <c r="E2008" s="226" t="s">
        <v>5222</v>
      </c>
      <c r="G2008" s="240">
        <v>79.739999999999995</v>
      </c>
    </row>
    <row r="2009" spans="1:7" ht="14.25" x14ac:dyDescent="0.2">
      <c r="A2009" s="237" t="s">
        <v>1383</v>
      </c>
      <c r="B2009" s="238" t="s">
        <v>4469</v>
      </c>
      <c r="C2009" s="239" t="s">
        <v>13</v>
      </c>
      <c r="D2009" s="240">
        <f t="shared" si="31"/>
        <v>91.072692592592588</v>
      </c>
      <c r="E2009" s="226" t="s">
        <v>5222</v>
      </c>
      <c r="G2009" s="240">
        <v>84.95</v>
      </c>
    </row>
    <row r="2010" spans="1:7" ht="14.25" x14ac:dyDescent="0.2">
      <c r="A2010" s="237" t="s">
        <v>1384</v>
      </c>
      <c r="B2010" s="238" t="s">
        <v>4470</v>
      </c>
      <c r="C2010" s="239" t="s">
        <v>13</v>
      </c>
      <c r="D2010" s="240">
        <f t="shared" si="31"/>
        <v>173.26861185185183</v>
      </c>
      <c r="E2010" s="226" t="s">
        <v>5222</v>
      </c>
      <c r="G2010" s="240">
        <v>161.62</v>
      </c>
    </row>
    <row r="2011" spans="1:7" ht="14.25" x14ac:dyDescent="0.2">
      <c r="A2011" s="237" t="s">
        <v>1385</v>
      </c>
      <c r="B2011" s="238" t="s">
        <v>4471</v>
      </c>
      <c r="C2011" s="239" t="s">
        <v>13</v>
      </c>
      <c r="D2011" s="240">
        <f t="shared" si="31"/>
        <v>208.32543407407405</v>
      </c>
      <c r="E2011" s="226" t="s">
        <v>5222</v>
      </c>
      <c r="G2011" s="240">
        <v>194.32</v>
      </c>
    </row>
    <row r="2012" spans="1:7" ht="14.25" x14ac:dyDescent="0.2">
      <c r="A2012" s="237" t="s">
        <v>1386</v>
      </c>
      <c r="B2012" s="238" t="s">
        <v>4472</v>
      </c>
      <c r="C2012" s="239" t="s">
        <v>13</v>
      </c>
      <c r="D2012" s="240">
        <f t="shared" si="31"/>
        <v>59.542994074074073</v>
      </c>
      <c r="E2012" s="226" t="s">
        <v>5222</v>
      </c>
      <c r="G2012" s="240">
        <v>55.54</v>
      </c>
    </row>
    <row r="2013" spans="1:7" ht="14.25" x14ac:dyDescent="0.2">
      <c r="A2013" s="237" t="s">
        <v>1387</v>
      </c>
      <c r="B2013" s="238" t="s">
        <v>4473</v>
      </c>
      <c r="C2013" s="239" t="s">
        <v>13</v>
      </c>
      <c r="D2013" s="240">
        <f t="shared" si="31"/>
        <v>44.212334814814817</v>
      </c>
      <c r="E2013" s="226" t="s">
        <v>5222</v>
      </c>
      <c r="G2013" s="240">
        <v>41.24</v>
      </c>
    </row>
    <row r="2014" spans="1:7" ht="14.25" x14ac:dyDescent="0.2">
      <c r="A2014" s="237" t="s">
        <v>1388</v>
      </c>
      <c r="B2014" s="238" t="s">
        <v>4474</v>
      </c>
      <c r="C2014" s="239" t="s">
        <v>13</v>
      </c>
      <c r="D2014" s="240">
        <f t="shared" si="31"/>
        <v>145.64126296296294</v>
      </c>
      <c r="E2014" s="226" t="s">
        <v>5222</v>
      </c>
      <c r="G2014" s="240">
        <v>135.85</v>
      </c>
    </row>
    <row r="2015" spans="1:7" ht="14.25" x14ac:dyDescent="0.2">
      <c r="A2015" s="237" t="s">
        <v>1389</v>
      </c>
      <c r="B2015" s="238" t="s">
        <v>4475</v>
      </c>
      <c r="C2015" s="239" t="s">
        <v>13</v>
      </c>
      <c r="D2015" s="240">
        <f t="shared" si="31"/>
        <v>180.69808518518519</v>
      </c>
      <c r="E2015" s="226" t="s">
        <v>5222</v>
      </c>
      <c r="G2015" s="240">
        <v>168.55</v>
      </c>
    </row>
    <row r="2016" spans="1:7" ht="14.25" x14ac:dyDescent="0.2">
      <c r="A2016" s="237" t="s">
        <v>1390</v>
      </c>
      <c r="B2016" s="238" t="s">
        <v>4476</v>
      </c>
      <c r="C2016" s="239" t="s">
        <v>13</v>
      </c>
      <c r="D2016" s="240">
        <f t="shared" si="31"/>
        <v>50.044417777777774</v>
      </c>
      <c r="E2016" s="226" t="s">
        <v>5222</v>
      </c>
      <c r="G2016" s="240">
        <v>46.68</v>
      </c>
    </row>
    <row r="2017" spans="1:7" ht="14.25" x14ac:dyDescent="0.2">
      <c r="A2017" s="237" t="s">
        <v>1391</v>
      </c>
      <c r="B2017" s="238" t="s">
        <v>4477</v>
      </c>
      <c r="C2017" s="239" t="s">
        <v>13</v>
      </c>
      <c r="D2017" s="240">
        <f t="shared" si="31"/>
        <v>27.059149629629626</v>
      </c>
      <c r="E2017" s="226" t="s">
        <v>5222</v>
      </c>
      <c r="G2017" s="240">
        <v>25.24</v>
      </c>
    </row>
    <row r="2018" spans="1:7" ht="14.25" x14ac:dyDescent="0.2">
      <c r="A2018" s="237" t="s">
        <v>1392</v>
      </c>
      <c r="B2018" s="238" t="s">
        <v>4478</v>
      </c>
      <c r="C2018" s="239" t="s">
        <v>13</v>
      </c>
      <c r="D2018" s="240">
        <f t="shared" si="31"/>
        <v>43.654856296296295</v>
      </c>
      <c r="E2018" s="226" t="s">
        <v>5222</v>
      </c>
      <c r="G2018" s="240">
        <v>40.72</v>
      </c>
    </row>
    <row r="2019" spans="1:7" ht="14.25" x14ac:dyDescent="0.2">
      <c r="A2019" s="237" t="s">
        <v>1393</v>
      </c>
      <c r="B2019" s="238" t="s">
        <v>4479</v>
      </c>
      <c r="C2019" s="239" t="s">
        <v>13</v>
      </c>
      <c r="D2019" s="240">
        <f t="shared" si="31"/>
        <v>78.711678518518525</v>
      </c>
      <c r="E2019" s="226" t="s">
        <v>5222</v>
      </c>
      <c r="G2019" s="240">
        <v>73.42</v>
      </c>
    </row>
    <row r="2020" spans="1:7" ht="14.25" x14ac:dyDescent="0.2">
      <c r="A2020" s="237" t="s">
        <v>1394</v>
      </c>
      <c r="B2020" s="238" t="s">
        <v>4480</v>
      </c>
      <c r="C2020" s="239" t="s">
        <v>13</v>
      </c>
      <c r="D2020" s="240">
        <f t="shared" si="31"/>
        <v>64.860481481481472</v>
      </c>
      <c r="E2020" s="226" t="s">
        <v>5222</v>
      </c>
      <c r="G2020" s="240">
        <v>60.5</v>
      </c>
    </row>
    <row r="2021" spans="1:7" ht="14.25" x14ac:dyDescent="0.2">
      <c r="A2021" s="237" t="s">
        <v>1395</v>
      </c>
      <c r="B2021" s="238" t="s">
        <v>4481</v>
      </c>
      <c r="C2021" s="239" t="s">
        <v>13</v>
      </c>
      <c r="D2021" s="240">
        <f t="shared" si="31"/>
        <v>53.818118518518517</v>
      </c>
      <c r="E2021" s="226" t="s">
        <v>5222</v>
      </c>
      <c r="G2021" s="240">
        <v>50.2</v>
      </c>
    </row>
    <row r="2022" spans="1:7" ht="14.25" x14ac:dyDescent="0.2">
      <c r="A2022" s="237" t="s">
        <v>1396</v>
      </c>
      <c r="B2022" s="238" t="s">
        <v>4482</v>
      </c>
      <c r="C2022" s="239" t="s">
        <v>13</v>
      </c>
      <c r="D2022" s="240">
        <f t="shared" si="31"/>
        <v>155.23632592592594</v>
      </c>
      <c r="E2022" s="226" t="s">
        <v>5222</v>
      </c>
      <c r="G2022" s="240">
        <v>144.80000000000001</v>
      </c>
    </row>
    <row r="2023" spans="1:7" ht="14.25" x14ac:dyDescent="0.2">
      <c r="A2023" s="237" t="s">
        <v>1397</v>
      </c>
      <c r="B2023" s="238" t="s">
        <v>4483</v>
      </c>
      <c r="C2023" s="239" t="s">
        <v>13</v>
      </c>
      <c r="D2023" s="240">
        <f t="shared" si="31"/>
        <v>190.29314814814813</v>
      </c>
      <c r="E2023" s="226" t="s">
        <v>5222</v>
      </c>
      <c r="G2023" s="240">
        <v>177.5</v>
      </c>
    </row>
    <row r="2024" spans="1:7" ht="14.25" x14ac:dyDescent="0.2">
      <c r="A2024" s="237" t="s">
        <v>1398</v>
      </c>
      <c r="B2024" s="238" t="s">
        <v>4484</v>
      </c>
      <c r="C2024" s="239" t="s">
        <v>13</v>
      </c>
      <c r="D2024" s="240">
        <f t="shared" si="31"/>
        <v>58.535244444444444</v>
      </c>
      <c r="E2024" s="226" t="s">
        <v>5222</v>
      </c>
      <c r="G2024" s="240">
        <v>54.6</v>
      </c>
    </row>
    <row r="2025" spans="1:7" ht="14.25" x14ac:dyDescent="0.2">
      <c r="A2025" s="237" t="s">
        <v>1399</v>
      </c>
      <c r="B2025" s="238" t="s">
        <v>4485</v>
      </c>
      <c r="C2025" s="239" t="s">
        <v>13</v>
      </c>
      <c r="D2025" s="240">
        <f t="shared" si="31"/>
        <v>42.389808888888886</v>
      </c>
      <c r="E2025" s="226" t="s">
        <v>5222</v>
      </c>
      <c r="G2025" s="240">
        <v>39.54</v>
      </c>
    </row>
    <row r="2026" spans="1:7" ht="14.25" x14ac:dyDescent="0.2">
      <c r="A2026" s="237" t="s">
        <v>1400</v>
      </c>
      <c r="B2026" s="238" t="s">
        <v>4486</v>
      </c>
      <c r="C2026" s="239" t="s">
        <v>13</v>
      </c>
      <c r="D2026" s="240">
        <f t="shared" si="31"/>
        <v>143.80801629629627</v>
      </c>
      <c r="E2026" s="226" t="s">
        <v>5222</v>
      </c>
      <c r="G2026" s="240">
        <v>134.13999999999999</v>
      </c>
    </row>
    <row r="2027" spans="1:7" ht="14.25" x14ac:dyDescent="0.2">
      <c r="A2027" s="237" t="s">
        <v>1401</v>
      </c>
      <c r="B2027" s="238" t="s">
        <v>4487</v>
      </c>
      <c r="C2027" s="239" t="s">
        <v>13</v>
      </c>
      <c r="D2027" s="240">
        <f t="shared" si="31"/>
        <v>178.87555925925923</v>
      </c>
      <c r="E2027" s="226" t="s">
        <v>5222</v>
      </c>
      <c r="G2027" s="240">
        <v>166.85</v>
      </c>
    </row>
    <row r="2028" spans="1:7" ht="14.25" x14ac:dyDescent="0.2">
      <c r="A2028" s="237" t="s">
        <v>1402</v>
      </c>
      <c r="B2028" s="238" t="s">
        <v>4488</v>
      </c>
      <c r="C2028" s="239" t="s">
        <v>13</v>
      </c>
      <c r="D2028" s="240">
        <f t="shared" si="31"/>
        <v>224.39582444444443</v>
      </c>
      <c r="E2028" s="226" t="s">
        <v>5222</v>
      </c>
      <c r="G2028" s="240">
        <v>209.31</v>
      </c>
    </row>
    <row r="2029" spans="1:7" ht="14.25" x14ac:dyDescent="0.2">
      <c r="A2029" s="237" t="s">
        <v>1403</v>
      </c>
      <c r="B2029" s="238" t="s">
        <v>4489</v>
      </c>
      <c r="C2029" s="239" t="s">
        <v>13</v>
      </c>
      <c r="D2029" s="240">
        <f t="shared" si="31"/>
        <v>341.9380259259259</v>
      </c>
      <c r="E2029" s="226" t="s">
        <v>5222</v>
      </c>
      <c r="G2029" s="240">
        <v>318.95</v>
      </c>
    </row>
    <row r="2030" spans="1:7" ht="14.25" x14ac:dyDescent="0.2">
      <c r="A2030" s="237" t="s">
        <v>1404</v>
      </c>
      <c r="B2030" s="238" t="s">
        <v>4490</v>
      </c>
      <c r="C2030" s="239" t="s">
        <v>13</v>
      </c>
      <c r="D2030" s="240">
        <f t="shared" si="31"/>
        <v>439.30379333333332</v>
      </c>
      <c r="E2030" s="226" t="s">
        <v>5222</v>
      </c>
      <c r="G2030" s="240">
        <v>409.77</v>
      </c>
    </row>
    <row r="2031" spans="1:7" ht="14.25" x14ac:dyDescent="0.2">
      <c r="A2031" s="237" t="s">
        <v>1405</v>
      </c>
      <c r="B2031" s="238" t="s">
        <v>4491</v>
      </c>
      <c r="C2031" s="239" t="s">
        <v>13</v>
      </c>
      <c r="D2031" s="240">
        <f t="shared" si="31"/>
        <v>474.36061555555551</v>
      </c>
      <c r="E2031" s="226" t="s">
        <v>5222</v>
      </c>
      <c r="G2031" s="240">
        <v>442.47</v>
      </c>
    </row>
    <row r="2032" spans="1:7" ht="14.25" x14ac:dyDescent="0.2">
      <c r="A2032" s="237" t="s">
        <v>1406</v>
      </c>
      <c r="B2032" s="238" t="s">
        <v>4492</v>
      </c>
      <c r="C2032" s="239" t="s">
        <v>13</v>
      </c>
      <c r="D2032" s="240">
        <f t="shared" si="31"/>
        <v>180.00123703703704</v>
      </c>
      <c r="E2032" s="226" t="s">
        <v>5222</v>
      </c>
      <c r="G2032" s="240">
        <v>167.9</v>
      </c>
    </row>
    <row r="2033" spans="1:7" ht="14.25" x14ac:dyDescent="0.2">
      <c r="A2033" s="237" t="s">
        <v>1407</v>
      </c>
      <c r="B2033" s="238" t="s">
        <v>4493</v>
      </c>
      <c r="C2033" s="239" t="s">
        <v>13</v>
      </c>
      <c r="D2033" s="240">
        <f t="shared" si="31"/>
        <v>261.76832666666667</v>
      </c>
      <c r="E2033" s="226" t="s">
        <v>5222</v>
      </c>
      <c r="G2033" s="240">
        <v>244.17</v>
      </c>
    </row>
    <row r="2034" spans="1:7" ht="14.25" x14ac:dyDescent="0.2">
      <c r="A2034" s="237" t="s">
        <v>1408</v>
      </c>
      <c r="B2034" s="238" t="s">
        <v>4494</v>
      </c>
      <c r="C2034" s="239" t="s">
        <v>13</v>
      </c>
      <c r="D2034" s="240">
        <f t="shared" si="31"/>
        <v>413.63833999999997</v>
      </c>
      <c r="E2034" s="226" t="s">
        <v>5222</v>
      </c>
      <c r="G2034" s="240">
        <v>385.83</v>
      </c>
    </row>
    <row r="2035" spans="1:7" ht="14.25" x14ac:dyDescent="0.2">
      <c r="A2035" s="237" t="s">
        <v>1409</v>
      </c>
      <c r="B2035" s="238" t="s">
        <v>4495</v>
      </c>
      <c r="C2035" s="239" t="s">
        <v>13</v>
      </c>
      <c r="D2035" s="240">
        <f t="shared" si="31"/>
        <v>448.69516222222217</v>
      </c>
      <c r="E2035" s="226" t="s">
        <v>5222</v>
      </c>
      <c r="G2035" s="240">
        <v>418.53</v>
      </c>
    </row>
    <row r="2036" spans="1:7" ht="14.25" x14ac:dyDescent="0.2">
      <c r="A2036" s="237" t="s">
        <v>1410</v>
      </c>
      <c r="B2036" s="238" t="s">
        <v>4496</v>
      </c>
      <c r="C2036" s="239" t="s">
        <v>13</v>
      </c>
      <c r="D2036" s="240">
        <f t="shared" si="31"/>
        <v>130.6536674074074</v>
      </c>
      <c r="E2036" s="226" t="s">
        <v>5222</v>
      </c>
      <c r="G2036" s="240">
        <v>121.87</v>
      </c>
    </row>
    <row r="2037" spans="1:7" ht="14.25" x14ac:dyDescent="0.2">
      <c r="A2037" s="237" t="s">
        <v>1411</v>
      </c>
      <c r="B2037" s="238" t="s">
        <v>4497</v>
      </c>
      <c r="C2037" s="239" t="s">
        <v>13</v>
      </c>
      <c r="D2037" s="240">
        <f t="shared" si="31"/>
        <v>166.31085111111111</v>
      </c>
      <c r="E2037" s="226" t="s">
        <v>5222</v>
      </c>
      <c r="G2037" s="240">
        <v>155.13</v>
      </c>
    </row>
    <row r="2038" spans="1:7" ht="14.25" x14ac:dyDescent="0.2">
      <c r="A2038" s="237" t="s">
        <v>1412</v>
      </c>
      <c r="B2038" s="238" t="s">
        <v>4498</v>
      </c>
      <c r="C2038" s="239" t="s">
        <v>13</v>
      </c>
      <c r="D2038" s="240">
        <f t="shared" si="31"/>
        <v>501.67706296296296</v>
      </c>
      <c r="E2038" s="226" t="s">
        <v>5222</v>
      </c>
      <c r="G2038" s="240">
        <v>467.95</v>
      </c>
    </row>
    <row r="2039" spans="1:7" ht="14.25" x14ac:dyDescent="0.2">
      <c r="A2039" s="237" t="s">
        <v>1413</v>
      </c>
      <c r="B2039" s="238" t="s">
        <v>4499</v>
      </c>
      <c r="C2039" s="239" t="s">
        <v>13</v>
      </c>
      <c r="D2039" s="240">
        <f t="shared" si="31"/>
        <v>536.73388518518516</v>
      </c>
      <c r="E2039" s="226" t="s">
        <v>5222</v>
      </c>
      <c r="G2039" s="240">
        <v>500.65</v>
      </c>
    </row>
    <row r="2040" spans="1:7" ht="14.25" x14ac:dyDescent="0.2">
      <c r="A2040" s="237" t="s">
        <v>1414</v>
      </c>
      <c r="B2040" s="238" t="s">
        <v>4500</v>
      </c>
      <c r="C2040" s="239" t="s">
        <v>13</v>
      </c>
      <c r="D2040" s="240">
        <f t="shared" si="31"/>
        <v>246.11604518518516</v>
      </c>
      <c r="E2040" s="226" t="s">
        <v>5222</v>
      </c>
      <c r="G2040" s="240">
        <v>229.57</v>
      </c>
    </row>
    <row r="2041" spans="1:7" ht="14.25" x14ac:dyDescent="0.2">
      <c r="A2041" s="237" t="s">
        <v>1415</v>
      </c>
      <c r="B2041" s="238" t="s">
        <v>4501</v>
      </c>
      <c r="C2041" s="239" t="s">
        <v>13</v>
      </c>
      <c r="D2041" s="240">
        <f t="shared" si="31"/>
        <v>381.15449555555546</v>
      </c>
      <c r="E2041" s="226" t="s">
        <v>5222</v>
      </c>
      <c r="G2041" s="240">
        <v>355.53</v>
      </c>
    </row>
    <row r="2042" spans="1:7" ht="14.25" x14ac:dyDescent="0.2">
      <c r="A2042" s="237" t="s">
        <v>1416</v>
      </c>
      <c r="B2042" s="238" t="s">
        <v>4502</v>
      </c>
      <c r="C2042" s="239" t="s">
        <v>13</v>
      </c>
      <c r="D2042" s="240">
        <f t="shared" si="31"/>
        <v>478.52026296296293</v>
      </c>
      <c r="E2042" s="226" t="s">
        <v>5222</v>
      </c>
      <c r="G2042" s="240">
        <v>446.35</v>
      </c>
    </row>
    <row r="2043" spans="1:7" ht="14.25" x14ac:dyDescent="0.2">
      <c r="A2043" s="237" t="s">
        <v>1417</v>
      </c>
      <c r="B2043" s="238" t="s">
        <v>4503</v>
      </c>
      <c r="C2043" s="239" t="s">
        <v>13</v>
      </c>
      <c r="D2043" s="240">
        <f t="shared" si="31"/>
        <v>513.57708518518518</v>
      </c>
      <c r="E2043" s="226" t="s">
        <v>5222</v>
      </c>
      <c r="G2043" s="240">
        <v>479.05</v>
      </c>
    </row>
    <row r="2044" spans="1:7" ht="14.25" x14ac:dyDescent="0.2">
      <c r="A2044" s="237" t="s">
        <v>1418</v>
      </c>
      <c r="B2044" s="238" t="s">
        <v>4504</v>
      </c>
      <c r="C2044" s="239" t="s">
        <v>13</v>
      </c>
      <c r="D2044" s="240">
        <f t="shared" si="31"/>
        <v>189.61774148148146</v>
      </c>
      <c r="E2044" s="226" t="s">
        <v>5222</v>
      </c>
      <c r="G2044" s="240">
        <v>176.87</v>
      </c>
    </row>
    <row r="2045" spans="1:7" ht="14.25" x14ac:dyDescent="0.2">
      <c r="A2045" s="237" t="s">
        <v>1419</v>
      </c>
      <c r="B2045" s="238" t="s">
        <v>4505</v>
      </c>
      <c r="C2045" s="239" t="s">
        <v>13</v>
      </c>
      <c r="D2045" s="240">
        <f t="shared" si="31"/>
        <v>279.12520592592591</v>
      </c>
      <c r="E2045" s="226" t="s">
        <v>5222</v>
      </c>
      <c r="G2045" s="240">
        <v>260.36</v>
      </c>
    </row>
    <row r="2046" spans="1:7" ht="14.25" x14ac:dyDescent="0.2">
      <c r="A2046" s="237" t="s">
        <v>1420</v>
      </c>
      <c r="B2046" s="238" t="s">
        <v>4506</v>
      </c>
      <c r="C2046" s="239" t="s">
        <v>13</v>
      </c>
      <c r="D2046" s="240">
        <f t="shared" si="31"/>
        <v>435.99108444444443</v>
      </c>
      <c r="E2046" s="226" t="s">
        <v>5222</v>
      </c>
      <c r="G2046" s="240">
        <v>406.68</v>
      </c>
    </row>
    <row r="2047" spans="1:7" ht="14.25" x14ac:dyDescent="0.2">
      <c r="A2047" s="237" t="s">
        <v>1421</v>
      </c>
      <c r="B2047" s="238" t="s">
        <v>4507</v>
      </c>
      <c r="C2047" s="239" t="s">
        <v>13</v>
      </c>
      <c r="D2047" s="240">
        <f t="shared" si="31"/>
        <v>471.04790666666662</v>
      </c>
      <c r="E2047" s="226" t="s">
        <v>5222</v>
      </c>
      <c r="G2047" s="240">
        <v>439.38</v>
      </c>
    </row>
    <row r="2048" spans="1:7" ht="14.25" x14ac:dyDescent="0.2">
      <c r="A2048" s="237" t="s">
        <v>1422</v>
      </c>
      <c r="B2048" s="238" t="s">
        <v>4508</v>
      </c>
      <c r="C2048" s="239" t="s">
        <v>13</v>
      </c>
      <c r="D2048" s="240">
        <f t="shared" si="31"/>
        <v>136.19629037037038</v>
      </c>
      <c r="E2048" s="226" t="s">
        <v>5222</v>
      </c>
      <c r="G2048" s="240">
        <v>127.04</v>
      </c>
    </row>
    <row r="2049" spans="1:7" ht="14.25" x14ac:dyDescent="0.2">
      <c r="A2049" s="237" t="s">
        <v>1423</v>
      </c>
      <c r="B2049" s="238" t="s">
        <v>4509</v>
      </c>
      <c r="C2049" s="239" t="s">
        <v>13</v>
      </c>
      <c r="D2049" s="240">
        <f t="shared" si="31"/>
        <v>175.95951777777776</v>
      </c>
      <c r="E2049" s="226" t="s">
        <v>5222</v>
      </c>
      <c r="G2049" s="240">
        <v>164.13</v>
      </c>
    </row>
    <row r="2050" spans="1:7" ht="14.25" x14ac:dyDescent="0.2">
      <c r="A2050" s="237" t="s">
        <v>1424</v>
      </c>
      <c r="B2050" s="238" t="s">
        <v>4510</v>
      </c>
      <c r="C2050" s="239" t="s">
        <v>13</v>
      </c>
      <c r="D2050" s="240">
        <f t="shared" si="31"/>
        <v>511.32572962962956</v>
      </c>
      <c r="E2050" s="226" t="s">
        <v>5222</v>
      </c>
      <c r="G2050" s="240">
        <v>476.95</v>
      </c>
    </row>
    <row r="2051" spans="1:7" ht="14.25" x14ac:dyDescent="0.2">
      <c r="A2051" s="237" t="s">
        <v>1425</v>
      </c>
      <c r="B2051" s="238" t="s">
        <v>4511</v>
      </c>
      <c r="C2051" s="239" t="s">
        <v>13</v>
      </c>
      <c r="D2051" s="240">
        <f t="shared" si="31"/>
        <v>546.38255185185176</v>
      </c>
      <c r="E2051" s="226" t="s">
        <v>5222</v>
      </c>
      <c r="G2051" s="240">
        <v>509.65</v>
      </c>
    </row>
    <row r="2052" spans="1:7" ht="14.25" x14ac:dyDescent="0.2">
      <c r="A2052" s="237" t="s">
        <v>1426</v>
      </c>
      <c r="B2052" s="238" t="s">
        <v>4512</v>
      </c>
      <c r="C2052" s="239" t="s">
        <v>13</v>
      </c>
      <c r="D2052" s="240">
        <f t="shared" si="31"/>
        <v>337.53180148148147</v>
      </c>
      <c r="E2052" s="226" t="s">
        <v>5222</v>
      </c>
      <c r="G2052" s="240">
        <v>314.83999999999997</v>
      </c>
    </row>
    <row r="2053" spans="1:7" ht="14.25" x14ac:dyDescent="0.2">
      <c r="A2053" s="237" t="s">
        <v>1427</v>
      </c>
      <c r="B2053" s="238" t="s">
        <v>4513</v>
      </c>
      <c r="C2053" s="239" t="s">
        <v>13</v>
      </c>
      <c r="D2053" s="240">
        <f t="shared" si="31"/>
        <v>230.30295259259259</v>
      </c>
      <c r="E2053" s="226" t="s">
        <v>5222</v>
      </c>
      <c r="G2053" s="240">
        <v>214.82</v>
      </c>
    </row>
    <row r="2054" spans="1:7" ht="14.25" x14ac:dyDescent="0.2">
      <c r="A2054" s="237" t="s">
        <v>1428</v>
      </c>
      <c r="B2054" s="238" t="s">
        <v>4514</v>
      </c>
      <c r="C2054" s="239" t="s">
        <v>13</v>
      </c>
      <c r="D2054" s="240">
        <f t="shared" si="31"/>
        <v>354.05246296296298</v>
      </c>
      <c r="E2054" s="226" t="s">
        <v>5222</v>
      </c>
      <c r="G2054" s="240">
        <v>330.25</v>
      </c>
    </row>
    <row r="2055" spans="1:7" ht="14.25" x14ac:dyDescent="0.2">
      <c r="A2055" s="237" t="s">
        <v>1429</v>
      </c>
      <c r="B2055" s="238" t="s">
        <v>4515</v>
      </c>
      <c r="C2055" s="239" t="s">
        <v>13</v>
      </c>
      <c r="D2055" s="240">
        <f t="shared" si="31"/>
        <v>576.85089703703704</v>
      </c>
      <c r="E2055" s="226" t="s">
        <v>5222</v>
      </c>
      <c r="G2055" s="240">
        <v>538.07000000000005</v>
      </c>
    </row>
    <row r="2056" spans="1:7" ht="14.25" x14ac:dyDescent="0.2">
      <c r="A2056" s="237" t="s">
        <v>1430</v>
      </c>
      <c r="B2056" s="238" t="s">
        <v>4516</v>
      </c>
      <c r="C2056" s="239" t="s">
        <v>13</v>
      </c>
      <c r="D2056" s="240">
        <f t="shared" ref="D2056:D2149" si="32">(G2056/(1+0.35))*(1+$D$3)</f>
        <v>356.64688222222225</v>
      </c>
      <c r="E2056" s="226" t="s">
        <v>5222</v>
      </c>
      <c r="G2056" s="240">
        <v>332.67</v>
      </c>
    </row>
    <row r="2057" spans="1:7" ht="14.25" x14ac:dyDescent="0.2">
      <c r="A2057" s="237" t="s">
        <v>1431</v>
      </c>
      <c r="B2057" s="238" t="s">
        <v>4517</v>
      </c>
      <c r="C2057" s="239" t="s">
        <v>13</v>
      </c>
      <c r="D2057" s="240">
        <f t="shared" si="32"/>
        <v>237.08918148148149</v>
      </c>
      <c r="E2057" s="226" t="s">
        <v>5222</v>
      </c>
      <c r="G2057" s="240">
        <v>221.15</v>
      </c>
    </row>
    <row r="2058" spans="1:7" ht="14.25" x14ac:dyDescent="0.2">
      <c r="A2058" s="237" t="s">
        <v>1432</v>
      </c>
      <c r="B2058" s="238" t="s">
        <v>4518</v>
      </c>
      <c r="C2058" s="239" t="s">
        <v>13</v>
      </c>
      <c r="D2058" s="240">
        <f t="shared" si="32"/>
        <v>311.34103185185188</v>
      </c>
      <c r="E2058" s="226" t="s">
        <v>5222</v>
      </c>
      <c r="G2058" s="240">
        <v>290.41000000000003</v>
      </c>
    </row>
    <row r="2059" spans="1:7" ht="14.25" x14ac:dyDescent="0.2">
      <c r="A2059" s="237" t="s">
        <v>1433</v>
      </c>
      <c r="B2059" s="238" t="s">
        <v>4519</v>
      </c>
      <c r="C2059" s="239" t="s">
        <v>13</v>
      </c>
      <c r="D2059" s="240">
        <f t="shared" si="32"/>
        <v>534.15018666666663</v>
      </c>
      <c r="E2059" s="226" t="s">
        <v>5222</v>
      </c>
      <c r="G2059" s="240">
        <v>498.24</v>
      </c>
    </row>
    <row r="2060" spans="1:7" ht="14.25" x14ac:dyDescent="0.2">
      <c r="A2060" s="237" t="s">
        <v>1434</v>
      </c>
      <c r="B2060" s="238" t="s">
        <v>4520</v>
      </c>
      <c r="C2060" s="239" t="s">
        <v>13</v>
      </c>
      <c r="D2060" s="240">
        <f t="shared" si="32"/>
        <v>600.53301333333332</v>
      </c>
      <c r="E2060" s="226" t="s">
        <v>5222</v>
      </c>
      <c r="G2060" s="240">
        <v>560.16</v>
      </c>
    </row>
    <row r="2061" spans="1:7" ht="14.25" x14ac:dyDescent="0.2">
      <c r="A2061" s="237" t="s">
        <v>1435</v>
      </c>
      <c r="B2061" s="238" t="s">
        <v>4521</v>
      </c>
      <c r="C2061" s="239" t="s">
        <v>13</v>
      </c>
      <c r="D2061" s="240">
        <f t="shared" si="32"/>
        <v>793.31337333333329</v>
      </c>
      <c r="E2061" s="226" t="s">
        <v>5222</v>
      </c>
      <c r="G2061" s="240">
        <v>739.98</v>
      </c>
    </row>
    <row r="2062" spans="1:7" ht="14.25" x14ac:dyDescent="0.2">
      <c r="A2062" s="237" t="s">
        <v>1436</v>
      </c>
      <c r="B2062" s="238" t="s">
        <v>4522</v>
      </c>
      <c r="C2062" s="239" t="s">
        <v>13</v>
      </c>
      <c r="D2062" s="240">
        <f t="shared" si="32"/>
        <v>1879.0456711111112</v>
      </c>
      <c r="E2062" s="226" t="s">
        <v>5222</v>
      </c>
      <c r="G2062" s="240">
        <v>1752.72</v>
      </c>
    </row>
    <row r="2063" spans="1:7" ht="14.25" x14ac:dyDescent="0.2">
      <c r="A2063" s="237" t="s">
        <v>1437</v>
      </c>
      <c r="B2063" s="238" t="s">
        <v>4523</v>
      </c>
      <c r="C2063" s="239" t="s">
        <v>13</v>
      </c>
      <c r="D2063" s="240">
        <f t="shared" si="32"/>
        <v>2031.7411814814814</v>
      </c>
      <c r="E2063" s="226" t="s">
        <v>5222</v>
      </c>
      <c r="G2063" s="240">
        <v>1895.15</v>
      </c>
    </row>
    <row r="2064" spans="1:7" ht="14.25" x14ac:dyDescent="0.2">
      <c r="A2064" s="237" t="s">
        <v>1438</v>
      </c>
      <c r="B2064" s="238" t="s">
        <v>4524</v>
      </c>
      <c r="C2064" s="239" t="s">
        <v>13</v>
      </c>
      <c r="D2064" s="240">
        <f t="shared" si="32"/>
        <v>1111.1511740740741</v>
      </c>
      <c r="E2064" s="226" t="s">
        <v>5222</v>
      </c>
      <c r="G2064" s="240">
        <v>1036.45</v>
      </c>
    </row>
    <row r="2065" spans="1:7" ht="14.25" x14ac:dyDescent="0.2">
      <c r="A2065" s="237" t="s">
        <v>1439</v>
      </c>
      <c r="B2065" s="238" t="s">
        <v>4525</v>
      </c>
      <c r="C2065" s="239" t="s">
        <v>13</v>
      </c>
      <c r="D2065" s="240">
        <f t="shared" si="32"/>
        <v>1697.8437111111111</v>
      </c>
      <c r="E2065" s="226" t="s">
        <v>5222</v>
      </c>
      <c r="G2065" s="240">
        <v>1583.7</v>
      </c>
    </row>
    <row r="2066" spans="1:7" ht="14.25" x14ac:dyDescent="0.2">
      <c r="A2066" s="237" t="s">
        <v>1440</v>
      </c>
      <c r="B2066" s="238" t="s">
        <v>4526</v>
      </c>
      <c r="C2066" s="239" t="s">
        <v>13</v>
      </c>
      <c r="D2066" s="240">
        <f t="shared" si="32"/>
        <v>3270.0617822222221</v>
      </c>
      <c r="E2066" s="226" t="s">
        <v>5222</v>
      </c>
      <c r="G2066" s="240">
        <v>3050.22</v>
      </c>
    </row>
    <row r="2067" spans="1:7" ht="14.25" x14ac:dyDescent="0.2">
      <c r="A2067" s="237" t="s">
        <v>1441</v>
      </c>
      <c r="B2067" s="238" t="s">
        <v>4527</v>
      </c>
      <c r="C2067" s="239" t="s">
        <v>13</v>
      </c>
      <c r="D2067" s="240">
        <f t="shared" si="32"/>
        <v>3422.7572925925924</v>
      </c>
      <c r="E2067" s="226" t="s">
        <v>5222</v>
      </c>
      <c r="G2067" s="240">
        <v>3192.65</v>
      </c>
    </row>
    <row r="2068" spans="1:7" ht="14.25" x14ac:dyDescent="0.2">
      <c r="A2068" s="237" t="s">
        <v>1442</v>
      </c>
      <c r="B2068" s="238" t="s">
        <v>4528</v>
      </c>
      <c r="C2068" s="239" t="s">
        <v>13</v>
      </c>
      <c r="D2068" s="240">
        <f t="shared" si="32"/>
        <v>454.42003777777774</v>
      </c>
      <c r="E2068" s="226" t="s">
        <v>5222</v>
      </c>
      <c r="G2068" s="240">
        <v>423.87</v>
      </c>
    </row>
    <row r="2069" spans="1:7" ht="14.25" x14ac:dyDescent="0.2">
      <c r="A2069" s="237" t="s">
        <v>1443</v>
      </c>
      <c r="B2069" s="238" t="s">
        <v>4529</v>
      </c>
      <c r="C2069" s="239" t="s">
        <v>13</v>
      </c>
      <c r="D2069" s="240">
        <f t="shared" si="32"/>
        <v>410.28274814814813</v>
      </c>
      <c r="E2069" s="226" t="s">
        <v>5222</v>
      </c>
      <c r="G2069" s="240">
        <v>382.7</v>
      </c>
    </row>
    <row r="2070" spans="1:7" ht="14.25" x14ac:dyDescent="0.2">
      <c r="A2070" s="237" t="s">
        <v>1444</v>
      </c>
      <c r="B2070" s="238" t="s">
        <v>4530</v>
      </c>
      <c r="C2070" s="239" t="s">
        <v>13</v>
      </c>
      <c r="D2070" s="240">
        <f t="shared" si="32"/>
        <v>513.39483259259248</v>
      </c>
      <c r="E2070" s="226" t="s">
        <v>5222</v>
      </c>
      <c r="G2070" s="240">
        <v>478.88</v>
      </c>
    </row>
    <row r="2071" spans="1:7" ht="14.25" x14ac:dyDescent="0.2">
      <c r="A2071" s="237" t="s">
        <v>2495</v>
      </c>
      <c r="B2071" s="238" t="s">
        <v>4531</v>
      </c>
      <c r="C2071" s="239" t="s">
        <v>13</v>
      </c>
      <c r="D2071" s="240">
        <f t="shared" si="32"/>
        <v>736.20398740740734</v>
      </c>
      <c r="E2071" s="226" t="s">
        <v>5222</v>
      </c>
      <c r="G2071" s="240">
        <v>686.71</v>
      </c>
    </row>
    <row r="2072" spans="1:7" ht="14.25" x14ac:dyDescent="0.2">
      <c r="A2072" s="237" t="s">
        <v>1445</v>
      </c>
      <c r="B2072" s="238" t="s">
        <v>4532</v>
      </c>
      <c r="C2072" s="239" t="s">
        <v>13</v>
      </c>
      <c r="D2072" s="240">
        <f t="shared" si="32"/>
        <v>26.340859999999999</v>
      </c>
      <c r="E2072" s="226" t="s">
        <v>5222</v>
      </c>
      <c r="G2072" s="240">
        <v>24.57</v>
      </c>
    </row>
    <row r="2073" spans="1:7" ht="14.25" x14ac:dyDescent="0.2">
      <c r="A2073" s="237" t="s">
        <v>1446</v>
      </c>
      <c r="B2073" s="238" t="s">
        <v>4533</v>
      </c>
      <c r="C2073" s="239" t="s">
        <v>13</v>
      </c>
      <c r="D2073" s="240">
        <f t="shared" si="32"/>
        <v>1.2436059259259258</v>
      </c>
      <c r="E2073" s="226" t="s">
        <v>5222</v>
      </c>
      <c r="G2073" s="240">
        <v>1.1599999999999999</v>
      </c>
    </row>
    <row r="2074" spans="1:7" ht="14.25" x14ac:dyDescent="0.2">
      <c r="A2074" s="237" t="s">
        <v>1447</v>
      </c>
      <c r="B2074" s="238" t="s">
        <v>4534</v>
      </c>
      <c r="C2074" s="239" t="s">
        <v>13</v>
      </c>
      <c r="D2074" s="240">
        <f t="shared" si="32"/>
        <v>2.7981133333333332</v>
      </c>
      <c r="E2074" s="226" t="s">
        <v>5222</v>
      </c>
      <c r="G2074" s="240">
        <v>2.61</v>
      </c>
    </row>
    <row r="2075" spans="1:7" ht="14.25" x14ac:dyDescent="0.2">
      <c r="A2075" s="237" t="s">
        <v>1448</v>
      </c>
      <c r="B2075" s="238" t="s">
        <v>4535</v>
      </c>
      <c r="C2075" s="239" t="s">
        <v>13</v>
      </c>
      <c r="D2075" s="240">
        <f t="shared" si="32"/>
        <v>28.485008148148147</v>
      </c>
      <c r="E2075" s="226" t="s">
        <v>5222</v>
      </c>
      <c r="G2075" s="240">
        <v>26.57</v>
      </c>
    </row>
    <row r="2076" spans="1:7" ht="14.25" x14ac:dyDescent="0.2">
      <c r="A2076" s="237" t="s">
        <v>1449</v>
      </c>
      <c r="B2076" s="238" t="s">
        <v>4536</v>
      </c>
      <c r="C2076" s="239" t="s">
        <v>13</v>
      </c>
      <c r="D2076" s="240">
        <f t="shared" si="32"/>
        <v>26.308697777777777</v>
      </c>
      <c r="E2076" s="226" t="s">
        <v>5222</v>
      </c>
      <c r="G2076" s="240">
        <v>24.54</v>
      </c>
    </row>
    <row r="2077" spans="1:7" ht="14.25" x14ac:dyDescent="0.2">
      <c r="A2077" s="237" t="s">
        <v>1450</v>
      </c>
      <c r="B2077" s="238" t="s">
        <v>4537</v>
      </c>
      <c r="C2077" s="239" t="s">
        <v>13</v>
      </c>
      <c r="D2077" s="240">
        <f t="shared" si="32"/>
        <v>1.200722962962963</v>
      </c>
      <c r="E2077" s="226" t="s">
        <v>5222</v>
      </c>
      <c r="G2077" s="240">
        <v>1.1200000000000001</v>
      </c>
    </row>
    <row r="2078" spans="1:7" ht="14.25" x14ac:dyDescent="0.2">
      <c r="A2078" s="237" t="s">
        <v>1451</v>
      </c>
      <c r="B2078" s="238" t="s">
        <v>4538</v>
      </c>
      <c r="C2078" s="239" t="s">
        <v>13</v>
      </c>
      <c r="D2078" s="240">
        <f t="shared" si="32"/>
        <v>3.4413577777777777</v>
      </c>
      <c r="E2078" s="226" t="s">
        <v>5222</v>
      </c>
      <c r="G2078" s="240">
        <v>3.21</v>
      </c>
    </row>
    <row r="2079" spans="1:7" ht="14.25" x14ac:dyDescent="0.2">
      <c r="A2079" s="237" t="s">
        <v>1452</v>
      </c>
      <c r="B2079" s="238" t="s">
        <v>4539</v>
      </c>
      <c r="C2079" s="239" t="s">
        <v>13</v>
      </c>
      <c r="D2079" s="240">
        <f t="shared" si="32"/>
        <v>29.128252592592595</v>
      </c>
      <c r="E2079" s="226" t="s">
        <v>5222</v>
      </c>
      <c r="G2079" s="240">
        <v>27.17</v>
      </c>
    </row>
    <row r="2080" spans="1:7" ht="14.25" x14ac:dyDescent="0.2">
      <c r="A2080" s="237" t="s">
        <v>1453</v>
      </c>
      <c r="B2080" s="238" t="s">
        <v>4540</v>
      </c>
      <c r="C2080" s="239" t="s">
        <v>13</v>
      </c>
      <c r="D2080" s="240">
        <f t="shared" si="32"/>
        <v>233.41196740740739</v>
      </c>
      <c r="E2080" s="226" t="s">
        <v>5222</v>
      </c>
      <c r="G2080" s="240">
        <v>217.72</v>
      </c>
    </row>
    <row r="2081" spans="1:7" ht="14.25" x14ac:dyDescent="0.2">
      <c r="A2081" s="237" t="s">
        <v>1454</v>
      </c>
      <c r="B2081" s="238" t="s">
        <v>4541</v>
      </c>
      <c r="C2081" s="239" t="s">
        <v>13</v>
      </c>
      <c r="D2081" s="240">
        <f t="shared" si="32"/>
        <v>363.42239037037035</v>
      </c>
      <c r="E2081" s="226" t="s">
        <v>5222</v>
      </c>
      <c r="G2081" s="240">
        <v>338.99</v>
      </c>
    </row>
    <row r="2082" spans="1:7" ht="14.25" x14ac:dyDescent="0.2">
      <c r="A2082" s="237" t="s">
        <v>1455</v>
      </c>
      <c r="B2082" s="238" t="s">
        <v>4542</v>
      </c>
      <c r="C2082" s="239" t="s">
        <v>13</v>
      </c>
      <c r="D2082" s="240">
        <f t="shared" si="32"/>
        <v>469.43979555555558</v>
      </c>
      <c r="E2082" s="226" t="s">
        <v>5222</v>
      </c>
      <c r="G2082" s="240">
        <v>437.88</v>
      </c>
    </row>
    <row r="2083" spans="1:7" ht="14.25" x14ac:dyDescent="0.2">
      <c r="A2083" s="237" t="s">
        <v>1456</v>
      </c>
      <c r="B2083" s="238" t="s">
        <v>4543</v>
      </c>
      <c r="C2083" s="239" t="s">
        <v>13</v>
      </c>
      <c r="D2083" s="240">
        <f t="shared" si="32"/>
        <v>504.49661777777771</v>
      </c>
      <c r="E2083" s="226" t="s">
        <v>5222</v>
      </c>
      <c r="G2083" s="240">
        <v>470.58</v>
      </c>
    </row>
    <row r="2084" spans="1:7" ht="14.25" x14ac:dyDescent="0.2">
      <c r="A2084" s="237" t="s">
        <v>1457</v>
      </c>
      <c r="B2084" s="238" t="s">
        <v>4544</v>
      </c>
      <c r="C2084" s="239" t="s">
        <v>13</v>
      </c>
      <c r="D2084" s="240">
        <f t="shared" si="32"/>
        <v>597.04877259259251</v>
      </c>
      <c r="E2084" s="226" t="s">
        <v>5222</v>
      </c>
      <c r="G2084" s="240">
        <v>556.91</v>
      </c>
    </row>
    <row r="2085" spans="1:7" ht="14.25" x14ac:dyDescent="0.2">
      <c r="A2085" s="237" t="s">
        <v>1458</v>
      </c>
      <c r="B2085" s="238" t="s">
        <v>4545</v>
      </c>
      <c r="C2085" s="239" t="s">
        <v>13</v>
      </c>
      <c r="D2085" s="240">
        <f t="shared" si="32"/>
        <v>1029.6735444444446</v>
      </c>
      <c r="E2085" s="226" t="s">
        <v>5222</v>
      </c>
      <c r="G2085" s="240">
        <v>960.45</v>
      </c>
    </row>
    <row r="2086" spans="1:7" ht="14.25" x14ac:dyDescent="0.2">
      <c r="A2086" s="237" t="s">
        <v>1459</v>
      </c>
      <c r="B2086" s="238" t="s">
        <v>4546</v>
      </c>
      <c r="C2086" s="239" t="s">
        <v>13</v>
      </c>
      <c r="D2086" s="240">
        <f t="shared" si="32"/>
        <v>1200.6050348148149</v>
      </c>
      <c r="E2086" s="226" t="s">
        <v>5222</v>
      </c>
      <c r="G2086" s="240">
        <v>1119.8900000000001</v>
      </c>
    </row>
    <row r="2087" spans="1:7" ht="14.25" x14ac:dyDescent="0.2">
      <c r="A2087" s="237" t="s">
        <v>1460</v>
      </c>
      <c r="B2087" s="238" t="s">
        <v>4547</v>
      </c>
      <c r="C2087" s="239" t="s">
        <v>13</v>
      </c>
      <c r="D2087" s="240">
        <f t="shared" si="32"/>
        <v>1235.661857037037</v>
      </c>
      <c r="E2087" s="226" t="s">
        <v>5222</v>
      </c>
      <c r="G2087" s="240">
        <v>1152.5899999999999</v>
      </c>
    </row>
    <row r="2088" spans="1:7" ht="14.25" x14ac:dyDescent="0.2">
      <c r="A2088" s="237" t="s">
        <v>1461</v>
      </c>
      <c r="B2088" s="238" t="s">
        <v>4548</v>
      </c>
      <c r="C2088" s="239" t="s">
        <v>13</v>
      </c>
      <c r="D2088" s="240">
        <f t="shared" si="32"/>
        <v>329.30899333333332</v>
      </c>
      <c r="E2088" s="226" t="s">
        <v>5222</v>
      </c>
      <c r="G2088" s="240">
        <v>307.17</v>
      </c>
    </row>
    <row r="2089" spans="1:7" ht="14.25" x14ac:dyDescent="0.2">
      <c r="A2089" s="237" t="s">
        <v>1462</v>
      </c>
      <c r="B2089" s="238" t="s">
        <v>4549</v>
      </c>
      <c r="C2089" s="239" t="s">
        <v>13</v>
      </c>
      <c r="D2089" s="240">
        <f t="shared" si="32"/>
        <v>539.11388962962963</v>
      </c>
      <c r="E2089" s="226" t="s">
        <v>5222</v>
      </c>
      <c r="G2089" s="240">
        <v>502.87</v>
      </c>
    </row>
    <row r="2090" spans="1:7" ht="14.25" x14ac:dyDescent="0.2">
      <c r="A2090" s="237" t="s">
        <v>1463</v>
      </c>
      <c r="B2090" s="238" t="s">
        <v>4550</v>
      </c>
      <c r="C2090" s="239" t="s">
        <v>13</v>
      </c>
      <c r="D2090" s="240">
        <f t="shared" si="32"/>
        <v>701.38302148148148</v>
      </c>
      <c r="E2090" s="226" t="s">
        <v>5222</v>
      </c>
      <c r="G2090" s="240">
        <v>654.23</v>
      </c>
    </row>
    <row r="2091" spans="1:7" ht="14.25" x14ac:dyDescent="0.2">
      <c r="A2091" s="237" t="s">
        <v>1464</v>
      </c>
      <c r="B2091" s="238" t="s">
        <v>4551</v>
      </c>
      <c r="C2091" s="239" t="s">
        <v>13</v>
      </c>
      <c r="D2091" s="240">
        <f t="shared" si="32"/>
        <v>736.45056444444447</v>
      </c>
      <c r="E2091" s="226" t="s">
        <v>5222</v>
      </c>
      <c r="G2091" s="240">
        <v>686.94</v>
      </c>
    </row>
    <row r="2092" spans="1:7" ht="14.25" x14ac:dyDescent="0.2">
      <c r="A2092" s="237" t="s">
        <v>1465</v>
      </c>
      <c r="B2092" s="238" t="s">
        <v>4552</v>
      </c>
      <c r="C2092" s="239" t="s">
        <v>13</v>
      </c>
      <c r="D2092" s="240">
        <f t="shared" si="32"/>
        <v>379.18187925925923</v>
      </c>
      <c r="E2092" s="226" t="s">
        <v>5222</v>
      </c>
      <c r="G2092" s="240">
        <v>353.69</v>
      </c>
    </row>
    <row r="2093" spans="1:7" ht="14.25" x14ac:dyDescent="0.2">
      <c r="A2093" s="237" t="s">
        <v>1466</v>
      </c>
      <c r="B2093" s="238" t="s">
        <v>4553</v>
      </c>
      <c r="C2093" s="239" t="s">
        <v>13</v>
      </c>
      <c r="D2093" s="240">
        <f t="shared" si="32"/>
        <v>630.49748370370367</v>
      </c>
      <c r="E2093" s="226" t="s">
        <v>5222</v>
      </c>
      <c r="G2093" s="240">
        <v>588.11</v>
      </c>
    </row>
    <row r="2094" spans="1:7" ht="14.25" x14ac:dyDescent="0.2">
      <c r="A2094" s="237" t="s">
        <v>1467</v>
      </c>
      <c r="B2094" s="238" t="s">
        <v>4554</v>
      </c>
      <c r="C2094" s="239" t="s">
        <v>13</v>
      </c>
      <c r="D2094" s="240">
        <f t="shared" si="32"/>
        <v>756.01591629629638</v>
      </c>
      <c r="E2094" s="226" t="s">
        <v>5222</v>
      </c>
      <c r="G2094" s="240">
        <v>705.19</v>
      </c>
    </row>
    <row r="2095" spans="1:7" ht="14.25" x14ac:dyDescent="0.2">
      <c r="A2095" s="237" t="s">
        <v>1468</v>
      </c>
      <c r="B2095" s="238" t="s">
        <v>4555</v>
      </c>
      <c r="C2095" s="239" t="s">
        <v>13</v>
      </c>
      <c r="D2095" s="240">
        <f t="shared" si="32"/>
        <v>791.08345925925914</v>
      </c>
      <c r="E2095" s="226" t="s">
        <v>5222</v>
      </c>
      <c r="G2095" s="240">
        <v>737.9</v>
      </c>
    </row>
    <row r="2096" spans="1:7" ht="14.25" x14ac:dyDescent="0.2">
      <c r="A2096" s="237" t="s">
        <v>1469</v>
      </c>
      <c r="B2096" s="238" t="s">
        <v>4556</v>
      </c>
      <c r="C2096" s="239" t="s">
        <v>13</v>
      </c>
      <c r="D2096" s="240">
        <f t="shared" si="32"/>
        <v>711.67493259259265</v>
      </c>
      <c r="E2096" s="226" t="s">
        <v>5222</v>
      </c>
      <c r="G2096" s="240">
        <v>663.83</v>
      </c>
    </row>
    <row r="2097" spans="1:7" ht="14.25" x14ac:dyDescent="0.2">
      <c r="A2097" s="237" t="s">
        <v>1470</v>
      </c>
      <c r="B2097" s="238" t="s">
        <v>4557</v>
      </c>
      <c r="C2097" s="239" t="s">
        <v>13</v>
      </c>
      <c r="D2097" s="240">
        <f t="shared" si="32"/>
        <v>1044.4360044444443</v>
      </c>
      <c r="E2097" s="226" t="s">
        <v>5222</v>
      </c>
      <c r="G2097" s="240">
        <v>974.22</v>
      </c>
    </row>
    <row r="2098" spans="1:7" ht="14.25" x14ac:dyDescent="0.2">
      <c r="A2098" s="237" t="s">
        <v>1471</v>
      </c>
      <c r="B2098" s="238" t="s">
        <v>4558</v>
      </c>
      <c r="C2098" s="239" t="s">
        <v>13</v>
      </c>
      <c r="D2098" s="240">
        <f t="shared" si="32"/>
        <v>1293.2643970370368</v>
      </c>
      <c r="E2098" s="226" t="s">
        <v>5222</v>
      </c>
      <c r="G2098" s="240">
        <v>1206.32</v>
      </c>
    </row>
    <row r="2099" spans="1:7" ht="14.25" x14ac:dyDescent="0.2">
      <c r="A2099" s="237" t="s">
        <v>1472</v>
      </c>
      <c r="B2099" s="238" t="s">
        <v>4559</v>
      </c>
      <c r="C2099" s="239" t="s">
        <v>13</v>
      </c>
      <c r="D2099" s="240">
        <f t="shared" si="32"/>
        <v>1404.5885688888891</v>
      </c>
      <c r="E2099" s="226" t="s">
        <v>5222</v>
      </c>
      <c r="G2099" s="240">
        <v>1310.1600000000001</v>
      </c>
    </row>
    <row r="2100" spans="1:7" ht="14.25" x14ac:dyDescent="0.2">
      <c r="A2100" s="237" t="s">
        <v>1473</v>
      </c>
      <c r="B2100" s="238" t="s">
        <v>4560</v>
      </c>
      <c r="C2100" s="239" t="s">
        <v>13</v>
      </c>
      <c r="D2100" s="240">
        <f t="shared" ref="D2100:D2129" si="33">(G2100/(1+0.35))*(1+$D$3)</f>
        <v>27.209239999999998</v>
      </c>
      <c r="E2100" s="226" t="s">
        <v>5222</v>
      </c>
      <c r="G2100" s="240">
        <v>25.38</v>
      </c>
    </row>
    <row r="2101" spans="1:7" ht="14.25" x14ac:dyDescent="0.2">
      <c r="A2101" s="237" t="s">
        <v>1474</v>
      </c>
      <c r="B2101" s="238" t="s">
        <v>4561</v>
      </c>
      <c r="C2101" s="239" t="s">
        <v>13</v>
      </c>
      <c r="D2101" s="240">
        <f t="shared" si="33"/>
        <v>3.2912674074074069</v>
      </c>
      <c r="E2101" s="226" t="s">
        <v>5222</v>
      </c>
      <c r="G2101" s="240">
        <v>3.07</v>
      </c>
    </row>
    <row r="2102" spans="1:7" ht="14.25" x14ac:dyDescent="0.2">
      <c r="A2102" s="237" t="s">
        <v>1475</v>
      </c>
      <c r="B2102" s="238" t="s">
        <v>4562</v>
      </c>
      <c r="C2102" s="239" t="s">
        <v>13</v>
      </c>
      <c r="D2102" s="240">
        <f t="shared" si="33"/>
        <v>9.1019088888888895</v>
      </c>
      <c r="E2102" s="226" t="s">
        <v>5222</v>
      </c>
      <c r="G2102" s="240">
        <v>8.49</v>
      </c>
    </row>
    <row r="2103" spans="1:7" ht="14.25" x14ac:dyDescent="0.2">
      <c r="A2103" s="237" t="s">
        <v>4563</v>
      </c>
      <c r="B2103" s="238" t="s">
        <v>4564</v>
      </c>
      <c r="C2103" s="239" t="s">
        <v>13</v>
      </c>
      <c r="D2103" s="240">
        <f t="shared" si="33"/>
        <v>34.788803703703707</v>
      </c>
      <c r="E2103" s="226" t="s">
        <v>5222</v>
      </c>
      <c r="G2103" s="240">
        <v>32.450000000000003</v>
      </c>
    </row>
    <row r="2104" spans="1:7" ht="14.25" x14ac:dyDescent="0.2">
      <c r="A2104" s="237" t="s">
        <v>5202</v>
      </c>
      <c r="B2104" s="238" t="s">
        <v>5203</v>
      </c>
      <c r="C2104" s="239" t="s">
        <v>13</v>
      </c>
      <c r="D2104" s="240">
        <f t="shared" si="33"/>
        <v>25.686894814814814</v>
      </c>
      <c r="E2104" s="226" t="s">
        <v>5222</v>
      </c>
      <c r="G2104" s="240">
        <v>23.96</v>
      </c>
    </row>
    <row r="2105" spans="1:7" ht="14.25" x14ac:dyDescent="0.2">
      <c r="A2105" s="237" t="s">
        <v>5204</v>
      </c>
      <c r="B2105" s="238" t="s">
        <v>5205</v>
      </c>
      <c r="C2105" s="239" t="s">
        <v>13</v>
      </c>
      <c r="D2105" s="240">
        <f t="shared" si="33"/>
        <v>25.686894814814814</v>
      </c>
      <c r="E2105" s="226" t="s">
        <v>5222</v>
      </c>
      <c r="G2105" s="240">
        <v>23.96</v>
      </c>
    </row>
    <row r="2106" spans="1:7" ht="14.25" x14ac:dyDescent="0.2">
      <c r="A2106" s="237" t="s">
        <v>1476</v>
      </c>
      <c r="B2106" s="238" t="s">
        <v>4565</v>
      </c>
      <c r="C2106" s="239" t="s">
        <v>13</v>
      </c>
      <c r="D2106" s="240">
        <f t="shared" si="33"/>
        <v>6.5289311111111115</v>
      </c>
      <c r="E2106" s="226" t="s">
        <v>5222</v>
      </c>
      <c r="G2106" s="240">
        <v>6.09</v>
      </c>
    </row>
    <row r="2107" spans="1:7" ht="14.25" x14ac:dyDescent="0.2">
      <c r="A2107" s="237" t="s">
        <v>1477</v>
      </c>
      <c r="B2107" s="238" t="s">
        <v>4566</v>
      </c>
      <c r="C2107" s="239" t="s">
        <v>13</v>
      </c>
      <c r="D2107" s="240">
        <f t="shared" si="33"/>
        <v>32.215825925925927</v>
      </c>
      <c r="E2107" s="226" t="s">
        <v>5222</v>
      </c>
      <c r="G2107" s="240">
        <v>30.05</v>
      </c>
    </row>
    <row r="2108" spans="1:7" ht="14.25" x14ac:dyDescent="0.2">
      <c r="A2108" s="237" t="s">
        <v>1478</v>
      </c>
      <c r="B2108" s="238" t="s">
        <v>4567</v>
      </c>
      <c r="C2108" s="239" t="s">
        <v>13</v>
      </c>
      <c r="D2108" s="240">
        <f t="shared" si="33"/>
        <v>56.916412592592586</v>
      </c>
      <c r="E2108" s="226" t="s">
        <v>5222</v>
      </c>
      <c r="G2108" s="240">
        <v>53.09</v>
      </c>
    </row>
    <row r="2109" spans="1:7" ht="14.25" x14ac:dyDescent="0.2">
      <c r="A2109" s="237" t="s">
        <v>1479</v>
      </c>
      <c r="B2109" s="238" t="s">
        <v>4568</v>
      </c>
      <c r="C2109" s="239" t="s">
        <v>13</v>
      </c>
      <c r="D2109" s="240">
        <f t="shared" si="33"/>
        <v>60.304166666666667</v>
      </c>
      <c r="E2109" s="226" t="s">
        <v>5222</v>
      </c>
      <c r="G2109" s="240">
        <v>56.25</v>
      </c>
    </row>
    <row r="2110" spans="1:7" ht="14.25" x14ac:dyDescent="0.2">
      <c r="A2110" s="237" t="s">
        <v>1480</v>
      </c>
      <c r="B2110" s="238" t="s">
        <v>4569</v>
      </c>
      <c r="C2110" s="239" t="s">
        <v>13</v>
      </c>
      <c r="D2110" s="240">
        <f t="shared" si="33"/>
        <v>71.185718518518513</v>
      </c>
      <c r="E2110" s="226" t="s">
        <v>5222</v>
      </c>
      <c r="G2110" s="240">
        <v>66.400000000000006</v>
      </c>
    </row>
    <row r="2111" spans="1:7" ht="14.25" x14ac:dyDescent="0.2">
      <c r="A2111" s="237" t="s">
        <v>1481</v>
      </c>
      <c r="B2111" s="238" t="s">
        <v>4570</v>
      </c>
      <c r="C2111" s="239" t="s">
        <v>13</v>
      </c>
      <c r="D2111" s="240">
        <f t="shared" si="33"/>
        <v>96.883334074074071</v>
      </c>
      <c r="E2111" s="226" t="s">
        <v>5222</v>
      </c>
      <c r="G2111" s="240">
        <v>90.37</v>
      </c>
    </row>
    <row r="2112" spans="1:7" ht="14.25" x14ac:dyDescent="0.2">
      <c r="A2112" s="237" t="s">
        <v>1482</v>
      </c>
      <c r="B2112" s="238" t="s">
        <v>4571</v>
      </c>
      <c r="C2112" s="239" t="s">
        <v>13</v>
      </c>
      <c r="D2112" s="240">
        <f t="shared" si="33"/>
        <v>174.55510074074073</v>
      </c>
      <c r="E2112" s="226" t="s">
        <v>5222</v>
      </c>
      <c r="G2112" s="240">
        <v>162.82</v>
      </c>
    </row>
    <row r="2113" spans="1:7" ht="14.25" x14ac:dyDescent="0.2">
      <c r="A2113" s="237" t="s">
        <v>1483</v>
      </c>
      <c r="B2113" s="238" t="s">
        <v>4572</v>
      </c>
      <c r="C2113" s="239" t="s">
        <v>13</v>
      </c>
      <c r="D2113" s="240">
        <f t="shared" si="33"/>
        <v>23.489142962962962</v>
      </c>
      <c r="E2113" s="226" t="s">
        <v>5222</v>
      </c>
      <c r="G2113" s="240">
        <v>21.91</v>
      </c>
    </row>
    <row r="2114" spans="1:7" ht="14.25" x14ac:dyDescent="0.2">
      <c r="A2114" s="237" t="s">
        <v>1484</v>
      </c>
      <c r="B2114" s="238" t="s">
        <v>4573</v>
      </c>
      <c r="C2114" s="239" t="s">
        <v>13</v>
      </c>
      <c r="D2114" s="240">
        <f t="shared" si="33"/>
        <v>340.25486962962964</v>
      </c>
      <c r="E2114" s="226" t="s">
        <v>5222</v>
      </c>
      <c r="G2114" s="240">
        <v>317.38</v>
      </c>
    </row>
    <row r="2115" spans="1:7" ht="14.25" x14ac:dyDescent="0.2">
      <c r="A2115" s="237" t="s">
        <v>1485</v>
      </c>
      <c r="B2115" s="238" t="s">
        <v>4574</v>
      </c>
      <c r="C2115" s="239" t="s">
        <v>13</v>
      </c>
      <c r="D2115" s="240">
        <f t="shared" si="33"/>
        <v>503.37093999999996</v>
      </c>
      <c r="E2115" s="226" t="s">
        <v>5222</v>
      </c>
      <c r="G2115" s="240">
        <v>469.53</v>
      </c>
    </row>
    <row r="2116" spans="1:7" ht="14.25" x14ac:dyDescent="0.2">
      <c r="A2116" s="237" t="s">
        <v>1486</v>
      </c>
      <c r="B2116" s="238" t="s">
        <v>4575</v>
      </c>
      <c r="C2116" s="239" t="s">
        <v>13</v>
      </c>
      <c r="D2116" s="240">
        <f t="shared" si="33"/>
        <v>112.12822740740739</v>
      </c>
      <c r="E2116" s="226" t="s">
        <v>5222</v>
      </c>
      <c r="G2116" s="240">
        <v>104.59</v>
      </c>
    </row>
    <row r="2117" spans="1:7" ht="14.25" x14ac:dyDescent="0.2">
      <c r="A2117" s="237" t="s">
        <v>1487</v>
      </c>
      <c r="B2117" s="238" t="s">
        <v>4576</v>
      </c>
      <c r="C2117" s="239" t="s">
        <v>13</v>
      </c>
      <c r="D2117" s="240">
        <f t="shared" si="33"/>
        <v>1.6509940740740738</v>
      </c>
      <c r="E2117" s="226" t="s">
        <v>5222</v>
      </c>
      <c r="G2117" s="240">
        <v>1.54</v>
      </c>
    </row>
    <row r="2118" spans="1:7" ht="14.25" x14ac:dyDescent="0.2">
      <c r="A2118" s="237" t="s">
        <v>1488</v>
      </c>
      <c r="B2118" s="238" t="s">
        <v>4577</v>
      </c>
      <c r="C2118" s="239" t="s">
        <v>13</v>
      </c>
      <c r="D2118" s="240">
        <f t="shared" si="33"/>
        <v>145.97360592592591</v>
      </c>
      <c r="E2118" s="226" t="s">
        <v>5222</v>
      </c>
      <c r="G2118" s="240">
        <v>136.16</v>
      </c>
    </row>
    <row r="2119" spans="1:7" ht="14.25" x14ac:dyDescent="0.2">
      <c r="A2119" s="237" t="s">
        <v>1489</v>
      </c>
      <c r="B2119" s="238" t="s">
        <v>4578</v>
      </c>
      <c r="C2119" s="239" t="s">
        <v>13</v>
      </c>
      <c r="D2119" s="240">
        <f t="shared" si="33"/>
        <v>257.30849851851849</v>
      </c>
      <c r="E2119" s="226" t="s">
        <v>5222</v>
      </c>
      <c r="G2119" s="240">
        <v>240.01</v>
      </c>
    </row>
    <row r="2120" spans="1:7" ht="14.25" x14ac:dyDescent="0.2">
      <c r="A2120" s="237" t="s">
        <v>1490</v>
      </c>
      <c r="B2120" s="238" t="s">
        <v>4579</v>
      </c>
      <c r="C2120" s="239" t="s">
        <v>13</v>
      </c>
      <c r="D2120" s="240">
        <f t="shared" si="33"/>
        <v>213.14976740740741</v>
      </c>
      <c r="E2120" s="226" t="s">
        <v>5222</v>
      </c>
      <c r="G2120" s="240">
        <v>198.82</v>
      </c>
    </row>
    <row r="2121" spans="1:7" ht="14.25" x14ac:dyDescent="0.2">
      <c r="A2121" s="237" t="s">
        <v>1491</v>
      </c>
      <c r="B2121" s="238" t="s">
        <v>4580</v>
      </c>
      <c r="C2121" s="239" t="s">
        <v>13</v>
      </c>
      <c r="D2121" s="240">
        <f t="shared" si="33"/>
        <v>49.594146666666667</v>
      </c>
      <c r="E2121" s="226" t="s">
        <v>5222</v>
      </c>
      <c r="G2121" s="240">
        <v>46.26</v>
      </c>
    </row>
    <row r="2122" spans="1:7" ht="14.25" x14ac:dyDescent="0.2">
      <c r="A2122" s="237" t="s">
        <v>1492</v>
      </c>
      <c r="B2122" s="238" t="s">
        <v>4581</v>
      </c>
      <c r="C2122" s="239" t="s">
        <v>13</v>
      </c>
      <c r="D2122" s="240">
        <f t="shared" si="33"/>
        <v>320.44294074074071</v>
      </c>
      <c r="E2122" s="226" t="s">
        <v>5222</v>
      </c>
      <c r="G2122" s="240">
        <v>298.89999999999998</v>
      </c>
    </row>
    <row r="2123" spans="1:7" ht="14.25" x14ac:dyDescent="0.2">
      <c r="A2123" s="237" t="s">
        <v>1493</v>
      </c>
      <c r="B2123" s="238" t="s">
        <v>4582</v>
      </c>
      <c r="C2123" s="239" t="s">
        <v>13</v>
      </c>
      <c r="D2123" s="240">
        <f t="shared" si="33"/>
        <v>509.46032074074066</v>
      </c>
      <c r="E2123" s="226" t="s">
        <v>5222</v>
      </c>
      <c r="G2123" s="240">
        <v>475.21</v>
      </c>
    </row>
    <row r="2124" spans="1:7" ht="14.25" x14ac:dyDescent="0.2">
      <c r="A2124" s="237" t="s">
        <v>1494</v>
      </c>
      <c r="B2124" s="238" t="s">
        <v>4583</v>
      </c>
      <c r="C2124" s="239" t="s">
        <v>13</v>
      </c>
      <c r="D2124" s="240">
        <f t="shared" si="33"/>
        <v>251.45497407407407</v>
      </c>
      <c r="E2124" s="226" t="s">
        <v>5222</v>
      </c>
      <c r="G2124" s="240">
        <v>234.55</v>
      </c>
    </row>
    <row r="2125" spans="1:7" ht="14.25" x14ac:dyDescent="0.2">
      <c r="A2125" s="237" t="s">
        <v>1495</v>
      </c>
      <c r="B2125" s="238" t="s">
        <v>4584</v>
      </c>
      <c r="C2125" s="239" t="s">
        <v>13</v>
      </c>
      <c r="D2125" s="240">
        <f t="shared" si="33"/>
        <v>287.92693407407404</v>
      </c>
      <c r="E2125" s="226" t="s">
        <v>5222</v>
      </c>
      <c r="G2125" s="240">
        <v>268.57</v>
      </c>
    </row>
    <row r="2126" spans="1:7" ht="14.25" x14ac:dyDescent="0.2">
      <c r="A2126" s="237" t="s">
        <v>1496</v>
      </c>
      <c r="B2126" s="238" t="s">
        <v>4585</v>
      </c>
      <c r="C2126" s="239" t="s">
        <v>13</v>
      </c>
      <c r="D2126" s="240">
        <f t="shared" si="33"/>
        <v>658.67159037037038</v>
      </c>
      <c r="E2126" s="226" t="s">
        <v>5222</v>
      </c>
      <c r="G2126" s="240">
        <v>614.39</v>
      </c>
    </row>
    <row r="2127" spans="1:7" ht="14.25" x14ac:dyDescent="0.2">
      <c r="A2127" s="237" t="s">
        <v>1497</v>
      </c>
      <c r="B2127" s="238" t="s">
        <v>4586</v>
      </c>
      <c r="C2127" s="239" t="s">
        <v>13</v>
      </c>
      <c r="D2127" s="240">
        <f t="shared" si="33"/>
        <v>770.00648296296299</v>
      </c>
      <c r="E2127" s="226" t="s">
        <v>5222</v>
      </c>
      <c r="G2127" s="240">
        <v>718.24</v>
      </c>
    </row>
    <row r="2128" spans="1:7" ht="14.25" x14ac:dyDescent="0.2">
      <c r="A2128" s="237" t="s">
        <v>1498</v>
      </c>
      <c r="B2128" s="238" t="s">
        <v>4587</v>
      </c>
      <c r="C2128" s="239" t="s">
        <v>13</v>
      </c>
      <c r="D2128" s="240">
        <f t="shared" si="33"/>
        <v>112.44984962962963</v>
      </c>
      <c r="E2128" s="226" t="s">
        <v>5222</v>
      </c>
      <c r="G2128" s="240">
        <v>104.89</v>
      </c>
    </row>
    <row r="2129" spans="1:7" ht="14.25" x14ac:dyDescent="0.2">
      <c r="A2129" s="237" t="s">
        <v>1499</v>
      </c>
      <c r="B2129" s="238" t="s">
        <v>4588</v>
      </c>
      <c r="C2129" s="239" t="s">
        <v>13</v>
      </c>
      <c r="D2129" s="240">
        <f t="shared" si="33"/>
        <v>2.3049592592592592</v>
      </c>
      <c r="E2129" s="226" t="s">
        <v>5222</v>
      </c>
      <c r="G2129" s="240">
        <v>2.15</v>
      </c>
    </row>
    <row r="2130" spans="1:7" ht="14.25" x14ac:dyDescent="0.2">
      <c r="A2130" s="237" t="s">
        <v>1500</v>
      </c>
      <c r="B2130" s="238" t="s">
        <v>4589</v>
      </c>
      <c r="C2130" s="239" t="s">
        <v>13</v>
      </c>
      <c r="D2130" s="240">
        <f t="shared" si="32"/>
        <v>145.66270444444444</v>
      </c>
      <c r="E2130" s="226" t="s">
        <v>5222</v>
      </c>
      <c r="G2130" s="240">
        <v>135.87</v>
      </c>
    </row>
    <row r="2131" spans="1:7" ht="14.25" x14ac:dyDescent="0.2">
      <c r="A2131" s="237" t="s">
        <v>1501</v>
      </c>
      <c r="B2131" s="238" t="s">
        <v>4590</v>
      </c>
      <c r="C2131" s="239" t="s">
        <v>13</v>
      </c>
      <c r="D2131" s="240">
        <f t="shared" si="32"/>
        <v>256.98687629629632</v>
      </c>
      <c r="E2131" s="226" t="s">
        <v>5222</v>
      </c>
      <c r="G2131" s="240">
        <v>239.71</v>
      </c>
    </row>
    <row r="2132" spans="1:7" ht="14.25" x14ac:dyDescent="0.2">
      <c r="A2132" s="237" t="s">
        <v>1502</v>
      </c>
      <c r="B2132" s="238" t="s">
        <v>4591</v>
      </c>
      <c r="C2132" s="239" t="s">
        <v>13</v>
      </c>
      <c r="D2132" s="240">
        <f t="shared" si="32"/>
        <v>9.6379459259259264</v>
      </c>
      <c r="E2132" s="226" t="s">
        <v>5222</v>
      </c>
      <c r="G2132" s="240">
        <v>8.99</v>
      </c>
    </row>
    <row r="2133" spans="1:7" ht="14.25" x14ac:dyDescent="0.2">
      <c r="A2133" s="237" t="s">
        <v>1503</v>
      </c>
      <c r="B2133" s="238" t="s">
        <v>4592</v>
      </c>
      <c r="C2133" s="239" t="s">
        <v>13</v>
      </c>
      <c r="D2133" s="240">
        <f t="shared" si="32"/>
        <v>11.278219259259258</v>
      </c>
      <c r="E2133" s="226" t="s">
        <v>5222</v>
      </c>
      <c r="G2133" s="240">
        <v>10.52</v>
      </c>
    </row>
    <row r="2134" spans="1:7" ht="14.25" x14ac:dyDescent="0.2">
      <c r="A2134" s="237" t="s">
        <v>1504</v>
      </c>
      <c r="B2134" s="238" t="s">
        <v>4593</v>
      </c>
      <c r="C2134" s="239" t="s">
        <v>13</v>
      </c>
      <c r="D2134" s="240">
        <f t="shared" si="32"/>
        <v>11.278219259259258</v>
      </c>
      <c r="E2134" s="226" t="s">
        <v>5222</v>
      </c>
      <c r="G2134" s="240">
        <v>10.52</v>
      </c>
    </row>
    <row r="2135" spans="1:7" ht="14.25" x14ac:dyDescent="0.2">
      <c r="A2135" s="237" t="s">
        <v>1505</v>
      </c>
      <c r="B2135" s="238" t="s">
        <v>4594</v>
      </c>
      <c r="C2135" s="239" t="s">
        <v>13</v>
      </c>
      <c r="D2135" s="240">
        <f t="shared" si="32"/>
        <v>11.278219259259258</v>
      </c>
      <c r="E2135" s="226" t="s">
        <v>5222</v>
      </c>
      <c r="G2135" s="240">
        <v>10.52</v>
      </c>
    </row>
    <row r="2136" spans="1:7" ht="14.25" x14ac:dyDescent="0.2">
      <c r="A2136" s="237" t="s">
        <v>1506</v>
      </c>
      <c r="B2136" s="238" t="s">
        <v>4595</v>
      </c>
      <c r="C2136" s="239" t="s">
        <v>13</v>
      </c>
      <c r="D2136" s="240">
        <f t="shared" si="32"/>
        <v>3.2269429629629629</v>
      </c>
      <c r="E2136" s="226" t="s">
        <v>5222</v>
      </c>
      <c r="G2136" s="240">
        <v>3.01</v>
      </c>
    </row>
    <row r="2137" spans="1:7" ht="14.25" x14ac:dyDescent="0.2">
      <c r="A2137" s="237" t="s">
        <v>1507</v>
      </c>
      <c r="B2137" s="238" t="s">
        <v>4596</v>
      </c>
      <c r="C2137" s="239" t="s">
        <v>13</v>
      </c>
      <c r="D2137" s="240">
        <f t="shared" si="32"/>
        <v>3.7844214814814814</v>
      </c>
      <c r="E2137" s="226" t="s">
        <v>5222</v>
      </c>
      <c r="G2137" s="240">
        <v>3.53</v>
      </c>
    </row>
    <row r="2138" spans="1:7" ht="14.25" x14ac:dyDescent="0.2">
      <c r="A2138" s="237" t="s">
        <v>1508</v>
      </c>
      <c r="B2138" s="238" t="s">
        <v>4597</v>
      </c>
      <c r="C2138" s="239" t="s">
        <v>13</v>
      </c>
      <c r="D2138" s="240">
        <f t="shared" si="32"/>
        <v>3.7844214814814814</v>
      </c>
      <c r="E2138" s="226" t="s">
        <v>5222</v>
      </c>
      <c r="G2138" s="240">
        <v>3.53</v>
      </c>
    </row>
    <row r="2139" spans="1:7" ht="14.25" x14ac:dyDescent="0.2">
      <c r="A2139" s="237" t="s">
        <v>1509</v>
      </c>
      <c r="B2139" s="238" t="s">
        <v>4598</v>
      </c>
      <c r="C2139" s="239" t="s">
        <v>13</v>
      </c>
      <c r="D2139" s="240">
        <f t="shared" si="32"/>
        <v>3.7844214814814814</v>
      </c>
      <c r="E2139" s="226" t="s">
        <v>5222</v>
      </c>
      <c r="G2139" s="240">
        <v>3.53</v>
      </c>
    </row>
    <row r="2140" spans="1:7" ht="14.25" x14ac:dyDescent="0.2">
      <c r="A2140" s="237" t="s">
        <v>1510</v>
      </c>
      <c r="B2140" s="238" t="s">
        <v>4599</v>
      </c>
      <c r="C2140" s="239" t="s">
        <v>13</v>
      </c>
      <c r="D2140" s="240">
        <f t="shared" si="32"/>
        <v>4.1489266666666671</v>
      </c>
      <c r="E2140" s="226" t="s">
        <v>5222</v>
      </c>
      <c r="G2140" s="240">
        <v>3.87</v>
      </c>
    </row>
    <row r="2141" spans="1:7" ht="14.25" x14ac:dyDescent="0.2">
      <c r="A2141" s="237" t="s">
        <v>1511</v>
      </c>
      <c r="B2141" s="238" t="s">
        <v>4600</v>
      </c>
      <c r="C2141" s="239" t="s">
        <v>13</v>
      </c>
      <c r="D2141" s="240">
        <f t="shared" si="32"/>
        <v>4.856495555555556</v>
      </c>
      <c r="E2141" s="226" t="s">
        <v>5222</v>
      </c>
      <c r="G2141" s="240">
        <v>4.53</v>
      </c>
    </row>
    <row r="2142" spans="1:7" ht="14.25" x14ac:dyDescent="0.2">
      <c r="A2142" s="237" t="s">
        <v>1512</v>
      </c>
      <c r="B2142" s="238" t="s">
        <v>4601</v>
      </c>
      <c r="C2142" s="239" t="s">
        <v>13</v>
      </c>
      <c r="D2142" s="240">
        <f t="shared" si="32"/>
        <v>99.284779999999998</v>
      </c>
      <c r="E2142" s="226" t="s">
        <v>5222</v>
      </c>
      <c r="G2142" s="240">
        <v>92.61</v>
      </c>
    </row>
    <row r="2143" spans="1:7" ht="14.25" x14ac:dyDescent="0.2">
      <c r="A2143" s="237" t="s">
        <v>1513</v>
      </c>
      <c r="B2143" s="238" t="s">
        <v>4602</v>
      </c>
      <c r="C2143" s="239" t="s">
        <v>13</v>
      </c>
      <c r="D2143" s="240">
        <f t="shared" si="32"/>
        <v>99.284779999999998</v>
      </c>
      <c r="E2143" s="226" t="s">
        <v>5222</v>
      </c>
      <c r="G2143" s="240">
        <v>92.61</v>
      </c>
    </row>
    <row r="2144" spans="1:7" ht="14.25" x14ac:dyDescent="0.2">
      <c r="A2144" s="237" t="s">
        <v>1514</v>
      </c>
      <c r="B2144" s="238" t="s">
        <v>4603</v>
      </c>
      <c r="C2144" s="239" t="s">
        <v>13</v>
      </c>
      <c r="D2144" s="240">
        <f t="shared" si="32"/>
        <v>29.085369629629628</v>
      </c>
      <c r="E2144" s="226" t="s">
        <v>5222</v>
      </c>
      <c r="G2144" s="240">
        <v>27.13</v>
      </c>
    </row>
    <row r="2145" spans="1:7" ht="14.25" x14ac:dyDescent="0.2">
      <c r="A2145" s="237" t="s">
        <v>1515</v>
      </c>
      <c r="B2145" s="238" t="s">
        <v>4604</v>
      </c>
      <c r="C2145" s="239" t="s">
        <v>13</v>
      </c>
      <c r="D2145" s="240">
        <f t="shared" si="32"/>
        <v>6.561093333333333</v>
      </c>
      <c r="E2145" s="226" t="s">
        <v>5222</v>
      </c>
      <c r="G2145" s="240">
        <v>6.12</v>
      </c>
    </row>
    <row r="2146" spans="1:7" ht="14.25" x14ac:dyDescent="0.2">
      <c r="A2146" s="237" t="s">
        <v>1516</v>
      </c>
      <c r="B2146" s="238" t="s">
        <v>4605</v>
      </c>
      <c r="C2146" s="239" t="s">
        <v>13</v>
      </c>
      <c r="D2146" s="240">
        <f t="shared" si="32"/>
        <v>14.676694074074073</v>
      </c>
      <c r="E2146" s="226" t="s">
        <v>5222</v>
      </c>
      <c r="G2146" s="240">
        <v>13.69</v>
      </c>
    </row>
    <row r="2147" spans="1:7" ht="14.25" x14ac:dyDescent="0.2">
      <c r="A2147" s="237" t="s">
        <v>1517</v>
      </c>
      <c r="B2147" s="238" t="s">
        <v>4606</v>
      </c>
      <c r="C2147" s="239" t="s">
        <v>13</v>
      </c>
      <c r="D2147" s="240">
        <f t="shared" si="32"/>
        <v>40.363588888888884</v>
      </c>
      <c r="E2147" s="226" t="s">
        <v>5222</v>
      </c>
      <c r="G2147" s="240">
        <v>37.65</v>
      </c>
    </row>
    <row r="2148" spans="1:7" ht="14.25" x14ac:dyDescent="0.2">
      <c r="A2148" s="237" t="s">
        <v>5206</v>
      </c>
      <c r="B2148" s="238" t="s">
        <v>5207</v>
      </c>
      <c r="C2148" s="239" t="s">
        <v>13</v>
      </c>
      <c r="D2148" s="240">
        <f t="shared" si="32"/>
        <v>122.6023911111111</v>
      </c>
      <c r="E2148" s="226" t="s">
        <v>5222</v>
      </c>
      <c r="G2148" s="240">
        <v>114.36</v>
      </c>
    </row>
    <row r="2149" spans="1:7" ht="14.25" x14ac:dyDescent="0.2">
      <c r="A2149" s="237" t="s">
        <v>5208</v>
      </c>
      <c r="B2149" s="238" t="s">
        <v>5207</v>
      </c>
      <c r="C2149" s="239" t="s">
        <v>13</v>
      </c>
      <c r="D2149" s="240">
        <f t="shared" si="32"/>
        <v>6.4324444444444433</v>
      </c>
      <c r="E2149" s="226" t="s">
        <v>5222</v>
      </c>
      <c r="G2149" s="240">
        <v>6</v>
      </c>
    </row>
    <row r="2150" spans="1:7" ht="14.25" x14ac:dyDescent="0.2">
      <c r="A2150" s="237" t="s">
        <v>5209</v>
      </c>
      <c r="B2150" s="238" t="s">
        <v>5207</v>
      </c>
      <c r="C2150" s="239" t="s">
        <v>13</v>
      </c>
      <c r="D2150" s="240">
        <f t="shared" ref="D2150:D2159" si="34">(G2150/(1+0.35))*(1+$D$3)</f>
        <v>340.75874444444446</v>
      </c>
      <c r="E2150" s="226" t="s">
        <v>5222</v>
      </c>
      <c r="G2150" s="240">
        <v>317.85000000000002</v>
      </c>
    </row>
    <row r="2151" spans="1:7" ht="14.25" x14ac:dyDescent="0.2">
      <c r="A2151" s="237" t="s">
        <v>5210</v>
      </c>
      <c r="B2151" s="238" t="s">
        <v>5207</v>
      </c>
      <c r="C2151" s="239" t="s">
        <v>13</v>
      </c>
      <c r="D2151" s="240">
        <f t="shared" si="34"/>
        <v>457.00373629629627</v>
      </c>
      <c r="E2151" s="226" t="s">
        <v>5222</v>
      </c>
      <c r="G2151" s="240">
        <v>426.28</v>
      </c>
    </row>
    <row r="2152" spans="1:7" ht="14.25" x14ac:dyDescent="0.2">
      <c r="A2152" s="237" t="s">
        <v>5211</v>
      </c>
      <c r="B2152" s="238" t="s">
        <v>5212</v>
      </c>
      <c r="C2152" s="239" t="s">
        <v>13</v>
      </c>
      <c r="D2152" s="240">
        <f t="shared" si="34"/>
        <v>121.48743407407407</v>
      </c>
      <c r="E2152" s="226" t="s">
        <v>5222</v>
      </c>
      <c r="G2152" s="240">
        <v>113.32</v>
      </c>
    </row>
    <row r="2153" spans="1:7" ht="14.25" x14ac:dyDescent="0.2">
      <c r="A2153" s="237" t="s">
        <v>5213</v>
      </c>
      <c r="B2153" s="238" t="s">
        <v>5212</v>
      </c>
      <c r="C2153" s="239" t="s">
        <v>13</v>
      </c>
      <c r="D2153" s="240">
        <f t="shared" si="34"/>
        <v>107.62551629629628</v>
      </c>
      <c r="E2153" s="226" t="s">
        <v>5222</v>
      </c>
      <c r="G2153" s="240">
        <v>100.39</v>
      </c>
    </row>
    <row r="2154" spans="1:7" ht="14.25" x14ac:dyDescent="0.2">
      <c r="A2154" s="237" t="s">
        <v>5214</v>
      </c>
      <c r="B2154" s="238" t="s">
        <v>5212</v>
      </c>
      <c r="C2154" s="239" t="s">
        <v>13</v>
      </c>
      <c r="D2154" s="240">
        <f t="shared" si="34"/>
        <v>107.62551629629628</v>
      </c>
      <c r="E2154" s="226" t="s">
        <v>5222</v>
      </c>
      <c r="G2154" s="240">
        <v>100.39</v>
      </c>
    </row>
    <row r="2155" spans="1:7" ht="14.25" x14ac:dyDescent="0.2">
      <c r="A2155" s="237" t="s">
        <v>5215</v>
      </c>
      <c r="B2155" s="238" t="s">
        <v>5212</v>
      </c>
      <c r="C2155" s="239" t="s">
        <v>13</v>
      </c>
      <c r="D2155" s="240">
        <f t="shared" si="34"/>
        <v>122.81680592592593</v>
      </c>
      <c r="E2155" s="226" t="s">
        <v>5222</v>
      </c>
      <c r="G2155" s="240">
        <v>114.56</v>
      </c>
    </row>
    <row r="2156" spans="1:7" ht="14.25" x14ac:dyDescent="0.2">
      <c r="A2156" s="237" t="s">
        <v>5216</v>
      </c>
      <c r="B2156" s="238" t="s">
        <v>5217</v>
      </c>
      <c r="C2156" s="239" t="s">
        <v>13</v>
      </c>
      <c r="D2156" s="240">
        <f t="shared" si="34"/>
        <v>47.846665925925926</v>
      </c>
      <c r="E2156" s="226" t="s">
        <v>5222</v>
      </c>
      <c r="G2156" s="240">
        <v>44.63</v>
      </c>
    </row>
    <row r="2157" spans="1:7" ht="14.25" x14ac:dyDescent="0.2">
      <c r="A2157" s="237" t="s">
        <v>5218</v>
      </c>
      <c r="B2157" s="238" t="s">
        <v>5217</v>
      </c>
      <c r="C2157" s="239" t="s">
        <v>13</v>
      </c>
      <c r="D2157" s="240">
        <f t="shared" si="34"/>
        <v>35.796553333333328</v>
      </c>
      <c r="E2157" s="226" t="s">
        <v>5222</v>
      </c>
      <c r="G2157" s="240">
        <v>33.39</v>
      </c>
    </row>
    <row r="2158" spans="1:7" ht="14.25" x14ac:dyDescent="0.2">
      <c r="A2158" s="237" t="s">
        <v>5219</v>
      </c>
      <c r="B2158" s="238" t="s">
        <v>5217</v>
      </c>
      <c r="C2158" s="239" t="s">
        <v>13</v>
      </c>
      <c r="D2158" s="240">
        <f t="shared" si="34"/>
        <v>35.796553333333328</v>
      </c>
      <c r="E2158" s="226" t="s">
        <v>5222</v>
      </c>
      <c r="G2158" s="240">
        <v>33.39</v>
      </c>
    </row>
    <row r="2159" spans="1:7" ht="14.25" x14ac:dyDescent="0.2">
      <c r="A2159" s="237" t="s">
        <v>5220</v>
      </c>
      <c r="B2159" s="238" t="s">
        <v>5221</v>
      </c>
      <c r="C2159" s="239" t="s">
        <v>13</v>
      </c>
      <c r="D2159" s="240">
        <f t="shared" si="34"/>
        <v>48.447027407407397</v>
      </c>
      <c r="E2159" s="226" t="s">
        <v>5222</v>
      </c>
      <c r="G2159" s="240">
        <v>45.19</v>
      </c>
    </row>
    <row r="2160" spans="1:7" ht="14.25" x14ac:dyDescent="0.2">
      <c r="A2160" s="237"/>
      <c r="B2160" s="238"/>
      <c r="C2160" s="239"/>
      <c r="D2160" s="240"/>
      <c r="G2160" s="240"/>
    </row>
    <row r="2161" spans="1:7" ht="15" x14ac:dyDescent="0.25">
      <c r="A2161" s="223" t="s">
        <v>4607</v>
      </c>
      <c r="B2161" s="241"/>
      <c r="C2161" s="237"/>
      <c r="D2161" s="112" t="s">
        <v>2763</v>
      </c>
      <c r="E2161" s="232" t="s">
        <v>7</v>
      </c>
      <c r="F2161" s="232"/>
      <c r="G2161" s="242" t="s">
        <v>4608</v>
      </c>
    </row>
    <row r="2162" spans="1:7" ht="14.25" x14ac:dyDescent="0.2">
      <c r="A2162" s="243" t="s">
        <v>1533</v>
      </c>
      <c r="B2162" s="236" t="s">
        <v>1534</v>
      </c>
      <c r="C2162" s="243" t="s">
        <v>1530</v>
      </c>
      <c r="D2162" s="244">
        <f t="shared" ref="D2162:D2225" si="35">G2162*$J$5*(1+$D$3)</f>
        <v>12423.831731028378</v>
      </c>
      <c r="E2162" s="226" t="s">
        <v>5223</v>
      </c>
      <c r="G2162" s="127">
        <v>8538.01</v>
      </c>
    </row>
    <row r="2163" spans="1:7" ht="14.25" x14ac:dyDescent="0.2">
      <c r="A2163" s="243" t="s">
        <v>1535</v>
      </c>
      <c r="B2163" s="236" t="s">
        <v>1536</v>
      </c>
      <c r="C2163" s="243" t="s">
        <v>1530</v>
      </c>
      <c r="D2163" s="244">
        <f t="shared" si="35"/>
        <v>16148.96881895253</v>
      </c>
      <c r="E2163" s="226" t="s">
        <v>5223</v>
      </c>
      <c r="G2163" s="127">
        <v>11098.03</v>
      </c>
    </row>
    <row r="2164" spans="1:7" ht="14.25" x14ac:dyDescent="0.2">
      <c r="A2164" s="243" t="s">
        <v>1537</v>
      </c>
      <c r="B2164" s="236" t="s">
        <v>1538</v>
      </c>
      <c r="C2164" s="243" t="s">
        <v>1530</v>
      </c>
      <c r="D2164" s="244">
        <f t="shared" si="35"/>
        <v>26681.85716003539</v>
      </c>
      <c r="E2164" s="226" t="s">
        <v>5223</v>
      </c>
      <c r="G2164" s="127">
        <v>18336.53</v>
      </c>
    </row>
    <row r="2165" spans="1:7" ht="14.25" x14ac:dyDescent="0.2">
      <c r="A2165" s="243" t="s">
        <v>1539</v>
      </c>
      <c r="B2165" s="236" t="s">
        <v>1540</v>
      </c>
      <c r="C2165" s="243" t="s">
        <v>1530</v>
      </c>
      <c r="D2165" s="244">
        <f t="shared" si="35"/>
        <v>10090.517216599534</v>
      </c>
      <c r="E2165" s="226" t="s">
        <v>5223</v>
      </c>
      <c r="G2165" s="127">
        <v>6934.49</v>
      </c>
    </row>
    <row r="2166" spans="1:7" ht="14.25" x14ac:dyDescent="0.2">
      <c r="A2166" s="243" t="s">
        <v>1541</v>
      </c>
      <c r="B2166" s="236" t="s">
        <v>1542</v>
      </c>
      <c r="C2166" s="243" t="s">
        <v>1530</v>
      </c>
      <c r="D2166" s="244">
        <f t="shared" si="35"/>
        <v>13022.410020451305</v>
      </c>
      <c r="E2166" s="226" t="s">
        <v>5223</v>
      </c>
      <c r="G2166" s="127">
        <v>8949.3700000000008</v>
      </c>
    </row>
    <row r="2167" spans="1:7" ht="14.25" x14ac:dyDescent="0.2">
      <c r="A2167" s="243" t="s">
        <v>1543</v>
      </c>
      <c r="B2167" s="236" t="s">
        <v>1544</v>
      </c>
      <c r="C2167" s="243" t="s">
        <v>1530</v>
      </c>
      <c r="D2167" s="244">
        <f t="shared" si="35"/>
        <v>22322.505886373736</v>
      </c>
      <c r="E2167" s="226" t="s">
        <v>5223</v>
      </c>
      <c r="G2167" s="127">
        <v>15340.66</v>
      </c>
    </row>
    <row r="2168" spans="1:7" ht="14.25" x14ac:dyDescent="0.2">
      <c r="A2168" s="243" t="s">
        <v>1545</v>
      </c>
      <c r="B2168" s="236" t="s">
        <v>1546</v>
      </c>
      <c r="C2168" s="243" t="s">
        <v>1530</v>
      </c>
      <c r="D2168" s="244">
        <f t="shared" si="35"/>
        <v>25734.457430656072</v>
      </c>
      <c r="E2168" s="226" t="s">
        <v>5223</v>
      </c>
      <c r="G2168" s="127">
        <v>17685.45</v>
      </c>
    </row>
    <row r="2169" spans="1:7" ht="14.25" x14ac:dyDescent="0.2">
      <c r="A2169" s="243" t="s">
        <v>1547</v>
      </c>
      <c r="B2169" s="236" t="s">
        <v>1548</v>
      </c>
      <c r="C2169" s="243" t="s">
        <v>1530</v>
      </c>
      <c r="D2169" s="244">
        <f t="shared" si="35"/>
        <v>28039.717225568984</v>
      </c>
      <c r="E2169" s="226" t="s">
        <v>5223</v>
      </c>
      <c r="G2169" s="127">
        <v>19269.689999999999</v>
      </c>
    </row>
    <row r="2170" spans="1:7" ht="14.25" x14ac:dyDescent="0.2">
      <c r="A2170" s="243" t="s">
        <v>1549</v>
      </c>
      <c r="B2170" s="236" t="s">
        <v>1550</v>
      </c>
      <c r="C2170" s="243" t="s">
        <v>1530</v>
      </c>
      <c r="D2170" s="244">
        <f t="shared" si="35"/>
        <v>35446.94894274087</v>
      </c>
      <c r="E2170" s="226" t="s">
        <v>5223</v>
      </c>
      <c r="G2170" s="127">
        <v>24360.15</v>
      </c>
    </row>
    <row r="2171" spans="1:7" ht="14.25" x14ac:dyDescent="0.2">
      <c r="A2171" s="243" t="s">
        <v>1551</v>
      </c>
      <c r="B2171" s="236" t="s">
        <v>1552</v>
      </c>
      <c r="C2171" s="243" t="s">
        <v>1530</v>
      </c>
      <c r="D2171" s="244">
        <f t="shared" si="35"/>
        <v>8128.1856244003038</v>
      </c>
      <c r="E2171" s="226" t="s">
        <v>5223</v>
      </c>
      <c r="G2171" s="127">
        <v>5585.92</v>
      </c>
    </row>
    <row r="2172" spans="1:7" ht="14.25" x14ac:dyDescent="0.2">
      <c r="A2172" s="243" t="s">
        <v>1553</v>
      </c>
      <c r="B2172" s="236" t="s">
        <v>1554</v>
      </c>
      <c r="C2172" s="243" t="s">
        <v>1530</v>
      </c>
      <c r="D2172" s="244">
        <f t="shared" si="35"/>
        <v>10314.663948665624</v>
      </c>
      <c r="E2172" s="226" t="s">
        <v>5223</v>
      </c>
      <c r="G2172" s="127">
        <v>7088.53</v>
      </c>
    </row>
    <row r="2173" spans="1:7" ht="14.25" x14ac:dyDescent="0.2">
      <c r="A2173" s="243" t="s">
        <v>1555</v>
      </c>
      <c r="B2173" s="236" t="s">
        <v>1556</v>
      </c>
      <c r="C2173" s="243" t="s">
        <v>1530</v>
      </c>
      <c r="D2173" s="244">
        <f t="shared" si="35"/>
        <v>17924.914051048243</v>
      </c>
      <c r="E2173" s="226" t="s">
        <v>5223</v>
      </c>
      <c r="G2173" s="127">
        <v>12318.51</v>
      </c>
    </row>
    <row r="2174" spans="1:7" ht="14.25" x14ac:dyDescent="0.2">
      <c r="A2174" s="243" t="s">
        <v>1557</v>
      </c>
      <c r="B2174" s="236" t="s">
        <v>1558</v>
      </c>
      <c r="C2174" s="243" t="s">
        <v>1530</v>
      </c>
      <c r="D2174" s="244">
        <f t="shared" si="35"/>
        <v>4789.8486164411534</v>
      </c>
      <c r="E2174" s="226" t="s">
        <v>5223</v>
      </c>
      <c r="G2174" s="127">
        <v>3291.72</v>
      </c>
    </row>
    <row r="2175" spans="1:7" ht="14.25" x14ac:dyDescent="0.2">
      <c r="A2175" s="243" t="s">
        <v>1559</v>
      </c>
      <c r="B2175" s="236" t="s">
        <v>1560</v>
      </c>
      <c r="C2175" s="243" t="s">
        <v>1530</v>
      </c>
      <c r="D2175" s="244">
        <f t="shared" si="35"/>
        <v>5514.8041045133914</v>
      </c>
      <c r="E2175" s="226" t="s">
        <v>5223</v>
      </c>
      <c r="G2175" s="127">
        <v>3789.93</v>
      </c>
    </row>
    <row r="2176" spans="1:7" ht="14.25" x14ac:dyDescent="0.2">
      <c r="A2176" s="243" t="s">
        <v>1561</v>
      </c>
      <c r="B2176" s="236" t="s">
        <v>1562</v>
      </c>
      <c r="C2176" s="243" t="s">
        <v>1530</v>
      </c>
      <c r="D2176" s="244">
        <f t="shared" si="35"/>
        <v>5376.5094705510355</v>
      </c>
      <c r="E2176" s="226" t="s">
        <v>5223</v>
      </c>
      <c r="G2176" s="127">
        <v>3694.89</v>
      </c>
    </row>
    <row r="2177" spans="1:7" ht="14.25" x14ac:dyDescent="0.2">
      <c r="A2177" s="243" t="s">
        <v>1563</v>
      </c>
      <c r="B2177" s="236" t="s">
        <v>1564</v>
      </c>
      <c r="C2177" s="243" t="s">
        <v>1530</v>
      </c>
      <c r="D2177" s="244">
        <f t="shared" si="35"/>
        <v>4843.7608238096855</v>
      </c>
      <c r="E2177" s="226" t="s">
        <v>5223</v>
      </c>
      <c r="G2177" s="127">
        <v>3328.77</v>
      </c>
    </row>
    <row r="2178" spans="1:7" ht="14.25" x14ac:dyDescent="0.2">
      <c r="A2178" s="243" t="s">
        <v>1565</v>
      </c>
      <c r="B2178" s="236" t="s">
        <v>1566</v>
      </c>
      <c r="C2178" s="243" t="s">
        <v>1530</v>
      </c>
      <c r="D2178" s="244">
        <f t="shared" si="35"/>
        <v>8712.3727739885526</v>
      </c>
      <c r="E2178" s="226" t="s">
        <v>5223</v>
      </c>
      <c r="G2178" s="127">
        <v>5987.39</v>
      </c>
    </row>
    <row r="2179" spans="1:7" ht="14.25" x14ac:dyDescent="0.2">
      <c r="A2179" s="243" t="s">
        <v>1567</v>
      </c>
      <c r="B2179" s="236" t="s">
        <v>1568</v>
      </c>
      <c r="C2179" s="243" t="s">
        <v>1530</v>
      </c>
      <c r="D2179" s="244">
        <f t="shared" si="35"/>
        <v>11103.746588660433</v>
      </c>
      <c r="E2179" s="226" t="s">
        <v>5223</v>
      </c>
      <c r="G2179" s="127">
        <v>7630.81</v>
      </c>
    </row>
    <row r="2180" spans="1:7" ht="14.25" x14ac:dyDescent="0.2">
      <c r="A2180" s="243" t="s">
        <v>1569</v>
      </c>
      <c r="B2180" s="236" t="s">
        <v>1570</v>
      </c>
      <c r="C2180" s="243" t="s">
        <v>1530</v>
      </c>
      <c r="D2180" s="244">
        <f t="shared" si="35"/>
        <v>17651.074960503462</v>
      </c>
      <c r="E2180" s="226" t="s">
        <v>5223</v>
      </c>
      <c r="G2180" s="127">
        <v>12130.32</v>
      </c>
    </row>
    <row r="2181" spans="1:7" ht="14.25" x14ac:dyDescent="0.2">
      <c r="A2181" s="243" t="s">
        <v>1571</v>
      </c>
      <c r="B2181" s="236" t="s">
        <v>1572</v>
      </c>
      <c r="C2181" s="243" t="s">
        <v>1530</v>
      </c>
      <c r="D2181" s="244">
        <f t="shared" si="35"/>
        <v>10803.104182063606</v>
      </c>
      <c r="E2181" s="226" t="s">
        <v>5223</v>
      </c>
      <c r="G2181" s="127">
        <v>7424.2</v>
      </c>
    </row>
    <row r="2182" spans="1:7" ht="14.25" x14ac:dyDescent="0.2">
      <c r="A2182" s="243" t="s">
        <v>1573</v>
      </c>
      <c r="B2182" s="236" t="s">
        <v>1574</v>
      </c>
      <c r="C2182" s="243" t="s">
        <v>1530</v>
      </c>
      <c r="D2182" s="244">
        <f t="shared" si="35"/>
        <v>10719.507520435478</v>
      </c>
      <c r="E2182" s="226" t="s">
        <v>5223</v>
      </c>
      <c r="G2182" s="127">
        <v>7366.75</v>
      </c>
    </row>
    <row r="2183" spans="1:7" ht="14.25" x14ac:dyDescent="0.2">
      <c r="A2183" s="243" t="s">
        <v>1575</v>
      </c>
      <c r="B2183" s="236" t="s">
        <v>1576</v>
      </c>
      <c r="C2183" s="243" t="s">
        <v>1530</v>
      </c>
      <c r="D2183" s="244">
        <f t="shared" si="35"/>
        <v>13890.054605812564</v>
      </c>
      <c r="E2183" s="226" t="s">
        <v>5223</v>
      </c>
      <c r="G2183" s="127">
        <v>9545.64</v>
      </c>
    </row>
    <row r="2184" spans="1:7" ht="14.25" x14ac:dyDescent="0.2">
      <c r="A2184" s="243" t="s">
        <v>1577</v>
      </c>
      <c r="B2184" s="236" t="s">
        <v>1578</v>
      </c>
      <c r="C2184" s="243" t="s">
        <v>1530</v>
      </c>
      <c r="D2184" s="244">
        <f t="shared" si="35"/>
        <v>25511.198321977154</v>
      </c>
      <c r="E2184" s="226" t="s">
        <v>5223</v>
      </c>
      <c r="G2184" s="127">
        <v>17532.02</v>
      </c>
    </row>
    <row r="2185" spans="1:7" ht="14.25" x14ac:dyDescent="0.2">
      <c r="A2185" s="243" t="s">
        <v>1579</v>
      </c>
      <c r="B2185" s="236" t="s">
        <v>1580</v>
      </c>
      <c r="C2185" s="243" t="s">
        <v>1530</v>
      </c>
      <c r="D2185" s="244">
        <f t="shared" si="35"/>
        <v>40713.320357266959</v>
      </c>
      <c r="E2185" s="226" t="s">
        <v>5223</v>
      </c>
      <c r="G2185" s="127">
        <v>27979.35</v>
      </c>
    </row>
    <row r="2186" spans="1:7" ht="14.25" x14ac:dyDescent="0.2">
      <c r="A2186" s="243" t="s">
        <v>1581</v>
      </c>
      <c r="B2186" s="236" t="s">
        <v>1582</v>
      </c>
      <c r="C2186" s="243" t="s">
        <v>1530</v>
      </c>
      <c r="D2186" s="244">
        <f t="shared" si="35"/>
        <v>13824.152207115645</v>
      </c>
      <c r="E2186" s="226" t="s">
        <v>5223</v>
      </c>
      <c r="G2186" s="127">
        <v>9500.35</v>
      </c>
    </row>
    <row r="2187" spans="1:7" ht="14.25" x14ac:dyDescent="0.2">
      <c r="A2187" s="243" t="s">
        <v>1583</v>
      </c>
      <c r="B2187" s="236" t="s">
        <v>1584</v>
      </c>
      <c r="C2187" s="243" t="s">
        <v>1530</v>
      </c>
      <c r="D2187" s="244">
        <f t="shared" si="35"/>
        <v>18031.923598413472</v>
      </c>
      <c r="E2187" s="226" t="s">
        <v>5223</v>
      </c>
      <c r="G2187" s="127">
        <v>12392.05</v>
      </c>
    </row>
    <row r="2188" spans="1:7" ht="14.25" x14ac:dyDescent="0.2">
      <c r="A2188" s="243" t="s">
        <v>1585</v>
      </c>
      <c r="B2188" s="236" t="s">
        <v>1586</v>
      </c>
      <c r="C2188" s="243" t="s">
        <v>1530</v>
      </c>
      <c r="D2188" s="244">
        <f t="shared" si="35"/>
        <v>33829.01522476523</v>
      </c>
      <c r="E2188" s="226" t="s">
        <v>5223</v>
      </c>
      <c r="G2188" s="127">
        <v>23248.26</v>
      </c>
    </row>
    <row r="2189" spans="1:7" ht="14.25" x14ac:dyDescent="0.2">
      <c r="A2189" s="243" t="s">
        <v>1587</v>
      </c>
      <c r="B2189" s="236" t="s">
        <v>2645</v>
      </c>
      <c r="C2189" s="243" t="s">
        <v>1530</v>
      </c>
      <c r="D2189" s="244">
        <f t="shared" si="35"/>
        <v>25687.486147151176</v>
      </c>
      <c r="E2189" s="226" t="s">
        <v>5223</v>
      </c>
      <c r="G2189" s="127">
        <v>17653.169999999998</v>
      </c>
    </row>
    <row r="2190" spans="1:7" ht="14.25" x14ac:dyDescent="0.2">
      <c r="A2190" s="243" t="s">
        <v>1588</v>
      </c>
      <c r="B2190" s="236" t="s">
        <v>2646</v>
      </c>
      <c r="C2190" s="243" t="s">
        <v>1530</v>
      </c>
      <c r="D2190" s="244">
        <f t="shared" si="35"/>
        <v>27435.638581386189</v>
      </c>
      <c r="E2190" s="226" t="s">
        <v>5223</v>
      </c>
      <c r="G2190" s="127">
        <v>18854.55</v>
      </c>
    </row>
    <row r="2191" spans="1:7" ht="14.25" x14ac:dyDescent="0.2">
      <c r="A2191" s="243" t="s">
        <v>1589</v>
      </c>
      <c r="B2191" s="236" t="s">
        <v>2647</v>
      </c>
      <c r="C2191" s="243" t="s">
        <v>1530</v>
      </c>
      <c r="D2191" s="244">
        <f t="shared" si="35"/>
        <v>33538.442250691762</v>
      </c>
      <c r="E2191" s="226" t="s">
        <v>5223</v>
      </c>
      <c r="G2191" s="127">
        <v>23048.57</v>
      </c>
    </row>
    <row r="2192" spans="1:7" ht="14.25" x14ac:dyDescent="0.2">
      <c r="A2192" s="243" t="s">
        <v>1590</v>
      </c>
      <c r="B2192" s="236" t="s">
        <v>1591</v>
      </c>
      <c r="C2192" s="243" t="s">
        <v>1530</v>
      </c>
      <c r="D2192" s="244">
        <f t="shared" si="35"/>
        <v>25721.608718346644</v>
      </c>
      <c r="E2192" s="226" t="s">
        <v>5223</v>
      </c>
      <c r="G2192" s="127">
        <v>17676.62</v>
      </c>
    </row>
    <row r="2193" spans="1:7" ht="14.25" x14ac:dyDescent="0.2">
      <c r="A2193" s="243" t="s">
        <v>1592</v>
      </c>
      <c r="B2193" s="236" t="s">
        <v>1593</v>
      </c>
      <c r="C2193" s="243" t="s">
        <v>1530</v>
      </c>
      <c r="D2193" s="244">
        <f t="shared" si="35"/>
        <v>27998.129887199411</v>
      </c>
      <c r="E2193" s="226" t="s">
        <v>5223</v>
      </c>
      <c r="G2193" s="127">
        <v>19241.11</v>
      </c>
    </row>
    <row r="2194" spans="1:7" ht="14.25" x14ac:dyDescent="0.2">
      <c r="A2194" s="243" t="s">
        <v>1594</v>
      </c>
      <c r="B2194" s="236" t="s">
        <v>1595</v>
      </c>
      <c r="C2194" s="243" t="s">
        <v>1530</v>
      </c>
      <c r="D2194" s="244">
        <f t="shared" si="35"/>
        <v>33865.960729355982</v>
      </c>
      <c r="E2194" s="226" t="s">
        <v>5223</v>
      </c>
      <c r="G2194" s="127">
        <v>23273.65</v>
      </c>
    </row>
    <row r="2195" spans="1:7" ht="14.25" x14ac:dyDescent="0.2">
      <c r="A2195" s="243" t="s">
        <v>1596</v>
      </c>
      <c r="B2195" s="236" t="s">
        <v>1597</v>
      </c>
      <c r="C2195" s="243" t="s">
        <v>1530</v>
      </c>
      <c r="D2195" s="244">
        <f t="shared" si="35"/>
        <v>25735.694282916887</v>
      </c>
      <c r="E2195" s="226" t="s">
        <v>5223</v>
      </c>
      <c r="G2195" s="127">
        <v>17686.3</v>
      </c>
    </row>
    <row r="2196" spans="1:7" ht="14.25" x14ac:dyDescent="0.2">
      <c r="A2196" s="243" t="s">
        <v>1598</v>
      </c>
      <c r="B2196" s="236" t="s">
        <v>1599</v>
      </c>
      <c r="C2196" s="243" t="s">
        <v>1530</v>
      </c>
      <c r="D2196" s="244">
        <f t="shared" si="35"/>
        <v>29605.164754076788</v>
      </c>
      <c r="E2196" s="226" t="s">
        <v>5223</v>
      </c>
      <c r="G2196" s="127">
        <v>20345.509999999998</v>
      </c>
    </row>
    <row r="2197" spans="1:7" ht="14.25" x14ac:dyDescent="0.2">
      <c r="A2197" s="243" t="s">
        <v>1600</v>
      </c>
      <c r="B2197" s="236" t="s">
        <v>1601</v>
      </c>
      <c r="C2197" s="243" t="s">
        <v>1530</v>
      </c>
      <c r="D2197" s="244">
        <f t="shared" si="35"/>
        <v>37511.677350932638</v>
      </c>
      <c r="E2197" s="226" t="s">
        <v>5223</v>
      </c>
      <c r="G2197" s="127">
        <v>25779.09</v>
      </c>
    </row>
    <row r="2198" spans="1:7" ht="14.25" x14ac:dyDescent="0.2">
      <c r="A2198" s="243" t="s">
        <v>1602</v>
      </c>
      <c r="B2198" s="236" t="s">
        <v>1603</v>
      </c>
      <c r="C2198" s="243" t="s">
        <v>1530</v>
      </c>
      <c r="D2198" s="244">
        <f t="shared" si="35"/>
        <v>55202.593505437464</v>
      </c>
      <c r="E2198" s="226" t="s">
        <v>5223</v>
      </c>
      <c r="G2198" s="127">
        <v>37936.79</v>
      </c>
    </row>
    <row r="2199" spans="1:7" ht="14.25" x14ac:dyDescent="0.2">
      <c r="A2199" s="243" t="s">
        <v>1604</v>
      </c>
      <c r="B2199" s="236" t="s">
        <v>1605</v>
      </c>
      <c r="C2199" s="243" t="s">
        <v>1530</v>
      </c>
      <c r="D2199" s="244">
        <f t="shared" si="35"/>
        <v>46209.353409822077</v>
      </c>
      <c r="E2199" s="226" t="s">
        <v>5223</v>
      </c>
      <c r="G2199" s="127">
        <v>31756.38</v>
      </c>
    </row>
    <row r="2200" spans="1:7" ht="14.25" x14ac:dyDescent="0.2">
      <c r="A2200" s="243" t="s">
        <v>1606</v>
      </c>
      <c r="B2200" s="236" t="s">
        <v>1607</v>
      </c>
      <c r="C2200" s="243" t="s">
        <v>1530</v>
      </c>
      <c r="D2200" s="244">
        <f t="shared" si="35"/>
        <v>25796.722028585886</v>
      </c>
      <c r="E2200" s="226" t="s">
        <v>5223</v>
      </c>
      <c r="G2200" s="127">
        <v>17728.240000000002</v>
      </c>
    </row>
    <row r="2201" spans="1:7" ht="14.25" x14ac:dyDescent="0.2">
      <c r="A2201" s="243" t="s">
        <v>1608</v>
      </c>
      <c r="B2201" s="236" t="s">
        <v>1609</v>
      </c>
      <c r="C2201" s="243" t="s">
        <v>1530</v>
      </c>
      <c r="D2201" s="244">
        <f t="shared" si="35"/>
        <v>26995.086357286415</v>
      </c>
      <c r="E2201" s="226" t="s">
        <v>5223</v>
      </c>
      <c r="G2201" s="127">
        <v>18551.79</v>
      </c>
    </row>
    <row r="2202" spans="1:7" ht="14.25" x14ac:dyDescent="0.2">
      <c r="A2202" s="243" t="s">
        <v>1610</v>
      </c>
      <c r="B2202" s="236" t="s">
        <v>1611</v>
      </c>
      <c r="C2202" s="243" t="s">
        <v>1530</v>
      </c>
      <c r="D2202" s="244">
        <f t="shared" si="35"/>
        <v>31527.247718588744</v>
      </c>
      <c r="E2202" s="226" t="s">
        <v>5223</v>
      </c>
      <c r="G2202" s="127">
        <v>21666.42</v>
      </c>
    </row>
    <row r="2203" spans="1:7" ht="14.25" x14ac:dyDescent="0.2">
      <c r="A2203" s="243" t="s">
        <v>1612</v>
      </c>
      <c r="B2203" s="236" t="s">
        <v>1613</v>
      </c>
      <c r="C2203" s="243" t="s">
        <v>1530</v>
      </c>
      <c r="D2203" s="244">
        <f t="shared" si="35"/>
        <v>25732.769491100134</v>
      </c>
      <c r="E2203" s="226" t="s">
        <v>5223</v>
      </c>
      <c r="G2203" s="127">
        <v>17684.29</v>
      </c>
    </row>
    <row r="2204" spans="1:7" ht="14.25" x14ac:dyDescent="0.2">
      <c r="A2204" s="243" t="s">
        <v>1614</v>
      </c>
      <c r="B2204" s="236" t="s">
        <v>1615</v>
      </c>
      <c r="C2204" s="243" t="s">
        <v>1530</v>
      </c>
      <c r="D2204" s="244">
        <f>G2204*$J$5*(1+$D$3)</f>
        <v>29231.169732812014</v>
      </c>
      <c r="E2204" s="226" t="s">
        <v>5223</v>
      </c>
      <c r="G2204" s="127">
        <v>20088.490000000002</v>
      </c>
    </row>
    <row r="2205" spans="1:7" ht="14.25" x14ac:dyDescent="0.2">
      <c r="A2205" s="243" t="s">
        <v>1616</v>
      </c>
      <c r="B2205" s="236" t="s">
        <v>1617</v>
      </c>
      <c r="C2205" s="243" t="s">
        <v>1530</v>
      </c>
      <c r="D2205" s="244">
        <f t="shared" si="35"/>
        <v>38482.635478079748</v>
      </c>
      <c r="E2205" s="226" t="s">
        <v>5223</v>
      </c>
      <c r="G2205" s="127">
        <v>26446.36</v>
      </c>
    </row>
    <row r="2206" spans="1:7" ht="14.25" x14ac:dyDescent="0.2">
      <c r="A2206" s="243" t="s">
        <v>1618</v>
      </c>
      <c r="B2206" s="236" t="s">
        <v>1619</v>
      </c>
      <c r="C2206" s="243" t="s">
        <v>1530</v>
      </c>
      <c r="D2206" s="244">
        <f t="shared" si="35"/>
        <v>25796.722028585886</v>
      </c>
      <c r="E2206" s="226" t="s">
        <v>5223</v>
      </c>
      <c r="G2206" s="127">
        <v>17728.240000000002</v>
      </c>
    </row>
    <row r="2207" spans="1:7" ht="14.25" x14ac:dyDescent="0.2">
      <c r="A2207" s="243" t="s">
        <v>1620</v>
      </c>
      <c r="B2207" s="236" t="s">
        <v>1621</v>
      </c>
      <c r="C2207" s="243" t="s">
        <v>1530</v>
      </c>
      <c r="D2207" s="244">
        <f t="shared" si="35"/>
        <v>26995.086357286415</v>
      </c>
      <c r="E2207" s="226" t="s">
        <v>5223</v>
      </c>
      <c r="G2207" s="127">
        <v>18551.79</v>
      </c>
    </row>
    <row r="2208" spans="1:7" ht="14.25" x14ac:dyDescent="0.2">
      <c r="A2208" s="243" t="s">
        <v>1622</v>
      </c>
      <c r="B2208" s="236" t="s">
        <v>1623</v>
      </c>
      <c r="C2208" s="243" t="s">
        <v>1530</v>
      </c>
      <c r="D2208" s="244">
        <f t="shared" si="35"/>
        <v>31527.247718588744</v>
      </c>
      <c r="E2208" s="226" t="s">
        <v>5223</v>
      </c>
      <c r="G2208" s="127">
        <v>21666.42</v>
      </c>
    </row>
    <row r="2209" spans="1:7" ht="14.25" x14ac:dyDescent="0.2">
      <c r="A2209" s="243" t="s">
        <v>1624</v>
      </c>
      <c r="B2209" s="236" t="s">
        <v>1625</v>
      </c>
      <c r="C2209" s="243" t="s">
        <v>1530</v>
      </c>
      <c r="D2209" s="244">
        <f t="shared" si="35"/>
        <v>24838.685369763531</v>
      </c>
      <c r="E2209" s="226" t="s">
        <v>5223</v>
      </c>
      <c r="G2209" s="127">
        <v>17069.849999999999</v>
      </c>
    </row>
    <row r="2210" spans="1:7" ht="14.25" x14ac:dyDescent="0.2">
      <c r="A2210" s="243" t="s">
        <v>1626</v>
      </c>
      <c r="B2210" s="236" t="s">
        <v>1627</v>
      </c>
      <c r="C2210" s="243" t="s">
        <v>1530</v>
      </c>
      <c r="D2210" s="244">
        <f t="shared" si="35"/>
        <v>28397.109324132685</v>
      </c>
      <c r="E2210" s="226" t="s">
        <v>5223</v>
      </c>
      <c r="G2210" s="127">
        <v>19515.3</v>
      </c>
    </row>
    <row r="2211" spans="1:7" ht="14.25" x14ac:dyDescent="0.2">
      <c r="A2211" s="243" t="s">
        <v>1531</v>
      </c>
      <c r="B2211" s="236" t="s">
        <v>1532</v>
      </c>
      <c r="C2211" s="243" t="s">
        <v>1530</v>
      </c>
      <c r="D2211" s="244">
        <f t="shared" si="35"/>
        <v>37512.332155070719</v>
      </c>
      <c r="E2211" s="226" t="s">
        <v>5223</v>
      </c>
      <c r="G2211" s="127">
        <v>25779.54</v>
      </c>
    </row>
    <row r="2212" spans="1:7" ht="14.25" x14ac:dyDescent="0.2">
      <c r="A2212" s="243" t="s">
        <v>1628</v>
      </c>
      <c r="B2212" s="236" t="s">
        <v>2648</v>
      </c>
      <c r="C2212" s="243" t="s">
        <v>1530</v>
      </c>
      <c r="D2212" s="244">
        <f t="shared" si="35"/>
        <v>7555.3920668146357</v>
      </c>
      <c r="E2212" s="226" t="s">
        <v>5223</v>
      </c>
      <c r="G2212" s="127">
        <v>5192.28</v>
      </c>
    </row>
    <row r="2213" spans="1:7" ht="14.25" x14ac:dyDescent="0.2">
      <c r="A2213" s="243" t="s">
        <v>1629</v>
      </c>
      <c r="B2213" s="236" t="s">
        <v>2649</v>
      </c>
      <c r="C2213" s="243" t="s">
        <v>1530</v>
      </c>
      <c r="D2213" s="244">
        <f t="shared" si="35"/>
        <v>9551.715269381717</v>
      </c>
      <c r="E2213" s="226" t="s">
        <v>5223</v>
      </c>
      <c r="G2213" s="127">
        <v>6564.21</v>
      </c>
    </row>
    <row r="2214" spans="1:7" ht="14.25" x14ac:dyDescent="0.2">
      <c r="A2214" s="243" t="s">
        <v>1630</v>
      </c>
      <c r="B2214" s="236" t="s">
        <v>2650</v>
      </c>
      <c r="C2214" s="243" t="s">
        <v>1530</v>
      </c>
      <c r="D2214" s="244">
        <f t="shared" si="35"/>
        <v>16902.866649927873</v>
      </c>
      <c r="E2214" s="226" t="s">
        <v>5223</v>
      </c>
      <c r="G2214" s="127">
        <v>11616.13</v>
      </c>
    </row>
    <row r="2215" spans="1:7" ht="14.25" x14ac:dyDescent="0.2">
      <c r="A2215" s="243" t="s">
        <v>1631</v>
      </c>
      <c r="B2215" s="236" t="s">
        <v>1632</v>
      </c>
      <c r="C2215" s="243" t="s">
        <v>1530</v>
      </c>
      <c r="D2215" s="244">
        <f t="shared" si="35"/>
        <v>7914.0064664360862</v>
      </c>
      <c r="E2215" s="226" t="s">
        <v>5223</v>
      </c>
      <c r="G2215" s="127">
        <v>5438.73</v>
      </c>
    </row>
    <row r="2216" spans="1:7" ht="14.25" x14ac:dyDescent="0.2">
      <c r="A2216" s="243" t="s">
        <v>1633</v>
      </c>
      <c r="B2216" s="236" t="s">
        <v>1634</v>
      </c>
      <c r="C2216" s="243" t="s">
        <v>1530</v>
      </c>
      <c r="D2216" s="244">
        <f t="shared" si="35"/>
        <v>10030.624464769877</v>
      </c>
      <c r="E2216" s="226" t="s">
        <v>5223</v>
      </c>
      <c r="G2216" s="127">
        <v>6893.33</v>
      </c>
    </row>
    <row r="2217" spans="1:7" ht="14.25" x14ac:dyDescent="0.2">
      <c r="A2217" s="243" t="s">
        <v>1635</v>
      </c>
      <c r="B2217" s="236" t="s">
        <v>1636</v>
      </c>
      <c r="C2217" s="243" t="s">
        <v>1530</v>
      </c>
      <c r="D2217" s="244">
        <f t="shared" si="35"/>
        <v>19155.451089733069</v>
      </c>
      <c r="E2217" s="226" t="s">
        <v>5223</v>
      </c>
      <c r="G2217" s="127">
        <v>13164.17</v>
      </c>
    </row>
    <row r="2218" spans="1:7" ht="14.25" x14ac:dyDescent="0.2">
      <c r="A2218" s="243" t="s">
        <v>1637</v>
      </c>
      <c r="B2218" s="236" t="s">
        <v>1638</v>
      </c>
      <c r="C2218" s="243" t="s">
        <v>1530</v>
      </c>
      <c r="D2218" s="244">
        <f t="shared" si="35"/>
        <v>6705.7764220551599</v>
      </c>
      <c r="E2218" s="226" t="s">
        <v>5223</v>
      </c>
      <c r="G2218" s="127">
        <v>4608.3999999999996</v>
      </c>
    </row>
    <row r="2219" spans="1:7" ht="14.25" x14ac:dyDescent="0.2">
      <c r="A2219" s="243" t="s">
        <v>1639</v>
      </c>
      <c r="B2219" s="236" t="s">
        <v>1640</v>
      </c>
      <c r="C2219" s="243" t="s">
        <v>1530</v>
      </c>
      <c r="D2219" s="244">
        <f t="shared" si="35"/>
        <v>25683.659180744184</v>
      </c>
      <c r="E2219" s="226" t="s">
        <v>5223</v>
      </c>
      <c r="G2219" s="127">
        <v>17650.54</v>
      </c>
    </row>
    <row r="2220" spans="1:7" ht="14.25" x14ac:dyDescent="0.2">
      <c r="A2220" s="243" t="s">
        <v>1641</v>
      </c>
      <c r="B2220" s="236" t="s">
        <v>1642</v>
      </c>
      <c r="C2220" s="243" t="s">
        <v>1530</v>
      </c>
      <c r="D2220" s="244">
        <f t="shared" si="35"/>
        <v>11834.493455553906</v>
      </c>
      <c r="E2220" s="226" t="s">
        <v>5223</v>
      </c>
      <c r="G2220" s="127">
        <v>8133</v>
      </c>
    </row>
    <row r="2221" spans="1:7" ht="14.25" x14ac:dyDescent="0.2">
      <c r="A2221" s="243" t="s">
        <v>1643</v>
      </c>
      <c r="B2221" s="236" t="s">
        <v>1644</v>
      </c>
      <c r="C2221" s="243" t="s">
        <v>1530</v>
      </c>
      <c r="D2221" s="244">
        <f t="shared" si="35"/>
        <v>15364.280642284386</v>
      </c>
      <c r="E2221" s="226" t="s">
        <v>5223</v>
      </c>
      <c r="G2221" s="127">
        <v>10558.77</v>
      </c>
    </row>
    <row r="2222" spans="1:7" ht="14.25" x14ac:dyDescent="0.2">
      <c r="A2222" s="243" t="s">
        <v>1645</v>
      </c>
      <c r="B2222" s="236" t="s">
        <v>1646</v>
      </c>
      <c r="C2222" s="243" t="s">
        <v>1530</v>
      </c>
      <c r="D2222" s="244">
        <f t="shared" si="35"/>
        <v>25135.850038827011</v>
      </c>
      <c r="E2222" s="226" t="s">
        <v>5223</v>
      </c>
      <c r="G2222" s="127">
        <v>17274.07</v>
      </c>
    </row>
    <row r="2223" spans="1:7" ht="14.25" x14ac:dyDescent="0.2">
      <c r="A2223" s="243" t="s">
        <v>1647</v>
      </c>
      <c r="B2223" s="236" t="s">
        <v>1648</v>
      </c>
      <c r="C2223" s="243" t="s">
        <v>1530</v>
      </c>
      <c r="D2223" s="244">
        <f t="shared" si="35"/>
        <v>6398.0475795640086</v>
      </c>
      <c r="E2223" s="226" t="s">
        <v>5223</v>
      </c>
      <c r="G2223" s="127">
        <v>4396.92</v>
      </c>
    </row>
    <row r="2224" spans="1:7" ht="14.25" x14ac:dyDescent="0.2">
      <c r="A2224" s="243" t="s">
        <v>1649</v>
      </c>
      <c r="B2224" s="236" t="s">
        <v>1650</v>
      </c>
      <c r="C2224" s="243" t="s">
        <v>1530</v>
      </c>
      <c r="D2224" s="244">
        <f t="shared" si="35"/>
        <v>6051.3797176617391</v>
      </c>
      <c r="E2224" s="226" t="s">
        <v>5223</v>
      </c>
      <c r="G2224" s="127">
        <v>4158.68</v>
      </c>
    </row>
    <row r="2225" spans="1:7" ht="14.25" x14ac:dyDescent="0.2">
      <c r="A2225" s="243" t="s">
        <v>1651</v>
      </c>
      <c r="B2225" s="236" t="s">
        <v>1652</v>
      </c>
      <c r="C2225" s="243" t="s">
        <v>1530</v>
      </c>
      <c r="D2225" s="244">
        <f t="shared" si="35"/>
        <v>12382.549967923242</v>
      </c>
      <c r="E2225" s="226" t="s">
        <v>5223</v>
      </c>
      <c r="G2225" s="127">
        <v>8509.64</v>
      </c>
    </row>
    <row r="2226" spans="1:7" ht="14.25" x14ac:dyDescent="0.2">
      <c r="A2226" s="243" t="s">
        <v>1653</v>
      </c>
      <c r="B2226" s="236" t="s">
        <v>1654</v>
      </c>
      <c r="C2226" s="243" t="s">
        <v>1530</v>
      </c>
      <c r="D2226" s="244">
        <f t="shared" ref="D2226:D2247" si="36">G2226*$J$5*(1+$D$3)</f>
        <v>16094.154436993755</v>
      </c>
      <c r="E2226" s="226" t="s">
        <v>5223</v>
      </c>
      <c r="G2226" s="127">
        <v>11060.36</v>
      </c>
    </row>
    <row r="2227" spans="1:7" ht="14.25" x14ac:dyDescent="0.2">
      <c r="A2227" s="243" t="s">
        <v>1655</v>
      </c>
      <c r="B2227" s="236" t="s">
        <v>1656</v>
      </c>
      <c r="C2227" s="243" t="s">
        <v>1530</v>
      </c>
      <c r="D2227" s="244">
        <f t="shared" si="36"/>
        <v>25499.528257116272</v>
      </c>
      <c r="E2227" s="226" t="s">
        <v>5223</v>
      </c>
      <c r="G2227" s="127">
        <v>17524</v>
      </c>
    </row>
    <row r="2228" spans="1:7" ht="14.25" x14ac:dyDescent="0.2">
      <c r="A2228" s="243" t="s">
        <v>1657</v>
      </c>
      <c r="B2228" s="236" t="s">
        <v>2651</v>
      </c>
      <c r="C2228" s="243" t="s">
        <v>1530</v>
      </c>
      <c r="D2228" s="244">
        <f t="shared" si="36"/>
        <v>8864.0545147738649</v>
      </c>
      <c r="E2228" s="226" t="s">
        <v>5223</v>
      </c>
      <c r="G2228" s="127">
        <v>6091.63</v>
      </c>
    </row>
    <row r="2229" spans="1:7" ht="14.25" x14ac:dyDescent="0.2">
      <c r="A2229" s="243" t="s">
        <v>1658</v>
      </c>
      <c r="B2229" s="236" t="s">
        <v>2652</v>
      </c>
      <c r="C2229" s="243" t="s">
        <v>1530</v>
      </c>
      <c r="D2229" s="244">
        <f t="shared" si="36"/>
        <v>11312.861927956837</v>
      </c>
      <c r="E2229" s="226" t="s">
        <v>5223</v>
      </c>
      <c r="G2229" s="127">
        <v>7774.52</v>
      </c>
    </row>
    <row r="2230" spans="1:7" ht="14.25" x14ac:dyDescent="0.2">
      <c r="A2230" s="243" t="s">
        <v>1659</v>
      </c>
      <c r="B2230" s="236" t="s">
        <v>2653</v>
      </c>
      <c r="C2230" s="243" t="s">
        <v>1530</v>
      </c>
      <c r="D2230" s="244">
        <f t="shared" si="36"/>
        <v>16929.364390715484</v>
      </c>
      <c r="E2230" s="226" t="s">
        <v>5223</v>
      </c>
      <c r="G2230" s="127">
        <v>11634.34</v>
      </c>
    </row>
    <row r="2231" spans="1:7" ht="14.25" x14ac:dyDescent="0.2">
      <c r="A2231" s="243" t="s">
        <v>1660</v>
      </c>
      <c r="B2231" s="236" t="s">
        <v>1661</v>
      </c>
      <c r="C2231" s="243" t="s">
        <v>1530</v>
      </c>
      <c r="D2231" s="244">
        <f t="shared" si="36"/>
        <v>8440.9928367623397</v>
      </c>
      <c r="E2231" s="226" t="s">
        <v>5223</v>
      </c>
      <c r="G2231" s="127">
        <v>5800.89</v>
      </c>
    </row>
    <row r="2232" spans="1:7" ht="14.25" x14ac:dyDescent="0.2">
      <c r="A2232" s="243" t="s">
        <v>1662</v>
      </c>
      <c r="B2232" s="236" t="s">
        <v>1663</v>
      </c>
      <c r="C2232" s="243" t="s">
        <v>1530</v>
      </c>
      <c r="D2232" s="244">
        <f t="shared" si="36"/>
        <v>10732.37078394797</v>
      </c>
      <c r="E2232" s="226" t="s">
        <v>5223</v>
      </c>
      <c r="G2232" s="127">
        <v>7375.59</v>
      </c>
    </row>
    <row r="2233" spans="1:7" ht="14.25" x14ac:dyDescent="0.2">
      <c r="A2233" s="243" t="s">
        <v>1664</v>
      </c>
      <c r="B2233" s="236" t="s">
        <v>1665</v>
      </c>
      <c r="C2233" s="243" t="s">
        <v>1530</v>
      </c>
      <c r="D2233" s="244">
        <f t="shared" si="36"/>
        <v>14440.206491423754</v>
      </c>
      <c r="E2233" s="226" t="s">
        <v>5223</v>
      </c>
      <c r="G2233" s="127">
        <v>9923.7199999999993</v>
      </c>
    </row>
    <row r="2234" spans="1:7" ht="14.25" x14ac:dyDescent="0.2">
      <c r="A2234" s="243" t="s">
        <v>1666</v>
      </c>
      <c r="B2234" s="236" t="s">
        <v>1667</v>
      </c>
      <c r="C2234" s="243" t="s">
        <v>1530</v>
      </c>
      <c r="D2234" s="244">
        <f t="shared" si="36"/>
        <v>7147.841971274056</v>
      </c>
      <c r="E2234" s="226" t="s">
        <v>5223</v>
      </c>
      <c r="G2234" s="127">
        <v>4912.2</v>
      </c>
    </row>
    <row r="2235" spans="1:7" ht="14.25" x14ac:dyDescent="0.2">
      <c r="A2235" s="243" t="s">
        <v>1668</v>
      </c>
      <c r="B2235" s="236" t="s">
        <v>1669</v>
      </c>
      <c r="C2235" s="243" t="s">
        <v>1530</v>
      </c>
      <c r="D2235" s="244">
        <f t="shared" si="36"/>
        <v>5965.9641556500555</v>
      </c>
      <c r="E2235" s="226" t="s">
        <v>5223</v>
      </c>
      <c r="G2235" s="127">
        <v>4099.9799999999996</v>
      </c>
    </row>
    <row r="2236" spans="1:7" ht="14.25" x14ac:dyDescent="0.2">
      <c r="A2236" s="243" t="s">
        <v>1670</v>
      </c>
      <c r="B2236" s="236" t="s">
        <v>1671</v>
      </c>
      <c r="C2236" s="243" t="s">
        <v>1530</v>
      </c>
      <c r="D2236" s="244">
        <f t="shared" si="36"/>
        <v>7799.0083085862871</v>
      </c>
      <c r="E2236" s="226" t="s">
        <v>5223</v>
      </c>
      <c r="G2236" s="127">
        <v>5359.7</v>
      </c>
    </row>
    <row r="2237" spans="1:7" ht="14.25" x14ac:dyDescent="0.2">
      <c r="A2237" s="243" t="s">
        <v>1672</v>
      </c>
      <c r="B2237" s="236" t="s">
        <v>1673</v>
      </c>
      <c r="C2237" s="243" t="s">
        <v>1530</v>
      </c>
      <c r="D2237" s="244">
        <f t="shared" si="36"/>
        <v>8964.9234544442206</v>
      </c>
      <c r="E2237" s="226" t="s">
        <v>5223</v>
      </c>
      <c r="G2237" s="127">
        <v>6160.95</v>
      </c>
    </row>
    <row r="2238" spans="1:7" ht="14.25" x14ac:dyDescent="0.2">
      <c r="A2238" s="243" t="s">
        <v>1674</v>
      </c>
      <c r="B2238" s="236" t="s">
        <v>1675</v>
      </c>
      <c r="C2238" s="243" t="s">
        <v>1530</v>
      </c>
      <c r="D2238" s="244">
        <f t="shared" si="36"/>
        <v>11499.102776029669</v>
      </c>
      <c r="E2238" s="226" t="s">
        <v>5223</v>
      </c>
      <c r="G2238" s="127">
        <v>7902.51</v>
      </c>
    </row>
    <row r="2239" spans="1:7" ht="14.25" x14ac:dyDescent="0.2">
      <c r="A2239" s="243" t="s">
        <v>1676</v>
      </c>
      <c r="B2239" s="236" t="s">
        <v>1677</v>
      </c>
      <c r="C2239" s="243" t="s">
        <v>1530</v>
      </c>
      <c r="D2239" s="244">
        <f t="shared" si="36"/>
        <v>7296.3369985873815</v>
      </c>
      <c r="E2239" s="226" t="s">
        <v>5223</v>
      </c>
      <c r="G2239" s="127">
        <v>5014.25</v>
      </c>
    </row>
    <row r="2240" spans="1:7" ht="14.25" x14ac:dyDescent="0.2">
      <c r="A2240" s="243" t="s">
        <v>1678</v>
      </c>
      <c r="B2240" s="236" t="s">
        <v>1679</v>
      </c>
      <c r="C2240" s="243" t="s">
        <v>1530</v>
      </c>
      <c r="D2240" s="244">
        <f t="shared" si="36"/>
        <v>8916.0750657435001</v>
      </c>
      <c r="E2240" s="226" t="s">
        <v>5223</v>
      </c>
      <c r="G2240" s="127">
        <v>6127.38</v>
      </c>
    </row>
    <row r="2241" spans="1:10" ht="14.25" x14ac:dyDescent="0.2">
      <c r="A2241" s="243" t="s">
        <v>1680</v>
      </c>
      <c r="B2241" s="236" t="s">
        <v>1681</v>
      </c>
      <c r="C2241" s="243" t="s">
        <v>1530</v>
      </c>
      <c r="D2241" s="244">
        <f t="shared" si="36"/>
        <v>7141.9778364374788</v>
      </c>
      <c r="E2241" s="226" t="s">
        <v>5223</v>
      </c>
      <c r="G2241" s="127">
        <v>4908.17</v>
      </c>
    </row>
    <row r="2242" spans="1:10" ht="14.25" x14ac:dyDescent="0.2">
      <c r="A2242" s="243" t="s">
        <v>4609</v>
      </c>
      <c r="B2242" s="236" t="s">
        <v>4610</v>
      </c>
      <c r="C2242" s="243" t="s">
        <v>1530</v>
      </c>
      <c r="D2242" s="244">
        <f t="shared" si="36"/>
        <v>6453.0511271626738</v>
      </c>
      <c r="E2242" s="226" t="s">
        <v>5223</v>
      </c>
      <c r="G2242" s="151">
        <v>4434.72</v>
      </c>
    </row>
    <row r="2243" spans="1:10" ht="14.25" x14ac:dyDescent="0.2">
      <c r="A2243" s="243" t="s">
        <v>4611</v>
      </c>
      <c r="B2243" s="236" t="s">
        <v>4612</v>
      </c>
      <c r="C2243" s="243" t="s">
        <v>1530</v>
      </c>
      <c r="D2243" s="244">
        <f t="shared" si="36"/>
        <v>8082.0001058611078</v>
      </c>
      <c r="E2243" s="226" t="s">
        <v>5223</v>
      </c>
      <c r="G2243" s="151">
        <v>5554.18</v>
      </c>
    </row>
    <row r="2244" spans="1:10" ht="14.25" x14ac:dyDescent="0.2">
      <c r="A2244" s="243" t="s">
        <v>4613</v>
      </c>
      <c r="B2244" s="236" t="s">
        <v>4614</v>
      </c>
      <c r="C2244" s="243" t="s">
        <v>1530</v>
      </c>
      <c r="D2244" s="244">
        <f t="shared" si="36"/>
        <v>12361.727196332322</v>
      </c>
      <c r="E2244" s="226" t="s">
        <v>5223</v>
      </c>
      <c r="G2244" s="127">
        <v>8495.33</v>
      </c>
    </row>
    <row r="2245" spans="1:10" ht="14.25" x14ac:dyDescent="0.2">
      <c r="A2245" s="243" t="s">
        <v>4615</v>
      </c>
      <c r="B2245" s="236" t="s">
        <v>4616</v>
      </c>
      <c r="C2245" s="243" t="s">
        <v>1530</v>
      </c>
      <c r="D2245" s="244">
        <f t="shared" si="36"/>
        <v>10856.08511243576</v>
      </c>
      <c r="E2245" s="226" t="s">
        <v>5223</v>
      </c>
      <c r="G2245" s="127">
        <v>7460.61</v>
      </c>
    </row>
    <row r="2246" spans="1:10" ht="14.25" x14ac:dyDescent="0.2">
      <c r="A2246" s="243" t="s">
        <v>4617</v>
      </c>
      <c r="B2246" s="236" t="s">
        <v>4618</v>
      </c>
      <c r="C2246" s="243" t="s">
        <v>1530</v>
      </c>
      <c r="D2246" s="244">
        <f t="shared" si="36"/>
        <v>11303.898386866684</v>
      </c>
      <c r="E2246" s="226" t="s">
        <v>5223</v>
      </c>
      <c r="G2246" s="151">
        <v>7768.36</v>
      </c>
    </row>
    <row r="2247" spans="1:10" ht="14.25" x14ac:dyDescent="0.2">
      <c r="A2247" s="243" t="s">
        <v>4619</v>
      </c>
      <c r="B2247" s="236" t="s">
        <v>4620</v>
      </c>
      <c r="C2247" s="243" t="s">
        <v>1530</v>
      </c>
      <c r="D2247" s="244">
        <f t="shared" si="36"/>
        <v>18276.471117181503</v>
      </c>
      <c r="E2247" s="226" t="s">
        <v>5223</v>
      </c>
      <c r="G2247" s="151">
        <v>12560.11</v>
      </c>
    </row>
    <row r="2248" spans="1:10" ht="14.25" x14ac:dyDescent="0.2">
      <c r="A2248" s="243"/>
      <c r="B2248" s="236"/>
      <c r="C2248" s="243"/>
      <c r="D2248" s="244"/>
      <c r="G2248" s="151"/>
    </row>
    <row r="2249" spans="1:10" ht="15" x14ac:dyDescent="0.25">
      <c r="A2249" s="223" t="s">
        <v>4621</v>
      </c>
      <c r="B2249" s="236"/>
      <c r="C2249" s="243"/>
      <c r="D2249" s="112" t="s">
        <v>2763</v>
      </c>
      <c r="E2249" s="232" t="s">
        <v>7</v>
      </c>
      <c r="F2249" s="232"/>
      <c r="G2249" s="242" t="s">
        <v>4608</v>
      </c>
      <c r="I2249" s="231" t="s">
        <v>4622</v>
      </c>
      <c r="J2249" s="231" t="s">
        <v>4623</v>
      </c>
    </row>
    <row r="2250" spans="1:10" ht="14.25" x14ac:dyDescent="0.2">
      <c r="A2250" s="243" t="s">
        <v>4624</v>
      </c>
      <c r="B2250" s="236" t="s">
        <v>4625</v>
      </c>
      <c r="C2250" s="243" t="s">
        <v>1726</v>
      </c>
      <c r="D2250" s="244">
        <f>G2250*$J$5*(1+$D$3)</f>
        <v>188.86756388893707</v>
      </c>
      <c r="E2250" s="226" t="s">
        <v>5223</v>
      </c>
      <c r="G2250" s="127">
        <f>(((I2250*66)+(J2250*116.49))/182.49)*8</f>
        <v>129.79515370705244</v>
      </c>
      <c r="I2250" s="222">
        <v>35.1</v>
      </c>
      <c r="J2250" s="222">
        <v>5.53</v>
      </c>
    </row>
    <row r="2251" spans="1:10" ht="14.25" x14ac:dyDescent="0.2">
      <c r="A2251" s="243" t="s">
        <v>1682</v>
      </c>
      <c r="B2251" s="236" t="s">
        <v>4626</v>
      </c>
      <c r="C2251" s="243" t="s">
        <v>1726</v>
      </c>
      <c r="D2251" s="244">
        <f>G2251*$J$5*(1+$D$3)</f>
        <v>466.845537587862</v>
      </c>
      <c r="E2251" s="226" t="s">
        <v>5223</v>
      </c>
      <c r="G2251" s="127">
        <f>(((I2251*66)+(J2251*116.49))/182.49)*8</f>
        <v>320.82951175406873</v>
      </c>
      <c r="I2251" s="222">
        <v>70.680000000000007</v>
      </c>
      <c r="J2251" s="222">
        <v>22.78</v>
      </c>
    </row>
    <row r="2252" spans="1:10" ht="14.25" x14ac:dyDescent="0.2">
      <c r="A2252" s="243" t="s">
        <v>1683</v>
      </c>
      <c r="B2252" s="236" t="s">
        <v>4627</v>
      </c>
      <c r="C2252" s="243" t="s">
        <v>1726</v>
      </c>
      <c r="D2252" s="244">
        <f>G2252*$J$5*(1+$D$3)</f>
        <v>558.44349266598181</v>
      </c>
      <c r="E2252" s="226" t="s">
        <v>5223</v>
      </c>
      <c r="G2252" s="127">
        <f>(((I2252*66)+(J2252*116.49))/182.49)*8</f>
        <v>383.77822784810127</v>
      </c>
      <c r="I2252" s="222">
        <v>66.650000000000006</v>
      </c>
      <c r="J2252" s="222">
        <v>37.39</v>
      </c>
    </row>
    <row r="2253" spans="1:10" ht="14.25" x14ac:dyDescent="0.2">
      <c r="A2253" s="243"/>
      <c r="B2253" s="236"/>
      <c r="C2253" s="243"/>
      <c r="D2253" s="244"/>
      <c r="G2253" s="127"/>
    </row>
    <row r="2254" spans="1:10" ht="15" x14ac:dyDescent="0.25">
      <c r="A2254" s="223" t="s">
        <v>4628</v>
      </c>
      <c r="B2254" s="236"/>
      <c r="C2254" s="243"/>
      <c r="D2254" s="112" t="s">
        <v>2763</v>
      </c>
      <c r="E2254" s="232" t="s">
        <v>7</v>
      </c>
      <c r="F2254" s="232"/>
      <c r="G2254" s="127"/>
    </row>
    <row r="2255" spans="1:10" ht="14.25" x14ac:dyDescent="0.2">
      <c r="A2255" s="243" t="s">
        <v>1754</v>
      </c>
      <c r="B2255" s="236" t="s">
        <v>1755</v>
      </c>
      <c r="C2255" s="243" t="s">
        <v>1726</v>
      </c>
      <c r="D2255" s="245">
        <f>INDEX(Estadia!$D$2:$D$28,MATCH(RIGHT(A2255,3),Estadia!$A$2:$A$28,0))</f>
        <v>200.6</v>
      </c>
      <c r="E2255" s="226" t="s">
        <v>1911</v>
      </c>
    </row>
    <row r="2256" spans="1:10" ht="14.25" x14ac:dyDescent="0.2">
      <c r="A2256" s="243" t="s">
        <v>1756</v>
      </c>
      <c r="B2256" s="236" t="s">
        <v>1757</v>
      </c>
      <c r="C2256" s="243" t="s">
        <v>1726</v>
      </c>
      <c r="D2256" s="245">
        <f>INDEX(Estadia!$D$2:$D$28,MATCH(RIGHT(A2256,3),Estadia!$A$2:$A$28,0))</f>
        <v>200.6</v>
      </c>
      <c r="E2256" s="226" t="s">
        <v>1911</v>
      </c>
    </row>
    <row r="2257" spans="1:5" ht="14.25" x14ac:dyDescent="0.2">
      <c r="A2257" s="243" t="s">
        <v>1758</v>
      </c>
      <c r="B2257" s="236" t="s">
        <v>1759</v>
      </c>
      <c r="C2257" s="243" t="s">
        <v>1726</v>
      </c>
      <c r="D2257" s="245">
        <f>INDEX(Estadia!$D$2:$D$28,MATCH(RIGHT(A2257,3),Estadia!$A$2:$A$28,0))</f>
        <v>200.6</v>
      </c>
      <c r="E2257" s="226" t="s">
        <v>1911</v>
      </c>
    </row>
    <row r="2258" spans="1:5" ht="14.25" x14ac:dyDescent="0.2">
      <c r="A2258" s="243" t="s">
        <v>1760</v>
      </c>
      <c r="B2258" s="236" t="s">
        <v>1761</v>
      </c>
      <c r="C2258" s="243" t="s">
        <v>1726</v>
      </c>
      <c r="D2258" s="245">
        <f>INDEX(Estadia!$D$2:$D$28,MATCH(RIGHT(A2258,3),Estadia!$A$2:$A$28,0))</f>
        <v>194.7</v>
      </c>
      <c r="E2258" s="226" t="s">
        <v>1911</v>
      </c>
    </row>
    <row r="2259" spans="1:5" ht="14.25" x14ac:dyDescent="0.2">
      <c r="A2259" s="243" t="s">
        <v>1762</v>
      </c>
      <c r="B2259" s="236" t="s">
        <v>1763</v>
      </c>
      <c r="C2259" s="243" t="s">
        <v>1726</v>
      </c>
      <c r="D2259" s="245">
        <f>INDEX(Estadia!$D$2:$D$28,MATCH(RIGHT(A2259,3),Estadia!$A$2:$A$28,0))</f>
        <v>194.7</v>
      </c>
      <c r="E2259" s="226" t="s">
        <v>1911</v>
      </c>
    </row>
    <row r="2260" spans="1:5" ht="14.25" x14ac:dyDescent="0.2">
      <c r="A2260" s="243" t="s">
        <v>1764</v>
      </c>
      <c r="B2260" s="236" t="s">
        <v>1765</v>
      </c>
      <c r="C2260" s="243" t="s">
        <v>1726</v>
      </c>
      <c r="D2260" s="245">
        <f>INDEX(Estadia!$D$2:$D$28,MATCH(RIGHT(A2260,3),Estadia!$A$2:$A$28,0))</f>
        <v>194.7</v>
      </c>
      <c r="E2260" s="226" t="s">
        <v>1911</v>
      </c>
    </row>
    <row r="2261" spans="1:5" ht="14.25" x14ac:dyDescent="0.2">
      <c r="A2261" s="243" t="s">
        <v>1766</v>
      </c>
      <c r="B2261" s="236" t="s">
        <v>1767</v>
      </c>
      <c r="C2261" s="243" t="s">
        <v>1726</v>
      </c>
      <c r="D2261" s="245">
        <f>INDEX(Estadia!$D$2:$D$28,MATCH(RIGHT(A2261,3),Estadia!$A$2:$A$28,0))</f>
        <v>194.7</v>
      </c>
      <c r="E2261" s="226" t="s">
        <v>1911</v>
      </c>
    </row>
    <row r="2262" spans="1:5" ht="14.25" x14ac:dyDescent="0.2">
      <c r="A2262" s="243" t="s">
        <v>1768</v>
      </c>
      <c r="B2262" s="236" t="s">
        <v>1769</v>
      </c>
      <c r="C2262" s="243" t="s">
        <v>1726</v>
      </c>
      <c r="D2262" s="245">
        <f>INDEX(Estadia!$D$2:$D$28,MATCH(RIGHT(A2262,3),Estadia!$A$2:$A$28,0))</f>
        <v>194.7</v>
      </c>
      <c r="E2262" s="226" t="s">
        <v>1911</v>
      </c>
    </row>
    <row r="2263" spans="1:5" ht="14.25" x14ac:dyDescent="0.2">
      <c r="A2263" s="243" t="s">
        <v>1807</v>
      </c>
      <c r="B2263" s="236" t="s">
        <v>1770</v>
      </c>
      <c r="C2263" s="243" t="s">
        <v>1726</v>
      </c>
      <c r="D2263" s="245">
        <f>INDEX(Estadia!$D$2:$D$28,MATCH(RIGHT(A2263,3),Estadia!$A$2:$A$28,0))</f>
        <v>194.7</v>
      </c>
      <c r="E2263" s="226" t="s">
        <v>1911</v>
      </c>
    </row>
    <row r="2264" spans="1:5" ht="14.25" x14ac:dyDescent="0.2">
      <c r="A2264" s="243" t="s">
        <v>1771</v>
      </c>
      <c r="B2264" s="236" t="s">
        <v>1772</v>
      </c>
      <c r="C2264" s="243" t="s">
        <v>1726</v>
      </c>
      <c r="D2264" s="245">
        <f>INDEX(Estadia!$D$2:$D$28,MATCH(RIGHT(A2264,3),Estadia!$A$2:$A$28,0))</f>
        <v>188.8</v>
      </c>
      <c r="E2264" s="226" t="s">
        <v>1911</v>
      </c>
    </row>
    <row r="2265" spans="1:5" ht="14.25" x14ac:dyDescent="0.2">
      <c r="A2265" s="243" t="s">
        <v>1773</v>
      </c>
      <c r="B2265" s="236" t="s">
        <v>1774</v>
      </c>
      <c r="C2265" s="243" t="s">
        <v>1726</v>
      </c>
      <c r="D2265" s="245">
        <f>INDEX(Estadia!$D$2:$D$28,MATCH(RIGHT(A2265,3),Estadia!$A$2:$A$28,0))</f>
        <v>188.8</v>
      </c>
      <c r="E2265" s="226" t="s">
        <v>1911</v>
      </c>
    </row>
    <row r="2266" spans="1:5" ht="14.25" x14ac:dyDescent="0.2">
      <c r="A2266" s="243" t="s">
        <v>1775</v>
      </c>
      <c r="B2266" s="236" t="s">
        <v>1776</v>
      </c>
      <c r="C2266" s="243" t="s">
        <v>1726</v>
      </c>
      <c r="D2266" s="245">
        <f>INDEX(Estadia!$D$2:$D$28,MATCH(RIGHT(A2266,3),Estadia!$A$2:$A$28,0))</f>
        <v>188.8</v>
      </c>
      <c r="E2266" s="226" t="s">
        <v>1911</v>
      </c>
    </row>
    <row r="2267" spans="1:5" ht="14.25" x14ac:dyDescent="0.2">
      <c r="A2267" s="243" t="s">
        <v>1777</v>
      </c>
      <c r="B2267" s="236" t="s">
        <v>1778</v>
      </c>
      <c r="C2267" s="243" t="s">
        <v>1726</v>
      </c>
      <c r="D2267" s="245">
        <f>INDEX(Estadia!$D$2:$D$28,MATCH(RIGHT(A2267,3),Estadia!$A$2:$A$28,0))</f>
        <v>188.8</v>
      </c>
      <c r="E2267" s="226" t="s">
        <v>1911</v>
      </c>
    </row>
    <row r="2268" spans="1:5" ht="14.25" x14ac:dyDescent="0.2">
      <c r="A2268" s="243" t="s">
        <v>1779</v>
      </c>
      <c r="B2268" s="236" t="s">
        <v>1780</v>
      </c>
      <c r="C2268" s="243" t="s">
        <v>1726</v>
      </c>
      <c r="D2268" s="245">
        <f>INDEX(Estadia!$D$2:$D$28,MATCH(RIGHT(A2268,3),Estadia!$A$2:$A$28,0))</f>
        <v>188.8</v>
      </c>
      <c r="E2268" s="226" t="s">
        <v>1911</v>
      </c>
    </row>
    <row r="2269" spans="1:5" ht="14.25" x14ac:dyDescent="0.2">
      <c r="A2269" s="243" t="s">
        <v>1781</v>
      </c>
      <c r="B2269" s="236" t="s">
        <v>1782</v>
      </c>
      <c r="C2269" s="243" t="s">
        <v>1726</v>
      </c>
      <c r="D2269" s="245">
        <f>INDEX(Estadia!$D$2:$D$28,MATCH(RIGHT(A2269,3),Estadia!$A$2:$A$28,0))</f>
        <v>188.8</v>
      </c>
      <c r="E2269" s="226" t="s">
        <v>1911</v>
      </c>
    </row>
    <row r="2270" spans="1:5" ht="14.25" x14ac:dyDescent="0.2">
      <c r="A2270" s="243" t="s">
        <v>1783</v>
      </c>
      <c r="B2270" s="236" t="s">
        <v>1784</v>
      </c>
      <c r="C2270" s="243" t="s">
        <v>1726</v>
      </c>
      <c r="D2270" s="245">
        <f>INDEX(Estadia!$D$2:$D$28,MATCH(RIGHT(A2270,3),Estadia!$A$2:$A$28,0))</f>
        <v>188.8</v>
      </c>
      <c r="E2270" s="226" t="s">
        <v>1911</v>
      </c>
    </row>
    <row r="2271" spans="1:5" ht="14.25" x14ac:dyDescent="0.2">
      <c r="A2271" s="243" t="s">
        <v>1785</v>
      </c>
      <c r="B2271" s="236" t="s">
        <v>1786</v>
      </c>
      <c r="C2271" s="243" t="s">
        <v>1726</v>
      </c>
      <c r="D2271" s="245">
        <f>INDEX(Estadia!$D$2:$D$28,MATCH(RIGHT(A2271,3),Estadia!$A$2:$A$28,0))</f>
        <v>188.8</v>
      </c>
      <c r="E2271" s="226" t="s">
        <v>1911</v>
      </c>
    </row>
    <row r="2272" spans="1:5" ht="14.25" x14ac:dyDescent="0.2">
      <c r="A2272" s="243" t="s">
        <v>1787</v>
      </c>
      <c r="B2272" s="236" t="s">
        <v>1788</v>
      </c>
      <c r="C2272" s="243" t="s">
        <v>1726</v>
      </c>
      <c r="D2272" s="245">
        <f>INDEX(Estadia!$D$2:$D$28,MATCH(RIGHT(A2272,3),Estadia!$A$2:$A$28,0))</f>
        <v>188.8</v>
      </c>
      <c r="E2272" s="226" t="s">
        <v>1911</v>
      </c>
    </row>
    <row r="2273" spans="1:11" ht="14.25" x14ac:dyDescent="0.2">
      <c r="A2273" s="243" t="s">
        <v>1789</v>
      </c>
      <c r="B2273" s="236" t="s">
        <v>1790</v>
      </c>
      <c r="C2273" s="243" t="s">
        <v>1726</v>
      </c>
      <c r="D2273" s="245">
        <f>INDEX(Estadia!$D$2:$D$28,MATCH(RIGHT(A2273,3),Estadia!$A$2:$A$28,0))</f>
        <v>188.8</v>
      </c>
      <c r="E2273" s="226" t="s">
        <v>1911</v>
      </c>
    </row>
    <row r="2274" spans="1:11" ht="14.25" x14ac:dyDescent="0.2">
      <c r="A2274" s="243" t="s">
        <v>1791</v>
      </c>
      <c r="B2274" s="236" t="s">
        <v>1792</v>
      </c>
      <c r="C2274" s="243" t="s">
        <v>1726</v>
      </c>
      <c r="D2274" s="245">
        <f>INDEX(Estadia!$D$2:$D$28,MATCH(RIGHT(A2274,3),Estadia!$A$2:$A$28,0))</f>
        <v>188.8</v>
      </c>
      <c r="E2274" s="226" t="s">
        <v>1911</v>
      </c>
    </row>
    <row r="2275" spans="1:11" ht="14.25" x14ac:dyDescent="0.2">
      <c r="A2275" s="243" t="s">
        <v>1793</v>
      </c>
      <c r="B2275" s="236" t="s">
        <v>1794</v>
      </c>
      <c r="C2275" s="243" t="s">
        <v>1726</v>
      </c>
      <c r="D2275" s="245">
        <f>INDEX(Estadia!$D$2:$D$28,MATCH(RIGHT(A2275,3),Estadia!$A$2:$A$28,0))</f>
        <v>188.8</v>
      </c>
      <c r="E2275" s="226" t="s">
        <v>1911</v>
      </c>
    </row>
    <row r="2276" spans="1:11" ht="14.25" x14ac:dyDescent="0.2">
      <c r="A2276" s="243" t="s">
        <v>1795</v>
      </c>
      <c r="B2276" s="236" t="s">
        <v>1796</v>
      </c>
      <c r="C2276" s="243" t="s">
        <v>1726</v>
      </c>
      <c r="D2276" s="245">
        <f>INDEX(Estadia!$D$2:$D$28,MATCH(RIGHT(A2276,3),Estadia!$A$2:$A$28,0))</f>
        <v>188.8</v>
      </c>
      <c r="E2276" s="226" t="s">
        <v>1911</v>
      </c>
    </row>
    <row r="2277" spans="1:11" ht="14.25" x14ac:dyDescent="0.2">
      <c r="A2277" s="243" t="s">
        <v>1797</v>
      </c>
      <c r="B2277" s="236" t="s">
        <v>1798</v>
      </c>
      <c r="C2277" s="243" t="s">
        <v>1726</v>
      </c>
      <c r="D2277" s="245">
        <f>INDEX(Estadia!$D$2:$D$28,MATCH(RIGHT(A2277,3),Estadia!$A$2:$A$28,0))</f>
        <v>188.8</v>
      </c>
      <c r="E2277" s="226" t="s">
        <v>1911</v>
      </c>
    </row>
    <row r="2278" spans="1:11" ht="14.25" x14ac:dyDescent="0.2">
      <c r="A2278" s="243" t="s">
        <v>1799</v>
      </c>
      <c r="B2278" s="236" t="s">
        <v>1800</v>
      </c>
      <c r="C2278" s="243" t="s">
        <v>1726</v>
      </c>
      <c r="D2278" s="245">
        <f>INDEX(Estadia!$D$2:$D$28,MATCH(RIGHT(A2278,3),Estadia!$A$2:$A$28,0))</f>
        <v>188.8</v>
      </c>
      <c r="E2278" s="226" t="s">
        <v>1911</v>
      </c>
    </row>
    <row r="2279" spans="1:11" ht="14.25" x14ac:dyDescent="0.2">
      <c r="A2279" s="243" t="s">
        <v>1801</v>
      </c>
      <c r="B2279" s="236" t="s">
        <v>1802</v>
      </c>
      <c r="C2279" s="243" t="s">
        <v>1726</v>
      </c>
      <c r="D2279" s="245">
        <f>INDEX(Estadia!$D$2:$D$28,MATCH(RIGHT(A2279,3),Estadia!$A$2:$A$28,0))</f>
        <v>188.8</v>
      </c>
      <c r="E2279" s="226" t="s">
        <v>1911</v>
      </c>
    </row>
    <row r="2280" spans="1:11" ht="14.25" x14ac:dyDescent="0.2">
      <c r="A2280" s="243" t="s">
        <v>1803</v>
      </c>
      <c r="B2280" s="236" t="s">
        <v>1804</v>
      </c>
      <c r="C2280" s="243" t="s">
        <v>1726</v>
      </c>
      <c r="D2280" s="245">
        <f>INDEX(Estadia!$D$2:$D$28,MATCH(RIGHT(A2280,3),Estadia!$A$2:$A$28,0))</f>
        <v>188.8</v>
      </c>
      <c r="E2280" s="226" t="s">
        <v>1911</v>
      </c>
    </row>
    <row r="2281" spans="1:11" ht="14.25" x14ac:dyDescent="0.2">
      <c r="A2281" s="243" t="s">
        <v>1805</v>
      </c>
      <c r="B2281" s="236" t="s">
        <v>1806</v>
      </c>
      <c r="C2281" s="243" t="s">
        <v>1726</v>
      </c>
      <c r="D2281" s="245">
        <f>INDEX(Estadia!$D$2:$D$28,MATCH(RIGHT(A2281,3),Estadia!$A$2:$A$28,0))</f>
        <v>188.8</v>
      </c>
      <c r="E2281" s="226" t="s">
        <v>1911</v>
      </c>
    </row>
    <row r="2282" spans="1:11" ht="15" x14ac:dyDescent="0.25">
      <c r="A2282" s="243"/>
      <c r="B2282" s="236"/>
      <c r="C2282" s="243"/>
      <c r="D2282" s="112"/>
      <c r="E2282" s="232"/>
      <c r="F2282" s="232"/>
      <c r="I2282" s="32" t="s">
        <v>4629</v>
      </c>
      <c r="J2282" s="32" t="s">
        <v>4630</v>
      </c>
      <c r="K2282" s="32" t="s">
        <v>4631</v>
      </c>
    </row>
    <row r="2283" spans="1:11" ht="14.25" x14ac:dyDescent="0.2">
      <c r="A2283" s="243" t="s">
        <v>4632</v>
      </c>
      <c r="B2283" s="236" t="s">
        <v>1889</v>
      </c>
      <c r="C2283" s="243" t="s">
        <v>28</v>
      </c>
      <c r="D2283" s="245">
        <f>MIN(I2283:K2283)</f>
        <v>1999.9</v>
      </c>
      <c r="E2283" s="226" t="s">
        <v>4633</v>
      </c>
      <c r="I2283" s="246">
        <v>2358.2399999999998</v>
      </c>
      <c r="J2283" s="246">
        <v>2158.92</v>
      </c>
      <c r="K2283" s="246">
        <v>1999.9</v>
      </c>
    </row>
    <row r="2284" spans="1:11" ht="15" x14ac:dyDescent="0.25">
      <c r="A2284" s="243"/>
      <c r="B2284" s="236"/>
      <c r="C2284" s="243"/>
      <c r="D2284" s="112"/>
      <c r="E2284" s="232"/>
      <c r="F2284" s="232"/>
      <c r="I2284" s="243" t="s">
        <v>5268</v>
      </c>
      <c r="J2284" s="243" t="s">
        <v>5267</v>
      </c>
      <c r="K2284" s="243" t="s">
        <v>5266</v>
      </c>
    </row>
    <row r="2285" spans="1:11" ht="14.25" x14ac:dyDescent="0.2">
      <c r="A2285" s="243" t="s">
        <v>4634</v>
      </c>
      <c r="B2285" s="236" t="s">
        <v>1809</v>
      </c>
      <c r="C2285" s="243" t="s">
        <v>1808</v>
      </c>
      <c r="D2285" s="245">
        <f>Passagens!B31</f>
        <v>961.25</v>
      </c>
      <c r="E2285" s="226" t="s">
        <v>4633</v>
      </c>
    </row>
    <row r="2286" spans="1:11" ht="14.25" x14ac:dyDescent="0.2">
      <c r="A2286" s="243" t="s">
        <v>4635</v>
      </c>
      <c r="B2286" s="236" t="s">
        <v>1810</v>
      </c>
      <c r="C2286" s="243" t="s">
        <v>1808</v>
      </c>
      <c r="D2286" s="245"/>
      <c r="E2286" s="226" t="s">
        <v>4633</v>
      </c>
    </row>
    <row r="2287" spans="1:11" ht="14.25" x14ac:dyDescent="0.2">
      <c r="A2287" s="243" t="s">
        <v>4636</v>
      </c>
      <c r="B2287" s="236" t="s">
        <v>1811</v>
      </c>
      <c r="C2287" s="243" t="s">
        <v>1808</v>
      </c>
      <c r="D2287" s="245">
        <f>Passagens!B4</f>
        <v>754.75</v>
      </c>
      <c r="E2287" s="226" t="s">
        <v>4633</v>
      </c>
    </row>
    <row r="2288" spans="1:11" ht="14.25" x14ac:dyDescent="0.2">
      <c r="A2288" s="243" t="s">
        <v>4637</v>
      </c>
      <c r="B2288" s="236" t="s">
        <v>1812</v>
      </c>
      <c r="C2288" s="243" t="s">
        <v>1808</v>
      </c>
      <c r="D2288" s="245"/>
      <c r="E2288" s="226" t="s">
        <v>4633</v>
      </c>
    </row>
    <row r="2289" spans="1:5" ht="14.25" x14ac:dyDescent="0.2">
      <c r="A2289" s="243" t="s">
        <v>4638</v>
      </c>
      <c r="B2289" s="236" t="s">
        <v>1813</v>
      </c>
      <c r="C2289" s="243" t="s">
        <v>1808</v>
      </c>
      <c r="D2289" s="245"/>
      <c r="E2289" s="226" t="s">
        <v>4633</v>
      </c>
    </row>
    <row r="2290" spans="1:5" ht="14.25" x14ac:dyDescent="0.2">
      <c r="A2290" s="243" t="s">
        <v>4639</v>
      </c>
      <c r="B2290" s="236" t="s">
        <v>1814</v>
      </c>
      <c r="C2290" s="243" t="s">
        <v>1808</v>
      </c>
      <c r="D2290" s="245"/>
      <c r="E2290" s="226" t="s">
        <v>4633</v>
      </c>
    </row>
    <row r="2291" spans="1:5" ht="14.25" x14ac:dyDescent="0.2">
      <c r="A2291" s="243" t="s">
        <v>4640</v>
      </c>
      <c r="B2291" s="236" t="s">
        <v>1815</v>
      </c>
      <c r="C2291" s="243" t="s">
        <v>1808</v>
      </c>
      <c r="D2291" s="245"/>
      <c r="E2291" s="226" t="s">
        <v>4633</v>
      </c>
    </row>
    <row r="2292" spans="1:5" ht="14.25" x14ac:dyDescent="0.2">
      <c r="A2292" s="243" t="s">
        <v>4641</v>
      </c>
      <c r="B2292" s="236" t="s">
        <v>1816</v>
      </c>
      <c r="C2292" s="243" t="s">
        <v>1808</v>
      </c>
      <c r="D2292" s="245"/>
      <c r="E2292" s="226" t="s">
        <v>4633</v>
      </c>
    </row>
    <row r="2293" spans="1:5" ht="14.25" x14ac:dyDescent="0.2">
      <c r="A2293" s="243" t="s">
        <v>4642</v>
      </c>
      <c r="B2293" s="236" t="s">
        <v>1817</v>
      </c>
      <c r="C2293" s="243" t="s">
        <v>1808</v>
      </c>
      <c r="D2293" s="245"/>
      <c r="E2293" s="226" t="s">
        <v>4633</v>
      </c>
    </row>
    <row r="2294" spans="1:5" ht="14.25" x14ac:dyDescent="0.2">
      <c r="A2294" s="243" t="s">
        <v>4643</v>
      </c>
      <c r="B2294" s="236" t="s">
        <v>1818</v>
      </c>
      <c r="C2294" s="243" t="s">
        <v>1808</v>
      </c>
      <c r="D2294" s="245"/>
      <c r="E2294" s="226" t="s">
        <v>4633</v>
      </c>
    </row>
    <row r="2295" spans="1:5" ht="14.25" x14ac:dyDescent="0.2">
      <c r="A2295" s="243" t="s">
        <v>4644</v>
      </c>
      <c r="B2295" s="236" t="s">
        <v>1819</v>
      </c>
      <c r="C2295" s="243" t="s">
        <v>1808</v>
      </c>
      <c r="D2295" s="245"/>
      <c r="E2295" s="226" t="s">
        <v>4633</v>
      </c>
    </row>
    <row r="2296" spans="1:5" ht="14.25" x14ac:dyDescent="0.2">
      <c r="A2296" s="243" t="s">
        <v>4645</v>
      </c>
      <c r="B2296" s="236" t="s">
        <v>1820</v>
      </c>
      <c r="C2296" s="243" t="s">
        <v>1808</v>
      </c>
      <c r="D2296" s="245"/>
      <c r="E2296" s="226" t="s">
        <v>4633</v>
      </c>
    </row>
    <row r="2297" spans="1:5" ht="14.25" x14ac:dyDescent="0.2">
      <c r="A2297" s="243" t="s">
        <v>4646</v>
      </c>
      <c r="B2297" s="236" t="s">
        <v>1821</v>
      </c>
      <c r="C2297" s="243" t="s">
        <v>1808</v>
      </c>
      <c r="D2297" s="245"/>
      <c r="E2297" s="226" t="s">
        <v>4633</v>
      </c>
    </row>
    <row r="2298" spans="1:5" ht="14.25" x14ac:dyDescent="0.2">
      <c r="A2298" s="243" t="s">
        <v>4647</v>
      </c>
      <c r="B2298" s="236" t="s">
        <v>1822</v>
      </c>
      <c r="C2298" s="243" t="s">
        <v>1808</v>
      </c>
      <c r="D2298" s="245"/>
      <c r="E2298" s="226" t="s">
        <v>4633</v>
      </c>
    </row>
    <row r="2299" spans="1:5" ht="14.25" x14ac:dyDescent="0.2">
      <c r="A2299" s="243" t="s">
        <v>4648</v>
      </c>
      <c r="B2299" s="236" t="s">
        <v>1823</v>
      </c>
      <c r="C2299" s="243" t="s">
        <v>1808</v>
      </c>
      <c r="D2299" s="245"/>
      <c r="E2299" s="226" t="s">
        <v>4633</v>
      </c>
    </row>
    <row r="2300" spans="1:5" ht="14.25" x14ac:dyDescent="0.2">
      <c r="A2300" s="243" t="s">
        <v>4649</v>
      </c>
      <c r="B2300" s="236" t="s">
        <v>1824</v>
      </c>
      <c r="C2300" s="243" t="s">
        <v>1808</v>
      </c>
      <c r="D2300" s="245">
        <f>Passagens!B13</f>
        <v>824.7</v>
      </c>
      <c r="E2300" s="226" t="s">
        <v>4633</v>
      </c>
    </row>
    <row r="2301" spans="1:5" ht="14.25" x14ac:dyDescent="0.2">
      <c r="A2301" s="243" t="s">
        <v>4650</v>
      </c>
      <c r="B2301" s="236" t="s">
        <v>1825</v>
      </c>
      <c r="C2301" s="243" t="s">
        <v>1808</v>
      </c>
      <c r="D2301" s="245"/>
      <c r="E2301" s="226" t="s">
        <v>4633</v>
      </c>
    </row>
    <row r="2302" spans="1:5" ht="14.25" x14ac:dyDescent="0.2">
      <c r="A2302" s="243" t="s">
        <v>4651</v>
      </c>
      <c r="B2302" s="236" t="s">
        <v>1826</v>
      </c>
      <c r="C2302" s="243" t="s">
        <v>1808</v>
      </c>
      <c r="D2302" s="245"/>
      <c r="E2302" s="226" t="s">
        <v>4633</v>
      </c>
    </row>
    <row r="2303" spans="1:5" ht="14.25" x14ac:dyDescent="0.2">
      <c r="A2303" s="243" t="s">
        <v>4652</v>
      </c>
      <c r="B2303" s="236" t="s">
        <v>1827</v>
      </c>
      <c r="C2303" s="243" t="s">
        <v>1808</v>
      </c>
      <c r="D2303" s="245"/>
      <c r="E2303" s="226" t="s">
        <v>4633</v>
      </c>
    </row>
    <row r="2304" spans="1:5" ht="14.25" x14ac:dyDescent="0.2">
      <c r="A2304" s="243" t="s">
        <v>4653</v>
      </c>
      <c r="B2304" s="236" t="s">
        <v>1828</v>
      </c>
      <c r="C2304" s="243" t="s">
        <v>1808</v>
      </c>
      <c r="D2304" s="245"/>
      <c r="E2304" s="226" t="s">
        <v>4633</v>
      </c>
    </row>
    <row r="2305" spans="1:7" ht="14.25" x14ac:dyDescent="0.2">
      <c r="A2305" s="243" t="s">
        <v>4654</v>
      </c>
      <c r="B2305" s="236" t="s">
        <v>1829</v>
      </c>
      <c r="C2305" s="243" t="s">
        <v>1808</v>
      </c>
      <c r="D2305" s="245"/>
      <c r="E2305" s="226" t="s">
        <v>4633</v>
      </c>
    </row>
    <row r="2306" spans="1:7" ht="14.25" x14ac:dyDescent="0.2">
      <c r="A2306" s="243" t="s">
        <v>4655</v>
      </c>
      <c r="B2306" s="236" t="s">
        <v>1830</v>
      </c>
      <c r="C2306" s="243" t="s">
        <v>1808</v>
      </c>
      <c r="D2306" s="245"/>
      <c r="E2306" s="226" t="s">
        <v>4633</v>
      </c>
    </row>
    <row r="2307" spans="1:7" ht="14.25" x14ac:dyDescent="0.2">
      <c r="A2307" s="243" t="s">
        <v>4656</v>
      </c>
      <c r="B2307" s="236" t="s">
        <v>1831</v>
      </c>
      <c r="C2307" s="243" t="s">
        <v>1808</v>
      </c>
      <c r="D2307" s="245"/>
      <c r="E2307" s="226" t="s">
        <v>4633</v>
      </c>
    </row>
    <row r="2308" spans="1:7" ht="14.25" x14ac:dyDescent="0.2">
      <c r="A2308" s="243" t="s">
        <v>4657</v>
      </c>
      <c r="B2308" s="236" t="s">
        <v>1832</v>
      </c>
      <c r="C2308" s="243" t="s">
        <v>1808</v>
      </c>
      <c r="D2308" s="245"/>
      <c r="E2308" s="226" t="s">
        <v>4633</v>
      </c>
    </row>
    <row r="2309" spans="1:7" ht="14.25" x14ac:dyDescent="0.2">
      <c r="A2309" s="243" t="s">
        <v>4658</v>
      </c>
      <c r="B2309" s="236" t="s">
        <v>1833</v>
      </c>
      <c r="C2309" s="243" t="s">
        <v>1808</v>
      </c>
      <c r="D2309" s="245"/>
      <c r="E2309" s="226" t="s">
        <v>4633</v>
      </c>
    </row>
    <row r="2310" spans="1:7" ht="14.25" x14ac:dyDescent="0.2">
      <c r="A2310" s="243" t="s">
        <v>4659</v>
      </c>
      <c r="B2310" s="236" t="s">
        <v>1834</v>
      </c>
      <c r="C2310" s="243" t="s">
        <v>1808</v>
      </c>
      <c r="D2310" s="245"/>
      <c r="E2310" s="226" t="s">
        <v>4633</v>
      </c>
    </row>
    <row r="2311" spans="1:7" ht="14.25" x14ac:dyDescent="0.2">
      <c r="A2311" s="243" t="s">
        <v>4660</v>
      </c>
      <c r="B2311" s="236" t="s">
        <v>1835</v>
      </c>
      <c r="C2311" s="243" t="s">
        <v>1808</v>
      </c>
      <c r="D2311" s="245"/>
      <c r="E2311" s="226" t="s">
        <v>4633</v>
      </c>
    </row>
    <row r="2312" spans="1:7" ht="14.25" x14ac:dyDescent="0.2">
      <c r="A2312" s="247" t="s">
        <v>1836</v>
      </c>
      <c r="B2312" s="248" t="str">
        <f>"Passagem aérea (ida e volta) - destino "&amp;INDEX(Referência!$D$16:$D$18,MATCH(VALUE(RIGHT(A2312)),Referência!$C$16:$C$18,0))</f>
        <v>Passagem aérea (ida e volta) - destino RJ</v>
      </c>
      <c r="C2312" s="247" t="s">
        <v>1808</v>
      </c>
      <c r="D2312" s="249">
        <f>INDEX($D$2285:$D$2311,MATCH("PASS - "&amp;RIGHT(B2312,2),$A$2285:$A$2311,0))</f>
        <v>754.75</v>
      </c>
      <c r="E2312" s="250" t="s">
        <v>4633</v>
      </c>
    </row>
    <row r="2313" spans="1:7" ht="14.25" x14ac:dyDescent="0.2">
      <c r="A2313" s="243" t="s">
        <v>1837</v>
      </c>
      <c r="B2313" s="497" t="str">
        <f>"Passagem aérea (ida e volta) - destino "&amp;INDEX(Referência!$D$16:$D$18,MATCH(VALUE(RIGHT(A2313)),Referência!$C$16:$C$18,0))</f>
        <v>Passagem aérea (ida e volta) - destino MT</v>
      </c>
      <c r="C2313" s="243" t="s">
        <v>1808</v>
      </c>
      <c r="D2313" s="127">
        <f>INDEX($D$2285:$D$2311,MATCH("PASS - "&amp;RIGHT(B2313,2),$A$2285:$A$2311,0))</f>
        <v>824.7</v>
      </c>
      <c r="E2313" s="226" t="s">
        <v>4633</v>
      </c>
    </row>
    <row r="2314" spans="1:7" ht="14.25" x14ac:dyDescent="0.2">
      <c r="A2314" s="235"/>
      <c r="B2314" s="236"/>
      <c r="C2314" s="235"/>
      <c r="D2314" s="113"/>
    </row>
    <row r="2315" spans="1:7" ht="15" x14ac:dyDescent="0.25">
      <c r="A2315" s="223" t="s">
        <v>4661</v>
      </c>
      <c r="D2315" s="112" t="s">
        <v>2763</v>
      </c>
      <c r="E2315" s="232" t="s">
        <v>7</v>
      </c>
      <c r="F2315" s="232"/>
      <c r="G2315" s="242" t="s">
        <v>4608</v>
      </c>
    </row>
    <row r="2316" spans="1:7" ht="14.25" x14ac:dyDescent="0.2">
      <c r="A2316" s="243" t="s">
        <v>1838</v>
      </c>
      <c r="B2316" s="222" t="s">
        <v>4662</v>
      </c>
      <c r="C2316" s="243" t="s">
        <v>4663</v>
      </c>
      <c r="D2316" s="251">
        <f t="shared" ref="D2316:D2325" si="37">G2316*$J$5*(1+$D$3)</f>
        <v>59.907303032725231</v>
      </c>
      <c r="E2316" s="226" t="s">
        <v>5223</v>
      </c>
      <c r="G2316" s="498">
        <v>41.17</v>
      </c>
    </row>
    <row r="2317" spans="1:7" ht="14.25" x14ac:dyDescent="0.2">
      <c r="A2317" s="243" t="s">
        <v>1839</v>
      </c>
      <c r="B2317" s="222" t="s">
        <v>4664</v>
      </c>
      <c r="C2317" s="243" t="s">
        <v>4663</v>
      </c>
      <c r="D2317" s="251">
        <f t="shared" si="37"/>
        <v>39.171838660212856</v>
      </c>
      <c r="E2317" s="226" t="s">
        <v>5223</v>
      </c>
      <c r="G2317" s="498">
        <v>26.92</v>
      </c>
    </row>
    <row r="2318" spans="1:7" ht="14.25" x14ac:dyDescent="0.2">
      <c r="A2318" s="243" t="s">
        <v>1840</v>
      </c>
      <c r="B2318" s="222" t="s">
        <v>5224</v>
      </c>
      <c r="C2318" s="243" t="s">
        <v>4665</v>
      </c>
      <c r="D2318" s="251">
        <f>G2318*$J$5*(1+$D$3)</f>
        <v>773.54195511772502</v>
      </c>
      <c r="E2318" s="226" t="s">
        <v>5223</v>
      </c>
      <c r="G2318" s="498">
        <v>531.6</v>
      </c>
    </row>
    <row r="2319" spans="1:7" ht="14.25" x14ac:dyDescent="0.2">
      <c r="A2319" s="243" t="s">
        <v>1841</v>
      </c>
      <c r="B2319" s="222" t="s">
        <v>5225</v>
      </c>
      <c r="C2319" s="243" t="s">
        <v>4665</v>
      </c>
      <c r="D2319" s="251">
        <f t="shared" si="37"/>
        <v>55.13450842628027</v>
      </c>
      <c r="E2319" s="226" t="s">
        <v>5223</v>
      </c>
      <c r="G2319" s="498">
        <v>37.89</v>
      </c>
    </row>
    <row r="2320" spans="1:7" ht="14.25" x14ac:dyDescent="0.2">
      <c r="A2320" s="243" t="s">
        <v>1842</v>
      </c>
      <c r="B2320" s="222" t="s">
        <v>1843</v>
      </c>
      <c r="C2320" s="243" t="s">
        <v>1530</v>
      </c>
      <c r="D2320" s="251">
        <f t="shared" si="37"/>
        <v>8479.509871284472</v>
      </c>
      <c r="E2320" s="226" t="s">
        <v>5223</v>
      </c>
      <c r="G2320" s="498">
        <v>5827.36</v>
      </c>
    </row>
    <row r="2321" spans="1:7" ht="14.25" x14ac:dyDescent="0.2">
      <c r="A2321" s="243" t="s">
        <v>1844</v>
      </c>
      <c r="B2321" s="222" t="s">
        <v>1845</v>
      </c>
      <c r="C2321" s="243" t="s">
        <v>1530</v>
      </c>
      <c r="D2321" s="251">
        <f t="shared" si="37"/>
        <v>5518.3400468590207</v>
      </c>
      <c r="E2321" s="226" t="s">
        <v>5223</v>
      </c>
      <c r="G2321" s="498">
        <v>3792.36</v>
      </c>
    </row>
    <row r="2322" spans="1:7" ht="14.25" x14ac:dyDescent="0.2">
      <c r="A2322" s="243" t="s">
        <v>1846</v>
      </c>
      <c r="B2322" s="222" t="s">
        <v>1847</v>
      </c>
      <c r="C2322" s="243" t="s">
        <v>1530</v>
      </c>
      <c r="D2322" s="251">
        <f t="shared" si="37"/>
        <v>6168.50235115953</v>
      </c>
      <c r="E2322" s="226" t="s">
        <v>5223</v>
      </c>
      <c r="G2322" s="498">
        <v>4239.17</v>
      </c>
    </row>
    <row r="2323" spans="1:7" ht="14.25" x14ac:dyDescent="0.2">
      <c r="A2323" s="243" t="s">
        <v>1848</v>
      </c>
      <c r="B2323" s="222" t="s">
        <v>1849</v>
      </c>
      <c r="C2323" s="243" t="s">
        <v>1530</v>
      </c>
      <c r="D2323" s="251">
        <f t="shared" si="37"/>
        <v>4147.4421033761173</v>
      </c>
      <c r="E2323" s="226" t="s">
        <v>5223</v>
      </c>
      <c r="G2323" s="498">
        <v>2850.24</v>
      </c>
    </row>
    <row r="2324" spans="1:7" ht="14.25" x14ac:dyDescent="0.2">
      <c r="A2324" s="243" t="s">
        <v>1850</v>
      </c>
      <c r="B2324" s="222" t="s">
        <v>5224</v>
      </c>
      <c r="C2324" s="243" t="s">
        <v>4665</v>
      </c>
      <c r="D2324" s="251">
        <f t="shared" si="37"/>
        <v>187.91423642570163</v>
      </c>
      <c r="E2324" s="226" t="s">
        <v>5223</v>
      </c>
      <c r="G2324" s="498">
        <v>129.13999999999999</v>
      </c>
    </row>
    <row r="2325" spans="1:7" ht="14.25" x14ac:dyDescent="0.2">
      <c r="A2325" s="243" t="s">
        <v>1851</v>
      </c>
      <c r="B2325" s="222" t="s">
        <v>5225</v>
      </c>
      <c r="C2325" s="243" t="s">
        <v>4665</v>
      </c>
      <c r="D2325" s="251">
        <f t="shared" si="37"/>
        <v>285.85838427930219</v>
      </c>
      <c r="E2325" s="226" t="s">
        <v>5223</v>
      </c>
      <c r="G2325" s="498">
        <v>196.45</v>
      </c>
    </row>
    <row r="2326" spans="1:7" ht="14.25" x14ac:dyDescent="0.2">
      <c r="A2326" s="235"/>
      <c r="B2326" s="236"/>
      <c r="C2326" s="235"/>
      <c r="D2326" s="113"/>
    </row>
  </sheetData>
  <pageMargins left="0.511811024" right="0.511811024" top="0.78740157499999996" bottom="0.78740157499999996" header="0.31496062000000002" footer="0.31496062000000002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18</vt:i4>
      </vt:variant>
      <vt:variant>
        <vt:lpstr>Intervalos Nomeados</vt:lpstr>
      </vt:variant>
      <vt:variant>
        <vt:i4>5</vt:i4>
      </vt:variant>
    </vt:vector>
  </HeadingPairs>
  <TitlesOfParts>
    <vt:vector size="23" baseType="lpstr">
      <vt:lpstr>Cronograma</vt:lpstr>
      <vt:lpstr>Produtos</vt:lpstr>
      <vt:lpstr>Resumo</vt:lpstr>
      <vt:lpstr>Referência</vt:lpstr>
      <vt:lpstr>Comunicação</vt:lpstr>
      <vt:lpstr>EVTEA</vt:lpstr>
      <vt:lpstr>Parte A</vt:lpstr>
      <vt:lpstr>Parte B</vt:lpstr>
      <vt:lpstr>TPU</vt:lpstr>
      <vt:lpstr>BDI</vt:lpstr>
      <vt:lpstr>IPCA</vt:lpstr>
      <vt:lpstr>Passagens</vt:lpstr>
      <vt:lpstr>Estadia</vt:lpstr>
      <vt:lpstr>Dynatest</vt:lpstr>
      <vt:lpstr>COMAP</vt:lpstr>
      <vt:lpstr>Sonddenge</vt:lpstr>
      <vt:lpstr>Inspeção OAE</vt:lpstr>
      <vt:lpstr>Sondagens</vt:lpstr>
      <vt:lpstr>EVTEA!_FiltrarBancodeDados</vt:lpstr>
      <vt:lpstr>'Parte A'!_FiltrarBancodeDados</vt:lpstr>
      <vt:lpstr>'Parte B'!_FiltrarBancodeDados</vt:lpstr>
      <vt:lpstr>Cronograma!Area_de_impressao</vt:lpstr>
      <vt:lpstr>Cronograma!Titulos_de_impressao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Santi Ferri</dc:creator>
  <cp:lastModifiedBy>Rodolfo Schweiser</cp:lastModifiedBy>
  <dcterms:created xsi:type="dcterms:W3CDTF">2020-09-01T13:47:27Z</dcterms:created>
  <dcterms:modified xsi:type="dcterms:W3CDTF">2022-04-07T16:11:54Z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0948985e-8f18-42cb-8573-9abb7449e97b</vt:lpwstr>
  </property>
</Properties>
</file>