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V:\GELIC\COLIC\2022\2. Licitação - Modalidades\Pregão\Em andamento\PREGÃO 7.2022 - LIMPEZA-50840.1002132022-31\"/>
    </mc:Choice>
  </mc:AlternateContent>
  <xr:revisionPtr revIDLastSave="0" documentId="8_{473A2E90-E2E8-491F-B821-70A9FC0E8C21}" xr6:coauthVersionLast="45" xr6:coauthVersionMax="45" xr10:uidLastSave="{00000000-0000-0000-0000-000000000000}"/>
  <bookViews>
    <workbookView xWindow="-20610" yWindow="2415" windowWidth="20730" windowHeight="11760" tabRatio="934" xr2:uid="{00000000-000D-0000-FFFF-FFFF00000000}"/>
  </bookViews>
  <sheets>
    <sheet name="PREÇO POR EMPREGADO" sheetId="4" r:id="rId1"/>
    <sheet name="MATERIAIS E INSUMOS" sheetId="6" r:id="rId2"/>
    <sheet name="UNIFORMES-EPI" sheetId="7" r:id="rId3"/>
    <sheet name="RESUMO" sheetId="5" r:id="rId4"/>
  </sheets>
  <definedNames>
    <definedName name="_Toc513197346" localSheetId="1">'MATERIAIS E INSUMOS'!$B$3</definedName>
    <definedName name="_xlnm.Print_Area" localSheetId="1">'MATERIAIS E INSUMOS'!$A$1:$H$72</definedName>
    <definedName name="_xlnm.Print_Area" localSheetId="0">'PREÇO POR EMPREGADO'!$A$1:$I$120</definedName>
    <definedName name="_xlnm.Print_Area" localSheetId="3">RESUMO!$A$1:$K$37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3" i="4" l="1"/>
  <c r="I66" i="4"/>
  <c r="I97" i="4" l="1"/>
  <c r="I95" i="4"/>
  <c r="I94" i="4" a="1"/>
  <c r="I94" i="4" s="1"/>
  <c r="E26" i="7" l="1"/>
  <c r="F26" i="7" s="1"/>
  <c r="E25" i="7"/>
  <c r="F25" i="7" s="1"/>
  <c r="E24" i="7"/>
  <c r="F24" i="7" s="1"/>
  <c r="E23" i="7"/>
  <c r="F23" i="7" s="1"/>
  <c r="E22" i="7"/>
  <c r="F22" i="7" s="1"/>
  <c r="F27" i="7" l="1"/>
  <c r="F28" i="7" s="1"/>
  <c r="F49" i="5" l="1"/>
  <c r="P30" i="5"/>
  <c r="F48" i="5"/>
  <c r="F47" i="5"/>
  <c r="F46" i="5"/>
  <c r="F45" i="5"/>
  <c r="F44" i="5"/>
  <c r="F43" i="5"/>
  <c r="G10" i="7"/>
  <c r="G7" i="7"/>
  <c r="G8" i="7"/>
  <c r="G9" i="7"/>
  <c r="G6" i="7"/>
  <c r="D11" i="7"/>
  <c r="F7" i="7"/>
  <c r="F8" i="7"/>
  <c r="F9" i="7"/>
  <c r="F6" i="7"/>
  <c r="E9" i="7"/>
  <c r="E8" i="7"/>
  <c r="E7" i="7"/>
  <c r="E6" i="7"/>
  <c r="H68" i="6"/>
  <c r="F63" i="6"/>
  <c r="H63" i="6" s="1"/>
  <c r="F62" i="6"/>
  <c r="H62" i="6" s="1"/>
  <c r="F61" i="6"/>
  <c r="H61" i="6" s="1"/>
  <c r="F60" i="6"/>
  <c r="H60" i="6" s="1"/>
  <c r="F59" i="6"/>
  <c r="H59" i="6" s="1"/>
  <c r="F58" i="6"/>
  <c r="H58" i="6" s="1"/>
  <c r="F57" i="6"/>
  <c r="H57" i="6" s="1"/>
  <c r="F56" i="6"/>
  <c r="H56" i="6" s="1"/>
  <c r="F55" i="6"/>
  <c r="H55" i="6" s="1"/>
  <c r="F54" i="6"/>
  <c r="H54" i="6" s="1"/>
  <c r="F53" i="6"/>
  <c r="H53" i="6" s="1"/>
  <c r="F44" i="6"/>
  <c r="F45" i="6"/>
  <c r="H45" i="6" s="1"/>
  <c r="F46" i="6"/>
  <c r="H46" i="6" s="1"/>
  <c r="F43" i="6"/>
  <c r="H43" i="6" s="1"/>
  <c r="H44" i="6"/>
  <c r="H5" i="6"/>
  <c r="G33" i="6"/>
  <c r="G32" i="6"/>
  <c r="G31" i="6"/>
  <c r="G30" i="6"/>
  <c r="G29" i="6"/>
  <c r="G28" i="6"/>
  <c r="G27" i="6"/>
  <c r="G26" i="6"/>
  <c r="G25" i="6"/>
  <c r="G24" i="6"/>
  <c r="G7" i="6"/>
  <c r="G35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4" i="6"/>
  <c r="H3" i="6"/>
  <c r="G5" i="6"/>
  <c r="I68" i="4"/>
  <c r="I65" i="4"/>
  <c r="I51" i="4"/>
  <c r="H34" i="6" l="1"/>
  <c r="H35" i="6" s="1"/>
  <c r="H64" i="6"/>
  <c r="H65" i="6" s="1"/>
  <c r="H69" i="6" s="1"/>
  <c r="H47" i="6"/>
  <c r="H48" i="6" s="1"/>
  <c r="G36" i="6"/>
  <c r="N77" i="4"/>
  <c r="N80" i="4" s="1"/>
  <c r="H37" i="6" l="1"/>
  <c r="H36" i="6"/>
  <c r="T52" i="4"/>
  <c r="T49" i="4"/>
  <c r="N52" i="4"/>
  <c r="O49" i="4"/>
  <c r="I24" i="4"/>
  <c r="G38" i="6" l="1"/>
  <c r="G37" i="6"/>
  <c r="G39" i="6"/>
  <c r="H67" i="6" s="1"/>
  <c r="K36" i="6"/>
  <c r="K37" i="6" s="1"/>
  <c r="I49" i="4"/>
  <c r="I48" i="4"/>
  <c r="I23" i="4"/>
  <c r="I136" i="4" l="1"/>
  <c r="I130" i="4"/>
  <c r="B119" i="4"/>
  <c r="B117" i="4"/>
  <c r="B116" i="4"/>
  <c r="B115" i="4"/>
  <c r="B114" i="4"/>
  <c r="B113" i="4"/>
  <c r="I84" i="4"/>
  <c r="I89" i="4" s="1"/>
  <c r="I52" i="4"/>
  <c r="I58" i="4" s="1"/>
  <c r="H45" i="4"/>
  <c r="I28" i="4"/>
  <c r="I75" i="4" l="1"/>
  <c r="I76" i="4"/>
  <c r="I74" i="4"/>
  <c r="I67" i="4"/>
  <c r="I113" i="4"/>
  <c r="I32" i="4"/>
  <c r="I33" i="4"/>
  <c r="I79" i="4" l="1"/>
  <c r="I80" i="4" s="1"/>
  <c r="I88" i="4" s="1"/>
  <c r="I90" i="4" s="1"/>
  <c r="I34" i="4"/>
  <c r="I56" i="4" s="1"/>
  <c r="I64" i="4"/>
  <c r="I116" i="4" l="1"/>
  <c r="I43" i="4"/>
  <c r="I38" i="4"/>
  <c r="I40" i="4"/>
  <c r="I42" i="4"/>
  <c r="I44" i="4"/>
  <c r="I39" i="4"/>
  <c r="I41" i="4"/>
  <c r="I37" i="4"/>
  <c r="I45" i="4" l="1"/>
  <c r="I57" i="4" s="1"/>
  <c r="I59" i="4" s="1"/>
  <c r="I69" i="4"/>
  <c r="I115" i="4" s="1"/>
  <c r="G23" i="6"/>
  <c r="G17" i="6"/>
  <c r="G6" i="6"/>
  <c r="I114" i="4" l="1"/>
  <c r="I96" i="4" l="1"/>
  <c r="D12" i="7"/>
  <c r="G22" i="6" l="1"/>
  <c r="G21" i="6"/>
  <c r="G20" i="6"/>
  <c r="G19" i="6"/>
  <c r="G18" i="6"/>
  <c r="G16" i="6"/>
  <c r="G15" i="6"/>
  <c r="G14" i="6"/>
  <c r="G13" i="6"/>
  <c r="G12" i="6"/>
  <c r="G11" i="6"/>
  <c r="G10" i="6"/>
  <c r="G9" i="6"/>
  <c r="G8" i="6"/>
  <c r="G4" i="6"/>
  <c r="G3" i="6"/>
  <c r="I98" i="4" l="1"/>
  <c r="I117" i="4" s="1"/>
  <c r="I118" i="4" s="1"/>
  <c r="H70" i="6"/>
  <c r="H71" i="6" s="1"/>
  <c r="H72" i="6" s="1"/>
  <c r="I102" i="4" l="1"/>
  <c r="I103" i="4" l="1"/>
  <c r="K102" i="4" s="1"/>
  <c r="I144" i="4"/>
  <c r="I107" i="4" l="1"/>
  <c r="I105" i="4"/>
  <c r="I106" i="4"/>
  <c r="I135" i="4" l="1"/>
  <c r="I138" i="4" s="1"/>
  <c r="I108" i="4"/>
  <c r="I137" i="4" l="1"/>
  <c r="I119" i="4"/>
  <c r="I120" i="4" s="1"/>
  <c r="O23" i="5" l="1"/>
  <c r="P23" i="5" s="1"/>
  <c r="P27" i="5" s="1"/>
  <c r="C19" i="5" s="1"/>
  <c r="F19" i="5" s="1"/>
  <c r="O12" i="5"/>
  <c r="P12" i="5" s="1"/>
  <c r="P14" i="5" s="1"/>
  <c r="C18" i="5" s="1"/>
  <c r="F18" i="5" s="1"/>
  <c r="O4" i="5"/>
  <c r="P4" i="5" s="1"/>
  <c r="P6" i="5" s="1"/>
  <c r="C17" i="5" s="1"/>
  <c r="F17" i="5" s="1"/>
  <c r="D4" i="5"/>
  <c r="E4" i="5" s="1"/>
  <c r="E6" i="5" s="1"/>
  <c r="C15" i="5" s="1"/>
  <c r="F15" i="5" s="1"/>
  <c r="G10" i="5"/>
  <c r="H10" i="5" s="1"/>
  <c r="H12" i="5" s="1"/>
  <c r="J4" i="5"/>
  <c r="K4" i="5" s="1"/>
  <c r="K6" i="5" s="1"/>
  <c r="C16" i="5" s="1"/>
  <c r="F16" i="5" s="1"/>
  <c r="G16" i="5" s="1"/>
  <c r="I143" i="4"/>
  <c r="G19" i="5" l="1"/>
  <c r="G17" i="5"/>
  <c r="G18" i="5"/>
  <c r="F21" i="5"/>
  <c r="G21" i="5" s="1"/>
  <c r="C20" i="5"/>
  <c r="F20" i="5" s="1"/>
  <c r="G20" i="5" s="1"/>
  <c r="G15" i="5"/>
  <c r="F22" i="5" l="1"/>
  <c r="G36" i="5" s="1"/>
  <c r="G37" i="5" s="1"/>
  <c r="G2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<sst xmlns="http://schemas.openxmlformats.org/spreadsheetml/2006/main" count="567" uniqueCount="346">
  <si>
    <t>-</t>
  </si>
  <si>
    <t>VALOR (R$)</t>
  </si>
  <si>
    <t>Adicional Noturno</t>
  </si>
  <si>
    <t>%</t>
  </si>
  <si>
    <t>Outros (especificar)</t>
  </si>
  <si>
    <t>Lucro</t>
  </si>
  <si>
    <t>Data base da categoria (dia/mês/ano)</t>
  </si>
  <si>
    <t>Categoria profissional (vinculada à execução contratual)</t>
  </si>
  <si>
    <t>Salário Nominativo da Categoria Profissional</t>
  </si>
  <si>
    <t>Tipo de serviço (mesmo serviço com características distintas)</t>
  </si>
  <si>
    <t>A</t>
  </si>
  <si>
    <t>B</t>
  </si>
  <si>
    <t>C</t>
  </si>
  <si>
    <t>D</t>
  </si>
  <si>
    <t>E</t>
  </si>
  <si>
    <t>F</t>
  </si>
  <si>
    <t>G</t>
  </si>
  <si>
    <t>H</t>
  </si>
  <si>
    <t>COMPOSIÇÃO DA REMUNERAÇÃO</t>
  </si>
  <si>
    <t>INSUMOS DIVERSOS</t>
  </si>
  <si>
    <t>Equipamentos</t>
  </si>
  <si>
    <t>TOTAL SUBMÓDULO 4.1</t>
  </si>
  <si>
    <t>Nota(1):</t>
  </si>
  <si>
    <t>TOTAL SUBMÓDULO 4.2</t>
  </si>
  <si>
    <t>TOTAL</t>
  </si>
  <si>
    <t>CUSTOS INDIRETOS, TRIBUTOS E LUCRO</t>
  </si>
  <si>
    <t>4.1</t>
  </si>
  <si>
    <t>4.2</t>
  </si>
  <si>
    <t>Custos Indiretos</t>
  </si>
  <si>
    <t>Mão-de-Obra vinculada à execução contratual (valor por empregado)</t>
  </si>
  <si>
    <t>MÓDULO 1 - COMPOSIÇÃO DA REMUNERAÇÃO</t>
  </si>
  <si>
    <t>Quadro Resumo - VALOR MENSAL DOS SERVIÇOS</t>
  </si>
  <si>
    <t>Qde Postos (E)</t>
  </si>
  <si>
    <t>Tipo de Serviço (A)</t>
  </si>
  <si>
    <t>Valor Por Empregado(B)</t>
  </si>
  <si>
    <t>Valor Proposto por Posto (D) = (B x C)</t>
  </si>
  <si>
    <t>Qde de Empregados por posto ( C )</t>
  </si>
  <si>
    <t>Serviço 1 (indicar)</t>
  </si>
  <si>
    <t>Serviço 2 (indicar)</t>
  </si>
  <si>
    <t>Serviço 3 (indicar)</t>
  </si>
  <si>
    <t>Serviço ... (indicar)</t>
  </si>
  <si>
    <t>R$</t>
  </si>
  <si>
    <t>VALOR MENSAL DOS SERVIÇOS (I + II + III + ...)</t>
  </si>
  <si>
    <t>Anexo III-D</t>
  </si>
  <si>
    <t>Quadro Demonstrativo - VALOR GLOBAL DA PROPOSTA</t>
  </si>
  <si>
    <t>VALOR GLOBAL DA PROPOSTA</t>
  </si>
  <si>
    <t>Descrição</t>
  </si>
  <si>
    <t>Valor proposto por unidade de medida*</t>
  </si>
  <si>
    <t>Valor mensal do serviço</t>
  </si>
  <si>
    <t>Valor Global da Proposta (valor mensal do serviço X nº meses do contrato).</t>
  </si>
  <si>
    <t>Informar o valor da unidade de medida por tipo de serviço.</t>
  </si>
  <si>
    <t>Discriminação dos Serviços</t>
  </si>
  <si>
    <t>Data de apresentação da proposta</t>
  </si>
  <si>
    <t>Município</t>
  </si>
  <si>
    <t>Nº de meses de execução contratual</t>
  </si>
  <si>
    <t>Tipo de Serviço</t>
  </si>
  <si>
    <t>Unidade de Medida</t>
  </si>
  <si>
    <t>Quantidade total a contratar (em função da unidade de medida)</t>
  </si>
  <si>
    <t>Identificação do Serviço</t>
  </si>
  <si>
    <t>Limpeza</t>
  </si>
  <si>
    <t>Servente</t>
  </si>
  <si>
    <t>PIS</t>
  </si>
  <si>
    <t>COFINS</t>
  </si>
  <si>
    <t>ISS</t>
  </si>
  <si>
    <t>TRIBUTOS</t>
  </si>
  <si>
    <t>Área (m2)</t>
  </si>
  <si>
    <t>C.1</t>
  </si>
  <si>
    <t>C.2</t>
  </si>
  <si>
    <t>C.3</t>
  </si>
  <si>
    <t>Ano do Acordo, Convenção ou Dissídio Coletivo</t>
  </si>
  <si>
    <t>Dados para composição dos custos referentes à mão-de-obra</t>
  </si>
  <si>
    <t>Classificação Brasileira de Ocupações (CBO)</t>
  </si>
  <si>
    <t xml:space="preserve">Adicional Periculosidade </t>
  </si>
  <si>
    <t>Adicional de Hora Noturna Reduzida</t>
  </si>
  <si>
    <t>MÓDULO 2 – ENCARGOS E BENEFÍCIOS ANUAIS, MENSAIS E DIÁRIOS</t>
  </si>
  <si>
    <t>13º Salário, Férias e Adicional de Férias</t>
  </si>
  <si>
    <r>
      <t>13 (Décimo-terceiro) salário</t>
    </r>
    <r>
      <rPr>
        <sz val="10"/>
        <color indexed="10"/>
        <rFont val="Arial"/>
        <family val="2"/>
      </rPr>
      <t xml:space="preserve"> </t>
    </r>
  </si>
  <si>
    <t>TOTAL SUBMÓDULO 2.1</t>
  </si>
  <si>
    <t>GPS, FGTS e Outras Contribuições</t>
  </si>
  <si>
    <t>SESC ou SESI</t>
  </si>
  <si>
    <t xml:space="preserve">INSS </t>
  </si>
  <si>
    <t xml:space="preserve">Salário Educação </t>
  </si>
  <si>
    <t>SAT (Seguro Acidente de Trabalho)</t>
  </si>
  <si>
    <t xml:space="preserve">SENAI - SENAC </t>
  </si>
  <si>
    <t xml:space="preserve">SEBRAE </t>
  </si>
  <si>
    <t xml:space="preserve">INCRA </t>
  </si>
  <si>
    <t xml:space="preserve">FGTS </t>
  </si>
  <si>
    <t>TOTAL SUBMÓDULO 2.2</t>
  </si>
  <si>
    <t>Submódulo 2.1 - 13º Salário, Férias e Adicional de Férias</t>
  </si>
  <si>
    <t>Submódulo 2.2 - GPS, FGTS e Outras Contribuições</t>
  </si>
  <si>
    <t>Submódulo 2.3 - Benefícios Mensais e Diários</t>
  </si>
  <si>
    <t>TOTAL SUBMÓDULO 2.3</t>
  </si>
  <si>
    <t>QUADRO-RESUMO DO MÓDULO 2 - ENCARGOS, BENEFÍCIOS ANUAIS, MENSAIS E DIÁRIOS</t>
  </si>
  <si>
    <t>2.1</t>
  </si>
  <si>
    <t>2.2</t>
  </si>
  <si>
    <t>2.3</t>
  </si>
  <si>
    <t>Módulo 2 - Encargos, Benefícios Anuais, Mensais e Diários</t>
  </si>
  <si>
    <t>Benefícios Mensais e Diários</t>
  </si>
  <si>
    <t>TOTAL DO MÓDULO 1</t>
  </si>
  <si>
    <t>TOTAL DO MÓDULO 2</t>
  </si>
  <si>
    <t>MÓDULO 3 – PROVISÃO PARA RESCISÃO</t>
  </si>
  <si>
    <t>PROVISÃO PARA RESCISÃO</t>
  </si>
  <si>
    <t xml:space="preserve">Aviso Prévio Trabalhado </t>
  </si>
  <si>
    <t>Incidência do FGTS sobre Aviso Prévio Indenizado</t>
  </si>
  <si>
    <t>Aviso Prévio Indenizado</t>
  </si>
  <si>
    <t>Multa do FGTS e Contribuição Social sobre o Aviso Prévio Indenizado</t>
  </si>
  <si>
    <t xml:space="preserve">Multa do FGTS e Contribuição Social sobre o Aviso Prévio Trabalhado. </t>
  </si>
  <si>
    <t>TOTAL DO MÓDULO 3</t>
  </si>
  <si>
    <t>MÓDULO 4 – CUSTO DE REPOSIÇÃO DO PROFISSIONAL AUSENTE</t>
  </si>
  <si>
    <t>Submódulo 4.2 - Intrajornada</t>
  </si>
  <si>
    <t>QUADRO-RESUMO DO MÓDULO 4 - CUSTO DE REPOSIÇÃO DO PROFISSIONAL AUSENTE</t>
  </si>
  <si>
    <t>Módulo 4 - Custo de Reposição do Profissional Ausente</t>
  </si>
  <si>
    <t>TOTAL DO MÓDULO 4</t>
  </si>
  <si>
    <t>MÓDULO 5 – INSUMOS DIVERSOS</t>
  </si>
  <si>
    <t xml:space="preserve">Uniformes </t>
  </si>
  <si>
    <t>TOTAL DO MÓDULO 5</t>
  </si>
  <si>
    <t>MÓDULO 6 – CUSTOS INDIRETOS, TRIBUTOS E LUCRO</t>
  </si>
  <si>
    <t>TOTAL DO MÓDULO 6</t>
  </si>
  <si>
    <t>QUADRO RESUMO DO CUSTO POR EMPREGADO</t>
  </si>
  <si>
    <t>Subtotal (A + B + C + D + E)</t>
  </si>
  <si>
    <t>PREÇO TOTAL POR EMPREGADO</t>
  </si>
  <si>
    <t>b) UTENSÍLIOS</t>
  </si>
  <si>
    <t>c) EQUIPAMENTOS</t>
  </si>
  <si>
    <t>Obs: (*) Utensílios e equipamentos – A quantidade mencionada será considerada para a implantação dos serviços, e a sua reposição deverá ser realizada de acordo com o respectivo desgaste.</t>
  </si>
  <si>
    <t>DESCRIÇÃO</t>
  </si>
  <si>
    <t>Valor proposto por unidade de medida</t>
  </si>
  <si>
    <t>VALOR</t>
  </si>
  <si>
    <t>TIPO DE ÁREA</t>
  </si>
  <si>
    <t>PREÇO UNITÁRIO MENSAL</t>
  </si>
  <si>
    <t>ÁREA (M²)</t>
  </si>
  <si>
    <t>SUBTOTAL</t>
  </si>
  <si>
    <t>MÃO-DE-OBRA</t>
  </si>
  <si>
    <t>(1)</t>
  </si>
  <si>
    <t>(2)</t>
  </si>
  <si>
    <t>(1X2)</t>
  </si>
  <si>
    <t>PREÇO HOMEM/MÊS</t>
  </si>
  <si>
    <t>____1____</t>
  </si>
  <si>
    <t>SERVENTE</t>
  </si>
  <si>
    <t>Custo Mensal do Uniforme por Posto (total dividido por 12)</t>
  </si>
  <si>
    <r>
      <t>PRODUTIVIDADE (1/M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</t>
    </r>
  </si>
  <si>
    <r>
      <t>SUBTOTAL (R$/M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</t>
    </r>
  </si>
  <si>
    <r>
      <t>PREÇO UNITÁRIO MENSAL/M</t>
    </r>
    <r>
      <rPr>
        <b/>
        <vertAlign val="superscript"/>
        <sz val="10"/>
        <rFont val="Arial"/>
        <family val="2"/>
      </rPr>
      <t>2</t>
    </r>
  </si>
  <si>
    <t>(3)</t>
  </si>
  <si>
    <t>(4) = (1 x 2 x 3) Ki</t>
  </si>
  <si>
    <t>(5)</t>
  </si>
  <si>
    <t>(4x5)</t>
  </si>
  <si>
    <t>Jornada de trabalho no Mês (horas)</t>
  </si>
  <si>
    <r>
      <t>Preço Homem (mês) (R$/M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</t>
    </r>
  </si>
  <si>
    <t>FREQUÊNCIA NO MÊS (HORAS)</t>
  </si>
  <si>
    <t>PRODUTIVIDADE MÍNIMA DA IN 05/2017 SLTI/MPOG</t>
  </si>
  <si>
    <t xml:space="preserve">Esquadria Externa </t>
  </si>
  <si>
    <t>Área interna</t>
  </si>
  <si>
    <t>I</t>
  </si>
  <si>
    <t>II</t>
  </si>
  <si>
    <t>III</t>
  </si>
  <si>
    <t xml:space="preserve">TOTAL GERAL DA DEPRECIAÇÃO </t>
  </si>
  <si>
    <t>a) MATERIAL DE LIMPEZA</t>
  </si>
  <si>
    <t xml:space="preserve">VALOR TOTAL MENSAL </t>
  </si>
  <si>
    <t>VALOR TOTAL ANUAL</t>
  </si>
  <si>
    <t xml:space="preserve">            (4)</t>
  </si>
  <si>
    <t>TOTAL ANUAL</t>
  </si>
  <si>
    <t>Incidência dos encargos do submódulo 2.2 sobre Ausências Legais</t>
  </si>
  <si>
    <t>1/188,76</t>
  </si>
  <si>
    <t xml:space="preserve">Salário Base </t>
  </si>
  <si>
    <t>Adicional Insalubridade</t>
  </si>
  <si>
    <t>Incidência de GPS, FGTS e outras contribuições sobre o Aviso Prévio Trabalhado</t>
  </si>
  <si>
    <t xml:space="preserve">Submódulo 4.1 - Substituto nas Ausências Legais </t>
  </si>
  <si>
    <t>Substituto na cobertura de Férias (Valor pago no (Módulo 1) e na (letra B do submódulo 2.1) zeramos essa rubrica</t>
  </si>
  <si>
    <t>Substituto na cobertura de Ausências Legais</t>
  </si>
  <si>
    <t>Substituto na cobertura de Licença Paternidade</t>
  </si>
  <si>
    <r>
      <t>Substituto na cobertura de Ausência por Acidente de Trabalho</t>
    </r>
    <r>
      <rPr>
        <sz val="10"/>
        <color indexed="10"/>
        <rFont val="Arial"/>
        <family val="2"/>
      </rPr>
      <t xml:space="preserve"> </t>
    </r>
  </si>
  <si>
    <t>Substituto na cobertura de Afastamento Maternidade</t>
  </si>
  <si>
    <t>Substituto na cobertura de Intervalo para Repouso ou Alimentação</t>
  </si>
  <si>
    <t>Substituto na cobertura das Ausências Legais</t>
  </si>
  <si>
    <t>Substituto na cobertura de Intrajornada</t>
  </si>
  <si>
    <t xml:space="preserve">Categoria profissional:  Servente de Limpeza </t>
  </si>
  <si>
    <t>Férias e Adicional de Férias -       (Saláriox8,33%) +(salariox33,33%)/12</t>
  </si>
  <si>
    <t>Categoria</t>
  </si>
  <si>
    <t>Vr. Unitário</t>
  </si>
  <si>
    <t>Vale por dia</t>
  </si>
  <si>
    <t>Dias efetivamente trabalhados</t>
  </si>
  <si>
    <t>Custo total</t>
  </si>
  <si>
    <t>Custo da passagem/categoria</t>
  </si>
  <si>
    <t>CUSTO DA PASSAGEM</t>
  </si>
  <si>
    <t>DESCONTO DA PASSAGEM</t>
  </si>
  <si>
    <t xml:space="preserve">Categoria </t>
  </si>
  <si>
    <t>Base de cálculo</t>
  </si>
  <si>
    <t>Percentual</t>
  </si>
  <si>
    <t>Desconto</t>
  </si>
  <si>
    <r>
      <t xml:space="preserve">Auxílio-Refeição/Alimentaçã  </t>
    </r>
    <r>
      <rPr>
        <b/>
        <sz val="10"/>
        <rFont val="Arial"/>
        <family val="2"/>
      </rPr>
      <t>(auxilio alimentação- CCT Cla. nº 12 )</t>
    </r>
  </si>
  <si>
    <t>Vr. DIÁRIO</t>
  </si>
  <si>
    <t>CUSTO VALE ALIMENTAÇÃO</t>
  </si>
  <si>
    <t>DESCONTO VALE ALIMENTAÇÃO</t>
  </si>
  <si>
    <t xml:space="preserve">Incidência do Submódulo 2.2 sobre a remuneração e 13º salários recebidos </t>
  </si>
  <si>
    <t>Férias pagas ao Substituto pelos 180 dias de Reposição</t>
  </si>
  <si>
    <t xml:space="preserve">{[(1.174,98+391,63) x (6/ 12] / 12} x 1,97%= </t>
  </si>
  <si>
    <t>{[(1.174,98+97,91) x (6 / 12)] x 1,97%} x 36,80%=</t>
  </si>
  <si>
    <t>Categoria profissional:  Servente de Limpeza cód.  5143 - Proc SEI - 50840.100213/2022-31</t>
  </si>
  <si>
    <t>DF</t>
  </si>
  <si>
    <t xml:space="preserve">Assistência Médica e Familiar  - </t>
  </si>
  <si>
    <t xml:space="preserve">Transporte  - </t>
  </si>
  <si>
    <t>Álcool 70º</t>
  </si>
  <si>
    <t>Álcool gel antisséptico 70∘ - refil</t>
  </si>
  <si>
    <t>Litro</t>
  </si>
  <si>
    <t xml:space="preserve">Água sanitária </t>
  </si>
  <si>
    <t>Álcool 46º</t>
  </si>
  <si>
    <t>Desinfante concentrado</t>
  </si>
  <si>
    <t>Desodorizador de ar, fragância de talco, unidade de 360 ml</t>
  </si>
  <si>
    <t>Unidade</t>
  </si>
  <si>
    <t>Detergente líquido concentrado para limpeza geral, neutro</t>
  </si>
  <si>
    <t>Galão</t>
  </si>
  <si>
    <t>Disco vermelho/preto/verde para lavar piso</t>
  </si>
  <si>
    <t>Escova de mão, com pegador de madeira</t>
  </si>
  <si>
    <t>Esponja de fibra tipo dupla face</t>
  </si>
  <si>
    <t>Hidratante de couro</t>
  </si>
  <si>
    <t>Limpa carpetes e tapetes</t>
  </si>
  <si>
    <t xml:space="preserve">Litro </t>
  </si>
  <si>
    <t>Limpador multiuso, 500ml, tipo veja</t>
  </si>
  <si>
    <t>Lustra móveis neutro ou lavanda, 200ml</t>
  </si>
  <si>
    <t>Luvas de borracha apropriadas para limpeza, em tamanhos adequados aos empregados da contratada</t>
  </si>
  <si>
    <t>Par</t>
  </si>
  <si>
    <t>Pano de chão 50x80cm</t>
  </si>
  <si>
    <t>Pano multiuso tipo microfibra, amarelo</t>
  </si>
  <si>
    <t>Papel higiênico interfolhado, tipo cai-cai, pacote com 8.000 folhas duplas, cor branco</t>
  </si>
  <si>
    <t>Caixa</t>
  </si>
  <si>
    <t>Papel toalha interfolhado, pacote com 8.000 folhas, cor branco, 100% celulose</t>
  </si>
  <si>
    <t>Pasta tipo cristal para limpeza, cor rosa</t>
  </si>
  <si>
    <t>Sabão barra neutro, pacote com 500g</t>
  </si>
  <si>
    <t>Pacote</t>
  </si>
  <si>
    <t>Sabão em pó, 1kg</t>
  </si>
  <si>
    <t>Sabonete líquido, antialergênico, com Ph neutro, concentrado</t>
  </si>
  <si>
    <t>Saco descartável para máquina aspiradora de pó (papel)</t>
  </si>
  <si>
    <t>Saco para lixo com capacidade de 100 litros, azul, com 100 unidades</t>
  </si>
  <si>
    <t>Saco para lixo com capacidade de 100 litros, cinza, com 100 unidades</t>
  </si>
  <si>
    <t>Saco para lixo com capacidade de 100 litros, preto, com 100 unidades</t>
  </si>
  <si>
    <t>Saco para lixo com capacidade de 40 litros, azul, com 100 unidades</t>
  </si>
  <si>
    <t>Saco para lixo com capacidade de 40 litros, cinza, com 100 unidades</t>
  </si>
  <si>
    <t>Saco para lixo com capacidade de 40 litros, preto, com 100 unidades</t>
  </si>
  <si>
    <t>Saponáceo em pó, 300g</t>
  </si>
  <si>
    <t>Quantidade Mensal</t>
  </si>
  <si>
    <t>Quantidade Anual</t>
  </si>
  <si>
    <t>160</t>
  </si>
  <si>
    <t>144</t>
  </si>
  <si>
    <t>576</t>
  </si>
  <si>
    <t>72</t>
  </si>
  <si>
    <t>158</t>
  </si>
  <si>
    <t>66</t>
  </si>
  <si>
    <t>53</t>
  </si>
  <si>
    <t>3</t>
  </si>
  <si>
    <t>120</t>
  </si>
  <si>
    <t>10</t>
  </si>
  <si>
    <t>20</t>
  </si>
  <si>
    <t>154</t>
  </si>
  <si>
    <t>5</t>
  </si>
  <si>
    <t>60</t>
  </si>
  <si>
    <t>100</t>
  </si>
  <si>
    <t>6</t>
  </si>
  <si>
    <t>12</t>
  </si>
  <si>
    <t>45</t>
  </si>
  <si>
    <t>24</t>
  </si>
  <si>
    <t>48</t>
  </si>
  <si>
    <t>Valor Anual</t>
  </si>
  <si>
    <t>Tributos</t>
  </si>
  <si>
    <t>VALOR MENSAL MATERIAL</t>
  </si>
  <si>
    <t>VALOR  MENSAL POR EMPREGADO</t>
  </si>
  <si>
    <t>MATERIAIS A SEREM EMPREGADOS NA EXECUÇÃO DOS SERVIÇOS</t>
  </si>
  <si>
    <t>Item</t>
  </si>
  <si>
    <t>Especificação</t>
  </si>
  <si>
    <t>Unidade de medida</t>
  </si>
  <si>
    <t>Valor Unitário</t>
  </si>
  <si>
    <t>Valor mensal</t>
  </si>
  <si>
    <t>EQUIPAMENTOS A SEREM EMPREGADOS NA EXECUÇÃO DOS SERVIÇOS</t>
  </si>
  <si>
    <t xml:space="preserve">Quantidade </t>
  </si>
  <si>
    <t>Valor Total</t>
  </si>
  <si>
    <t>Vida Útil/meses</t>
  </si>
  <si>
    <t>Valor Mensal</t>
  </si>
  <si>
    <t>Aspirador de pó e água, tipo industrial, com reservatório.</t>
  </si>
  <si>
    <t>Carrinho de limpeza.</t>
  </si>
  <si>
    <t>Máquina enceradeira tipo industrial.</t>
  </si>
  <si>
    <t>Extratora de estofados e carpetes.</t>
  </si>
  <si>
    <t>Valor total Mensal</t>
  </si>
  <si>
    <t>Valor por Unidade de Medida</t>
  </si>
  <si>
    <t>UTENSÍLIOS A SEREM EMPREGADOS NA EXECUÇÃO DOS SERVIÇOS</t>
  </si>
  <si>
    <t>Balde plástico com alça em alumínio de alta resistência, capacidade para 8 litros</t>
  </si>
  <si>
    <t>Borrifador de água</t>
  </si>
  <si>
    <t>Dispenser para álcool gel</t>
  </si>
  <si>
    <t>Dispenser para papel toalha</t>
  </si>
  <si>
    <t>Pá para lixo, plástico, cabo curto</t>
  </si>
  <si>
    <t>Rodo de metal, com borracha siliconada dupla de 60cm, cabo de 1,30m, aproximadamente, plastificado e com pendurico</t>
  </si>
  <si>
    <t>Rodo limpa vidros e janelas, extensivo com cabo</t>
  </si>
  <si>
    <t>Vassoura de teto cabo longo, com cabo de alumínio ou madeira plastificada com rosca</t>
  </si>
  <si>
    <t>Vassoura plastiçável, 60cm, cerda de pêlos, cabo de madeira, 1,20m, plastificado e com pendurico</t>
  </si>
  <si>
    <t>Vassoura de piaçava, com cabo em madeira</t>
  </si>
  <si>
    <t>Vassourinha para limpar vaso</t>
  </si>
  <si>
    <t>Valor total dos UtensIlios</t>
  </si>
  <si>
    <t>VALOR DO MATERIAL DIVIDIDO PELO Nº DE SERVENTE 5 E PELO MESES DO ANO (12)</t>
  </si>
  <si>
    <t>Materiais e equipamentos</t>
  </si>
  <si>
    <t>PLANILHA MEMÓRIA DE CÁLCULO - UNIFORMES</t>
  </si>
  <si>
    <t>Quantidade por ano</t>
  </si>
  <si>
    <t>Custo unitário</t>
  </si>
  <si>
    <t>Custo anual</t>
  </si>
  <si>
    <t>Custo mensal por empregado</t>
  </si>
  <si>
    <t>Calça comprida, com elástico e cordão, em tecido tactel.</t>
  </si>
  <si>
    <t>Camiseta tipo malha fria, decote ribana (gola grossa), com emblema da empresa, confeccionada em material 100% algodão.</t>
  </si>
  <si>
    <t>Meia tipo cano longo, confeccionada em material 100% algodão.</t>
  </si>
  <si>
    <t>Sapato profissional babuche, solado baixo e antiderrapante</t>
  </si>
  <si>
    <t>TOTAL MENSAL POR EMPREGADO</t>
  </si>
  <si>
    <t>Custo Anual</t>
  </si>
  <si>
    <t>d) Almoxarifados/Galpões</t>
  </si>
  <si>
    <t>a) ÁREA INTERNA Piso acarpetado</t>
  </si>
  <si>
    <t>b) ÁREA Interna - Pisos Frios</t>
  </si>
  <si>
    <t>c) Almoxarifados/Galpões</t>
  </si>
  <si>
    <t>e) Banheiro</t>
  </si>
  <si>
    <t>Pisos Frios</t>
  </si>
  <si>
    <t>Almoxarifados /Galpões</t>
  </si>
  <si>
    <t>áreas com espaços livres/Galpões</t>
  </si>
  <si>
    <t>Banheiros e Contenções</t>
  </si>
  <si>
    <t xml:space="preserve">QUADRO  EFETIVO </t>
  </si>
  <si>
    <t>GRUPO 01</t>
  </si>
  <si>
    <t xml:space="preserve">ÀREAS INTERNAS </t>
  </si>
  <si>
    <t xml:space="preserve">UNIDADES </t>
  </si>
  <si>
    <t>PRODUTIVIDADE</t>
  </si>
  <si>
    <t>AREA (M²)</t>
  </si>
  <si>
    <t xml:space="preserve">EFETIVO </t>
  </si>
  <si>
    <t xml:space="preserve">Pisos Acarpetados </t>
  </si>
  <si>
    <t xml:space="preserve">Pisos Frios </t>
  </si>
  <si>
    <t>Almoxarifados/Galpões</t>
  </si>
  <si>
    <t xml:space="preserve">Áreas com espaços livres - Saguão, hall e Salão </t>
  </si>
  <si>
    <t xml:space="preserve">Banheiros e Contenções </t>
  </si>
  <si>
    <t xml:space="preserve">ESQUADRIAS EXTERNAS </t>
  </si>
  <si>
    <t xml:space="preserve">Face Interna </t>
  </si>
  <si>
    <t>Valor global da proposta (valor mensal do serviço multiplicado pelo número de meses do contrato - 36 meses)</t>
  </si>
  <si>
    <t>ESQUADRIAS EXTERNAS - Face Interna</t>
  </si>
  <si>
    <t>3.3. Esquadrias Externas:</t>
  </si>
  <si>
    <t>a) face externa com exposição a situação de risco: 130 m² a 160 m²;</t>
  </si>
  <si>
    <t>b) face externa sem exposição a situação de risco: 300 m² a 380 m²; e</t>
  </si>
  <si>
    <t>c) face interna: 300 m² a 380 m².</t>
  </si>
  <si>
    <t>PLANILHA MEMÓRIA DE CÁLCULO - EQUIPAMENTOS DE PROTEÇÃO INDIVIDUAL (EPI's)</t>
  </si>
  <si>
    <t>Custo mensal</t>
  </si>
  <si>
    <t>Máscara de proteção descartável contra pó.</t>
  </si>
  <si>
    <t>Par de botas de borracha, cano médio.</t>
  </si>
  <si>
    <t>Sinalizador indicativo de piso molhado.</t>
  </si>
  <si>
    <t>Faixa de segurança para isolamento de áreas 5cm x 16,4m.</t>
  </si>
  <si>
    <t>Protetor auricular para aspiração de pó e água.</t>
  </si>
  <si>
    <t>TOTAL MENSAL</t>
  </si>
  <si>
    <t>Outros (especificar) - EPI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</si>
</sst>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0.000%"/>
    <numFmt numFmtId="166" formatCode="0.0000%"/>
    <numFmt numFmtId="167" formatCode="_(&quot;R$&quot;* #,##0.00_);_(&quot;R$&quot;* \(#,##0.00\);_(&quot;R$&quot;* &quot;-&quot;??_);_(@_)"/>
    <numFmt numFmtId="168" formatCode="#,##0.0000000"/>
    <numFmt numFmtId="169" formatCode="_-* #,##0_-;\-* #,##0_-;_-* &quot;-&quot;??_-;_-@_-"/>
  </numFmts>
  <fonts count="3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vertAlign val="superscript"/>
      <sz val="10"/>
      <name val="Arial"/>
      <family val="2"/>
    </font>
    <font>
      <sz val="9"/>
      <name val="Arial"/>
      <family val="2"/>
    </font>
    <font>
      <u/>
      <sz val="10"/>
      <name val="Arial"/>
      <family val="2"/>
    </font>
    <font>
      <b/>
      <vertAlign val="superscript"/>
      <sz val="10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0"/>
      <color rgb="FF000000"/>
      <name val="Arial"/>
      <family val="2"/>
    </font>
    <font>
      <b/>
      <sz val="9"/>
      <name val="Arial"/>
      <family val="2"/>
    </font>
    <font>
      <b/>
      <u/>
      <sz val="8"/>
      <name val="Arial"/>
      <family val="2"/>
    </font>
    <font>
      <u/>
      <sz val="8"/>
      <name val="Arial"/>
      <family val="2"/>
    </font>
    <font>
      <sz val="14"/>
      <color rgb="FF000000"/>
      <name val="Arial"/>
      <family val="2"/>
    </font>
    <font>
      <sz val="16"/>
      <color rgb="FF000000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b/>
      <sz val="14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8">
    <xf numFmtId="0" fontId="0" fillId="0" borderId="0"/>
    <xf numFmtId="164" fontId="2" fillId="0" borderId="0" applyFill="0" applyBorder="0" applyAlignment="0" applyProtection="0"/>
    <xf numFmtId="9" fontId="2" fillId="0" borderId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411">
    <xf numFmtId="0" fontId="0" fillId="0" borderId="0" xfId="0"/>
    <xf numFmtId="10" fontId="0" fillId="0" borderId="1" xfId="0" applyNumberFormat="1" applyBorder="1" applyAlignment="1">
      <alignment horizontal="center"/>
    </xf>
    <xf numFmtId="10" fontId="2" fillId="0" borderId="1" xfId="2" applyNumberFormat="1" applyBorder="1" applyAlignment="1">
      <alignment horizontal="center"/>
    </xf>
    <xf numFmtId="0" fontId="3" fillId="0" borderId="0" xfId="0" applyFont="1" applyBorder="1" applyAlignment="1">
      <alignment horizontal="center"/>
    </xf>
    <xf numFmtId="2" fontId="3" fillId="0" borderId="0" xfId="0" applyNumberFormat="1" applyFont="1" applyBorder="1" applyAlignment="1"/>
    <xf numFmtId="0" fontId="0" fillId="0" borderId="0" xfId="0" applyBorder="1"/>
    <xf numFmtId="10" fontId="3" fillId="0" borderId="1" xfId="0" applyNumberFormat="1" applyFont="1" applyBorder="1" applyAlignment="1">
      <alignment horizontal="center"/>
    </xf>
    <xf numFmtId="2" fontId="3" fillId="0" borderId="13" xfId="0" applyNumberFormat="1" applyFont="1" applyFill="1" applyBorder="1"/>
    <xf numFmtId="2" fontId="3" fillId="0" borderId="0" xfId="0" applyNumberFormat="1" applyFont="1" applyFill="1" applyBorder="1"/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/>
    <xf numFmtId="0" fontId="3" fillId="0" borderId="21" xfId="0" applyFont="1" applyBorder="1" applyAlignment="1"/>
    <xf numFmtId="0" fontId="3" fillId="0" borderId="23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10" fontId="2" fillId="0" borderId="1" xfId="2" applyNumberFormat="1" applyBorder="1" applyAlignment="1"/>
    <xf numFmtId="2" fontId="0" fillId="0" borderId="0" xfId="0" applyNumberFormat="1"/>
    <xf numFmtId="10" fontId="0" fillId="0" borderId="1" xfId="0" applyNumberFormat="1" applyFont="1" applyFill="1" applyBorder="1" applyAlignment="1">
      <alignment horizontal="center"/>
    </xf>
    <xf numFmtId="164" fontId="3" fillId="0" borderId="0" xfId="1" applyFont="1"/>
    <xf numFmtId="165" fontId="0" fillId="0" borderId="1" xfId="0" applyNumberFormat="1" applyFont="1" applyFill="1" applyBorder="1" applyAlignment="1">
      <alignment horizontal="center"/>
    </xf>
    <xf numFmtId="0" fontId="3" fillId="0" borderId="0" xfId="0" applyFont="1"/>
    <xf numFmtId="165" fontId="0" fillId="0" borderId="1" xfId="0" applyNumberFormat="1" applyFill="1" applyBorder="1" applyAlignment="1">
      <alignment horizontal="center"/>
    </xf>
    <xf numFmtId="166" fontId="0" fillId="0" borderId="1" xfId="0" applyNumberFormat="1" applyFont="1" applyFill="1" applyBorder="1" applyAlignment="1">
      <alignment horizontal="center"/>
    </xf>
    <xf numFmtId="43" fontId="0" fillId="0" borderId="0" xfId="0" applyNumberFormat="1"/>
    <xf numFmtId="0" fontId="3" fillId="0" borderId="1" xfId="0" applyFont="1" applyFill="1" applyBorder="1" applyAlignment="1">
      <alignment horizontal="center"/>
    </xf>
    <xf numFmtId="10" fontId="0" fillId="5" borderId="1" xfId="0" applyNumberFormat="1" applyFont="1" applyFill="1" applyBorder="1" applyAlignment="1">
      <alignment horizontal="center"/>
    </xf>
    <xf numFmtId="2" fontId="0" fillId="0" borderId="1" xfId="0" applyNumberFormat="1" applyFont="1" applyBorder="1"/>
    <xf numFmtId="2" fontId="0" fillId="0" borderId="1" xfId="0" applyNumberFormat="1" applyFont="1" applyFill="1" applyBorder="1"/>
    <xf numFmtId="2" fontId="3" fillId="0" borderId="1" xfId="0" applyNumberFormat="1" applyFont="1" applyFill="1" applyBorder="1"/>
    <xf numFmtId="2" fontId="0" fillId="0" borderId="1" xfId="0" applyNumberFormat="1" applyBorder="1" applyAlignment="1">
      <alignment horizontal="right"/>
    </xf>
    <xf numFmtId="2" fontId="3" fillId="0" borderId="1" xfId="0" applyNumberFormat="1" applyFont="1" applyBorder="1"/>
    <xf numFmtId="2" fontId="0" fillId="0" borderId="1" xfId="0" applyNumberFormat="1" applyBorder="1"/>
    <xf numFmtId="10" fontId="0" fillId="0" borderId="1" xfId="0" applyNumberFormat="1" applyBorder="1" applyAlignment="1"/>
    <xf numFmtId="0" fontId="0" fillId="0" borderId="1" xfId="0" applyFont="1" applyFill="1" applyBorder="1" applyAlignment="1">
      <alignment horizontal="center"/>
    </xf>
    <xf numFmtId="2" fontId="0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6" fillId="0" borderId="0" xfId="0" applyFont="1"/>
    <xf numFmtId="164" fontId="6" fillId="0" borderId="0" xfId="1" applyFont="1"/>
    <xf numFmtId="164" fontId="2" fillId="0" borderId="1" xfId="1" applyBorder="1" applyAlignment="1">
      <alignment horizontal="center" vertical="center"/>
    </xf>
    <xf numFmtId="0" fontId="1" fillId="0" borderId="0" xfId="3"/>
    <xf numFmtId="0" fontId="3" fillId="6" borderId="1" xfId="0" applyFont="1" applyFill="1" applyBorder="1" applyAlignment="1">
      <alignment vertical="center" wrapText="1"/>
    </xf>
    <xf numFmtId="164" fontId="2" fillId="0" borderId="1" xfId="1" applyBorder="1"/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7" fillId="0" borderId="1" xfId="0" applyFont="1" applyBorder="1"/>
    <xf numFmtId="49" fontId="0" fillId="0" borderId="1" xfId="0" applyNumberFormat="1" applyFont="1" applyBorder="1" applyAlignment="1">
      <alignment horizontal="center"/>
    </xf>
    <xf numFmtId="0" fontId="0" fillId="0" borderId="49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1" fillId="0" borderId="49" xfId="0" applyFont="1" applyBorder="1" applyAlignment="1">
      <alignment horizontal="center"/>
    </xf>
    <xf numFmtId="3" fontId="0" fillId="0" borderId="10" xfId="0" applyNumberFormat="1" applyFont="1" applyBorder="1" applyAlignment="1">
      <alignment horizontal="center"/>
    </xf>
    <xf numFmtId="44" fontId="3" fillId="0" borderId="1" xfId="0" applyNumberFormat="1" applyFont="1" applyBorder="1" applyAlignment="1"/>
    <xf numFmtId="167" fontId="3" fillId="0" borderId="49" xfId="5" applyFont="1" applyBorder="1" applyAlignment="1">
      <alignment horizontal="center"/>
    </xf>
    <xf numFmtId="164" fontId="2" fillId="0" borderId="1" xfId="1" applyBorder="1" applyAlignment="1">
      <alignment horizontal="center"/>
    </xf>
    <xf numFmtId="0" fontId="2" fillId="0" borderId="1" xfId="1" applyNumberFormat="1" applyBorder="1" applyAlignment="1">
      <alignment horizontal="center"/>
    </xf>
    <xf numFmtId="164" fontId="2" fillId="0" borderId="1" xfId="1" applyFont="1" applyBorder="1" applyAlignment="1">
      <alignment horizontal="center" vertical="center" wrapText="1"/>
    </xf>
    <xf numFmtId="44" fontId="2" fillId="0" borderId="1" xfId="4" applyFont="1" applyBorder="1" applyAlignment="1">
      <alignment vertical="center"/>
    </xf>
    <xf numFmtId="164" fontId="2" fillId="0" borderId="1" xfId="1" applyFont="1" applyBorder="1" applyAlignment="1">
      <alignment vertical="center" wrapText="1"/>
    </xf>
    <xf numFmtId="0" fontId="14" fillId="0" borderId="0" xfId="3" applyFont="1"/>
    <xf numFmtId="4" fontId="0" fillId="0" borderId="0" xfId="0" applyNumberFormat="1"/>
    <xf numFmtId="10" fontId="0" fillId="0" borderId="1" xfId="0" applyNumberFormat="1" applyBorder="1"/>
    <xf numFmtId="10" fontId="2" fillId="0" borderId="1" xfId="2" applyNumberFormat="1" applyBorder="1" applyAlignment="1">
      <alignment horizontal="right"/>
    </xf>
    <xf numFmtId="10" fontId="2" fillId="0" borderId="1" xfId="2" applyNumberFormat="1" applyFill="1" applyBorder="1" applyAlignment="1">
      <alignment horizontal="right"/>
    </xf>
    <xf numFmtId="10" fontId="0" fillId="0" borderId="1" xfId="0" applyNumberFormat="1" applyBorder="1" applyAlignment="1">
      <alignment horizontal="right"/>
    </xf>
    <xf numFmtId="10" fontId="3" fillId="0" borderId="1" xfId="0" applyNumberFormat="1" applyFont="1" applyBorder="1" applyAlignment="1">
      <alignment horizontal="right"/>
    </xf>
    <xf numFmtId="0" fontId="13" fillId="0" borderId="44" xfId="3" applyFont="1" applyBorder="1" applyAlignment="1">
      <alignment horizontal="center" vertical="center" wrapText="1"/>
    </xf>
    <xf numFmtId="0" fontId="13" fillId="0" borderId="0" xfId="3" applyFont="1" applyBorder="1" applyAlignment="1">
      <alignment horizontal="center" vertical="center" wrapText="1"/>
    </xf>
    <xf numFmtId="164" fontId="2" fillId="0" borderId="45" xfId="1" applyBorder="1" applyAlignment="1">
      <alignment vertical="center" wrapText="1"/>
    </xf>
    <xf numFmtId="4" fontId="0" fillId="0" borderId="0" xfId="0" applyNumberFormat="1" applyAlignment="1">
      <alignment horizontal="left"/>
    </xf>
    <xf numFmtId="4" fontId="3" fillId="0" borderId="1" xfId="0" applyNumberFormat="1" applyFont="1" applyFill="1" applyBorder="1"/>
    <xf numFmtId="4" fontId="3" fillId="0" borderId="0" xfId="0" applyNumberFormat="1" applyFont="1"/>
    <xf numFmtId="49" fontId="0" fillId="0" borderId="49" xfId="0" applyNumberFormat="1" applyFont="1" applyBorder="1" applyAlignment="1">
      <alignment wrapText="1"/>
    </xf>
    <xf numFmtId="164" fontId="3" fillId="0" borderId="1" xfId="1" applyFont="1" applyBorder="1" applyAlignment="1">
      <alignment horizontal="center"/>
    </xf>
    <xf numFmtId="0" fontId="3" fillId="6" borderId="1" xfId="0" applyFont="1" applyFill="1" applyBorder="1" applyAlignment="1">
      <alignment horizontal="center" vertical="center"/>
    </xf>
    <xf numFmtId="43" fontId="3" fillId="0" borderId="1" xfId="0" applyNumberFormat="1" applyFont="1" applyBorder="1"/>
    <xf numFmtId="43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49" fontId="0" fillId="0" borderId="4" xfId="0" applyNumberFormat="1" applyFont="1" applyBorder="1" applyAlignment="1">
      <alignment horizontal="center"/>
    </xf>
    <xf numFmtId="0" fontId="0" fillId="0" borderId="4" xfId="0" applyFont="1" applyBorder="1" applyAlignment="1">
      <alignment horizontal="center" vertical="center" wrapText="1"/>
    </xf>
    <xf numFmtId="167" fontId="3" fillId="0" borderId="7" xfId="5" applyFont="1" applyBorder="1" applyAlignment="1">
      <alignment horizontal="center"/>
    </xf>
    <xf numFmtId="3" fontId="2" fillId="0" borderId="1" xfId="1" applyNumberFormat="1" applyBorder="1" applyAlignment="1">
      <alignment horizontal="center"/>
    </xf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10" xfId="0" applyFont="1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10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Border="1"/>
    <xf numFmtId="2" fontId="2" fillId="0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0" fontId="2" fillId="0" borderId="15" xfId="0" applyFont="1" applyBorder="1" applyAlignment="1"/>
    <xf numFmtId="0" fontId="2" fillId="0" borderId="20" xfId="0" applyFont="1" applyBorder="1" applyAlignment="1"/>
    <xf numFmtId="2" fontId="2" fillId="0" borderId="17" xfId="0" applyNumberFormat="1" applyFont="1" applyBorder="1"/>
    <xf numFmtId="0" fontId="2" fillId="0" borderId="12" xfId="0" applyFont="1" applyBorder="1" applyAlignment="1"/>
    <xf numFmtId="0" fontId="2" fillId="0" borderId="21" xfId="0" applyFont="1" applyBorder="1" applyAlignment="1"/>
    <xf numFmtId="2" fontId="2" fillId="0" borderId="18" xfId="0" applyNumberFormat="1" applyFont="1" applyFill="1" applyBorder="1"/>
    <xf numFmtId="0" fontId="2" fillId="0" borderId="16" xfId="0" applyFont="1" applyBorder="1" applyAlignment="1"/>
    <xf numFmtId="0" fontId="2" fillId="0" borderId="22" xfId="0" applyFont="1" applyBorder="1" applyAlignment="1"/>
    <xf numFmtId="2" fontId="2" fillId="0" borderId="19" xfId="0" applyNumberFormat="1" applyFont="1" applyFill="1" applyBorder="1"/>
    <xf numFmtId="0" fontId="2" fillId="0" borderId="2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2" fontId="2" fillId="0" borderId="8" xfId="0" applyNumberFormat="1" applyFont="1" applyBorder="1"/>
    <xf numFmtId="0" fontId="2" fillId="0" borderId="5" xfId="0" applyFont="1" applyFill="1" applyBorder="1" applyAlignment="1">
      <alignment horizontal="center"/>
    </xf>
    <xf numFmtId="2" fontId="2" fillId="0" borderId="4" xfId="0" applyNumberFormat="1" applyFont="1" applyFill="1" applyBorder="1"/>
    <xf numFmtId="0" fontId="2" fillId="0" borderId="0" xfId="0" applyFont="1" applyFill="1" applyBorder="1" applyAlignment="1">
      <alignment horizontal="center"/>
    </xf>
    <xf numFmtId="4" fontId="0" fillId="0" borderId="1" xfId="0" applyNumberFormat="1" applyBorder="1"/>
    <xf numFmtId="4" fontId="3" fillId="0" borderId="1" xfId="0" applyNumberFormat="1" applyFont="1" applyBorder="1" applyAlignment="1"/>
    <xf numFmtId="0" fontId="17" fillId="0" borderId="1" xfId="0" applyFont="1" applyBorder="1" applyAlignment="1">
      <alignment vertical="center"/>
    </xf>
    <xf numFmtId="44" fontId="0" fillId="0" borderId="0" xfId="0" applyNumberFormat="1"/>
    <xf numFmtId="164" fontId="2" fillId="0" borderId="1" xfId="1" applyBorder="1" applyAlignment="1">
      <alignment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6" xfId="0" applyBorder="1"/>
    <xf numFmtId="0" fontId="0" fillId="0" borderId="54" xfId="0" applyBorder="1"/>
    <xf numFmtId="0" fontId="3" fillId="0" borderId="2" xfId="0" applyFont="1" applyBorder="1" applyAlignment="1">
      <alignment horizontal="center" wrapText="1"/>
    </xf>
    <xf numFmtId="0" fontId="3" fillId="0" borderId="50" xfId="0" applyFont="1" applyBorder="1" applyAlignment="1">
      <alignment horizontal="center"/>
    </xf>
    <xf numFmtId="0" fontId="3" fillId="0" borderId="50" xfId="0" applyNumberFormat="1" applyFont="1" applyBorder="1" applyAlignment="1">
      <alignment horizontal="center" wrapText="1"/>
    </xf>
    <xf numFmtId="0" fontId="3" fillId="0" borderId="50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4" fontId="0" fillId="0" borderId="7" xfId="0" applyNumberFormat="1" applyBorder="1"/>
    <xf numFmtId="9" fontId="0" fillId="0" borderId="54" xfId="0" applyNumberFormat="1" applyBorder="1"/>
    <xf numFmtId="4" fontId="0" fillId="0" borderId="54" xfId="0" applyNumberFormat="1" applyBorder="1"/>
    <xf numFmtId="0" fontId="3" fillId="0" borderId="0" xfId="0" applyFont="1" applyBorder="1" applyAlignment="1">
      <alignment horizontal="center" wrapText="1"/>
    </xf>
    <xf numFmtId="0" fontId="3" fillId="0" borderId="0" xfId="0" applyNumberFormat="1" applyFont="1" applyBorder="1" applyAlignment="1">
      <alignment horizontal="center" wrapText="1"/>
    </xf>
    <xf numFmtId="4" fontId="0" fillId="0" borderId="0" xfId="0" applyNumberFormat="1" applyBorder="1"/>
    <xf numFmtId="0" fontId="3" fillId="0" borderId="0" xfId="0" applyFont="1" applyAlignment="1">
      <alignment horizontal="center"/>
    </xf>
    <xf numFmtId="0" fontId="3" fillId="0" borderId="0" xfId="0" applyFont="1" applyAlignment="1"/>
    <xf numFmtId="0" fontId="3" fillId="0" borderId="1" xfId="0" applyFont="1" applyBorder="1" applyAlignment="1">
      <alignment horizontal="center" vertical="center"/>
    </xf>
    <xf numFmtId="16" fontId="0" fillId="0" borderId="0" xfId="0" applyNumberFormat="1"/>
    <xf numFmtId="0" fontId="21" fillId="0" borderId="0" xfId="0" applyFont="1" applyAlignment="1">
      <alignment horizontal="left" vertical="center" readingOrder="1"/>
    </xf>
    <xf numFmtId="0" fontId="22" fillId="0" borderId="0" xfId="0" applyFont="1" applyAlignment="1">
      <alignment horizontal="left" vertical="center" readingOrder="1"/>
    </xf>
    <xf numFmtId="0" fontId="21" fillId="0" borderId="0" xfId="0" applyFont="1"/>
    <xf numFmtId="4" fontId="2" fillId="0" borderId="1" xfId="0" applyNumberFormat="1" applyFont="1" applyBorder="1"/>
    <xf numFmtId="4" fontId="2" fillId="0" borderId="1" xfId="0" applyNumberFormat="1" applyFont="1" applyFill="1" applyBorder="1"/>
    <xf numFmtId="4" fontId="0" fillId="0" borderId="1" xfId="0" applyNumberFormat="1" applyFont="1" applyBorder="1"/>
    <xf numFmtId="4" fontId="3" fillId="0" borderId="1" xfId="0" applyNumberFormat="1" applyFont="1" applyBorder="1"/>
    <xf numFmtId="4" fontId="23" fillId="0" borderId="0" xfId="0" applyNumberFormat="1" applyFont="1"/>
    <xf numFmtId="0" fontId="23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0" xfId="3" applyBorder="1" applyAlignment="1">
      <alignment horizontal="center" wrapText="1"/>
    </xf>
    <xf numFmtId="0" fontId="25" fillId="0" borderId="1" xfId="0" applyFont="1" applyBorder="1" applyAlignment="1">
      <alignment horizontal="center" vertical="center" wrapText="1"/>
    </xf>
    <xf numFmtId="12" fontId="25" fillId="0" borderId="1" xfId="0" applyNumberFormat="1" applyFont="1" applyBorder="1" applyAlignment="1">
      <alignment vertical="center" wrapText="1"/>
    </xf>
    <xf numFmtId="0" fontId="26" fillId="0" borderId="1" xfId="0" applyFont="1" applyBorder="1" applyAlignment="1">
      <alignment wrapText="1"/>
    </xf>
    <xf numFmtId="12" fontId="25" fillId="0" borderId="30" xfId="0" applyNumberFormat="1" applyFont="1" applyBorder="1" applyAlignment="1">
      <alignment horizontal="center" vertical="center" wrapText="1"/>
    </xf>
    <xf numFmtId="12" fontId="25" fillId="0" borderId="1" xfId="0" applyNumberFormat="1" applyFont="1" applyBorder="1" applyAlignment="1">
      <alignment horizontal="left" vertical="center" wrapText="1"/>
    </xf>
    <xf numFmtId="12" fontId="25" fillId="5" borderId="30" xfId="0" applyNumberFormat="1" applyFont="1" applyFill="1" applyBorder="1" applyAlignment="1">
      <alignment horizontal="center" vertical="center" wrapText="1"/>
    </xf>
    <xf numFmtId="12" fontId="25" fillId="0" borderId="12" xfId="0" applyNumberFormat="1" applyFont="1" applyBorder="1" applyAlignment="1">
      <alignment horizontal="center" vertical="center" wrapText="1"/>
    </xf>
    <xf numFmtId="49" fontId="25" fillId="5" borderId="1" xfId="0" applyNumberFormat="1" applyFont="1" applyFill="1" applyBorder="1" applyAlignment="1">
      <alignment horizontal="center" vertical="center" wrapText="1"/>
    </xf>
    <xf numFmtId="43" fontId="28" fillId="0" borderId="1" xfId="0" applyNumberFormat="1" applyFont="1" applyBorder="1" applyAlignment="1">
      <alignment vertical="center" wrapText="1"/>
    </xf>
    <xf numFmtId="43" fontId="28" fillId="0" borderId="1" xfId="0" applyNumberFormat="1" applyFont="1" applyBorder="1" applyAlignment="1">
      <alignment horizontal="center" vertical="center" wrapText="1"/>
    </xf>
    <xf numFmtId="43" fontId="28" fillId="0" borderId="1" xfId="0" applyNumberFormat="1" applyFont="1" applyBorder="1" applyAlignment="1">
      <alignment horizontal="left" vertical="center" wrapText="1"/>
    </xf>
    <xf numFmtId="43" fontId="28" fillId="5" borderId="1" xfId="0" applyNumberFormat="1" applyFont="1" applyFill="1" applyBorder="1" applyAlignment="1">
      <alignment vertical="center" wrapText="1"/>
    </xf>
    <xf numFmtId="43" fontId="27" fillId="6" borderId="1" xfId="0" applyNumberFormat="1" applyFont="1" applyFill="1" applyBorder="1" applyAlignment="1">
      <alignment vertical="center" wrapText="1"/>
    </xf>
    <xf numFmtId="10" fontId="27" fillId="5" borderId="1" xfId="0" applyNumberFormat="1" applyFont="1" applyFill="1" applyBorder="1" applyAlignment="1">
      <alignment horizontal="center" vertical="center" wrapText="1"/>
    </xf>
    <xf numFmtId="2" fontId="29" fillId="0" borderId="1" xfId="7" applyNumberFormat="1" applyFont="1" applyBorder="1" applyAlignment="1">
      <alignment vertical="center" wrapText="1"/>
    </xf>
    <xf numFmtId="43" fontId="27" fillId="0" borderId="30" xfId="0" applyNumberFormat="1" applyFont="1" applyBorder="1" applyAlignment="1">
      <alignment vertical="center" wrapText="1"/>
    </xf>
    <xf numFmtId="2" fontId="29" fillId="6" borderId="1" xfId="7" applyNumberFormat="1" applyFont="1" applyFill="1" applyBorder="1" applyAlignment="1">
      <alignment vertical="center" wrapText="1"/>
    </xf>
    <xf numFmtId="43" fontId="27" fillId="0" borderId="0" xfId="0" applyNumberFormat="1" applyFont="1" applyAlignment="1">
      <alignment vertical="center" wrapText="1"/>
    </xf>
    <xf numFmtId="0" fontId="7" fillId="6" borderId="1" xfId="3" applyFont="1" applyFill="1" applyBorder="1" applyAlignment="1">
      <alignment vertical="center" wrapText="1"/>
    </xf>
    <xf numFmtId="12" fontId="7" fillId="6" borderId="1" xfId="0" applyNumberFormat="1" applyFont="1" applyFill="1" applyBorder="1" applyAlignment="1">
      <alignment vertical="center" wrapText="1"/>
    </xf>
    <xf numFmtId="0" fontId="7" fillId="6" borderId="1" xfId="0" applyFont="1" applyFill="1" applyBorder="1" applyAlignment="1">
      <alignment vertical="center" wrapText="1"/>
    </xf>
    <xf numFmtId="43" fontId="1" fillId="0" borderId="0" xfId="3" applyNumberFormat="1"/>
    <xf numFmtId="0" fontId="27" fillId="5" borderId="10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12" fontId="27" fillId="5" borderId="10" xfId="0" applyNumberFormat="1" applyFont="1" applyFill="1" applyBorder="1" applyAlignment="1">
      <alignment horizontal="center" vertical="center" wrapText="1"/>
    </xf>
    <xf numFmtId="12" fontId="27" fillId="0" borderId="10" xfId="0" applyNumberFormat="1" applyFont="1" applyBorder="1" applyAlignment="1">
      <alignment horizontal="center" vertical="center" wrapText="1"/>
    </xf>
    <xf numFmtId="12" fontId="25" fillId="0" borderId="1" xfId="0" applyNumberFormat="1" applyFont="1" applyBorder="1" applyAlignment="1">
      <alignment horizontal="center" vertical="center" wrapText="1"/>
    </xf>
    <xf numFmtId="12" fontId="25" fillId="5" borderId="1" xfId="0" applyNumberFormat="1" applyFont="1" applyFill="1" applyBorder="1" applyAlignment="1">
      <alignment horizontal="center" vertical="center" wrapText="1"/>
    </xf>
    <xf numFmtId="44" fontId="28" fillId="5" borderId="1" xfId="0" applyNumberFormat="1" applyFont="1" applyFill="1" applyBorder="1" applyAlignment="1">
      <alignment vertical="center" wrapText="1"/>
    </xf>
    <xf numFmtId="0" fontId="28" fillId="0" borderId="1" xfId="0" applyFont="1" applyBorder="1" applyAlignment="1">
      <alignment horizontal="center" vertical="center" wrapText="1"/>
    </xf>
    <xf numFmtId="44" fontId="28" fillId="0" borderId="1" xfId="0" applyNumberFormat="1" applyFont="1" applyBorder="1" applyAlignment="1">
      <alignment vertical="center" wrapText="1"/>
    </xf>
    <xf numFmtId="44" fontId="28" fillId="6" borderId="1" xfId="0" applyNumberFormat="1" applyFont="1" applyFill="1" applyBorder="1" applyAlignment="1">
      <alignment vertical="center" wrapText="1"/>
    </xf>
    <xf numFmtId="44" fontId="27" fillId="6" borderId="1" xfId="0" applyNumberFormat="1" applyFont="1" applyFill="1" applyBorder="1" applyAlignment="1">
      <alignment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9" fillId="5" borderId="1" xfId="0" applyFont="1" applyFill="1" applyBorder="1" applyAlignment="1">
      <alignment horizontal="center" vertical="center" wrapText="1"/>
    </xf>
    <xf numFmtId="12" fontId="27" fillId="5" borderId="1" xfId="0" applyNumberFormat="1" applyFont="1" applyFill="1" applyBorder="1" applyAlignment="1">
      <alignment horizontal="center" vertical="center" wrapText="1"/>
    </xf>
    <xf numFmtId="12" fontId="27" fillId="0" borderId="1" xfId="0" applyNumberFormat="1" applyFont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44" fontId="28" fillId="5" borderId="1" xfId="0" applyNumberFormat="1" applyFont="1" applyFill="1" applyBorder="1" applyAlignment="1">
      <alignment horizontal="center" vertical="center" wrapText="1"/>
    </xf>
    <xf numFmtId="44" fontId="28" fillId="5" borderId="1" xfId="7" applyNumberFormat="1" applyFont="1" applyFill="1" applyBorder="1" applyAlignment="1">
      <alignment vertical="center" wrapText="1"/>
    </xf>
    <xf numFmtId="44" fontId="28" fillId="0" borderId="1" xfId="7" applyNumberFormat="1" applyFont="1" applyBorder="1" applyAlignment="1">
      <alignment vertical="center" wrapText="1"/>
    </xf>
    <xf numFmtId="0" fontId="28" fillId="6" borderId="29" xfId="0" applyFont="1" applyFill="1" applyBorder="1" applyAlignment="1">
      <alignment vertical="center" wrapText="1"/>
    </xf>
    <xf numFmtId="43" fontId="27" fillId="6" borderId="1" xfId="7" applyFont="1" applyFill="1" applyBorder="1" applyAlignment="1">
      <alignment vertical="center" wrapText="1"/>
    </xf>
    <xf numFmtId="43" fontId="27" fillId="6" borderId="30" xfId="7" applyFont="1" applyFill="1" applyBorder="1" applyAlignment="1">
      <alignment vertical="center" wrapText="1"/>
    </xf>
    <xf numFmtId="0" fontId="0" fillId="5" borderId="0" xfId="0" applyFill="1"/>
    <xf numFmtId="164" fontId="3" fillId="0" borderId="1" xfId="1" applyFont="1" applyBorder="1"/>
    <xf numFmtId="0" fontId="32" fillId="0" borderId="0" xfId="0" applyFont="1" applyAlignment="1">
      <alignment vertical="center" wrapText="1"/>
    </xf>
    <xf numFmtId="0" fontId="32" fillId="5" borderId="0" xfId="0" applyFont="1" applyFill="1" applyAlignment="1">
      <alignment vertical="center" wrapText="1"/>
    </xf>
    <xf numFmtId="0" fontId="33" fillId="6" borderId="1" xfId="0" applyFont="1" applyFill="1" applyBorder="1" applyAlignment="1">
      <alignment horizontal="center" vertical="center" wrapText="1"/>
    </xf>
    <xf numFmtId="0" fontId="32" fillId="5" borderId="1" xfId="0" applyFont="1" applyFill="1" applyBorder="1" applyAlignment="1">
      <alignment horizontal="center" vertical="center" wrapText="1"/>
    </xf>
    <xf numFmtId="43" fontId="32" fillId="5" borderId="1" xfId="7" applyFont="1" applyFill="1" applyBorder="1" applyAlignment="1">
      <alignment vertical="center" wrapText="1"/>
    </xf>
    <xf numFmtId="43" fontId="33" fillId="5" borderId="1" xfId="7" applyFont="1" applyFill="1" applyBorder="1" applyAlignment="1">
      <alignment vertical="center" wrapText="1"/>
    </xf>
    <xf numFmtId="0" fontId="33" fillId="5" borderId="1" xfId="0" applyFont="1" applyFill="1" applyBorder="1" applyAlignment="1">
      <alignment horizontal="center" vertical="center" wrapText="1"/>
    </xf>
    <xf numFmtId="164" fontId="15" fillId="0" borderId="0" xfId="1" applyFont="1" applyBorder="1"/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43" fontId="3" fillId="0" borderId="0" xfId="0" applyNumberFormat="1" applyFont="1"/>
    <xf numFmtId="4" fontId="2" fillId="0" borderId="1" xfId="1" applyNumberFormat="1" applyBorder="1"/>
    <xf numFmtId="0" fontId="0" fillId="0" borderId="1" xfId="0" applyNumberFormat="1" applyBorder="1"/>
    <xf numFmtId="0" fontId="11" fillId="0" borderId="56" xfId="0" applyFont="1" applyBorder="1" applyAlignment="1">
      <alignment horizontal="center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/>
    </xf>
    <xf numFmtId="0" fontId="0" fillId="0" borderId="1" xfId="0" applyBorder="1" applyAlignment="1">
      <alignment vertical="center"/>
    </xf>
    <xf numFmtId="43" fontId="0" fillId="5" borderId="1" xfId="7" applyFont="1" applyFill="1" applyBorder="1" applyAlignment="1">
      <alignment vertical="center"/>
    </xf>
    <xf numFmtId="0" fontId="0" fillId="0" borderId="1" xfId="0" applyBorder="1" applyAlignment="1">
      <alignment horizontal="left" wrapText="1"/>
    </xf>
    <xf numFmtId="0" fontId="0" fillId="0" borderId="49" xfId="0" applyBorder="1" applyAlignment="1">
      <alignment horizontal="left" vertical="center"/>
    </xf>
    <xf numFmtId="0" fontId="0" fillId="0" borderId="49" xfId="0" applyBorder="1" applyAlignment="1">
      <alignment horizontal="right" vertical="center"/>
    </xf>
    <xf numFmtId="169" fontId="0" fillId="5" borderId="49" xfId="7" applyNumberFormat="1" applyFont="1" applyFill="1" applyBorder="1" applyAlignment="1">
      <alignment horizontal="center" vertical="center"/>
    </xf>
    <xf numFmtId="0" fontId="24" fillId="0" borderId="46" xfId="0" applyFont="1" applyBorder="1"/>
    <xf numFmtId="0" fontId="24" fillId="0" borderId="0" xfId="0" applyFont="1" applyBorder="1"/>
    <xf numFmtId="0" fontId="24" fillId="0" borderId="59" xfId="0" applyFont="1" applyBorder="1"/>
    <xf numFmtId="0" fontId="24" fillId="0" borderId="4" xfId="0" applyFont="1" applyBorder="1" applyAlignment="1">
      <alignment horizontal="center" vertical="center" wrapText="1"/>
    </xf>
    <xf numFmtId="43" fontId="0" fillId="0" borderId="4" xfId="7" applyFont="1" applyBorder="1" applyAlignment="1">
      <alignment vertical="center"/>
    </xf>
    <xf numFmtId="0" fontId="24" fillId="0" borderId="5" xfId="0" applyFont="1" applyBorder="1" applyAlignment="1">
      <alignment horizontal="center" vertical="center" wrapText="1"/>
    </xf>
    <xf numFmtId="43" fontId="0" fillId="0" borderId="52" xfId="7" applyFont="1" applyBorder="1" applyAlignment="1">
      <alignment horizontal="center" vertical="center"/>
    </xf>
    <xf numFmtId="164" fontId="3" fillId="0" borderId="1" xfId="0" applyNumberFormat="1" applyFont="1" applyBorder="1"/>
    <xf numFmtId="0" fontId="34" fillId="0" borderId="0" xfId="0" applyFont="1"/>
    <xf numFmtId="0" fontId="6" fillId="0" borderId="1" xfId="0" applyFont="1" applyBorder="1" applyAlignment="1">
      <alignment horizontal="center"/>
    </xf>
    <xf numFmtId="43" fontId="6" fillId="5" borderId="1" xfId="7" applyFont="1" applyFill="1" applyBorder="1" applyAlignment="1">
      <alignment vertical="center"/>
    </xf>
    <xf numFmtId="1" fontId="35" fillId="0" borderId="7" xfId="7" applyNumberFormat="1" applyFont="1" applyBorder="1"/>
    <xf numFmtId="43" fontId="6" fillId="0" borderId="4" xfId="7" applyFont="1" applyBorder="1" applyAlignment="1">
      <alignment vertical="center"/>
    </xf>
    <xf numFmtId="0" fontId="6" fillId="0" borderId="1" xfId="1" applyNumberFormat="1" applyFont="1" applyBorder="1" applyAlignment="1">
      <alignment horizontal="center"/>
    </xf>
    <xf numFmtId="43" fontId="33" fillId="0" borderId="1" xfId="7" applyFont="1" applyBorder="1" applyAlignment="1">
      <alignment vertical="center" wrapText="1"/>
    </xf>
    <xf numFmtId="0" fontId="36" fillId="0" borderId="0" xfId="0" applyFont="1"/>
    <xf numFmtId="0" fontId="3" fillId="0" borderId="0" xfId="0" applyFont="1" applyAlignment="1">
      <alignment horizontal="left"/>
    </xf>
    <xf numFmtId="0" fontId="3" fillId="3" borderId="1" xfId="0" applyFont="1" applyFill="1" applyBorder="1" applyAlignment="1">
      <alignment horizontal="center"/>
    </xf>
    <xf numFmtId="0" fontId="0" fillId="0" borderId="2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39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40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3" fillId="0" borderId="35" xfId="0" applyFont="1" applyBorder="1" applyAlignment="1">
      <alignment horizontal="left"/>
    </xf>
    <xf numFmtId="0" fontId="3" fillId="0" borderId="23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2" fillId="0" borderId="25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29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30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0" fillId="0" borderId="1" xfId="0" applyBorder="1"/>
    <xf numFmtId="0" fontId="0" fillId="0" borderId="1" xfId="0" applyFont="1" applyBorder="1"/>
    <xf numFmtId="0" fontId="0" fillId="0" borderId="1" xfId="0" applyBorder="1" applyAlignment="1">
      <alignment horizontal="left"/>
    </xf>
    <xf numFmtId="0" fontId="0" fillId="0" borderId="29" xfId="0" applyBorder="1" applyAlignment="1">
      <alignment horizontal="left" wrapText="1"/>
    </xf>
    <xf numFmtId="0" fontId="0" fillId="0" borderId="12" xfId="0" applyBorder="1" applyAlignment="1">
      <alignment horizontal="left" wrapText="1"/>
    </xf>
    <xf numFmtId="0" fontId="0" fillId="0" borderId="30" xfId="0" applyBorder="1" applyAlignment="1">
      <alignment horizontal="left" wrapText="1"/>
    </xf>
    <xf numFmtId="0" fontId="0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3" fillId="6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0" fillId="0" borderId="1" xfId="0" applyFont="1" applyBorder="1" applyAlignment="1">
      <alignment horizontal="center" vertical="center" wrapText="1"/>
    </xf>
    <xf numFmtId="0" fontId="3" fillId="4" borderId="32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48" xfId="0" applyFont="1" applyFill="1" applyBorder="1" applyAlignment="1">
      <alignment horizontal="center"/>
    </xf>
    <xf numFmtId="0" fontId="3" fillId="4" borderId="27" xfId="0" applyFont="1" applyFill="1" applyBorder="1" applyAlignment="1">
      <alignment horizontal="center"/>
    </xf>
    <xf numFmtId="0" fontId="3" fillId="4" borderId="47" xfId="0" applyFont="1" applyFill="1" applyBorder="1" applyAlignment="1">
      <alignment horizontal="center"/>
    </xf>
    <xf numFmtId="0" fontId="3" fillId="4" borderId="42" xfId="0" applyFont="1" applyFill="1" applyBorder="1" applyAlignment="1">
      <alignment horizontal="center"/>
    </xf>
    <xf numFmtId="0" fontId="3" fillId="4" borderId="46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29" xfId="0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0" xfId="0" applyBorder="1" applyAlignment="1">
      <alignment horizontal="center"/>
    </xf>
    <xf numFmtId="0" fontId="3" fillId="6" borderId="29" xfId="0" applyFont="1" applyFill="1" applyBorder="1" applyAlignment="1">
      <alignment horizontal="center"/>
    </xf>
    <xf numFmtId="0" fontId="3" fillId="6" borderId="12" xfId="0" applyFont="1" applyFill="1" applyBorder="1" applyAlignment="1">
      <alignment horizontal="center"/>
    </xf>
    <xf numFmtId="0" fontId="3" fillId="6" borderId="30" xfId="0" applyFont="1" applyFill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3" fillId="0" borderId="25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center" wrapText="1"/>
    </xf>
    <xf numFmtId="0" fontId="3" fillId="0" borderId="3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19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 wrapText="1"/>
    </xf>
    <xf numFmtId="0" fontId="3" fillId="0" borderId="39" xfId="0" applyFont="1" applyBorder="1" applyAlignment="1">
      <alignment horizontal="center" wrapText="1"/>
    </xf>
    <xf numFmtId="0" fontId="3" fillId="0" borderId="55" xfId="0" applyFont="1" applyBorder="1" applyAlignment="1">
      <alignment horizontal="center" wrapText="1"/>
    </xf>
    <xf numFmtId="4" fontId="0" fillId="0" borderId="33" xfId="0" applyNumberFormat="1" applyBorder="1" applyAlignment="1">
      <alignment horizontal="center"/>
    </xf>
    <xf numFmtId="4" fontId="0" fillId="0" borderId="19" xfId="0" applyNumberForma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" fillId="0" borderId="0" xfId="3" applyBorder="1" applyAlignment="1">
      <alignment horizontal="center" wrapText="1"/>
    </xf>
    <xf numFmtId="0" fontId="27" fillId="6" borderId="1" xfId="0" applyFont="1" applyFill="1" applyBorder="1" applyAlignment="1">
      <alignment horizontal="center" vertical="center" wrapText="1"/>
    </xf>
    <xf numFmtId="0" fontId="30" fillId="6" borderId="26" xfId="0" applyFont="1" applyFill="1" applyBorder="1" applyAlignment="1">
      <alignment horizontal="center" vertical="center" wrapText="1"/>
    </xf>
    <xf numFmtId="0" fontId="30" fillId="6" borderId="27" xfId="0" applyFont="1" applyFill="1" applyBorder="1" applyAlignment="1">
      <alignment horizontal="center" vertical="center" wrapText="1"/>
    </xf>
    <xf numFmtId="0" fontId="30" fillId="6" borderId="28" xfId="0" applyFont="1" applyFill="1" applyBorder="1" applyAlignment="1">
      <alignment horizontal="center" vertical="center" wrapText="1"/>
    </xf>
    <xf numFmtId="12" fontId="27" fillId="6" borderId="29" xfId="0" applyNumberFormat="1" applyFont="1" applyFill="1" applyBorder="1" applyAlignment="1">
      <alignment horizontal="center" vertical="center" wrapText="1"/>
    </xf>
    <xf numFmtId="12" fontId="27" fillId="6" borderId="12" xfId="0" applyNumberFormat="1" applyFont="1" applyFill="1" applyBorder="1" applyAlignment="1">
      <alignment horizontal="center" vertical="center" wrapText="1"/>
    </xf>
    <xf numFmtId="12" fontId="27" fillId="6" borderId="30" xfId="0" applyNumberFormat="1" applyFont="1" applyFill="1" applyBorder="1" applyAlignment="1">
      <alignment horizontal="center" vertical="center" wrapText="1"/>
    </xf>
    <xf numFmtId="0" fontId="29" fillId="6" borderId="29" xfId="0" applyFont="1" applyFill="1" applyBorder="1" applyAlignment="1">
      <alignment horizontal="center" vertical="center" wrapText="1"/>
    </xf>
    <xf numFmtId="0" fontId="29" fillId="6" borderId="12" xfId="0" applyFont="1" applyFill="1" applyBorder="1" applyAlignment="1">
      <alignment horizontal="center" vertical="center" wrapText="1"/>
    </xf>
    <xf numFmtId="0" fontId="29" fillId="6" borderId="3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7" fillId="6" borderId="26" xfId="3" applyFont="1" applyFill="1" applyBorder="1" applyAlignment="1">
      <alignment horizontal="center" vertical="center" wrapText="1"/>
    </xf>
    <xf numFmtId="0" fontId="7" fillId="6" borderId="27" xfId="3" applyFont="1" applyFill="1" applyBorder="1" applyAlignment="1">
      <alignment horizontal="center" vertical="center" wrapText="1"/>
    </xf>
    <xf numFmtId="0" fontId="27" fillId="6" borderId="42" xfId="0" applyFont="1" applyFill="1" applyBorder="1" applyAlignment="1">
      <alignment horizontal="center" vertical="center" wrapText="1"/>
    </xf>
    <xf numFmtId="0" fontId="27" fillId="6" borderId="43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30" fillId="6" borderId="1" xfId="0" applyFont="1" applyFill="1" applyBorder="1" applyAlignment="1">
      <alignment horizontal="center" vertical="center" wrapText="1"/>
    </xf>
    <xf numFmtId="12" fontId="27" fillId="6" borderId="1" xfId="0" applyNumberFormat="1" applyFont="1" applyFill="1" applyBorder="1" applyAlignment="1">
      <alignment horizontal="left" vertical="center" wrapText="1"/>
    </xf>
    <xf numFmtId="12" fontId="27" fillId="0" borderId="29" xfId="0" applyNumberFormat="1" applyFont="1" applyBorder="1" applyAlignment="1">
      <alignment horizontal="left" vertical="center" wrapText="1"/>
    </xf>
    <xf numFmtId="12" fontId="27" fillId="0" borderId="12" xfId="0" applyNumberFormat="1" applyFont="1" applyBorder="1" applyAlignment="1">
      <alignment horizontal="left" vertical="center" wrapText="1"/>
    </xf>
    <xf numFmtId="12" fontId="27" fillId="0" borderId="30" xfId="0" applyNumberFormat="1" applyFont="1" applyBorder="1" applyAlignment="1">
      <alignment horizontal="left" vertical="center" wrapText="1"/>
    </xf>
    <xf numFmtId="0" fontId="3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164" fontId="15" fillId="0" borderId="1" xfId="1" applyFont="1" applyBorder="1"/>
    <xf numFmtId="0" fontId="7" fillId="0" borderId="1" xfId="0" applyFont="1" applyBorder="1" applyAlignment="1"/>
    <xf numFmtId="0" fontId="8" fillId="0" borderId="1" xfId="0" applyFont="1" applyBorder="1" applyAlignment="1"/>
    <xf numFmtId="0" fontId="0" fillId="0" borderId="1" xfId="0" applyFont="1" applyBorder="1" applyAlignment="1">
      <alignment horizontal="left" vertical="center"/>
    </xf>
    <xf numFmtId="0" fontId="31" fillId="0" borderId="0" xfId="0" applyFont="1" applyAlignment="1">
      <alignment horizontal="center" vertical="center" wrapText="1"/>
    </xf>
    <xf numFmtId="0" fontId="32" fillId="5" borderId="49" xfId="0" applyFont="1" applyFill="1" applyBorder="1" applyAlignment="1">
      <alignment horizontal="center" vertical="center" wrapText="1"/>
    </xf>
    <xf numFmtId="0" fontId="32" fillId="5" borderId="56" xfId="0" applyFont="1" applyFill="1" applyBorder="1" applyAlignment="1">
      <alignment horizontal="center" vertical="center" wrapText="1"/>
    </xf>
    <xf numFmtId="0" fontId="32" fillId="5" borderId="10" xfId="0" applyFont="1" applyFill="1" applyBorder="1" applyAlignment="1">
      <alignment horizontal="center" vertical="center" wrapText="1"/>
    </xf>
    <xf numFmtId="0" fontId="33" fillId="5" borderId="1" xfId="0" applyFont="1" applyFill="1" applyBorder="1" applyAlignment="1">
      <alignment horizontal="center" vertical="center" wrapText="1"/>
    </xf>
    <xf numFmtId="0" fontId="31" fillId="5" borderId="0" xfId="0" applyFont="1" applyFill="1" applyAlignment="1">
      <alignment horizontal="center" vertical="center" wrapText="1"/>
    </xf>
    <xf numFmtId="0" fontId="31" fillId="5" borderId="27" xfId="0" applyFont="1" applyFill="1" applyBorder="1" applyAlignment="1">
      <alignment horizontal="center" vertical="center" wrapText="1"/>
    </xf>
    <xf numFmtId="0" fontId="3" fillId="0" borderId="53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34" xfId="0" applyFont="1" applyBorder="1" applyAlignment="1">
      <alignment horizontal="left"/>
    </xf>
    <xf numFmtId="0" fontId="24" fillId="6" borderId="2" xfId="0" applyFont="1" applyFill="1" applyBorder="1" applyAlignment="1">
      <alignment horizontal="center"/>
    </xf>
    <xf numFmtId="0" fontId="24" fillId="6" borderId="50" xfId="0" applyFont="1" applyFill="1" applyBorder="1" applyAlignment="1">
      <alignment horizontal="center"/>
    </xf>
    <xf numFmtId="0" fontId="24" fillId="6" borderId="3" xfId="0" applyFont="1" applyFill="1" applyBorder="1" applyAlignment="1">
      <alignment horizontal="center"/>
    </xf>
    <xf numFmtId="0" fontId="24" fillId="6" borderId="5" xfId="0" applyFont="1" applyFill="1" applyBorder="1" applyAlignment="1">
      <alignment horizontal="center"/>
    </xf>
    <xf numFmtId="0" fontId="24" fillId="6" borderId="1" xfId="0" applyFont="1" applyFill="1" applyBorder="1" applyAlignment="1">
      <alignment horizontal="center"/>
    </xf>
    <xf numFmtId="0" fontId="24" fillId="6" borderId="4" xfId="0" applyFont="1" applyFill="1" applyBorder="1" applyAlignment="1">
      <alignment horizontal="center"/>
    </xf>
    <xf numFmtId="0" fontId="24" fillId="0" borderId="51" xfId="0" applyFont="1" applyBorder="1" applyAlignment="1">
      <alignment horizontal="center" vertical="center"/>
    </xf>
    <xf numFmtId="0" fontId="24" fillId="0" borderId="57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4" fillId="0" borderId="6" xfId="0" applyFont="1" applyBorder="1" applyAlignment="1">
      <alignment horizontal="left" vertical="center" wrapText="1"/>
    </xf>
    <xf numFmtId="0" fontId="24" fillId="0" borderId="54" xfId="0" applyFont="1" applyBorder="1" applyAlignment="1">
      <alignment horizontal="left" vertical="center" wrapText="1"/>
    </xf>
    <xf numFmtId="0" fontId="3" fillId="6" borderId="2" xfId="0" applyFont="1" applyFill="1" applyBorder="1" applyAlignment="1">
      <alignment horizontal="center"/>
    </xf>
    <xf numFmtId="0" fontId="3" fillId="6" borderId="50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0" fillId="0" borderId="51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51" xfId="0" applyFont="1" applyBorder="1" applyAlignment="1">
      <alignment horizontal="left" vertical="center"/>
    </xf>
    <xf numFmtId="0" fontId="0" fillId="0" borderId="57" xfId="0" applyFont="1" applyBorder="1" applyAlignment="1">
      <alignment horizontal="left" vertical="center"/>
    </xf>
    <xf numFmtId="0" fontId="0" fillId="0" borderId="9" xfId="0" applyFont="1" applyBorder="1" applyAlignment="1">
      <alignment horizontal="left" vertical="center"/>
    </xf>
    <xf numFmtId="167" fontId="10" fillId="0" borderId="49" xfId="5" applyFont="1" applyBorder="1" applyAlignment="1">
      <alignment horizontal="center" vertical="center"/>
    </xf>
    <xf numFmtId="167" fontId="10" fillId="0" borderId="56" xfId="5" applyFont="1" applyBorder="1" applyAlignment="1">
      <alignment horizontal="center" vertical="center"/>
    </xf>
    <xf numFmtId="167" fontId="10" fillId="0" borderId="10" xfId="5" applyFont="1" applyBorder="1" applyAlignment="1">
      <alignment horizontal="center" vertical="center"/>
    </xf>
    <xf numFmtId="167" fontId="0" fillId="0" borderId="52" xfId="5" applyFont="1" applyBorder="1" applyAlignment="1">
      <alignment horizontal="center" vertical="center"/>
    </xf>
    <xf numFmtId="167" fontId="0" fillId="0" borderId="58" xfId="5" applyFont="1" applyBorder="1" applyAlignment="1">
      <alignment horizontal="center" vertical="center"/>
    </xf>
    <xf numFmtId="167" fontId="0" fillId="0" borderId="8" xfId="5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29" xfId="0" applyFont="1" applyFill="1" applyBorder="1" applyAlignment="1">
      <alignment horizontal="center" vertical="center"/>
    </xf>
    <xf numFmtId="0" fontId="3" fillId="6" borderId="30" xfId="0" applyFont="1" applyFill="1" applyBorder="1" applyAlignment="1">
      <alignment horizontal="center" vertical="center"/>
    </xf>
    <xf numFmtId="0" fontId="0" fillId="0" borderId="49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3" fillId="0" borderId="41" xfId="0" applyFont="1" applyBorder="1" applyAlignment="1">
      <alignment horizontal="left"/>
    </xf>
    <xf numFmtId="0" fontId="3" fillId="0" borderId="42" xfId="0" applyFont="1" applyBorder="1" applyAlignment="1">
      <alignment horizontal="left"/>
    </xf>
    <xf numFmtId="0" fontId="3" fillId="0" borderId="43" xfId="0" applyFont="1" applyBorder="1" applyAlignment="1">
      <alignment horizontal="left"/>
    </xf>
    <xf numFmtId="0" fontId="0" fillId="0" borderId="4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167" fontId="0" fillId="0" borderId="49" xfId="5" applyFont="1" applyBorder="1" applyAlignment="1">
      <alignment horizontal="center" vertical="center"/>
    </xf>
    <xf numFmtId="167" fontId="0" fillId="0" borderId="10" xfId="5" applyFont="1" applyBorder="1" applyAlignment="1">
      <alignment horizontal="center" vertical="center"/>
    </xf>
    <xf numFmtId="0" fontId="3" fillId="6" borderId="10" xfId="0" applyFont="1" applyFill="1" applyBorder="1" applyAlignment="1">
      <alignment horizontal="center"/>
    </xf>
    <xf numFmtId="3" fontId="0" fillId="0" borderId="49" xfId="6" applyNumberFormat="1" applyFont="1" applyBorder="1" applyAlignment="1">
      <alignment horizontal="center" vertical="center"/>
    </xf>
    <xf numFmtId="3" fontId="0" fillId="0" borderId="10" xfId="6" applyNumberFormat="1" applyFont="1" applyBorder="1" applyAlignment="1">
      <alignment horizontal="center" vertical="center"/>
    </xf>
    <xf numFmtId="168" fontId="0" fillId="0" borderId="49" xfId="6" applyNumberFormat="1" applyFont="1" applyBorder="1" applyAlignment="1">
      <alignment horizontal="center" vertical="center"/>
    </xf>
    <xf numFmtId="168" fontId="0" fillId="0" borderId="10" xfId="6" applyNumberFormat="1" applyFont="1" applyBorder="1" applyAlignment="1">
      <alignment horizontal="center" vertical="center"/>
    </xf>
    <xf numFmtId="44" fontId="0" fillId="0" borderId="49" xfId="6" applyFont="1" applyBorder="1" applyAlignment="1">
      <alignment horizontal="center" vertical="center"/>
    </xf>
    <xf numFmtId="44" fontId="0" fillId="0" borderId="10" xfId="6" applyFont="1" applyBorder="1" applyAlignment="1">
      <alignment horizontal="center" vertical="center"/>
    </xf>
    <xf numFmtId="44" fontId="3" fillId="0" borderId="49" xfId="6" applyFont="1" applyBorder="1" applyAlignment="1">
      <alignment horizontal="center" vertical="center"/>
    </xf>
    <xf numFmtId="44" fontId="3" fillId="0" borderId="10" xfId="6" applyFont="1" applyBorder="1" applyAlignment="1">
      <alignment horizontal="center" vertical="center"/>
    </xf>
  </cellXfs>
  <cellStyles count="8">
    <cellStyle name="Moeda" xfId="1" builtinId="4"/>
    <cellStyle name="Moeda 2" xfId="4" xr:uid="{00000000-0005-0000-0000-000001000000}"/>
    <cellStyle name="Moeda_Prop149 PG 007 DGP - EXÉRCITO limpeza" xfId="5" xr:uid="{00000000-0005-0000-0000-000002000000}"/>
    <cellStyle name="Moeda_Prop149 PG 007 DGP - EXÉRCITO limpeza 2" xfId="6" xr:uid="{00000000-0005-0000-0000-000003000000}"/>
    <cellStyle name="Normal" xfId="0" builtinId="0"/>
    <cellStyle name="Normal 2" xfId="3" xr:uid="{00000000-0005-0000-0000-000005000000}"/>
    <cellStyle name="Porcentagem" xfId="2" builtinId="5"/>
    <cellStyle name="Vírgula" xfId="7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</sheetPr>
  <dimension ref="A1:T146"/>
  <sheetViews>
    <sheetView tabSelected="1" topLeftCell="A56" zoomScaleNormal="100" workbookViewId="0">
      <selection activeCell="I64" sqref="I64"/>
    </sheetView>
  </sheetViews>
  <sheetFormatPr defaultRowHeight="12.75" x14ac:dyDescent="0.2"/>
  <cols>
    <col min="1" max="1" width="10" bestFit="1" customWidth="1"/>
    <col min="5" max="5" width="10.85546875" bestFit="1" customWidth="1"/>
    <col min="7" max="7" width="26.28515625" customWidth="1"/>
    <col min="8" max="8" width="8.85546875" customWidth="1"/>
    <col min="9" max="9" width="21.42578125" customWidth="1"/>
    <col min="10" max="10" width="13.140625" customWidth="1"/>
    <col min="11" max="11" width="29.42578125" customWidth="1"/>
    <col min="12" max="13" width="19.5703125" customWidth="1"/>
    <col min="14" max="14" width="14.28515625" customWidth="1"/>
    <col min="15" max="15" width="9.85546875" customWidth="1"/>
    <col min="17" max="17" width="14.42578125" customWidth="1"/>
    <col min="18" max="18" width="15.5703125" customWidth="1"/>
    <col min="19" max="19" width="12.7109375" customWidth="1"/>
  </cols>
  <sheetData>
    <row r="1" spans="1:9" x14ac:dyDescent="0.2">
      <c r="A1" s="236" t="s">
        <v>175</v>
      </c>
      <c r="B1" s="236"/>
      <c r="C1" s="236"/>
      <c r="D1" s="236"/>
      <c r="E1" s="236"/>
      <c r="F1" s="236"/>
      <c r="G1" s="236"/>
      <c r="H1" s="236"/>
      <c r="I1" s="236"/>
    </row>
    <row r="2" spans="1:9" ht="42.75" customHeight="1" x14ac:dyDescent="0.2">
      <c r="A2" s="238" t="s">
        <v>197</v>
      </c>
      <c r="B2" s="238"/>
      <c r="C2" s="238"/>
      <c r="D2" s="238"/>
      <c r="E2" s="238"/>
      <c r="F2" s="238"/>
      <c r="G2" s="238"/>
      <c r="H2" s="238"/>
      <c r="I2" s="238"/>
    </row>
    <row r="3" spans="1:9" ht="48.75" customHeight="1" x14ac:dyDescent="0.2">
      <c r="A3" s="244" t="s">
        <v>51</v>
      </c>
      <c r="B3" s="244"/>
      <c r="C3" s="244"/>
      <c r="D3" s="244"/>
      <c r="E3" s="244"/>
      <c r="F3" s="244"/>
      <c r="G3" s="244"/>
      <c r="H3" s="244"/>
      <c r="I3" s="244"/>
    </row>
    <row r="4" spans="1:9" x14ac:dyDescent="0.2">
      <c r="A4" s="88" t="s">
        <v>10</v>
      </c>
      <c r="B4" s="242" t="s">
        <v>52</v>
      </c>
      <c r="C4" s="242"/>
      <c r="D4" s="242"/>
      <c r="E4" s="242"/>
      <c r="F4" s="242"/>
      <c r="G4" s="242"/>
      <c r="H4" s="242"/>
      <c r="I4" s="89"/>
    </row>
    <row r="5" spans="1:9" x14ac:dyDescent="0.2">
      <c r="A5" s="88" t="s">
        <v>11</v>
      </c>
      <c r="B5" s="242" t="s">
        <v>53</v>
      </c>
      <c r="C5" s="242"/>
      <c r="D5" s="242"/>
      <c r="E5" s="242"/>
      <c r="F5" s="242"/>
      <c r="G5" s="242"/>
      <c r="H5" s="242"/>
      <c r="I5" s="82" t="s">
        <v>198</v>
      </c>
    </row>
    <row r="6" spans="1:9" x14ac:dyDescent="0.2">
      <c r="A6" s="88" t="s">
        <v>12</v>
      </c>
      <c r="B6" s="243" t="s">
        <v>69</v>
      </c>
      <c r="C6" s="243"/>
      <c r="D6" s="243"/>
      <c r="E6" s="243"/>
      <c r="F6" s="243"/>
      <c r="G6" s="243"/>
      <c r="H6" s="243"/>
      <c r="I6" s="88">
        <v>2022</v>
      </c>
    </row>
    <row r="7" spans="1:9" x14ac:dyDescent="0.2">
      <c r="A7" s="88" t="s">
        <v>13</v>
      </c>
      <c r="B7" s="242" t="s">
        <v>54</v>
      </c>
      <c r="C7" s="242"/>
      <c r="D7" s="242"/>
      <c r="E7" s="242"/>
      <c r="F7" s="242"/>
      <c r="G7" s="242"/>
      <c r="H7" s="242"/>
      <c r="I7" s="88">
        <v>36</v>
      </c>
    </row>
    <row r="8" spans="1:9" x14ac:dyDescent="0.2">
      <c r="A8" s="90"/>
      <c r="B8" s="91"/>
      <c r="C8" s="91"/>
      <c r="D8" s="91"/>
      <c r="E8" s="91"/>
      <c r="F8" s="91"/>
      <c r="G8" s="91"/>
      <c r="H8" s="90"/>
      <c r="I8" s="90"/>
    </row>
    <row r="9" spans="1:9" x14ac:dyDescent="0.2">
      <c r="A9" s="244" t="s">
        <v>58</v>
      </c>
      <c r="B9" s="244"/>
      <c r="C9" s="244"/>
      <c r="D9" s="244"/>
      <c r="E9" s="244"/>
      <c r="F9" s="244"/>
      <c r="G9" s="244"/>
      <c r="H9" s="244"/>
      <c r="I9" s="244"/>
    </row>
    <row r="10" spans="1:9" x14ac:dyDescent="0.2">
      <c r="A10" s="239" t="s">
        <v>55</v>
      </c>
      <c r="B10" s="239"/>
      <c r="C10" s="239" t="s">
        <v>56</v>
      </c>
      <c r="D10" s="239"/>
      <c r="E10" s="239" t="s">
        <v>57</v>
      </c>
      <c r="F10" s="239"/>
      <c r="G10" s="239"/>
      <c r="H10" s="239"/>
      <c r="I10" s="239"/>
    </row>
    <row r="11" spans="1:9" x14ac:dyDescent="0.2">
      <c r="A11" s="239" t="s">
        <v>59</v>
      </c>
      <c r="B11" s="239"/>
      <c r="C11" s="240" t="s">
        <v>65</v>
      </c>
      <c r="D11" s="239"/>
      <c r="E11" s="241"/>
      <c r="F11" s="239"/>
      <c r="G11" s="239"/>
      <c r="H11" s="239"/>
      <c r="I11" s="239"/>
    </row>
    <row r="12" spans="1:9" x14ac:dyDescent="0.2">
      <c r="A12" s="90"/>
      <c r="B12" s="91"/>
      <c r="C12" s="91"/>
      <c r="D12" s="91"/>
      <c r="E12" s="91"/>
      <c r="F12" s="91"/>
      <c r="G12" s="91"/>
      <c r="H12" s="90"/>
      <c r="I12" s="90"/>
    </row>
    <row r="13" spans="1:9" x14ac:dyDescent="0.2">
      <c r="A13" s="244" t="s">
        <v>70</v>
      </c>
      <c r="B13" s="244"/>
      <c r="C13" s="244"/>
      <c r="D13" s="244"/>
      <c r="E13" s="244"/>
      <c r="F13" s="244"/>
      <c r="G13" s="244"/>
      <c r="H13" s="244"/>
      <c r="I13" s="244"/>
    </row>
    <row r="14" spans="1:9" x14ac:dyDescent="0.2">
      <c r="A14" s="88">
        <v>1</v>
      </c>
      <c r="B14" s="242" t="s">
        <v>9</v>
      </c>
      <c r="C14" s="242"/>
      <c r="D14" s="242"/>
      <c r="E14" s="242"/>
      <c r="F14" s="242"/>
      <c r="G14" s="242"/>
      <c r="H14" s="242"/>
      <c r="I14" s="88" t="s">
        <v>59</v>
      </c>
    </row>
    <row r="15" spans="1:9" x14ac:dyDescent="0.2">
      <c r="A15" s="88">
        <v>2</v>
      </c>
      <c r="B15" s="243" t="s">
        <v>71</v>
      </c>
      <c r="C15" s="243"/>
      <c r="D15" s="243"/>
      <c r="E15" s="243"/>
      <c r="F15" s="243"/>
      <c r="G15" s="243"/>
      <c r="H15" s="243"/>
      <c r="I15" s="88">
        <v>5143</v>
      </c>
    </row>
    <row r="16" spans="1:9" x14ac:dyDescent="0.2">
      <c r="A16" s="88">
        <v>3</v>
      </c>
      <c r="B16" s="242" t="s">
        <v>8</v>
      </c>
      <c r="C16" s="242"/>
      <c r="D16" s="242"/>
      <c r="E16" s="242"/>
      <c r="F16" s="242"/>
      <c r="G16" s="242"/>
      <c r="H16" s="242"/>
      <c r="I16" s="40">
        <v>1416.75</v>
      </c>
    </row>
    <row r="17" spans="1:10" x14ac:dyDescent="0.2">
      <c r="A17" s="88">
        <v>4</v>
      </c>
      <c r="B17" s="242" t="s">
        <v>7</v>
      </c>
      <c r="C17" s="242"/>
      <c r="D17" s="242"/>
      <c r="E17" s="242"/>
      <c r="F17" s="242"/>
      <c r="G17" s="242"/>
      <c r="H17" s="242"/>
      <c r="I17" s="92" t="s">
        <v>60</v>
      </c>
    </row>
    <row r="18" spans="1:10" x14ac:dyDescent="0.2">
      <c r="A18" s="88">
        <v>5</v>
      </c>
      <c r="B18" s="242" t="s">
        <v>6</v>
      </c>
      <c r="C18" s="242"/>
      <c r="D18" s="242"/>
      <c r="E18" s="242"/>
      <c r="F18" s="242"/>
      <c r="G18" s="242"/>
      <c r="H18" s="242"/>
      <c r="I18" s="89">
        <v>44562</v>
      </c>
    </row>
    <row r="19" spans="1:10" x14ac:dyDescent="0.2">
      <c r="A19" s="245"/>
      <c r="B19" s="245"/>
      <c r="C19" s="245"/>
      <c r="D19" s="245"/>
      <c r="E19" s="245"/>
      <c r="F19" s="245"/>
      <c r="G19" s="245"/>
      <c r="H19" s="245"/>
      <c r="I19" s="245"/>
    </row>
    <row r="20" spans="1:10" x14ac:dyDescent="0.2">
      <c r="A20" s="237" t="s">
        <v>30</v>
      </c>
      <c r="B20" s="237"/>
      <c r="C20" s="237"/>
      <c r="D20" s="237"/>
      <c r="E20" s="237"/>
      <c r="F20" s="237"/>
      <c r="G20" s="237"/>
      <c r="H20" s="237"/>
      <c r="I20" s="237"/>
    </row>
    <row r="21" spans="1:10" x14ac:dyDescent="0.2">
      <c r="A21" s="80">
        <v>1</v>
      </c>
      <c r="B21" s="280" t="s">
        <v>18</v>
      </c>
      <c r="C21" s="280"/>
      <c r="D21" s="280"/>
      <c r="E21" s="280"/>
      <c r="F21" s="280"/>
      <c r="G21" s="280"/>
      <c r="H21" s="80" t="s">
        <v>3</v>
      </c>
      <c r="I21" s="80" t="s">
        <v>1</v>
      </c>
    </row>
    <row r="22" spans="1:10" x14ac:dyDescent="0.2">
      <c r="A22" s="80" t="s">
        <v>10</v>
      </c>
      <c r="B22" s="273" t="s">
        <v>163</v>
      </c>
      <c r="C22" s="243"/>
      <c r="D22" s="243"/>
      <c r="E22" s="243"/>
      <c r="F22" s="243"/>
      <c r="G22" s="243"/>
      <c r="H22" s="62">
        <v>1</v>
      </c>
      <c r="I22" s="113">
        <v>1416.75</v>
      </c>
    </row>
    <row r="23" spans="1:10" x14ac:dyDescent="0.2">
      <c r="A23" s="80" t="s">
        <v>11</v>
      </c>
      <c r="B23" s="273" t="s">
        <v>72</v>
      </c>
      <c r="C23" s="243"/>
      <c r="D23" s="243"/>
      <c r="E23" s="243"/>
      <c r="F23" s="243"/>
      <c r="G23" s="243"/>
      <c r="H23" s="63">
        <v>0</v>
      </c>
      <c r="I23" s="30">
        <f>I22*H23</f>
        <v>0</v>
      </c>
    </row>
    <row r="24" spans="1:10" x14ac:dyDescent="0.2">
      <c r="A24" s="80" t="s">
        <v>12</v>
      </c>
      <c r="B24" s="273" t="s">
        <v>164</v>
      </c>
      <c r="C24" s="243"/>
      <c r="D24" s="243"/>
      <c r="E24" s="243"/>
      <c r="F24" s="243"/>
      <c r="G24" s="243"/>
      <c r="H24" s="63">
        <v>0</v>
      </c>
      <c r="I24" s="30">
        <f>I22*H24</f>
        <v>0</v>
      </c>
    </row>
    <row r="25" spans="1:10" x14ac:dyDescent="0.2">
      <c r="A25" s="80" t="s">
        <v>13</v>
      </c>
      <c r="B25" s="243" t="s">
        <v>2</v>
      </c>
      <c r="C25" s="243"/>
      <c r="D25" s="243"/>
      <c r="E25" s="243"/>
      <c r="F25" s="243"/>
      <c r="G25" s="243"/>
      <c r="H25" s="63">
        <v>0</v>
      </c>
      <c r="I25" s="30">
        <v>0</v>
      </c>
    </row>
    <row r="26" spans="1:10" x14ac:dyDescent="0.2">
      <c r="A26" s="23" t="s">
        <v>14</v>
      </c>
      <c r="B26" s="243" t="s">
        <v>73</v>
      </c>
      <c r="C26" s="243"/>
      <c r="D26" s="243"/>
      <c r="E26" s="243"/>
      <c r="F26" s="243"/>
      <c r="G26" s="243"/>
      <c r="H26" s="64">
        <v>0</v>
      </c>
      <c r="I26" s="30">
        <v>0</v>
      </c>
      <c r="J26" s="138"/>
    </row>
    <row r="27" spans="1:10" x14ac:dyDescent="0.2">
      <c r="A27" s="23" t="s">
        <v>15</v>
      </c>
      <c r="B27" s="273" t="s">
        <v>4</v>
      </c>
      <c r="C27" s="243"/>
      <c r="D27" s="243"/>
      <c r="E27" s="243"/>
      <c r="F27" s="243"/>
      <c r="G27" s="243"/>
      <c r="H27" s="63">
        <v>0</v>
      </c>
      <c r="I27" s="30">
        <v>0</v>
      </c>
    </row>
    <row r="28" spans="1:10" x14ac:dyDescent="0.2">
      <c r="A28" s="280" t="s">
        <v>98</v>
      </c>
      <c r="B28" s="280"/>
      <c r="C28" s="280"/>
      <c r="D28" s="280"/>
      <c r="E28" s="280"/>
      <c r="F28" s="280"/>
      <c r="G28" s="280"/>
      <c r="H28" s="280"/>
      <c r="I28" s="114">
        <f>SUM(I22:I27)</f>
        <v>1416.75</v>
      </c>
      <c r="J28" s="61"/>
    </row>
    <row r="29" spans="1:10" x14ac:dyDescent="0.2">
      <c r="A29" s="3"/>
      <c r="B29" s="3"/>
      <c r="C29" s="3"/>
      <c r="D29" s="3"/>
      <c r="E29" s="3"/>
      <c r="F29" s="3"/>
      <c r="G29" s="3"/>
      <c r="H29" s="3"/>
      <c r="I29" s="4"/>
    </row>
    <row r="30" spans="1:10" x14ac:dyDescent="0.2">
      <c r="A30" s="237" t="s">
        <v>74</v>
      </c>
      <c r="B30" s="237"/>
      <c r="C30" s="237"/>
      <c r="D30" s="237"/>
      <c r="E30" s="237"/>
      <c r="F30" s="237"/>
      <c r="G30" s="237"/>
      <c r="H30" s="237"/>
      <c r="I30" s="237"/>
      <c r="J30" s="5"/>
    </row>
    <row r="31" spans="1:10" x14ac:dyDescent="0.2">
      <c r="A31" s="280" t="s">
        <v>88</v>
      </c>
      <c r="B31" s="280"/>
      <c r="C31" s="280"/>
      <c r="D31" s="280"/>
      <c r="E31" s="280"/>
      <c r="F31" s="280"/>
      <c r="G31" s="280"/>
      <c r="H31" s="80" t="s">
        <v>3</v>
      </c>
      <c r="I31" s="80" t="s">
        <v>1</v>
      </c>
      <c r="J31" s="5"/>
    </row>
    <row r="32" spans="1:10" x14ac:dyDescent="0.2">
      <c r="A32" s="80" t="s">
        <v>10</v>
      </c>
      <c r="B32" s="273" t="s">
        <v>76</v>
      </c>
      <c r="C32" s="243"/>
      <c r="D32" s="243"/>
      <c r="E32" s="243"/>
      <c r="F32" s="243"/>
      <c r="G32" s="243"/>
      <c r="H32" s="1">
        <v>8.3299999999999999E-2</v>
      </c>
      <c r="I32" s="30">
        <f>I28/12</f>
        <v>118.0625</v>
      </c>
      <c r="J32" s="5"/>
    </row>
    <row r="33" spans="1:20" x14ac:dyDescent="0.2">
      <c r="A33" s="80" t="s">
        <v>11</v>
      </c>
      <c r="B33" s="243" t="s">
        <v>176</v>
      </c>
      <c r="C33" s="243"/>
      <c r="D33" s="243"/>
      <c r="E33" s="243"/>
      <c r="F33" s="243"/>
      <c r="G33" s="243"/>
      <c r="H33" s="24"/>
      <c r="I33" s="30">
        <f>(I28/12)+ (I28/3)/12</f>
        <v>157.41666666666666</v>
      </c>
      <c r="J33" s="5"/>
    </row>
    <row r="34" spans="1:20" x14ac:dyDescent="0.2">
      <c r="A34" s="280" t="s">
        <v>77</v>
      </c>
      <c r="B34" s="280"/>
      <c r="C34" s="280"/>
      <c r="D34" s="280"/>
      <c r="E34" s="280"/>
      <c r="F34" s="280"/>
      <c r="G34" s="280"/>
      <c r="H34" s="6"/>
      <c r="I34" s="29">
        <f>SUM(I32:I33)</f>
        <v>275.47916666666663</v>
      </c>
      <c r="J34" s="5"/>
    </row>
    <row r="35" spans="1:20" x14ac:dyDescent="0.2">
      <c r="A35" s="290"/>
      <c r="B35" s="291"/>
      <c r="C35" s="291"/>
      <c r="D35" s="291"/>
      <c r="E35" s="291"/>
      <c r="F35" s="291"/>
      <c r="G35" s="291"/>
      <c r="H35" s="291"/>
      <c r="I35" s="291"/>
      <c r="J35" s="5"/>
    </row>
    <row r="36" spans="1:20" x14ac:dyDescent="0.2">
      <c r="A36" s="280" t="s">
        <v>89</v>
      </c>
      <c r="B36" s="280"/>
      <c r="C36" s="280"/>
      <c r="D36" s="280"/>
      <c r="E36" s="280"/>
      <c r="F36" s="280"/>
      <c r="G36" s="280"/>
      <c r="H36" s="80" t="s">
        <v>3</v>
      </c>
      <c r="I36" s="80" t="s">
        <v>1</v>
      </c>
      <c r="J36" s="5"/>
    </row>
    <row r="37" spans="1:20" x14ac:dyDescent="0.2">
      <c r="A37" s="80" t="s">
        <v>10</v>
      </c>
      <c r="B37" s="273" t="s">
        <v>80</v>
      </c>
      <c r="C37" s="243"/>
      <c r="D37" s="243"/>
      <c r="E37" s="243"/>
      <c r="F37" s="243"/>
      <c r="G37" s="243"/>
      <c r="H37" s="65">
        <v>0.2</v>
      </c>
      <c r="I37" s="30">
        <f>(I28+I34)*H37</f>
        <v>338.44583333333333</v>
      </c>
      <c r="J37" s="5"/>
      <c r="K37" s="38"/>
      <c r="L37" s="34"/>
    </row>
    <row r="38" spans="1:20" x14ac:dyDescent="0.2">
      <c r="A38" s="80" t="s">
        <v>11</v>
      </c>
      <c r="B38" s="273" t="s">
        <v>81</v>
      </c>
      <c r="C38" s="243"/>
      <c r="D38" s="243"/>
      <c r="E38" s="243"/>
      <c r="F38" s="243"/>
      <c r="G38" s="243"/>
      <c r="H38" s="65">
        <v>2.5000000000000001E-2</v>
      </c>
      <c r="I38" s="30">
        <f>(I28+I34)*H38</f>
        <v>42.305729166666666</v>
      </c>
      <c r="J38" s="5"/>
      <c r="K38" s="39"/>
      <c r="L38" s="34"/>
    </row>
    <row r="39" spans="1:20" x14ac:dyDescent="0.2">
      <c r="A39" s="80" t="s">
        <v>12</v>
      </c>
      <c r="B39" s="273" t="s">
        <v>82</v>
      </c>
      <c r="C39" s="243"/>
      <c r="D39" s="243"/>
      <c r="E39" s="243"/>
      <c r="F39" s="243"/>
      <c r="G39" s="243"/>
      <c r="H39" s="65">
        <v>0.02</v>
      </c>
      <c r="I39" s="30">
        <f>(I28+I34)*H39</f>
        <v>33.844583333333333</v>
      </c>
      <c r="J39" s="5"/>
      <c r="K39" s="38"/>
    </row>
    <row r="40" spans="1:20" x14ac:dyDescent="0.2">
      <c r="A40" s="80" t="s">
        <v>13</v>
      </c>
      <c r="B40" s="273" t="s">
        <v>79</v>
      </c>
      <c r="C40" s="273"/>
      <c r="D40" s="273"/>
      <c r="E40" s="273"/>
      <c r="F40" s="273"/>
      <c r="G40" s="273"/>
      <c r="H40" s="65">
        <v>1.4999999999999999E-2</v>
      </c>
      <c r="I40" s="30">
        <f>(I28+I34)*H40</f>
        <v>25.383437499999996</v>
      </c>
      <c r="J40" s="5"/>
      <c r="K40" s="38"/>
    </row>
    <row r="41" spans="1:20" x14ac:dyDescent="0.2">
      <c r="A41" s="80" t="s">
        <v>14</v>
      </c>
      <c r="B41" s="273" t="s">
        <v>83</v>
      </c>
      <c r="C41" s="243"/>
      <c r="D41" s="243"/>
      <c r="E41" s="243"/>
      <c r="F41" s="243"/>
      <c r="G41" s="243"/>
      <c r="H41" s="65">
        <v>0.01</v>
      </c>
      <c r="I41" s="30">
        <f>(I28+I34)*H41</f>
        <v>16.922291666666666</v>
      </c>
      <c r="J41" s="5"/>
    </row>
    <row r="42" spans="1:20" x14ac:dyDescent="0.2">
      <c r="A42" s="80" t="s">
        <v>15</v>
      </c>
      <c r="B42" s="273" t="s">
        <v>84</v>
      </c>
      <c r="C42" s="243"/>
      <c r="D42" s="243"/>
      <c r="E42" s="243"/>
      <c r="F42" s="243"/>
      <c r="G42" s="243"/>
      <c r="H42" s="65">
        <v>6.0000000000000001E-3</v>
      </c>
      <c r="I42" s="30">
        <f>(I28+I34)*H42</f>
        <v>10.153374999999999</v>
      </c>
      <c r="J42" s="5"/>
    </row>
    <row r="43" spans="1:20" x14ac:dyDescent="0.2">
      <c r="A43" s="80" t="s">
        <v>16</v>
      </c>
      <c r="B43" s="273" t="s">
        <v>85</v>
      </c>
      <c r="C43" s="243"/>
      <c r="D43" s="243"/>
      <c r="E43" s="243"/>
      <c r="F43" s="243"/>
      <c r="G43" s="243"/>
      <c r="H43" s="65">
        <v>2E-3</v>
      </c>
      <c r="I43" s="30">
        <f>(I28+I34)*H43</f>
        <v>3.3844583333333329</v>
      </c>
      <c r="J43" s="5"/>
    </row>
    <row r="44" spans="1:20" x14ac:dyDescent="0.2">
      <c r="A44" s="80" t="s">
        <v>17</v>
      </c>
      <c r="B44" s="273" t="s">
        <v>86</v>
      </c>
      <c r="C44" s="243"/>
      <c r="D44" s="243"/>
      <c r="E44" s="243"/>
      <c r="F44" s="243"/>
      <c r="G44" s="243"/>
      <c r="H44" s="65">
        <v>0.08</v>
      </c>
      <c r="I44" s="30">
        <f>(I28+I34)*H44</f>
        <v>135.37833333333333</v>
      </c>
      <c r="J44" s="5"/>
    </row>
    <row r="45" spans="1:20" x14ac:dyDescent="0.2">
      <c r="A45" s="280" t="s">
        <v>87</v>
      </c>
      <c r="B45" s="280"/>
      <c r="C45" s="280"/>
      <c r="D45" s="280"/>
      <c r="E45" s="280"/>
      <c r="F45" s="280"/>
      <c r="G45" s="280"/>
      <c r="H45" s="66">
        <f>SUM(H37:H44)</f>
        <v>0.35800000000000004</v>
      </c>
      <c r="I45" s="29">
        <f>SUM(I37:I44)</f>
        <v>605.81804166666666</v>
      </c>
      <c r="J45" s="5"/>
    </row>
    <row r="46" spans="1:20" ht="13.5" thickBot="1" x14ac:dyDescent="0.25">
      <c r="A46" s="292"/>
      <c r="B46" s="292"/>
      <c r="C46" s="292"/>
      <c r="D46" s="292"/>
      <c r="E46" s="292"/>
      <c r="F46" s="292"/>
      <c r="G46" s="292"/>
      <c r="H46" s="292"/>
      <c r="I46" s="293"/>
      <c r="J46" s="5"/>
      <c r="K46" s="22"/>
    </row>
    <row r="47" spans="1:20" ht="13.5" thickBot="1" x14ac:dyDescent="0.25">
      <c r="A47" s="280" t="s">
        <v>90</v>
      </c>
      <c r="B47" s="280"/>
      <c r="C47" s="280"/>
      <c r="D47" s="280"/>
      <c r="E47" s="280"/>
      <c r="F47" s="280"/>
      <c r="G47" s="280"/>
      <c r="H47" s="6"/>
      <c r="I47" s="80" t="s">
        <v>1</v>
      </c>
      <c r="J47" s="5"/>
      <c r="K47" s="309" t="s">
        <v>183</v>
      </c>
      <c r="L47" s="310"/>
      <c r="M47" s="310"/>
      <c r="N47" s="310"/>
      <c r="O47" s="311"/>
      <c r="Q47" s="309" t="s">
        <v>191</v>
      </c>
      <c r="R47" s="310"/>
      <c r="S47" s="310"/>
      <c r="T47" s="311"/>
    </row>
    <row r="48" spans="1:20" ht="39.75" customHeight="1" x14ac:dyDescent="0.2">
      <c r="A48" s="80" t="s">
        <v>10</v>
      </c>
      <c r="B48" s="271" t="s">
        <v>200</v>
      </c>
      <c r="C48" s="272"/>
      <c r="D48" s="272"/>
      <c r="E48" s="272"/>
      <c r="F48" s="272"/>
      <c r="G48" s="272"/>
      <c r="H48" s="82" t="s">
        <v>0</v>
      </c>
      <c r="I48" s="28">
        <f>O49-N52</f>
        <v>134.995</v>
      </c>
      <c r="J48" s="121"/>
      <c r="K48" s="124" t="s">
        <v>182</v>
      </c>
      <c r="L48" s="125" t="s">
        <v>178</v>
      </c>
      <c r="M48" s="126" t="s">
        <v>179</v>
      </c>
      <c r="N48" s="127" t="s">
        <v>180</v>
      </c>
      <c r="O48" s="128" t="s">
        <v>181</v>
      </c>
      <c r="Q48" s="124" t="s">
        <v>177</v>
      </c>
      <c r="R48" s="125" t="s">
        <v>190</v>
      </c>
      <c r="S48" s="127" t="s">
        <v>180</v>
      </c>
      <c r="T48" s="128" t="s">
        <v>181</v>
      </c>
    </row>
    <row r="49" spans="1:20" ht="13.5" thickBot="1" x14ac:dyDescent="0.25">
      <c r="A49" s="80" t="s">
        <v>11</v>
      </c>
      <c r="B49" s="274" t="s">
        <v>189</v>
      </c>
      <c r="C49" s="275"/>
      <c r="D49" s="275"/>
      <c r="E49" s="275"/>
      <c r="F49" s="275"/>
      <c r="G49" s="276"/>
      <c r="H49" s="82" t="s">
        <v>0</v>
      </c>
      <c r="I49" s="28">
        <f>T49-T52</f>
        <v>798</v>
      </c>
      <c r="J49" s="5"/>
      <c r="K49" s="122" t="s">
        <v>60</v>
      </c>
      <c r="L49" s="123">
        <v>5</v>
      </c>
      <c r="M49" s="123">
        <v>2</v>
      </c>
      <c r="N49" s="123">
        <v>22</v>
      </c>
      <c r="O49" s="129">
        <f>L49*M49*N49</f>
        <v>220</v>
      </c>
      <c r="Q49" s="122" t="s">
        <v>60</v>
      </c>
      <c r="R49" s="123">
        <v>38</v>
      </c>
      <c r="S49" s="123">
        <v>21</v>
      </c>
      <c r="T49" s="129">
        <f>R49*S49</f>
        <v>798</v>
      </c>
    </row>
    <row r="50" spans="1:20" ht="16.5" customHeight="1" thickBot="1" x14ac:dyDescent="0.25">
      <c r="A50" s="80" t="s">
        <v>12</v>
      </c>
      <c r="B50" s="271" t="s">
        <v>199</v>
      </c>
      <c r="C50" s="272"/>
      <c r="D50" s="272"/>
      <c r="E50" s="272"/>
      <c r="F50" s="272"/>
      <c r="G50" s="272"/>
      <c r="H50" s="82" t="s">
        <v>0</v>
      </c>
      <c r="I50" s="28">
        <v>169.67</v>
      </c>
      <c r="J50" s="5"/>
      <c r="K50" s="309" t="s">
        <v>184</v>
      </c>
      <c r="L50" s="310"/>
      <c r="M50" s="310"/>
      <c r="N50" s="310"/>
      <c r="O50" s="311"/>
      <c r="Q50" s="309" t="s">
        <v>192</v>
      </c>
      <c r="R50" s="310"/>
      <c r="S50" s="310"/>
      <c r="T50" s="311"/>
    </row>
    <row r="51" spans="1:20" ht="25.5" x14ac:dyDescent="0.2">
      <c r="A51" s="80" t="s">
        <v>13</v>
      </c>
      <c r="B51" s="271" t="s">
        <v>4</v>
      </c>
      <c r="C51" s="272"/>
      <c r="D51" s="272"/>
      <c r="E51" s="272"/>
      <c r="F51" s="272"/>
      <c r="G51" s="272"/>
      <c r="H51" s="82" t="s">
        <v>0</v>
      </c>
      <c r="I51" s="28">
        <f>11.27+2.5</f>
        <v>13.77</v>
      </c>
      <c r="J51" s="5"/>
      <c r="K51" s="124" t="s">
        <v>185</v>
      </c>
      <c r="L51" s="125" t="s">
        <v>186</v>
      </c>
      <c r="M51" s="126" t="s">
        <v>187</v>
      </c>
      <c r="N51" s="321" t="s">
        <v>188</v>
      </c>
      <c r="O51" s="322"/>
      <c r="Q51" s="124" t="s">
        <v>177</v>
      </c>
      <c r="R51" s="125" t="s">
        <v>186</v>
      </c>
      <c r="S51" s="127" t="s">
        <v>187</v>
      </c>
      <c r="T51" s="128" t="s">
        <v>181</v>
      </c>
    </row>
    <row r="52" spans="1:20" ht="13.5" thickBot="1" x14ac:dyDescent="0.25">
      <c r="A52" s="280" t="s">
        <v>91</v>
      </c>
      <c r="B52" s="280"/>
      <c r="C52" s="280"/>
      <c r="D52" s="280"/>
      <c r="E52" s="280"/>
      <c r="F52" s="280"/>
      <c r="G52" s="280"/>
      <c r="H52" s="280"/>
      <c r="I52" s="29">
        <f>SUM(I48:I51)</f>
        <v>1116.4349999999999</v>
      </c>
      <c r="J52" s="5"/>
      <c r="K52" s="122" t="s">
        <v>60</v>
      </c>
      <c r="L52" s="131">
        <v>1416.75</v>
      </c>
      <c r="M52" s="130">
        <v>0.06</v>
      </c>
      <c r="N52" s="323">
        <f>L52*M52</f>
        <v>85.004999999999995</v>
      </c>
      <c r="O52" s="324"/>
      <c r="Q52" s="122" t="s">
        <v>60</v>
      </c>
      <c r="R52" s="123">
        <v>0</v>
      </c>
      <c r="S52" s="130">
        <v>0</v>
      </c>
      <c r="T52" s="129">
        <f>R52*S52</f>
        <v>0</v>
      </c>
    </row>
    <row r="53" spans="1:20" x14ac:dyDescent="0.2">
      <c r="A53" s="292"/>
      <c r="B53" s="292"/>
      <c r="C53" s="292"/>
      <c r="D53" s="292"/>
      <c r="E53" s="292"/>
      <c r="F53" s="292"/>
      <c r="G53" s="292"/>
      <c r="H53" s="292"/>
      <c r="I53" s="293"/>
      <c r="J53" s="5"/>
    </row>
    <row r="54" spans="1:20" x14ac:dyDescent="0.2">
      <c r="A54" s="299" t="s">
        <v>92</v>
      </c>
      <c r="B54" s="300"/>
      <c r="C54" s="300"/>
      <c r="D54" s="300"/>
      <c r="E54" s="300"/>
      <c r="F54" s="300"/>
      <c r="G54" s="300"/>
      <c r="H54" s="300"/>
      <c r="I54" s="301"/>
      <c r="J54" s="5"/>
      <c r="K54" s="325"/>
      <c r="L54" s="325"/>
      <c r="M54" s="325"/>
      <c r="N54" s="325"/>
      <c r="O54" s="325"/>
    </row>
    <row r="55" spans="1:20" x14ac:dyDescent="0.2">
      <c r="A55" s="252" t="s">
        <v>96</v>
      </c>
      <c r="B55" s="294"/>
      <c r="C55" s="294"/>
      <c r="D55" s="294"/>
      <c r="E55" s="294"/>
      <c r="F55" s="294"/>
      <c r="G55" s="294"/>
      <c r="H55" s="295"/>
      <c r="I55" s="80" t="s">
        <v>1</v>
      </c>
      <c r="J55" s="5"/>
      <c r="K55" s="132"/>
      <c r="L55" s="3"/>
      <c r="M55" s="133"/>
      <c r="N55" s="132"/>
      <c r="O55" s="132"/>
    </row>
    <row r="56" spans="1:20" x14ac:dyDescent="0.2">
      <c r="A56" s="80" t="s">
        <v>93</v>
      </c>
      <c r="B56" s="296" t="s">
        <v>75</v>
      </c>
      <c r="C56" s="297"/>
      <c r="D56" s="297"/>
      <c r="E56" s="297"/>
      <c r="F56" s="297"/>
      <c r="G56" s="297"/>
      <c r="H56" s="298"/>
      <c r="I56" s="25">
        <f>I34</f>
        <v>275.47916666666663</v>
      </c>
      <c r="J56" s="5"/>
      <c r="K56" s="5"/>
      <c r="L56" s="5"/>
      <c r="M56" s="5"/>
      <c r="N56" s="5"/>
      <c r="O56" s="134"/>
    </row>
    <row r="57" spans="1:20" x14ac:dyDescent="0.2">
      <c r="A57" s="23" t="s">
        <v>94</v>
      </c>
      <c r="B57" s="241" t="s">
        <v>78</v>
      </c>
      <c r="C57" s="241"/>
      <c r="D57" s="241"/>
      <c r="E57" s="241"/>
      <c r="F57" s="241"/>
      <c r="G57" s="241"/>
      <c r="H57" s="241"/>
      <c r="I57" s="26">
        <f>I45</f>
        <v>605.81804166666666</v>
      </c>
      <c r="J57" s="5"/>
    </row>
    <row r="58" spans="1:20" x14ac:dyDescent="0.2">
      <c r="A58" s="23" t="s">
        <v>95</v>
      </c>
      <c r="B58" s="241" t="s">
        <v>97</v>
      </c>
      <c r="C58" s="241"/>
      <c r="D58" s="241"/>
      <c r="E58" s="241"/>
      <c r="F58" s="241"/>
      <c r="G58" s="241"/>
      <c r="H58" s="241"/>
      <c r="I58" s="26">
        <f>I52</f>
        <v>1116.4349999999999</v>
      </c>
      <c r="J58" s="5"/>
    </row>
    <row r="59" spans="1:20" x14ac:dyDescent="0.2">
      <c r="A59" s="280" t="s">
        <v>99</v>
      </c>
      <c r="B59" s="280"/>
      <c r="C59" s="280"/>
      <c r="D59" s="280"/>
      <c r="E59" s="280"/>
      <c r="F59" s="280"/>
      <c r="G59" s="280"/>
      <c r="H59" s="280"/>
      <c r="I59" s="71">
        <f>SUM(I56:I58)</f>
        <v>1997.7322083333333</v>
      </c>
      <c r="J59" s="5"/>
    </row>
    <row r="60" spans="1:20" x14ac:dyDescent="0.2">
      <c r="A60" s="288"/>
      <c r="B60" s="289"/>
      <c r="C60" s="289"/>
      <c r="D60" s="289"/>
      <c r="E60" s="289"/>
      <c r="F60" s="289"/>
      <c r="G60" s="289"/>
      <c r="H60" s="289"/>
      <c r="I60" s="289"/>
      <c r="J60" s="5"/>
    </row>
    <row r="61" spans="1:20" x14ac:dyDescent="0.2">
      <c r="A61" s="237" t="s">
        <v>100</v>
      </c>
      <c r="B61" s="237"/>
      <c r="C61" s="237"/>
      <c r="D61" s="237"/>
      <c r="E61" s="237"/>
      <c r="F61" s="237"/>
      <c r="G61" s="237"/>
      <c r="H61" s="237"/>
      <c r="I61" s="237"/>
      <c r="J61" s="5"/>
      <c r="K61" s="252"/>
      <c r="L61" s="295"/>
      <c r="M61" s="135"/>
      <c r="N61" s="135"/>
    </row>
    <row r="62" spans="1:20" x14ac:dyDescent="0.2">
      <c r="A62" s="80">
        <v>3</v>
      </c>
      <c r="B62" s="280" t="s">
        <v>101</v>
      </c>
      <c r="C62" s="280"/>
      <c r="D62" s="280"/>
      <c r="E62" s="280"/>
      <c r="F62" s="280"/>
      <c r="G62" s="280"/>
      <c r="H62" s="80" t="s">
        <v>3</v>
      </c>
      <c r="I62" s="80" t="s">
        <v>1</v>
      </c>
      <c r="J62" s="5"/>
      <c r="K62" s="118"/>
      <c r="L62" s="118"/>
      <c r="M62" s="136"/>
    </row>
    <row r="63" spans="1:20" x14ac:dyDescent="0.2">
      <c r="A63" s="80" t="s">
        <v>10</v>
      </c>
      <c r="B63" s="278" t="s">
        <v>104</v>
      </c>
      <c r="C63" s="277"/>
      <c r="D63" s="277"/>
      <c r="E63" s="277"/>
      <c r="F63" s="277"/>
      <c r="G63" s="277"/>
      <c r="H63" s="16"/>
      <c r="I63" s="26">
        <f>((I28)/12)*20%</f>
        <v>23.612500000000001</v>
      </c>
      <c r="J63" s="5"/>
      <c r="K63" s="120"/>
      <c r="L63" s="1"/>
      <c r="M63" s="19"/>
      <c r="N63" s="19"/>
    </row>
    <row r="64" spans="1:20" x14ac:dyDescent="0.2">
      <c r="A64" s="80" t="s">
        <v>11</v>
      </c>
      <c r="B64" s="273" t="s">
        <v>103</v>
      </c>
      <c r="C64" s="273"/>
      <c r="D64" s="273"/>
      <c r="E64" s="273"/>
      <c r="F64" s="273"/>
      <c r="G64" s="273"/>
      <c r="H64" s="21"/>
      <c r="I64" s="30">
        <f>I63*8%</f>
        <v>1.889</v>
      </c>
      <c r="J64" s="5"/>
      <c r="K64" s="120"/>
      <c r="L64" s="119"/>
      <c r="M64" s="61"/>
      <c r="O64" s="61"/>
    </row>
    <row r="65" spans="1:14" x14ac:dyDescent="0.2">
      <c r="A65" s="80" t="s">
        <v>12</v>
      </c>
      <c r="B65" s="278" t="s">
        <v>105</v>
      </c>
      <c r="C65" s="277"/>
      <c r="D65" s="277"/>
      <c r="E65" s="277"/>
      <c r="F65" s="277"/>
      <c r="G65" s="277"/>
      <c r="H65" s="20"/>
      <c r="I65" s="30">
        <f>(I44*40%)*5%</f>
        <v>2.7075666666666667</v>
      </c>
      <c r="J65" s="5"/>
      <c r="K65" s="120"/>
      <c r="L65" s="1"/>
      <c r="M65" s="19"/>
      <c r="N65" s="19"/>
    </row>
    <row r="66" spans="1:14" ht="46.5" customHeight="1" x14ac:dyDescent="0.2">
      <c r="A66" s="137" t="s">
        <v>13</v>
      </c>
      <c r="B66" s="281" t="s">
        <v>102</v>
      </c>
      <c r="C66" s="281"/>
      <c r="D66" s="281"/>
      <c r="E66" s="281"/>
      <c r="F66" s="281"/>
      <c r="G66" s="281"/>
      <c r="H66" s="1"/>
      <c r="I66" s="30">
        <f>((I28)/30)/12*7*70%</f>
        <v>19.283541666666665</v>
      </c>
      <c r="J66" s="5"/>
      <c r="K66" s="319"/>
      <c r="L66" s="320"/>
      <c r="M66" s="61"/>
      <c r="N66" s="61"/>
    </row>
    <row r="67" spans="1:14" x14ac:dyDescent="0.2">
      <c r="A67" s="80" t="s">
        <v>14</v>
      </c>
      <c r="B67" s="273" t="s">
        <v>165</v>
      </c>
      <c r="C67" s="273"/>
      <c r="D67" s="273"/>
      <c r="E67" s="273"/>
      <c r="F67" s="273"/>
      <c r="G67" s="273"/>
      <c r="H67" s="24"/>
      <c r="I67" s="30">
        <f>(I66*H45)</f>
        <v>6.9035079166666664</v>
      </c>
      <c r="J67" s="5"/>
      <c r="L67" s="121"/>
      <c r="M67" s="135"/>
      <c r="N67" s="135"/>
    </row>
    <row r="68" spans="1:14" x14ac:dyDescent="0.2">
      <c r="A68" s="80" t="s">
        <v>15</v>
      </c>
      <c r="B68" s="278" t="s">
        <v>106</v>
      </c>
      <c r="C68" s="278"/>
      <c r="D68" s="278"/>
      <c r="E68" s="278"/>
      <c r="F68" s="278"/>
      <c r="G68" s="278"/>
      <c r="H68" s="18"/>
      <c r="I68" s="30">
        <f>(I44*40%)*95%</f>
        <v>51.443766666666662</v>
      </c>
      <c r="J68" s="5"/>
      <c r="M68" s="136"/>
    </row>
    <row r="69" spans="1:14" x14ac:dyDescent="0.2">
      <c r="A69" s="280" t="s">
        <v>107</v>
      </c>
      <c r="B69" s="280"/>
      <c r="C69" s="280"/>
      <c r="D69" s="280"/>
      <c r="E69" s="280"/>
      <c r="F69" s="280"/>
      <c r="G69" s="280"/>
      <c r="H69" s="6"/>
      <c r="I69" s="29">
        <f>SUM(I63:I68)</f>
        <v>105.83988291666665</v>
      </c>
      <c r="J69" s="5"/>
      <c r="M69" s="19"/>
      <c r="N69" s="19"/>
    </row>
    <row r="70" spans="1:14" x14ac:dyDescent="0.2">
      <c r="A70" s="252"/>
      <c r="B70" s="294"/>
      <c r="C70" s="294"/>
      <c r="D70" s="294"/>
      <c r="E70" s="294"/>
      <c r="F70" s="294"/>
      <c r="G70" s="294"/>
      <c r="H70" s="294"/>
      <c r="I70" s="294"/>
      <c r="J70" s="5"/>
      <c r="M70" s="61"/>
    </row>
    <row r="71" spans="1:14" x14ac:dyDescent="0.2">
      <c r="A71" s="237" t="s">
        <v>108</v>
      </c>
      <c r="B71" s="237"/>
      <c r="C71" s="237"/>
      <c r="D71" s="237"/>
      <c r="E71" s="237"/>
      <c r="F71" s="237"/>
      <c r="G71" s="237"/>
      <c r="H71" s="237"/>
      <c r="I71" s="237"/>
      <c r="J71" s="5"/>
      <c r="M71" s="19"/>
      <c r="N71" s="19"/>
    </row>
    <row r="72" spans="1:14" x14ac:dyDescent="0.2">
      <c r="A72" s="280" t="s">
        <v>166</v>
      </c>
      <c r="B72" s="280"/>
      <c r="C72" s="280"/>
      <c r="D72" s="280"/>
      <c r="E72" s="280"/>
      <c r="F72" s="280"/>
      <c r="G72" s="280"/>
      <c r="H72" s="80" t="s">
        <v>3</v>
      </c>
      <c r="I72" s="80" t="s">
        <v>1</v>
      </c>
      <c r="J72" s="5"/>
      <c r="M72" s="61"/>
      <c r="N72" s="61"/>
    </row>
    <row r="73" spans="1:14" ht="33.75" customHeight="1" x14ac:dyDescent="0.2">
      <c r="A73" s="80" t="s">
        <v>10</v>
      </c>
      <c r="B73" s="283" t="s">
        <v>167</v>
      </c>
      <c r="C73" s="283"/>
      <c r="D73" s="283"/>
      <c r="E73" s="283"/>
      <c r="F73" s="283"/>
      <c r="G73" s="283"/>
      <c r="H73" s="93"/>
      <c r="I73" s="30">
        <v>0</v>
      </c>
      <c r="J73" s="5"/>
    </row>
    <row r="74" spans="1:14" x14ac:dyDescent="0.2">
      <c r="A74" s="23" t="s">
        <v>11</v>
      </c>
      <c r="B74" s="278" t="s">
        <v>168</v>
      </c>
      <c r="C74" s="277"/>
      <c r="D74" s="277"/>
      <c r="E74" s="277"/>
      <c r="F74" s="277"/>
      <c r="G74" s="277"/>
      <c r="H74" s="94"/>
      <c r="I74" s="26">
        <f>(I28/30)/12*1</f>
        <v>3.9354166666666668</v>
      </c>
      <c r="J74" s="5"/>
      <c r="K74" s="61"/>
    </row>
    <row r="75" spans="1:14" x14ac:dyDescent="0.2">
      <c r="A75" s="23" t="s">
        <v>12</v>
      </c>
      <c r="B75" s="277" t="s">
        <v>169</v>
      </c>
      <c r="C75" s="277"/>
      <c r="D75" s="277"/>
      <c r="E75" s="277"/>
      <c r="F75" s="277"/>
      <c r="G75" s="277"/>
      <c r="H75" s="94"/>
      <c r="I75" s="26">
        <f>((I28/30)/12*20)*0.147</f>
        <v>11.570125000000001</v>
      </c>
      <c r="J75" s="5"/>
    </row>
    <row r="76" spans="1:14" ht="20.25" x14ac:dyDescent="0.2">
      <c r="A76" s="23" t="s">
        <v>13</v>
      </c>
      <c r="B76" s="278" t="s">
        <v>170</v>
      </c>
      <c r="C76" s="277"/>
      <c r="D76" s="277"/>
      <c r="E76" s="277"/>
      <c r="F76" s="277"/>
      <c r="G76" s="277"/>
      <c r="H76" s="16"/>
      <c r="I76" s="26">
        <f>(I28/30)/12*15*0.0922</f>
        <v>5.4426812500000006</v>
      </c>
      <c r="J76" s="5"/>
      <c r="K76" s="140" t="s">
        <v>194</v>
      </c>
    </row>
    <row r="77" spans="1:14" ht="18" x14ac:dyDescent="0.25">
      <c r="A77" s="23" t="s">
        <v>14</v>
      </c>
      <c r="B77" s="273" t="s">
        <v>171</v>
      </c>
      <c r="C77" s="273"/>
      <c r="D77" s="273"/>
      <c r="E77" s="273"/>
      <c r="F77" s="273"/>
      <c r="G77" s="273"/>
      <c r="H77" s="94"/>
      <c r="I77" s="26">
        <v>10.5</v>
      </c>
      <c r="J77" s="5"/>
      <c r="K77" s="139" t="s">
        <v>195</v>
      </c>
      <c r="N77" s="146">
        <f>((1174.98+391.63)*(6/12)/12)*1.97%</f>
        <v>1.2859257083333333</v>
      </c>
    </row>
    <row r="78" spans="1:14" ht="18" x14ac:dyDescent="0.25">
      <c r="A78" s="80" t="s">
        <v>15</v>
      </c>
      <c r="B78" s="277" t="s">
        <v>4</v>
      </c>
      <c r="C78" s="277"/>
      <c r="D78" s="277"/>
      <c r="E78" s="277"/>
      <c r="F78" s="277"/>
      <c r="G78" s="277"/>
      <c r="H78" s="94"/>
      <c r="I78" s="26">
        <v>0</v>
      </c>
      <c r="J78" s="5"/>
      <c r="K78" s="141" t="s">
        <v>193</v>
      </c>
    </row>
    <row r="79" spans="1:14" ht="20.25" x14ac:dyDescent="0.25">
      <c r="A79" s="80" t="s">
        <v>16</v>
      </c>
      <c r="B79" s="282" t="s">
        <v>161</v>
      </c>
      <c r="C79" s="282"/>
      <c r="D79" s="282"/>
      <c r="E79" s="282"/>
      <c r="F79" s="282"/>
      <c r="G79" s="282"/>
      <c r="H79" s="94"/>
      <c r="I79" s="26">
        <f>(I73+I74+I75+I76+I77+I78)*H45</f>
        <v>11.258463804166668</v>
      </c>
      <c r="J79" s="5"/>
      <c r="K79" s="140" t="s">
        <v>196</v>
      </c>
      <c r="N79" s="147">
        <v>4.6100000000000003</v>
      </c>
    </row>
    <row r="80" spans="1:14" ht="18" x14ac:dyDescent="0.25">
      <c r="A80" s="280" t="s">
        <v>21</v>
      </c>
      <c r="B80" s="280"/>
      <c r="C80" s="280"/>
      <c r="D80" s="280"/>
      <c r="E80" s="280"/>
      <c r="F80" s="280"/>
      <c r="G80" s="280"/>
      <c r="H80" s="6"/>
      <c r="I80" s="29">
        <f>SUM(I73:I79)</f>
        <v>42.706686720833339</v>
      </c>
      <c r="J80" s="5"/>
      <c r="N80" s="146">
        <f>N79+N77</f>
        <v>5.8959257083333334</v>
      </c>
    </row>
    <row r="81" spans="1:11" x14ac:dyDescent="0.2">
      <c r="A81" s="284"/>
      <c r="B81" s="285"/>
      <c r="C81" s="285"/>
      <c r="D81" s="285"/>
      <c r="E81" s="285"/>
      <c r="F81" s="285"/>
      <c r="G81" s="285"/>
      <c r="H81" s="285"/>
      <c r="I81" s="285"/>
      <c r="J81" s="5"/>
      <c r="K81" s="61"/>
    </row>
    <row r="82" spans="1:11" x14ac:dyDescent="0.2">
      <c r="A82" s="280" t="s">
        <v>109</v>
      </c>
      <c r="B82" s="280"/>
      <c r="C82" s="280"/>
      <c r="D82" s="280"/>
      <c r="E82" s="280"/>
      <c r="F82" s="280"/>
      <c r="G82" s="280"/>
      <c r="H82" s="80" t="s">
        <v>3</v>
      </c>
      <c r="I82" s="80" t="s">
        <v>1</v>
      </c>
      <c r="J82" s="5"/>
    </row>
    <row r="83" spans="1:11" x14ac:dyDescent="0.2">
      <c r="A83" s="80" t="s">
        <v>10</v>
      </c>
      <c r="B83" s="243" t="s">
        <v>172</v>
      </c>
      <c r="C83" s="243"/>
      <c r="D83" s="243"/>
      <c r="E83" s="243"/>
      <c r="F83" s="243"/>
      <c r="G83" s="243"/>
      <c r="H83" s="93"/>
      <c r="I83" s="30">
        <v>0</v>
      </c>
      <c r="J83" s="5"/>
    </row>
    <row r="84" spans="1:11" x14ac:dyDescent="0.2">
      <c r="A84" s="280" t="s">
        <v>23</v>
      </c>
      <c r="B84" s="280"/>
      <c r="C84" s="280"/>
      <c r="D84" s="280"/>
      <c r="E84" s="280"/>
      <c r="F84" s="280"/>
      <c r="G84" s="280"/>
      <c r="H84" s="6"/>
      <c r="I84" s="29">
        <f>SUM(I83)</f>
        <v>0</v>
      </c>
      <c r="J84" s="5"/>
    </row>
    <row r="85" spans="1:11" x14ac:dyDescent="0.2">
      <c r="A85" s="286"/>
      <c r="B85" s="287"/>
      <c r="C85" s="287"/>
      <c r="D85" s="287"/>
      <c r="E85" s="287"/>
      <c r="F85" s="287"/>
      <c r="G85" s="287"/>
      <c r="H85" s="287"/>
      <c r="I85" s="287"/>
      <c r="J85" s="5"/>
    </row>
    <row r="86" spans="1:11" x14ac:dyDescent="0.2">
      <c r="A86" s="279" t="s">
        <v>110</v>
      </c>
      <c r="B86" s="279"/>
      <c r="C86" s="279"/>
      <c r="D86" s="279"/>
      <c r="E86" s="279"/>
      <c r="F86" s="279"/>
      <c r="G86" s="279"/>
      <c r="H86" s="279"/>
      <c r="I86" s="279"/>
      <c r="J86" s="5"/>
    </row>
    <row r="87" spans="1:11" x14ac:dyDescent="0.2">
      <c r="A87" s="280" t="s">
        <v>111</v>
      </c>
      <c r="B87" s="280"/>
      <c r="C87" s="280"/>
      <c r="D87" s="280"/>
      <c r="E87" s="280"/>
      <c r="F87" s="280"/>
      <c r="G87" s="280"/>
      <c r="H87" s="280"/>
      <c r="I87" s="80" t="s">
        <v>1</v>
      </c>
      <c r="J87" s="5"/>
    </row>
    <row r="88" spans="1:11" x14ac:dyDescent="0.2">
      <c r="A88" s="80" t="s">
        <v>26</v>
      </c>
      <c r="B88" s="241" t="s">
        <v>173</v>
      </c>
      <c r="C88" s="241"/>
      <c r="D88" s="241"/>
      <c r="E88" s="241"/>
      <c r="F88" s="241"/>
      <c r="G88" s="241"/>
      <c r="H88" s="241"/>
      <c r="I88" s="25">
        <f>SUM(I80)</f>
        <v>42.706686720833339</v>
      </c>
      <c r="J88" s="5"/>
    </row>
    <row r="89" spans="1:11" x14ac:dyDescent="0.2">
      <c r="A89" s="23" t="s">
        <v>27</v>
      </c>
      <c r="B89" s="241" t="s">
        <v>174</v>
      </c>
      <c r="C89" s="241"/>
      <c r="D89" s="241"/>
      <c r="E89" s="241"/>
      <c r="F89" s="241"/>
      <c r="G89" s="241"/>
      <c r="H89" s="241"/>
      <c r="I89" s="26">
        <f>I84</f>
        <v>0</v>
      </c>
      <c r="J89" s="5"/>
    </row>
    <row r="90" spans="1:11" x14ac:dyDescent="0.2">
      <c r="A90" s="280" t="s">
        <v>112</v>
      </c>
      <c r="B90" s="280"/>
      <c r="C90" s="280"/>
      <c r="D90" s="280"/>
      <c r="E90" s="280"/>
      <c r="F90" s="280"/>
      <c r="G90" s="280"/>
      <c r="H90" s="280"/>
      <c r="I90" s="27">
        <f>SUM(I88:I89)</f>
        <v>42.706686720833339</v>
      </c>
      <c r="J90" s="5"/>
    </row>
    <row r="91" spans="1:11" x14ac:dyDescent="0.2">
      <c r="A91" s="288"/>
      <c r="B91" s="289"/>
      <c r="C91" s="289"/>
      <c r="D91" s="289"/>
      <c r="E91" s="289"/>
      <c r="F91" s="289"/>
      <c r="G91" s="289"/>
      <c r="H91" s="289"/>
      <c r="I91" s="289"/>
      <c r="J91" s="5"/>
    </row>
    <row r="92" spans="1:11" x14ac:dyDescent="0.2">
      <c r="A92" s="237" t="s">
        <v>113</v>
      </c>
      <c r="B92" s="237"/>
      <c r="C92" s="237"/>
      <c r="D92" s="237"/>
      <c r="E92" s="237"/>
      <c r="F92" s="237"/>
      <c r="G92" s="237"/>
      <c r="H92" s="237"/>
      <c r="I92" s="237"/>
      <c r="J92" s="5"/>
    </row>
    <row r="93" spans="1:11" x14ac:dyDescent="0.2">
      <c r="A93" s="80">
        <v>5</v>
      </c>
      <c r="B93" s="280" t="s">
        <v>19</v>
      </c>
      <c r="C93" s="280"/>
      <c r="D93" s="280"/>
      <c r="E93" s="280"/>
      <c r="F93" s="280"/>
      <c r="G93" s="280"/>
      <c r="H93" s="80"/>
      <c r="I93" s="80" t="s">
        <v>1</v>
      </c>
      <c r="J93" s="5"/>
    </row>
    <row r="94" spans="1:11" x14ac:dyDescent="0.2">
      <c r="A94" s="80" t="s">
        <v>10</v>
      </c>
      <c r="B94" s="271" t="s">
        <v>114</v>
      </c>
      <c r="C94" s="271"/>
      <c r="D94" s="271"/>
      <c r="E94" s="271"/>
      <c r="F94" s="271"/>
      <c r="G94" s="271"/>
      <c r="H94" s="82" t="s">
        <v>0</v>
      </c>
      <c r="I94" s="25" cm="1">
        <f t="array" ref="I94:J94">'UNIFORMES-EPI'!D12:E12</f>
        <v>31.78833333333333</v>
      </c>
      <c r="J94" s="5">
        <v>0</v>
      </c>
    </row>
    <row r="95" spans="1:11" x14ac:dyDescent="0.2">
      <c r="A95" s="80" t="s">
        <v>11</v>
      </c>
      <c r="B95" s="271" t="s">
        <v>296</v>
      </c>
      <c r="C95" s="271"/>
      <c r="D95" s="271"/>
      <c r="E95" s="271"/>
      <c r="F95" s="271"/>
      <c r="G95" s="271"/>
      <c r="H95" s="82" t="s">
        <v>0</v>
      </c>
      <c r="I95" s="144">
        <f>'MATERIAIS E INSUMOS'!H72</f>
        <v>158.63723914999997</v>
      </c>
      <c r="J95" s="5"/>
    </row>
    <row r="96" spans="1:11" x14ac:dyDescent="0.2">
      <c r="A96" s="81" t="s">
        <v>12</v>
      </c>
      <c r="B96" s="271" t="s">
        <v>20</v>
      </c>
      <c r="C96" s="271"/>
      <c r="D96" s="271"/>
      <c r="E96" s="271"/>
      <c r="F96" s="271"/>
      <c r="G96" s="271"/>
      <c r="H96" s="82" t="s">
        <v>0</v>
      </c>
      <c r="I96" s="144">
        <f>'MATERIAIS E INSUMOS'!I68+'MATERIAIS E INSUMOS'!I69</f>
        <v>0</v>
      </c>
      <c r="J96" s="5"/>
    </row>
    <row r="97" spans="1:11" x14ac:dyDescent="0.2">
      <c r="A97" s="81" t="s">
        <v>13</v>
      </c>
      <c r="B97" s="272" t="s">
        <v>345</v>
      </c>
      <c r="C97" s="272"/>
      <c r="D97" s="272"/>
      <c r="E97" s="272"/>
      <c r="F97" s="272"/>
      <c r="G97" s="272"/>
      <c r="H97" s="82" t="s">
        <v>0</v>
      </c>
      <c r="I97" s="144">
        <f>'UNIFORMES-EPI'!F28</f>
        <v>7.3836666666666675</v>
      </c>
      <c r="J97" s="5"/>
    </row>
    <row r="98" spans="1:11" x14ac:dyDescent="0.2">
      <c r="A98" s="280" t="s">
        <v>115</v>
      </c>
      <c r="B98" s="280"/>
      <c r="C98" s="280"/>
      <c r="D98" s="280"/>
      <c r="E98" s="280"/>
      <c r="F98" s="280"/>
      <c r="G98" s="280"/>
      <c r="H98" s="6" t="s">
        <v>0</v>
      </c>
      <c r="I98" s="145">
        <f>SUM(I94:I97)</f>
        <v>197.80923914999997</v>
      </c>
      <c r="J98" s="5"/>
    </row>
    <row r="99" spans="1:11" x14ac:dyDescent="0.2">
      <c r="A99" s="288"/>
      <c r="B99" s="289"/>
      <c r="C99" s="289"/>
      <c r="D99" s="289"/>
      <c r="E99" s="289"/>
      <c r="F99" s="289"/>
      <c r="G99" s="289"/>
      <c r="H99" s="289"/>
      <c r="I99" s="289"/>
      <c r="J99" s="5"/>
    </row>
    <row r="100" spans="1:11" x14ac:dyDescent="0.2">
      <c r="A100" s="237" t="s">
        <v>116</v>
      </c>
      <c r="B100" s="237"/>
      <c r="C100" s="237"/>
      <c r="D100" s="237"/>
      <c r="E100" s="237"/>
      <c r="F100" s="237"/>
      <c r="G100" s="237"/>
      <c r="H100" s="237"/>
      <c r="I100" s="237"/>
      <c r="J100" s="5"/>
    </row>
    <row r="101" spans="1:11" x14ac:dyDescent="0.2">
      <c r="A101" s="80">
        <v>6</v>
      </c>
      <c r="B101" s="280" t="s">
        <v>25</v>
      </c>
      <c r="C101" s="280"/>
      <c r="D101" s="280"/>
      <c r="E101" s="280"/>
      <c r="F101" s="280"/>
      <c r="G101" s="280"/>
      <c r="H101" s="80" t="s">
        <v>3</v>
      </c>
      <c r="I101" s="80" t="s">
        <v>1</v>
      </c>
      <c r="J101" s="5"/>
    </row>
    <row r="102" spans="1:11" x14ac:dyDescent="0.2">
      <c r="A102" s="80" t="s">
        <v>10</v>
      </c>
      <c r="B102" s="273" t="s">
        <v>28</v>
      </c>
      <c r="C102" s="273"/>
      <c r="D102" s="273"/>
      <c r="E102" s="273"/>
      <c r="F102" s="273"/>
      <c r="G102" s="273"/>
      <c r="H102" s="31">
        <v>7.3700000000000002E-2</v>
      </c>
      <c r="I102" s="95">
        <f>I118*H102</f>
        <v>277.17376186180542</v>
      </c>
      <c r="J102" s="5"/>
      <c r="K102" s="70">
        <f>(I28+I59+I69+I90+I98+I102+I103)/0.8575</f>
        <v>5179.9568010272915</v>
      </c>
    </row>
    <row r="103" spans="1:11" x14ac:dyDescent="0.2">
      <c r="A103" s="23" t="s">
        <v>11</v>
      </c>
      <c r="B103" s="273" t="s">
        <v>5</v>
      </c>
      <c r="C103" s="273"/>
      <c r="D103" s="273"/>
      <c r="E103" s="273"/>
      <c r="F103" s="273"/>
      <c r="G103" s="273"/>
      <c r="H103" s="31">
        <v>0.1</v>
      </c>
      <c r="I103" s="95">
        <f>(I118+I102)*H103</f>
        <v>403.80117789826386</v>
      </c>
      <c r="J103" s="5"/>
    </row>
    <row r="104" spans="1:11" x14ac:dyDescent="0.2">
      <c r="A104" s="80" t="s">
        <v>12</v>
      </c>
      <c r="B104" s="282" t="s">
        <v>64</v>
      </c>
      <c r="C104" s="282"/>
      <c r="D104" s="282"/>
      <c r="E104" s="282"/>
      <c r="F104" s="282"/>
      <c r="G104" s="282"/>
      <c r="H104" s="2"/>
      <c r="I104" s="33"/>
      <c r="J104" s="5"/>
    </row>
    <row r="105" spans="1:11" x14ac:dyDescent="0.2">
      <c r="A105" s="23" t="s">
        <v>66</v>
      </c>
      <c r="B105" s="273" t="s">
        <v>61</v>
      </c>
      <c r="C105" s="273"/>
      <c r="D105" s="273"/>
      <c r="E105" s="273"/>
      <c r="F105" s="273"/>
      <c r="G105" s="273"/>
      <c r="H105" s="14">
        <v>1.6500000000000001E-2</v>
      </c>
      <c r="I105" s="96">
        <f>K102*H105</f>
        <v>85.46928721695032</v>
      </c>
      <c r="J105" s="5"/>
    </row>
    <row r="106" spans="1:11" x14ac:dyDescent="0.2">
      <c r="A106" s="23" t="s">
        <v>67</v>
      </c>
      <c r="B106" s="273" t="s">
        <v>62</v>
      </c>
      <c r="C106" s="273"/>
      <c r="D106" s="273"/>
      <c r="E106" s="273"/>
      <c r="F106" s="273"/>
      <c r="G106" s="273"/>
      <c r="H106" s="14">
        <v>7.5999999999999998E-2</v>
      </c>
      <c r="I106" s="96">
        <f>K102*H106</f>
        <v>393.67671687807416</v>
      </c>
      <c r="J106" s="5"/>
    </row>
    <row r="107" spans="1:11" x14ac:dyDescent="0.2">
      <c r="A107" s="23" t="s">
        <v>68</v>
      </c>
      <c r="B107" s="273" t="s">
        <v>63</v>
      </c>
      <c r="C107" s="273"/>
      <c r="D107" s="273"/>
      <c r="E107" s="273"/>
      <c r="F107" s="273"/>
      <c r="G107" s="273"/>
      <c r="H107" s="14">
        <v>0.05</v>
      </c>
      <c r="I107" s="96">
        <f>K102*H107</f>
        <v>258.99784005136456</v>
      </c>
      <c r="J107" s="5"/>
    </row>
    <row r="108" spans="1:11" x14ac:dyDescent="0.2">
      <c r="A108" s="280" t="s">
        <v>117</v>
      </c>
      <c r="B108" s="280"/>
      <c r="C108" s="280"/>
      <c r="D108" s="280"/>
      <c r="E108" s="280"/>
      <c r="F108" s="280"/>
      <c r="G108" s="280"/>
      <c r="H108" s="14"/>
      <c r="I108" s="27">
        <f>SUM(I102:I107)</f>
        <v>1419.1187839064582</v>
      </c>
      <c r="J108" s="5"/>
    </row>
    <row r="109" spans="1:11" x14ac:dyDescent="0.2">
      <c r="A109" s="90"/>
      <c r="B109" s="302"/>
      <c r="C109" s="302"/>
      <c r="D109" s="302"/>
      <c r="E109" s="302"/>
      <c r="F109" s="302"/>
      <c r="G109" s="302"/>
      <c r="H109" s="302"/>
      <c r="I109" s="302"/>
      <c r="J109" s="5"/>
    </row>
    <row r="110" spans="1:11" x14ac:dyDescent="0.2">
      <c r="A110" s="90"/>
      <c r="B110" s="90"/>
      <c r="C110" s="90"/>
      <c r="D110" s="90"/>
      <c r="E110" s="90"/>
      <c r="F110" s="90"/>
      <c r="G110" s="90"/>
      <c r="H110" s="90"/>
      <c r="I110" s="8"/>
    </row>
    <row r="111" spans="1:11" x14ac:dyDescent="0.2">
      <c r="A111" s="279" t="s">
        <v>118</v>
      </c>
      <c r="B111" s="279"/>
      <c r="C111" s="279"/>
      <c r="D111" s="279"/>
      <c r="E111" s="279"/>
      <c r="F111" s="279"/>
      <c r="G111" s="279"/>
      <c r="H111" s="279"/>
      <c r="I111" s="279"/>
    </row>
    <row r="112" spans="1:11" x14ac:dyDescent="0.2">
      <c r="A112" s="280" t="s">
        <v>29</v>
      </c>
      <c r="B112" s="280"/>
      <c r="C112" s="280"/>
      <c r="D112" s="280"/>
      <c r="E112" s="280"/>
      <c r="F112" s="280"/>
      <c r="G112" s="280"/>
      <c r="H112" s="280"/>
      <c r="I112" s="80" t="s">
        <v>1</v>
      </c>
      <c r="K112" s="17"/>
    </row>
    <row r="113" spans="1:11" x14ac:dyDescent="0.2">
      <c r="A113" s="88" t="s">
        <v>10</v>
      </c>
      <c r="B113" s="242" t="str">
        <f>A20</f>
        <v>MÓDULO 1 - COMPOSIÇÃO DA REMUNERAÇÃO</v>
      </c>
      <c r="C113" s="242"/>
      <c r="D113" s="242"/>
      <c r="E113" s="242"/>
      <c r="F113" s="242"/>
      <c r="G113" s="242"/>
      <c r="H113" s="242"/>
      <c r="I113" s="142">
        <f>I28</f>
        <v>1416.75</v>
      </c>
    </row>
    <row r="114" spans="1:11" x14ac:dyDescent="0.2">
      <c r="A114" s="97" t="s">
        <v>11</v>
      </c>
      <c r="B114" s="242" t="str">
        <f>A30</f>
        <v>MÓDULO 2 – ENCARGOS E BENEFÍCIOS ANUAIS, MENSAIS E DIÁRIOS</v>
      </c>
      <c r="C114" s="242"/>
      <c r="D114" s="242"/>
      <c r="E114" s="242"/>
      <c r="F114" s="242"/>
      <c r="G114" s="242"/>
      <c r="H114" s="242"/>
      <c r="I114" s="143">
        <f>I59</f>
        <v>1997.7322083333333</v>
      </c>
    </row>
    <row r="115" spans="1:11" x14ac:dyDescent="0.2">
      <c r="A115" s="97" t="s">
        <v>12</v>
      </c>
      <c r="B115" s="242" t="str">
        <f>A61</f>
        <v>MÓDULO 3 – PROVISÃO PARA RESCISÃO</v>
      </c>
      <c r="C115" s="242"/>
      <c r="D115" s="242"/>
      <c r="E115" s="242"/>
      <c r="F115" s="242"/>
      <c r="G115" s="242"/>
      <c r="H115" s="242"/>
      <c r="I115" s="143">
        <f>I69</f>
        <v>105.83988291666665</v>
      </c>
    </row>
    <row r="116" spans="1:11" x14ac:dyDescent="0.2">
      <c r="A116" s="83" t="s">
        <v>13</v>
      </c>
      <c r="B116" s="242" t="str">
        <f>A71</f>
        <v>MÓDULO 4 – CUSTO DE REPOSIÇÃO DO PROFISSIONAL AUSENTE</v>
      </c>
      <c r="C116" s="242"/>
      <c r="D116" s="242"/>
      <c r="E116" s="242"/>
      <c r="F116" s="242"/>
      <c r="G116" s="242"/>
      <c r="H116" s="242"/>
      <c r="I116" s="143">
        <f>I90</f>
        <v>42.706686720833339</v>
      </c>
      <c r="K116" s="17"/>
    </row>
    <row r="117" spans="1:11" x14ac:dyDescent="0.2">
      <c r="A117" s="32" t="s">
        <v>14</v>
      </c>
      <c r="B117" s="242" t="str">
        <f>A92</f>
        <v>MÓDULO 5 – INSUMOS DIVERSOS</v>
      </c>
      <c r="C117" s="242"/>
      <c r="D117" s="242"/>
      <c r="E117" s="242"/>
      <c r="F117" s="242"/>
      <c r="G117" s="242"/>
      <c r="H117" s="242"/>
      <c r="I117" s="143">
        <f>I98</f>
        <v>197.80923914999997</v>
      </c>
      <c r="K117" s="17"/>
    </row>
    <row r="118" spans="1:11" x14ac:dyDescent="0.2">
      <c r="A118" s="23"/>
      <c r="B118" s="280" t="s">
        <v>119</v>
      </c>
      <c r="C118" s="280"/>
      <c r="D118" s="280"/>
      <c r="E118" s="280"/>
      <c r="F118" s="280"/>
      <c r="G118" s="280"/>
      <c r="H118" s="280"/>
      <c r="I118" s="71">
        <f>SUM(I113:I117)</f>
        <v>3760.8380171208332</v>
      </c>
    </row>
    <row r="119" spans="1:11" x14ac:dyDescent="0.2">
      <c r="A119" s="83" t="s">
        <v>15</v>
      </c>
      <c r="B119" s="242" t="str">
        <f>A100</f>
        <v>MÓDULO 6 – CUSTOS INDIRETOS, TRIBUTOS E LUCRO</v>
      </c>
      <c r="C119" s="242"/>
      <c r="D119" s="242"/>
      <c r="E119" s="242"/>
      <c r="F119" s="242"/>
      <c r="G119" s="242"/>
      <c r="H119" s="242"/>
      <c r="I119" s="113">
        <f>I108</f>
        <v>1419.1187839064582</v>
      </c>
      <c r="K119" s="15"/>
    </row>
    <row r="120" spans="1:11" x14ac:dyDescent="0.2">
      <c r="A120" s="280" t="s">
        <v>120</v>
      </c>
      <c r="B120" s="280"/>
      <c r="C120" s="280"/>
      <c r="D120" s="280"/>
      <c r="E120" s="280"/>
      <c r="F120" s="280"/>
      <c r="G120" s="280"/>
      <c r="H120" s="280"/>
      <c r="I120" s="71">
        <f>I118+I119</f>
        <v>5179.9568010272915</v>
      </c>
    </row>
    <row r="121" spans="1:11" x14ac:dyDescent="0.2">
      <c r="I121" s="15"/>
    </row>
    <row r="122" spans="1:11" x14ac:dyDescent="0.2">
      <c r="A122" s="90"/>
      <c r="B122" s="303" t="s">
        <v>31</v>
      </c>
      <c r="C122" s="303"/>
      <c r="D122" s="303"/>
      <c r="E122" s="303"/>
      <c r="F122" s="303"/>
      <c r="G122" s="303"/>
      <c r="H122" s="3"/>
      <c r="I122" s="3"/>
    </row>
    <row r="123" spans="1:11" ht="13.5" hidden="1" customHeight="1" x14ac:dyDescent="0.2">
      <c r="A123" s="304" t="s">
        <v>33</v>
      </c>
      <c r="B123" s="305"/>
      <c r="C123" s="304" t="s">
        <v>34</v>
      </c>
      <c r="D123" s="305"/>
      <c r="E123" s="304" t="s">
        <v>36</v>
      </c>
      <c r="F123" s="305"/>
      <c r="G123" s="12" t="s">
        <v>35</v>
      </c>
      <c r="H123" s="13" t="s">
        <v>32</v>
      </c>
      <c r="I123" s="9" t="s">
        <v>1</v>
      </c>
    </row>
    <row r="124" spans="1:11" ht="40.5" hidden="1" customHeight="1" x14ac:dyDescent="0.2">
      <c r="A124" s="315" t="s">
        <v>37</v>
      </c>
      <c r="B124" s="316"/>
      <c r="C124" s="317" t="s">
        <v>41</v>
      </c>
      <c r="D124" s="318"/>
      <c r="E124" s="313"/>
      <c r="F124" s="314"/>
      <c r="G124" s="98" t="s">
        <v>41</v>
      </c>
      <c r="H124" s="99"/>
      <c r="I124" s="100">
        <v>0</v>
      </c>
    </row>
    <row r="125" spans="1:11" ht="12.75" hidden="1" customHeight="1" x14ac:dyDescent="0.2">
      <c r="A125" s="239" t="s">
        <v>38</v>
      </c>
      <c r="B125" s="312"/>
      <c r="C125" s="269" t="s">
        <v>41</v>
      </c>
      <c r="D125" s="270"/>
      <c r="E125" s="249"/>
      <c r="F125" s="250"/>
      <c r="G125" s="101" t="s">
        <v>41</v>
      </c>
      <c r="H125" s="102"/>
      <c r="I125" s="103">
        <v>0</v>
      </c>
    </row>
    <row r="126" spans="1:11" ht="12.75" hidden="1" customHeight="1" x14ac:dyDescent="0.2">
      <c r="A126" s="239" t="s">
        <v>39</v>
      </c>
      <c r="B126" s="312"/>
      <c r="C126" s="269" t="s">
        <v>41</v>
      </c>
      <c r="D126" s="270"/>
      <c r="E126" s="249"/>
      <c r="F126" s="250"/>
      <c r="G126" s="101" t="s">
        <v>41</v>
      </c>
      <c r="H126" s="102"/>
      <c r="I126" s="103">
        <v>0</v>
      </c>
    </row>
    <row r="127" spans="1:11" ht="12.75" hidden="1" customHeight="1" x14ac:dyDescent="0.2">
      <c r="A127" s="239" t="s">
        <v>40</v>
      </c>
      <c r="B127" s="312"/>
      <c r="C127" s="269" t="s">
        <v>41</v>
      </c>
      <c r="D127" s="270"/>
      <c r="E127" s="249"/>
      <c r="F127" s="250"/>
      <c r="G127" s="101" t="s">
        <v>41</v>
      </c>
      <c r="H127" s="102"/>
      <c r="I127" s="103">
        <v>0</v>
      </c>
    </row>
    <row r="128" spans="1:11" ht="12.75" hidden="1" customHeight="1" x14ac:dyDescent="0.2">
      <c r="A128" s="251"/>
      <c r="B128" s="252"/>
      <c r="C128" s="249"/>
      <c r="D128" s="250"/>
      <c r="E128" s="249"/>
      <c r="F128" s="250"/>
      <c r="G128" s="10"/>
      <c r="H128" s="11"/>
      <c r="I128" s="103"/>
    </row>
    <row r="129" spans="1:9" ht="12.75" hidden="1" customHeight="1" x14ac:dyDescent="0.2">
      <c r="A129" s="253"/>
      <c r="B129" s="254"/>
      <c r="C129" s="267"/>
      <c r="D129" s="268"/>
      <c r="E129" s="267"/>
      <c r="F129" s="268"/>
      <c r="G129" s="104"/>
      <c r="H129" s="105"/>
      <c r="I129" s="106"/>
    </row>
    <row r="130" spans="1:9" ht="13.5" hidden="1" customHeight="1" x14ac:dyDescent="0.2">
      <c r="A130" s="306" t="s">
        <v>42</v>
      </c>
      <c r="B130" s="307"/>
      <c r="C130" s="307"/>
      <c r="D130" s="307"/>
      <c r="E130" s="307"/>
      <c r="F130" s="307"/>
      <c r="G130" s="307"/>
      <c r="H130" s="308"/>
      <c r="I130" s="7">
        <f>SUM(I128:I129)</f>
        <v>0</v>
      </c>
    </row>
    <row r="131" spans="1:9" ht="13.5" hidden="1" customHeight="1" x14ac:dyDescent="0.2"/>
    <row r="132" spans="1:9" ht="12.75" hidden="1" customHeight="1" x14ac:dyDescent="0.2">
      <c r="A132" s="90" t="s">
        <v>43</v>
      </c>
      <c r="B132" s="303" t="s">
        <v>44</v>
      </c>
      <c r="C132" s="303"/>
      <c r="D132" s="303"/>
      <c r="E132" s="303"/>
      <c r="F132" s="303"/>
      <c r="G132" s="303"/>
      <c r="H132" s="3"/>
      <c r="I132" s="3"/>
    </row>
    <row r="133" spans="1:9" ht="13.5" hidden="1" customHeight="1" x14ac:dyDescent="0.2">
      <c r="A133" s="309" t="s">
        <v>45</v>
      </c>
      <c r="B133" s="310"/>
      <c r="C133" s="310"/>
      <c r="D133" s="310"/>
      <c r="E133" s="310"/>
      <c r="F133" s="310"/>
      <c r="G133" s="310"/>
      <c r="H133" s="310"/>
      <c r="I133" s="311"/>
    </row>
    <row r="134" spans="1:9" ht="13.5" hidden="1" customHeight="1" x14ac:dyDescent="0.2">
      <c r="A134" s="107"/>
      <c r="B134" s="255" t="s">
        <v>46</v>
      </c>
      <c r="C134" s="256"/>
      <c r="D134" s="256"/>
      <c r="E134" s="256"/>
      <c r="F134" s="256"/>
      <c r="G134" s="256"/>
      <c r="H134" s="257"/>
      <c r="I134" s="9" t="s">
        <v>1</v>
      </c>
    </row>
    <row r="135" spans="1:9" ht="13.5" hidden="1" customHeight="1" x14ac:dyDescent="0.2">
      <c r="A135" s="108" t="s">
        <v>10</v>
      </c>
      <c r="B135" s="246" t="s">
        <v>47</v>
      </c>
      <c r="C135" s="247"/>
      <c r="D135" s="247"/>
      <c r="E135" s="247"/>
      <c r="F135" s="247"/>
      <c r="G135" s="247"/>
      <c r="H135" s="248"/>
      <c r="I135" s="109">
        <f>I105</f>
        <v>85.46928721695032</v>
      </c>
    </row>
    <row r="136" spans="1:9" ht="12.75" hidden="1" customHeight="1" x14ac:dyDescent="0.2">
      <c r="A136" s="110" t="s">
        <v>11</v>
      </c>
      <c r="B136" s="261" t="s">
        <v>48</v>
      </c>
      <c r="C136" s="262"/>
      <c r="D136" s="262"/>
      <c r="E136" s="262"/>
      <c r="F136" s="262"/>
      <c r="G136" s="262"/>
      <c r="H136" s="263"/>
      <c r="I136" s="111" t="e">
        <f>#REF!</f>
        <v>#REF!</v>
      </c>
    </row>
    <row r="137" spans="1:9" ht="12.75" hidden="1" customHeight="1" x14ac:dyDescent="0.2">
      <c r="A137" s="110" t="s">
        <v>12</v>
      </c>
      <c r="B137" s="264" t="s">
        <v>49</v>
      </c>
      <c r="C137" s="265"/>
      <c r="D137" s="265"/>
      <c r="E137" s="265"/>
      <c r="F137" s="265"/>
      <c r="G137" s="265"/>
      <c r="H137" s="266"/>
      <c r="I137" s="111">
        <f>I108</f>
        <v>1419.1187839064582</v>
      </c>
    </row>
    <row r="138" spans="1:9" ht="13.5" hidden="1" customHeight="1" x14ac:dyDescent="0.2">
      <c r="A138" s="258" t="s">
        <v>24</v>
      </c>
      <c r="B138" s="259"/>
      <c r="C138" s="259"/>
      <c r="D138" s="259"/>
      <c r="E138" s="259"/>
      <c r="F138" s="259"/>
      <c r="G138" s="259"/>
      <c r="H138" s="260"/>
      <c r="I138" s="7" t="e">
        <f>SUM(I135:I137)</f>
        <v>#REF!</v>
      </c>
    </row>
    <row r="139" spans="1:9" ht="13.5" hidden="1" customHeight="1" x14ac:dyDescent="0.2">
      <c r="A139" s="112" t="s">
        <v>22</v>
      </c>
      <c r="B139" t="s">
        <v>50</v>
      </c>
    </row>
    <row r="140" spans="1:9" ht="12.75" hidden="1" customHeight="1" x14ac:dyDescent="0.2"/>
    <row r="141" spans="1:9" ht="12.75" hidden="1" customHeight="1" x14ac:dyDescent="0.2"/>
    <row r="142" spans="1:9" ht="12.75" hidden="1" customHeight="1" x14ac:dyDescent="0.2">
      <c r="A142" s="19"/>
      <c r="B142" s="19"/>
    </row>
    <row r="143" spans="1:9" x14ac:dyDescent="0.2">
      <c r="A143" s="17"/>
      <c r="B143" s="19"/>
      <c r="E143" s="22"/>
      <c r="I143" s="72">
        <f>I120*12</f>
        <v>62159.481612327494</v>
      </c>
    </row>
    <row r="144" spans="1:9" x14ac:dyDescent="0.2">
      <c r="A144" s="17"/>
      <c r="B144" s="19"/>
      <c r="E144" s="22"/>
      <c r="I144" s="72">
        <f>I121*12</f>
        <v>0</v>
      </c>
    </row>
    <row r="145" spans="1:9" x14ac:dyDescent="0.2">
      <c r="A145" s="22"/>
      <c r="I145" s="61"/>
    </row>
    <row r="146" spans="1:9" x14ac:dyDescent="0.2">
      <c r="A146" s="22"/>
    </row>
  </sheetData>
  <mergeCells count="159">
    <mergeCell ref="K61:L61"/>
    <mergeCell ref="K66:L66"/>
    <mergeCell ref="K47:O47"/>
    <mergeCell ref="K50:O50"/>
    <mergeCell ref="N51:O51"/>
    <mergeCell ref="N52:O52"/>
    <mergeCell ref="K54:O54"/>
    <mergeCell ref="Q47:T47"/>
    <mergeCell ref="Q50:T50"/>
    <mergeCell ref="A123:B123"/>
    <mergeCell ref="C123:D123"/>
    <mergeCell ref="E123:F123"/>
    <mergeCell ref="A130:H130"/>
    <mergeCell ref="B132:G132"/>
    <mergeCell ref="A133:I133"/>
    <mergeCell ref="C127:D127"/>
    <mergeCell ref="A126:B126"/>
    <mergeCell ref="A127:B127"/>
    <mergeCell ref="E124:F124"/>
    <mergeCell ref="E125:F125"/>
    <mergeCell ref="A125:B125"/>
    <mergeCell ref="A124:B124"/>
    <mergeCell ref="C124:D124"/>
    <mergeCell ref="C125:D125"/>
    <mergeCell ref="B101:G101"/>
    <mergeCell ref="A108:G108"/>
    <mergeCell ref="B109:I109"/>
    <mergeCell ref="A111:I111"/>
    <mergeCell ref="A112:H112"/>
    <mergeCell ref="B105:G105"/>
    <mergeCell ref="B113:H113"/>
    <mergeCell ref="A120:H120"/>
    <mergeCell ref="B122:G122"/>
    <mergeCell ref="B118:H118"/>
    <mergeCell ref="B119:H119"/>
    <mergeCell ref="B114:H114"/>
    <mergeCell ref="B115:H115"/>
    <mergeCell ref="B116:H116"/>
    <mergeCell ref="B117:H117"/>
    <mergeCell ref="A52:H52"/>
    <mergeCell ref="A53:I53"/>
    <mergeCell ref="A55:H55"/>
    <mergeCell ref="B56:H56"/>
    <mergeCell ref="A59:H59"/>
    <mergeCell ref="A60:I60"/>
    <mergeCell ref="B62:G62"/>
    <mergeCell ref="A69:G69"/>
    <mergeCell ref="A70:I70"/>
    <mergeCell ref="A54:I54"/>
    <mergeCell ref="A31:G31"/>
    <mergeCell ref="B32:G32"/>
    <mergeCell ref="A34:G34"/>
    <mergeCell ref="A35:I35"/>
    <mergeCell ref="A36:G36"/>
    <mergeCell ref="B37:G37"/>
    <mergeCell ref="A45:G45"/>
    <mergeCell ref="A46:I46"/>
    <mergeCell ref="A47:G47"/>
    <mergeCell ref="B40:G40"/>
    <mergeCell ref="B43:G43"/>
    <mergeCell ref="B39:G39"/>
    <mergeCell ref="B33:G33"/>
    <mergeCell ref="B38:G38"/>
    <mergeCell ref="B41:G41"/>
    <mergeCell ref="B42:G42"/>
    <mergeCell ref="B44:G44"/>
    <mergeCell ref="B21:G21"/>
    <mergeCell ref="A28:H28"/>
    <mergeCell ref="A30:I30"/>
    <mergeCell ref="B22:G22"/>
    <mergeCell ref="B23:G23"/>
    <mergeCell ref="B27:G27"/>
    <mergeCell ref="B26:G26"/>
    <mergeCell ref="B24:G24"/>
    <mergeCell ref="B25:G25"/>
    <mergeCell ref="A71:I71"/>
    <mergeCell ref="A61:I61"/>
    <mergeCell ref="B63:G63"/>
    <mergeCell ref="B64:G64"/>
    <mergeCell ref="B65:G65"/>
    <mergeCell ref="B66:G66"/>
    <mergeCell ref="B67:G67"/>
    <mergeCell ref="B68:G68"/>
    <mergeCell ref="B104:G104"/>
    <mergeCell ref="A72:G72"/>
    <mergeCell ref="B73:G73"/>
    <mergeCell ref="A80:G80"/>
    <mergeCell ref="A81:I81"/>
    <mergeCell ref="A82:G82"/>
    <mergeCell ref="B83:G83"/>
    <mergeCell ref="A84:G84"/>
    <mergeCell ref="A85:I85"/>
    <mergeCell ref="A87:H87"/>
    <mergeCell ref="B74:G74"/>
    <mergeCell ref="B79:G79"/>
    <mergeCell ref="A91:I91"/>
    <mergeCell ref="B93:G93"/>
    <mergeCell ref="A98:G98"/>
    <mergeCell ref="A99:I99"/>
    <mergeCell ref="B48:G48"/>
    <mergeCell ref="B106:G106"/>
    <mergeCell ref="B107:G107"/>
    <mergeCell ref="B49:G49"/>
    <mergeCell ref="B50:G50"/>
    <mergeCell ref="B51:G51"/>
    <mergeCell ref="B96:G96"/>
    <mergeCell ref="B95:G95"/>
    <mergeCell ref="B75:G75"/>
    <mergeCell ref="B76:G76"/>
    <mergeCell ref="A86:I86"/>
    <mergeCell ref="B57:H57"/>
    <mergeCell ref="B58:H58"/>
    <mergeCell ref="B77:G77"/>
    <mergeCell ref="B78:G78"/>
    <mergeCell ref="A100:I100"/>
    <mergeCell ref="B102:G102"/>
    <mergeCell ref="B103:G103"/>
    <mergeCell ref="B94:G94"/>
    <mergeCell ref="B97:G97"/>
    <mergeCell ref="A92:I92"/>
    <mergeCell ref="B89:H89"/>
    <mergeCell ref="B88:H88"/>
    <mergeCell ref="A90:H90"/>
    <mergeCell ref="B135:H135"/>
    <mergeCell ref="E126:F126"/>
    <mergeCell ref="E127:F127"/>
    <mergeCell ref="A128:B128"/>
    <mergeCell ref="A129:B129"/>
    <mergeCell ref="E128:F128"/>
    <mergeCell ref="B134:H134"/>
    <mergeCell ref="A138:H138"/>
    <mergeCell ref="B136:H136"/>
    <mergeCell ref="B137:H137"/>
    <mergeCell ref="C128:D128"/>
    <mergeCell ref="C129:D129"/>
    <mergeCell ref="E129:F129"/>
    <mergeCell ref="C126:D126"/>
    <mergeCell ref="A1:I1"/>
    <mergeCell ref="A20:I20"/>
    <mergeCell ref="A2:I2"/>
    <mergeCell ref="A11:B11"/>
    <mergeCell ref="C11:D11"/>
    <mergeCell ref="E11:I11"/>
    <mergeCell ref="B5:H5"/>
    <mergeCell ref="B6:H6"/>
    <mergeCell ref="B7:H7"/>
    <mergeCell ref="B15:H15"/>
    <mergeCell ref="B16:H16"/>
    <mergeCell ref="B17:H17"/>
    <mergeCell ref="B18:H18"/>
    <mergeCell ref="A3:I3"/>
    <mergeCell ref="B4:H4"/>
    <mergeCell ref="A9:I9"/>
    <mergeCell ref="A10:B10"/>
    <mergeCell ref="C10:D10"/>
    <mergeCell ref="E10:I10"/>
    <mergeCell ref="A13:I13"/>
    <mergeCell ref="B14:H14"/>
    <mergeCell ref="A19:I19"/>
  </mergeCells>
  <phoneticPr fontId="4" type="noConversion"/>
  <pageMargins left="0.66" right="0.19685039370078741" top="0.59055118110236227" bottom="0.39370078740157483" header="0.18" footer="0.15748031496062992"/>
  <pageSetup paperSize="9" scale="80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79998168889431442"/>
  </sheetPr>
  <dimension ref="A1:K72"/>
  <sheetViews>
    <sheetView topLeftCell="A61" zoomScaleNormal="100" workbookViewId="0">
      <selection activeCell="H72" sqref="H72"/>
    </sheetView>
  </sheetViews>
  <sheetFormatPr defaultRowHeight="15" x14ac:dyDescent="0.25"/>
  <cols>
    <col min="1" max="1" width="6.28515625" style="41" customWidth="1"/>
    <col min="2" max="2" width="39" style="41" customWidth="1"/>
    <col min="3" max="4" width="17.5703125" style="41" customWidth="1"/>
    <col min="5" max="5" width="16.28515625" style="41" customWidth="1"/>
    <col min="6" max="6" width="18.85546875" style="41" customWidth="1"/>
    <col min="7" max="7" width="13.85546875" style="41" customWidth="1"/>
    <col min="8" max="8" width="13.28515625" style="41" bestFit="1" customWidth="1"/>
    <col min="9" max="9" width="9.140625" style="41"/>
    <col min="10" max="11" width="9.5703125" style="41" bestFit="1" customWidth="1"/>
    <col min="12" max="16384" width="9.140625" style="41"/>
  </cols>
  <sheetData>
    <row r="1" spans="1:8" ht="58.5" customHeight="1" x14ac:dyDescent="0.25">
      <c r="A1" s="339" t="s">
        <v>265</v>
      </c>
      <c r="B1" s="340"/>
      <c r="C1" s="340"/>
      <c r="D1" s="340"/>
      <c r="E1" s="340"/>
      <c r="F1" s="340"/>
      <c r="G1" s="340"/>
      <c r="H1" s="340"/>
    </row>
    <row r="2" spans="1:8" ht="31.5" x14ac:dyDescent="0.25">
      <c r="A2" s="169" t="s">
        <v>266</v>
      </c>
      <c r="B2" s="169" t="s">
        <v>267</v>
      </c>
      <c r="C2" s="169" t="s">
        <v>268</v>
      </c>
      <c r="D2" s="170" t="s">
        <v>239</v>
      </c>
      <c r="E2" s="170" t="s">
        <v>240</v>
      </c>
      <c r="F2" s="169" t="s">
        <v>269</v>
      </c>
      <c r="G2" s="169" t="s">
        <v>270</v>
      </c>
      <c r="H2" s="171" t="s">
        <v>261</v>
      </c>
    </row>
    <row r="3" spans="1:8" x14ac:dyDescent="0.25">
      <c r="A3" s="151">
        <v>1</v>
      </c>
      <c r="B3" s="152" t="s">
        <v>204</v>
      </c>
      <c r="C3" s="154" t="s">
        <v>203</v>
      </c>
      <c r="D3" s="158"/>
      <c r="E3" s="158" t="s">
        <v>241</v>
      </c>
      <c r="F3" s="57">
        <v>4.9800000000000004</v>
      </c>
      <c r="G3" s="58">
        <f>F3*E3</f>
        <v>796.80000000000007</v>
      </c>
      <c r="H3" s="159">
        <f>F3*E3</f>
        <v>796.80000000000007</v>
      </c>
    </row>
    <row r="4" spans="1:8" x14ac:dyDescent="0.25">
      <c r="A4" s="151">
        <v>2</v>
      </c>
      <c r="B4" s="152" t="s">
        <v>205</v>
      </c>
      <c r="C4" s="154" t="s">
        <v>203</v>
      </c>
      <c r="D4" s="158"/>
      <c r="E4" s="158" t="s">
        <v>242</v>
      </c>
      <c r="F4" s="57">
        <v>6.99</v>
      </c>
      <c r="G4" s="58">
        <f t="shared" ref="G4:G33" si="0">F4*E4</f>
        <v>1006.5600000000001</v>
      </c>
      <c r="H4" s="159">
        <f>F4*E4</f>
        <v>1006.5600000000001</v>
      </c>
    </row>
    <row r="5" spans="1:8" x14ac:dyDescent="0.25">
      <c r="A5" s="151">
        <v>3</v>
      </c>
      <c r="B5" s="152" t="s">
        <v>201</v>
      </c>
      <c r="C5" s="154" t="s">
        <v>203</v>
      </c>
      <c r="D5" s="158"/>
      <c r="E5" s="158" t="s">
        <v>243</v>
      </c>
      <c r="F5" s="57">
        <v>7.99</v>
      </c>
      <c r="G5" s="58">
        <f t="shared" si="0"/>
        <v>4602.24</v>
      </c>
      <c r="H5" s="159">
        <f>F5*E5</f>
        <v>4602.24</v>
      </c>
    </row>
    <row r="6" spans="1:8" x14ac:dyDescent="0.25">
      <c r="A6" s="151">
        <v>4</v>
      </c>
      <c r="B6" s="153" t="s">
        <v>202</v>
      </c>
      <c r="C6" s="154" t="s">
        <v>203</v>
      </c>
      <c r="D6" s="158"/>
      <c r="E6" s="158" t="s">
        <v>244</v>
      </c>
      <c r="F6" s="57">
        <v>12.99</v>
      </c>
      <c r="G6" s="58">
        <f t="shared" si="0"/>
        <v>935.28</v>
      </c>
      <c r="H6" s="159">
        <f t="shared" ref="H6:H33" si="1">F6*E6</f>
        <v>935.28</v>
      </c>
    </row>
    <row r="7" spans="1:8" x14ac:dyDescent="0.25">
      <c r="A7" s="151">
        <v>5</v>
      </c>
      <c r="B7" s="152" t="s">
        <v>206</v>
      </c>
      <c r="C7" s="154" t="s">
        <v>203</v>
      </c>
      <c r="D7" s="158"/>
      <c r="E7" s="158" t="s">
        <v>245</v>
      </c>
      <c r="F7" s="57">
        <v>16.55</v>
      </c>
      <c r="G7" s="58">
        <f t="shared" si="0"/>
        <v>2614.9</v>
      </c>
      <c r="H7" s="159">
        <f t="shared" si="1"/>
        <v>2614.9</v>
      </c>
    </row>
    <row r="8" spans="1:8" ht="30" x14ac:dyDescent="0.25">
      <c r="A8" s="151">
        <v>6</v>
      </c>
      <c r="B8" s="153" t="s">
        <v>207</v>
      </c>
      <c r="C8" s="154" t="s">
        <v>208</v>
      </c>
      <c r="D8" s="158"/>
      <c r="E8" s="158" t="s">
        <v>246</v>
      </c>
      <c r="F8" s="57">
        <v>9.32</v>
      </c>
      <c r="G8" s="58">
        <f t="shared" si="0"/>
        <v>615.12</v>
      </c>
      <c r="H8" s="159">
        <f t="shared" si="1"/>
        <v>615.12</v>
      </c>
    </row>
    <row r="9" spans="1:8" ht="30" x14ac:dyDescent="0.25">
      <c r="A9" s="151">
        <v>7</v>
      </c>
      <c r="B9" s="153" t="s">
        <v>209</v>
      </c>
      <c r="C9" s="154" t="s">
        <v>210</v>
      </c>
      <c r="D9" s="158"/>
      <c r="E9" s="158" t="s">
        <v>247</v>
      </c>
      <c r="F9" s="57">
        <v>27.55</v>
      </c>
      <c r="G9" s="58">
        <f t="shared" si="0"/>
        <v>1460.15</v>
      </c>
      <c r="H9" s="160">
        <f t="shared" si="1"/>
        <v>1460.15</v>
      </c>
    </row>
    <row r="10" spans="1:8" ht="30" x14ac:dyDescent="0.25">
      <c r="A10" s="151">
        <v>8</v>
      </c>
      <c r="B10" s="155" t="s">
        <v>211</v>
      </c>
      <c r="C10" s="154" t="s">
        <v>208</v>
      </c>
      <c r="D10" s="158"/>
      <c r="E10" s="158" t="s">
        <v>248</v>
      </c>
      <c r="F10" s="57">
        <v>67.8</v>
      </c>
      <c r="G10" s="58">
        <f t="shared" si="0"/>
        <v>203.39999999999998</v>
      </c>
      <c r="H10" s="161">
        <f t="shared" si="1"/>
        <v>203.39999999999998</v>
      </c>
    </row>
    <row r="11" spans="1:8" x14ac:dyDescent="0.25">
      <c r="A11" s="151">
        <v>9</v>
      </c>
      <c r="B11" s="153" t="s">
        <v>212</v>
      </c>
      <c r="C11" s="154" t="s">
        <v>208</v>
      </c>
      <c r="D11" s="158"/>
      <c r="E11" s="158" t="s">
        <v>248</v>
      </c>
      <c r="F11" s="57">
        <v>7.9</v>
      </c>
      <c r="G11" s="58">
        <f t="shared" si="0"/>
        <v>23.700000000000003</v>
      </c>
      <c r="H11" s="159">
        <f t="shared" si="1"/>
        <v>23.700000000000003</v>
      </c>
    </row>
    <row r="12" spans="1:8" x14ac:dyDescent="0.25">
      <c r="A12" s="151">
        <v>10</v>
      </c>
      <c r="B12" s="153" t="s">
        <v>213</v>
      </c>
      <c r="C12" s="154" t="s">
        <v>208</v>
      </c>
      <c r="D12" s="158"/>
      <c r="E12" s="158" t="s">
        <v>249</v>
      </c>
      <c r="F12" s="57">
        <v>22.5</v>
      </c>
      <c r="G12" s="58">
        <f t="shared" si="0"/>
        <v>2700</v>
      </c>
      <c r="H12" s="159">
        <f t="shared" si="1"/>
        <v>2700</v>
      </c>
    </row>
    <row r="13" spans="1:8" x14ac:dyDescent="0.25">
      <c r="A13" s="151">
        <v>11</v>
      </c>
      <c r="B13" s="153" t="s">
        <v>214</v>
      </c>
      <c r="C13" s="154" t="s">
        <v>208</v>
      </c>
      <c r="D13" s="158"/>
      <c r="E13" s="158" t="s">
        <v>250</v>
      </c>
      <c r="F13" s="57">
        <v>33.9</v>
      </c>
      <c r="G13" s="58">
        <f t="shared" si="0"/>
        <v>339</v>
      </c>
      <c r="H13" s="159">
        <f t="shared" si="1"/>
        <v>339</v>
      </c>
    </row>
    <row r="14" spans="1:8" x14ac:dyDescent="0.25">
      <c r="A14" s="151">
        <v>12</v>
      </c>
      <c r="B14" s="153" t="s">
        <v>215</v>
      </c>
      <c r="C14" s="156" t="s">
        <v>216</v>
      </c>
      <c r="D14" s="158"/>
      <c r="E14" s="158" t="s">
        <v>251</v>
      </c>
      <c r="F14" s="57">
        <v>19.600000000000001</v>
      </c>
      <c r="G14" s="58">
        <f t="shared" si="0"/>
        <v>392</v>
      </c>
      <c r="H14" s="162">
        <f t="shared" si="1"/>
        <v>392</v>
      </c>
    </row>
    <row r="15" spans="1:8" x14ac:dyDescent="0.25">
      <c r="A15" s="151">
        <v>13</v>
      </c>
      <c r="B15" s="152" t="s">
        <v>217</v>
      </c>
      <c r="C15" s="154" t="s">
        <v>208</v>
      </c>
      <c r="D15" s="158"/>
      <c r="E15" s="158" t="s">
        <v>252</v>
      </c>
      <c r="F15" s="57">
        <v>3.69</v>
      </c>
      <c r="G15" s="58">
        <f t="shared" si="0"/>
        <v>568.26</v>
      </c>
      <c r="H15" s="159">
        <f t="shared" si="1"/>
        <v>568.26</v>
      </c>
    </row>
    <row r="16" spans="1:8" x14ac:dyDescent="0.25">
      <c r="A16" s="151">
        <v>14</v>
      </c>
      <c r="B16" s="153" t="s">
        <v>218</v>
      </c>
      <c r="C16" s="154" t="s">
        <v>208</v>
      </c>
      <c r="D16" s="158"/>
      <c r="E16" s="158" t="s">
        <v>253</v>
      </c>
      <c r="F16" s="59">
        <v>5.99</v>
      </c>
      <c r="G16" s="58">
        <f t="shared" si="0"/>
        <v>29.950000000000003</v>
      </c>
      <c r="H16" s="159">
        <f t="shared" si="1"/>
        <v>29.950000000000003</v>
      </c>
    </row>
    <row r="17" spans="1:8" ht="45" x14ac:dyDescent="0.25">
      <c r="A17" s="151">
        <v>15</v>
      </c>
      <c r="B17" s="153" t="s">
        <v>219</v>
      </c>
      <c r="C17" s="154" t="s">
        <v>220</v>
      </c>
      <c r="D17" s="158"/>
      <c r="E17" s="158" t="s">
        <v>254</v>
      </c>
      <c r="F17" s="59">
        <v>6.99</v>
      </c>
      <c r="G17" s="58">
        <f t="shared" si="0"/>
        <v>419.40000000000003</v>
      </c>
      <c r="H17" s="159">
        <f t="shared" si="1"/>
        <v>419.40000000000003</v>
      </c>
    </row>
    <row r="18" spans="1:8" x14ac:dyDescent="0.25">
      <c r="A18" s="151">
        <v>16</v>
      </c>
      <c r="B18" s="153" t="s">
        <v>221</v>
      </c>
      <c r="C18" s="154" t="s">
        <v>208</v>
      </c>
      <c r="D18" s="158"/>
      <c r="E18" s="158" t="s">
        <v>255</v>
      </c>
      <c r="F18" s="57">
        <v>4.95</v>
      </c>
      <c r="G18" s="58">
        <f t="shared" si="0"/>
        <v>495</v>
      </c>
      <c r="H18" s="159">
        <f t="shared" si="1"/>
        <v>495</v>
      </c>
    </row>
    <row r="19" spans="1:8" x14ac:dyDescent="0.25">
      <c r="A19" s="151">
        <v>17</v>
      </c>
      <c r="B19" s="153" t="s">
        <v>222</v>
      </c>
      <c r="C19" s="154" t="s">
        <v>208</v>
      </c>
      <c r="D19" s="158"/>
      <c r="E19" s="158" t="s">
        <v>249</v>
      </c>
      <c r="F19" s="57">
        <v>7.56</v>
      </c>
      <c r="G19" s="58">
        <f t="shared" si="0"/>
        <v>907.19999999999993</v>
      </c>
      <c r="H19" s="159">
        <f t="shared" si="1"/>
        <v>907.19999999999993</v>
      </c>
    </row>
    <row r="20" spans="1:8" ht="45" x14ac:dyDescent="0.25">
      <c r="A20" s="151">
        <v>18</v>
      </c>
      <c r="B20" s="153" t="s">
        <v>223</v>
      </c>
      <c r="C20" s="154" t="s">
        <v>224</v>
      </c>
      <c r="D20" s="158"/>
      <c r="E20" s="158" t="s">
        <v>256</v>
      </c>
      <c r="F20" s="57">
        <v>127.99</v>
      </c>
      <c r="G20" s="58">
        <f t="shared" si="0"/>
        <v>767.93999999999994</v>
      </c>
      <c r="H20" s="159">
        <f t="shared" si="1"/>
        <v>767.93999999999994</v>
      </c>
    </row>
    <row r="21" spans="1:8" ht="30" x14ac:dyDescent="0.25">
      <c r="A21" s="151">
        <v>19</v>
      </c>
      <c r="B21" s="153" t="s">
        <v>225</v>
      </c>
      <c r="C21" s="154" t="s">
        <v>224</v>
      </c>
      <c r="D21" s="158"/>
      <c r="E21" s="158" t="s">
        <v>254</v>
      </c>
      <c r="F21" s="57">
        <v>189.9</v>
      </c>
      <c r="G21" s="58">
        <f t="shared" si="0"/>
        <v>11394</v>
      </c>
      <c r="H21" s="160">
        <f t="shared" si="1"/>
        <v>11394</v>
      </c>
    </row>
    <row r="22" spans="1:8" x14ac:dyDescent="0.25">
      <c r="A22" s="151">
        <v>20</v>
      </c>
      <c r="B22" s="153" t="s">
        <v>226</v>
      </c>
      <c r="C22" s="154" t="s">
        <v>208</v>
      </c>
      <c r="D22" s="158"/>
      <c r="E22" s="158" t="s">
        <v>257</v>
      </c>
      <c r="F22" s="57">
        <v>7.99</v>
      </c>
      <c r="G22" s="58">
        <f t="shared" si="0"/>
        <v>95.88</v>
      </c>
      <c r="H22" s="159">
        <f t="shared" si="1"/>
        <v>95.88</v>
      </c>
    </row>
    <row r="23" spans="1:8" x14ac:dyDescent="0.25">
      <c r="A23" s="151">
        <v>21</v>
      </c>
      <c r="B23" s="153" t="s">
        <v>227</v>
      </c>
      <c r="C23" s="154" t="s">
        <v>228</v>
      </c>
      <c r="D23" s="158"/>
      <c r="E23" s="158" t="s">
        <v>257</v>
      </c>
      <c r="F23" s="57">
        <v>13.99</v>
      </c>
      <c r="G23" s="58">
        <f t="shared" si="0"/>
        <v>167.88</v>
      </c>
      <c r="H23" s="159">
        <f t="shared" si="1"/>
        <v>167.88</v>
      </c>
    </row>
    <row r="24" spans="1:8" x14ac:dyDescent="0.25">
      <c r="A24" s="151">
        <v>22</v>
      </c>
      <c r="B24" s="153" t="s">
        <v>229</v>
      </c>
      <c r="C24" s="154" t="s">
        <v>228</v>
      </c>
      <c r="D24" s="158"/>
      <c r="E24" s="158" t="s">
        <v>257</v>
      </c>
      <c r="F24" s="57">
        <v>14.99</v>
      </c>
      <c r="G24" s="58">
        <f t="shared" si="0"/>
        <v>179.88</v>
      </c>
      <c r="H24" s="159">
        <f t="shared" si="1"/>
        <v>179.88</v>
      </c>
    </row>
    <row r="25" spans="1:8" ht="30" x14ac:dyDescent="0.25">
      <c r="A25" s="151">
        <v>23</v>
      </c>
      <c r="B25" s="153" t="s">
        <v>230</v>
      </c>
      <c r="C25" s="154" t="s">
        <v>203</v>
      </c>
      <c r="D25" s="158"/>
      <c r="E25" s="158" t="s">
        <v>258</v>
      </c>
      <c r="F25" s="57">
        <v>7.41</v>
      </c>
      <c r="G25" s="58">
        <f t="shared" si="0"/>
        <v>333.45</v>
      </c>
      <c r="H25" s="159">
        <f t="shared" si="1"/>
        <v>333.45</v>
      </c>
    </row>
    <row r="26" spans="1:8" ht="30" x14ac:dyDescent="0.25">
      <c r="A26" s="151">
        <v>24</v>
      </c>
      <c r="B26" s="153" t="s">
        <v>231</v>
      </c>
      <c r="C26" s="154" t="s">
        <v>208</v>
      </c>
      <c r="D26" s="158"/>
      <c r="E26" s="158" t="s">
        <v>259</v>
      </c>
      <c r="F26" s="57">
        <v>8.9700000000000006</v>
      </c>
      <c r="G26" s="58">
        <f t="shared" si="0"/>
        <v>215.28000000000003</v>
      </c>
      <c r="H26" s="159">
        <f t="shared" si="1"/>
        <v>215.28000000000003</v>
      </c>
    </row>
    <row r="27" spans="1:8" ht="30" x14ac:dyDescent="0.25">
      <c r="A27" s="151">
        <v>25</v>
      </c>
      <c r="B27" s="153" t="s">
        <v>232</v>
      </c>
      <c r="C27" s="154" t="s">
        <v>228</v>
      </c>
      <c r="D27" s="158"/>
      <c r="E27" s="158" t="s">
        <v>260</v>
      </c>
      <c r="F27" s="57">
        <v>37.520000000000003</v>
      </c>
      <c r="G27" s="58">
        <f t="shared" si="0"/>
        <v>1800.96</v>
      </c>
      <c r="H27" s="159">
        <f t="shared" si="1"/>
        <v>1800.96</v>
      </c>
    </row>
    <row r="28" spans="1:8" ht="30" x14ac:dyDescent="0.25">
      <c r="A28" s="151">
        <v>26</v>
      </c>
      <c r="B28" s="153" t="s">
        <v>233</v>
      </c>
      <c r="C28" s="154" t="s">
        <v>228</v>
      </c>
      <c r="D28" s="158"/>
      <c r="E28" s="158" t="s">
        <v>257</v>
      </c>
      <c r="F28" s="57">
        <v>37.520000000000003</v>
      </c>
      <c r="G28" s="58">
        <f t="shared" si="0"/>
        <v>450.24</v>
      </c>
      <c r="H28" s="159">
        <f t="shared" si="1"/>
        <v>450.24</v>
      </c>
    </row>
    <row r="29" spans="1:8" ht="30" x14ac:dyDescent="0.25">
      <c r="A29" s="151">
        <v>27</v>
      </c>
      <c r="B29" s="153" t="s">
        <v>234</v>
      </c>
      <c r="C29" s="154" t="s">
        <v>228</v>
      </c>
      <c r="D29" s="158"/>
      <c r="E29" s="158" t="s">
        <v>260</v>
      </c>
      <c r="F29" s="57">
        <v>37.520000000000003</v>
      </c>
      <c r="G29" s="58">
        <f t="shared" si="0"/>
        <v>1800.96</v>
      </c>
      <c r="H29" s="159">
        <f t="shared" si="1"/>
        <v>1800.96</v>
      </c>
    </row>
    <row r="30" spans="1:8" ht="30" x14ac:dyDescent="0.25">
      <c r="A30" s="151">
        <v>28</v>
      </c>
      <c r="B30" s="153" t="s">
        <v>235</v>
      </c>
      <c r="C30" s="154" t="s">
        <v>228</v>
      </c>
      <c r="D30" s="158"/>
      <c r="E30" s="158" t="s">
        <v>260</v>
      </c>
      <c r="F30" s="57">
        <v>18.52</v>
      </c>
      <c r="G30" s="58">
        <f t="shared" si="0"/>
        <v>888.96</v>
      </c>
      <c r="H30" s="159">
        <f t="shared" si="1"/>
        <v>888.96</v>
      </c>
    </row>
    <row r="31" spans="1:8" ht="30" x14ac:dyDescent="0.25">
      <c r="A31" s="151">
        <v>29</v>
      </c>
      <c r="B31" s="153" t="s">
        <v>236</v>
      </c>
      <c r="C31" s="154" t="s">
        <v>228</v>
      </c>
      <c r="D31" s="158"/>
      <c r="E31" s="158" t="s">
        <v>257</v>
      </c>
      <c r="F31" s="57">
        <v>18.52</v>
      </c>
      <c r="G31" s="58">
        <f t="shared" si="0"/>
        <v>222.24</v>
      </c>
      <c r="H31" s="159">
        <f t="shared" si="1"/>
        <v>222.24</v>
      </c>
    </row>
    <row r="32" spans="1:8" ht="30" x14ac:dyDescent="0.25">
      <c r="A32" s="151">
        <v>30</v>
      </c>
      <c r="B32" s="153" t="s">
        <v>237</v>
      </c>
      <c r="C32" s="154" t="s">
        <v>228</v>
      </c>
      <c r="D32" s="158"/>
      <c r="E32" s="158" t="s">
        <v>257</v>
      </c>
      <c r="F32" s="57">
        <v>18.52</v>
      </c>
      <c r="G32" s="58">
        <f t="shared" si="0"/>
        <v>222.24</v>
      </c>
      <c r="H32" s="159">
        <f t="shared" si="1"/>
        <v>222.24</v>
      </c>
    </row>
    <row r="33" spans="1:11" x14ac:dyDescent="0.25">
      <c r="A33" s="151">
        <v>31</v>
      </c>
      <c r="B33" s="153" t="s">
        <v>238</v>
      </c>
      <c r="C33" s="157" t="s">
        <v>208</v>
      </c>
      <c r="D33" s="158"/>
      <c r="E33" s="158" t="s">
        <v>259</v>
      </c>
      <c r="F33" s="57">
        <v>5.69</v>
      </c>
      <c r="G33" s="58">
        <f t="shared" si="0"/>
        <v>136.56</v>
      </c>
      <c r="H33" s="159">
        <f t="shared" si="1"/>
        <v>136.56</v>
      </c>
    </row>
    <row r="34" spans="1:11" ht="15.75" customHeight="1" x14ac:dyDescent="0.25">
      <c r="A34" s="343" t="s">
        <v>155</v>
      </c>
      <c r="B34" s="343"/>
      <c r="C34" s="343"/>
      <c r="D34" s="343"/>
      <c r="E34" s="343"/>
      <c r="F34" s="343"/>
      <c r="G34" s="343"/>
      <c r="H34" s="163">
        <f>SUM(H3:H33)/12</f>
        <v>3065.4524999999994</v>
      </c>
      <c r="J34" s="172"/>
    </row>
    <row r="35" spans="1:11" ht="33" customHeight="1" x14ac:dyDescent="0.25">
      <c r="A35" s="346" t="s">
        <v>28</v>
      </c>
      <c r="B35" s="347"/>
      <c r="C35" s="347"/>
      <c r="D35" s="347"/>
      <c r="E35" s="348"/>
      <c r="F35" s="164">
        <v>1.0999999999999999E-2</v>
      </c>
      <c r="G35" s="165">
        <f>G34*F35</f>
        <v>0</v>
      </c>
      <c r="H35" s="166">
        <f>H34*F35</f>
        <v>33.719977499999992</v>
      </c>
    </row>
    <row r="36" spans="1:11" ht="15.75" customHeight="1" x14ac:dyDescent="0.25">
      <c r="A36" s="346" t="s">
        <v>5</v>
      </c>
      <c r="B36" s="347"/>
      <c r="C36" s="347"/>
      <c r="D36" s="347"/>
      <c r="E36" s="348"/>
      <c r="F36" s="164">
        <v>1.0500000000000001E-2</v>
      </c>
      <c r="G36" s="165">
        <f>(G34+G35)*F36</f>
        <v>0</v>
      </c>
      <c r="H36" s="166">
        <f>H34*F36</f>
        <v>32.187251249999996</v>
      </c>
      <c r="K36" s="172">
        <f>H34+H35+H36</f>
        <v>3131.3597287499992</v>
      </c>
    </row>
    <row r="37" spans="1:11" ht="19.5" customHeight="1" x14ac:dyDescent="0.25">
      <c r="A37" s="346" t="s">
        <v>262</v>
      </c>
      <c r="B37" s="347"/>
      <c r="C37" s="347"/>
      <c r="D37" s="347"/>
      <c r="E37" s="348"/>
      <c r="F37" s="164">
        <v>0.1</v>
      </c>
      <c r="G37" s="165">
        <f>G38*F37</f>
        <v>343.79049787499997</v>
      </c>
      <c r="H37" s="166">
        <f>H34*F37</f>
        <v>306.54524999999995</v>
      </c>
      <c r="K37" s="172">
        <f>K36*10%</f>
        <v>313.13597287499994</v>
      </c>
    </row>
    <row r="38" spans="1:11" ht="15.75" customHeight="1" x14ac:dyDescent="0.25">
      <c r="A38" s="345" t="s">
        <v>263</v>
      </c>
      <c r="B38" s="345"/>
      <c r="C38" s="345"/>
      <c r="D38" s="345"/>
      <c r="E38" s="345"/>
      <c r="F38" s="345"/>
      <c r="G38" s="167">
        <f>H34+H35+H36+H37</f>
        <v>3437.9049787499994</v>
      </c>
      <c r="H38" s="168"/>
    </row>
    <row r="39" spans="1:11" ht="15.75" customHeight="1" x14ac:dyDescent="0.25">
      <c r="A39" s="345" t="s">
        <v>264</v>
      </c>
      <c r="B39" s="345"/>
      <c r="C39" s="345"/>
      <c r="D39" s="345"/>
      <c r="E39" s="345"/>
      <c r="F39" s="345"/>
      <c r="G39" s="167">
        <f>G38/5</f>
        <v>687.58099574999983</v>
      </c>
      <c r="H39" s="168"/>
    </row>
    <row r="40" spans="1:11" ht="15.75" customHeight="1" x14ac:dyDescent="0.25">
      <c r="A40" s="67"/>
      <c r="B40" s="68"/>
      <c r="C40" s="68"/>
      <c r="D40" s="68"/>
      <c r="E40" s="68"/>
      <c r="F40" s="69"/>
      <c r="G40" s="60"/>
    </row>
    <row r="41" spans="1:11" ht="16.5" customHeight="1" x14ac:dyDescent="0.25">
      <c r="A41" s="344" t="s">
        <v>271</v>
      </c>
      <c r="B41" s="344"/>
      <c r="C41" s="344"/>
      <c r="D41" s="344"/>
      <c r="E41" s="344"/>
      <c r="F41" s="344"/>
      <c r="G41" s="344"/>
      <c r="H41" s="344"/>
    </row>
    <row r="42" spans="1:11" ht="39.75" customHeight="1" x14ac:dyDescent="0.25">
      <c r="A42" s="173"/>
      <c r="B42" s="173" t="s">
        <v>46</v>
      </c>
      <c r="C42" s="174" t="s">
        <v>208</v>
      </c>
      <c r="D42" s="175" t="s">
        <v>272</v>
      </c>
      <c r="E42" s="175" t="s">
        <v>269</v>
      </c>
      <c r="F42" s="175" t="s">
        <v>273</v>
      </c>
      <c r="G42" s="176" t="s">
        <v>274</v>
      </c>
      <c r="H42" s="176" t="s">
        <v>275</v>
      </c>
    </row>
    <row r="43" spans="1:11" ht="37.5" customHeight="1" x14ac:dyDescent="0.25">
      <c r="A43" s="177">
        <v>1</v>
      </c>
      <c r="B43" s="153" t="s">
        <v>276</v>
      </c>
      <c r="C43" s="177" t="s">
        <v>208</v>
      </c>
      <c r="D43" s="178">
        <v>4</v>
      </c>
      <c r="E43" s="179">
        <v>498.63</v>
      </c>
      <c r="F43" s="179">
        <f>E43*D43</f>
        <v>1994.52</v>
      </c>
      <c r="G43" s="180">
        <v>60</v>
      </c>
      <c r="H43" s="181">
        <f>F43/G43</f>
        <v>33.241999999999997</v>
      </c>
    </row>
    <row r="44" spans="1:11" ht="21.75" customHeight="1" x14ac:dyDescent="0.25">
      <c r="A44" s="177">
        <v>2</v>
      </c>
      <c r="B44" s="153" t="s">
        <v>277</v>
      </c>
      <c r="C44" s="177" t="s">
        <v>208</v>
      </c>
      <c r="D44" s="178">
        <v>5</v>
      </c>
      <c r="E44" s="179">
        <v>719.99</v>
      </c>
      <c r="F44" s="179">
        <f t="shared" ref="F44:F46" si="2">E44*D44</f>
        <v>3599.95</v>
      </c>
      <c r="G44" s="180">
        <v>60</v>
      </c>
      <c r="H44" s="181">
        <f>F44/G44</f>
        <v>59.99916666666666</v>
      </c>
    </row>
    <row r="45" spans="1:11" ht="18" customHeight="1" x14ac:dyDescent="0.25">
      <c r="A45" s="177">
        <v>3</v>
      </c>
      <c r="B45" s="153" t="s">
        <v>278</v>
      </c>
      <c r="C45" s="177" t="s">
        <v>208</v>
      </c>
      <c r="D45" s="178">
        <v>1</v>
      </c>
      <c r="E45" s="179">
        <v>1785.24</v>
      </c>
      <c r="F45" s="179">
        <f t="shared" si="2"/>
        <v>1785.24</v>
      </c>
      <c r="G45" s="180">
        <v>60</v>
      </c>
      <c r="H45" s="181">
        <f>F45/G45</f>
        <v>29.754000000000001</v>
      </c>
    </row>
    <row r="46" spans="1:11" ht="14.25" customHeight="1" x14ac:dyDescent="0.25">
      <c r="A46" s="177">
        <v>4</v>
      </c>
      <c r="B46" s="153" t="s">
        <v>279</v>
      </c>
      <c r="C46" s="177" t="s">
        <v>208</v>
      </c>
      <c r="D46" s="178">
        <v>1</v>
      </c>
      <c r="E46" s="179">
        <v>7690.85</v>
      </c>
      <c r="F46" s="179">
        <f t="shared" si="2"/>
        <v>7690.85</v>
      </c>
      <c r="G46" s="180">
        <v>60</v>
      </c>
      <c r="H46" s="181">
        <f>F46/G46</f>
        <v>128.18083333333334</v>
      </c>
    </row>
    <row r="47" spans="1:11" ht="27" customHeight="1" x14ac:dyDescent="0.25">
      <c r="A47" s="341" t="s">
        <v>280</v>
      </c>
      <c r="B47" s="341"/>
      <c r="C47" s="341"/>
      <c r="D47" s="341"/>
      <c r="E47" s="341"/>
      <c r="F47" s="341"/>
      <c r="G47" s="342"/>
      <c r="H47" s="182">
        <f>SUM(H43:H46)</f>
        <v>251.17599999999999</v>
      </c>
    </row>
    <row r="48" spans="1:11" ht="15" customHeight="1" x14ac:dyDescent="0.25">
      <c r="A48" s="328" t="s">
        <v>281</v>
      </c>
      <c r="B48" s="328"/>
      <c r="C48" s="328"/>
      <c r="D48" s="328"/>
      <c r="E48" s="328"/>
      <c r="F48" s="328"/>
      <c r="G48" s="328"/>
      <c r="H48" s="183">
        <f>H47/5</f>
        <v>50.235199999999999</v>
      </c>
    </row>
    <row r="49" spans="1:8" ht="33.75" customHeight="1" x14ac:dyDescent="0.25">
      <c r="A49" s="327" t="s">
        <v>123</v>
      </c>
      <c r="B49" s="327"/>
      <c r="C49" s="327"/>
      <c r="D49" s="327"/>
      <c r="E49" s="327"/>
      <c r="F49" s="327"/>
      <c r="G49" s="327"/>
      <c r="H49" s="327"/>
    </row>
    <row r="50" spans="1:8" ht="33.75" customHeight="1" x14ac:dyDescent="0.25">
      <c r="A50" s="150"/>
      <c r="B50" s="150"/>
      <c r="C50" s="150"/>
      <c r="D50" s="150"/>
      <c r="E50" s="150"/>
      <c r="F50" s="150"/>
      <c r="G50" s="150"/>
      <c r="H50" s="150"/>
    </row>
    <row r="51" spans="1:8" ht="33.75" customHeight="1" x14ac:dyDescent="0.25">
      <c r="A51" s="329" t="s">
        <v>282</v>
      </c>
      <c r="B51" s="330"/>
      <c r="C51" s="330"/>
      <c r="D51" s="330"/>
      <c r="E51" s="330"/>
      <c r="F51" s="330"/>
      <c r="G51" s="330"/>
      <c r="H51" s="331"/>
    </row>
    <row r="52" spans="1:8" ht="33.75" customHeight="1" x14ac:dyDescent="0.25">
      <c r="A52" s="184"/>
      <c r="B52" s="184" t="s">
        <v>46</v>
      </c>
      <c r="C52" s="185" t="s">
        <v>208</v>
      </c>
      <c r="D52" s="186" t="s">
        <v>272</v>
      </c>
      <c r="E52" s="186" t="s">
        <v>269</v>
      </c>
      <c r="F52" s="186" t="s">
        <v>273</v>
      </c>
      <c r="G52" s="187" t="s">
        <v>274</v>
      </c>
      <c r="H52" s="187" t="s">
        <v>275</v>
      </c>
    </row>
    <row r="53" spans="1:8" ht="33.75" customHeight="1" x14ac:dyDescent="0.25">
      <c r="A53" s="180">
        <v>1</v>
      </c>
      <c r="B53" s="153" t="s">
        <v>283</v>
      </c>
      <c r="C53" s="180" t="s">
        <v>208</v>
      </c>
      <c r="D53" s="188">
        <v>5</v>
      </c>
      <c r="E53" s="189">
        <v>14.36</v>
      </c>
      <c r="F53" s="190">
        <f>D53*E53</f>
        <v>71.8</v>
      </c>
      <c r="G53" s="180">
        <v>6</v>
      </c>
      <c r="H53" s="191">
        <f>F53/G53</f>
        <v>11.966666666666667</v>
      </c>
    </row>
    <row r="54" spans="1:8" ht="33.75" customHeight="1" x14ac:dyDescent="0.25">
      <c r="A54" s="180">
        <v>2</v>
      </c>
      <c r="B54" s="153" t="s">
        <v>284</v>
      </c>
      <c r="C54" s="180" t="s">
        <v>208</v>
      </c>
      <c r="D54" s="188">
        <v>50</v>
      </c>
      <c r="E54" s="189">
        <v>8.99</v>
      </c>
      <c r="F54" s="190">
        <f t="shared" ref="F54:F63" si="3">D54*E54</f>
        <v>449.5</v>
      </c>
      <c r="G54" s="180">
        <v>6</v>
      </c>
      <c r="H54" s="191">
        <f t="shared" ref="H54:H63" si="4">F54/G54</f>
        <v>74.916666666666671</v>
      </c>
    </row>
    <row r="55" spans="1:8" ht="33.75" customHeight="1" x14ac:dyDescent="0.25">
      <c r="A55" s="180">
        <v>3</v>
      </c>
      <c r="B55" s="153" t="s">
        <v>285</v>
      </c>
      <c r="C55" s="180" t="s">
        <v>208</v>
      </c>
      <c r="D55" s="188">
        <v>6</v>
      </c>
      <c r="E55" s="189">
        <v>24.69</v>
      </c>
      <c r="F55" s="190">
        <f t="shared" si="3"/>
        <v>148.14000000000001</v>
      </c>
      <c r="G55" s="180">
        <v>12</v>
      </c>
      <c r="H55" s="191">
        <f t="shared" si="4"/>
        <v>12.345000000000001</v>
      </c>
    </row>
    <row r="56" spans="1:8" ht="33.75" customHeight="1" x14ac:dyDescent="0.25">
      <c r="A56" s="180">
        <v>4</v>
      </c>
      <c r="B56" s="153" t="s">
        <v>286</v>
      </c>
      <c r="C56" s="180" t="s">
        <v>208</v>
      </c>
      <c r="D56" s="188">
        <v>6</v>
      </c>
      <c r="E56" s="189">
        <v>26.54</v>
      </c>
      <c r="F56" s="190">
        <f t="shared" si="3"/>
        <v>159.24</v>
      </c>
      <c r="G56" s="180">
        <v>2</v>
      </c>
      <c r="H56" s="191">
        <f t="shared" si="4"/>
        <v>79.62</v>
      </c>
    </row>
    <row r="57" spans="1:8" ht="33.75" customHeight="1" x14ac:dyDescent="0.25">
      <c r="A57" s="180">
        <v>5</v>
      </c>
      <c r="B57" s="153" t="s">
        <v>287</v>
      </c>
      <c r="C57" s="180" t="s">
        <v>208</v>
      </c>
      <c r="D57" s="188">
        <v>2</v>
      </c>
      <c r="E57" s="189">
        <v>16.87</v>
      </c>
      <c r="F57" s="190">
        <f t="shared" si="3"/>
        <v>33.74</v>
      </c>
      <c r="G57" s="180">
        <v>2</v>
      </c>
      <c r="H57" s="191">
        <f t="shared" si="4"/>
        <v>16.87</v>
      </c>
    </row>
    <row r="58" spans="1:8" ht="33.75" customHeight="1" x14ac:dyDescent="0.25">
      <c r="A58" s="180">
        <v>6</v>
      </c>
      <c r="B58" s="153" t="s">
        <v>288</v>
      </c>
      <c r="C58" s="180" t="s">
        <v>208</v>
      </c>
      <c r="D58" s="188">
        <v>5</v>
      </c>
      <c r="E58" s="189">
        <v>47.99</v>
      </c>
      <c r="F58" s="190">
        <f t="shared" si="3"/>
        <v>239.95000000000002</v>
      </c>
      <c r="G58" s="180">
        <v>12</v>
      </c>
      <c r="H58" s="191">
        <f t="shared" si="4"/>
        <v>19.995833333333334</v>
      </c>
    </row>
    <row r="59" spans="1:8" ht="33.75" customHeight="1" x14ac:dyDescent="0.25">
      <c r="A59" s="180">
        <v>7</v>
      </c>
      <c r="B59" s="153" t="s">
        <v>289</v>
      </c>
      <c r="C59" s="180" t="s">
        <v>208</v>
      </c>
      <c r="D59" s="188">
        <v>5</v>
      </c>
      <c r="E59" s="189">
        <v>29.87</v>
      </c>
      <c r="F59" s="190">
        <f t="shared" si="3"/>
        <v>149.35</v>
      </c>
      <c r="G59" s="180">
        <v>12</v>
      </c>
      <c r="H59" s="191">
        <f t="shared" si="4"/>
        <v>12.445833333333333</v>
      </c>
    </row>
    <row r="60" spans="1:8" ht="33.75" customHeight="1" x14ac:dyDescent="0.25">
      <c r="A60" s="180">
        <v>8</v>
      </c>
      <c r="B60" s="153" t="s">
        <v>290</v>
      </c>
      <c r="C60" s="180" t="s">
        <v>208</v>
      </c>
      <c r="D60" s="188">
        <v>2</v>
      </c>
      <c r="E60" s="189">
        <v>17.52</v>
      </c>
      <c r="F60" s="190">
        <f t="shared" si="3"/>
        <v>35.04</v>
      </c>
      <c r="G60" s="180">
        <v>2</v>
      </c>
      <c r="H60" s="191">
        <f t="shared" si="4"/>
        <v>17.52</v>
      </c>
    </row>
    <row r="61" spans="1:8" ht="33.75" customHeight="1" x14ac:dyDescent="0.25">
      <c r="A61" s="180">
        <v>9</v>
      </c>
      <c r="B61" s="153" t="s">
        <v>291</v>
      </c>
      <c r="C61" s="180" t="s">
        <v>208</v>
      </c>
      <c r="D61" s="188">
        <v>2</v>
      </c>
      <c r="E61" s="189">
        <v>12.69</v>
      </c>
      <c r="F61" s="190">
        <f t="shared" si="3"/>
        <v>25.38</v>
      </c>
      <c r="G61" s="180">
        <v>2</v>
      </c>
      <c r="H61" s="191">
        <f t="shared" si="4"/>
        <v>12.69</v>
      </c>
    </row>
    <row r="62" spans="1:8" ht="33.75" customHeight="1" x14ac:dyDescent="0.25">
      <c r="A62" s="180">
        <v>10</v>
      </c>
      <c r="B62" s="153" t="s">
        <v>292</v>
      </c>
      <c r="C62" s="180" t="s">
        <v>208</v>
      </c>
      <c r="D62" s="188">
        <v>2</v>
      </c>
      <c r="E62" s="189">
        <v>12.74</v>
      </c>
      <c r="F62" s="190">
        <f t="shared" si="3"/>
        <v>25.48</v>
      </c>
      <c r="G62" s="180">
        <v>2</v>
      </c>
      <c r="H62" s="191">
        <f t="shared" si="4"/>
        <v>12.74</v>
      </c>
    </row>
    <row r="63" spans="1:8" ht="33.75" customHeight="1" x14ac:dyDescent="0.25">
      <c r="A63" s="180">
        <v>11</v>
      </c>
      <c r="B63" s="153" t="s">
        <v>293</v>
      </c>
      <c r="C63" s="180" t="s">
        <v>208</v>
      </c>
      <c r="D63" s="188">
        <v>2</v>
      </c>
      <c r="E63" s="189">
        <v>5.74</v>
      </c>
      <c r="F63" s="190">
        <f t="shared" si="3"/>
        <v>11.48</v>
      </c>
      <c r="G63" s="180">
        <v>2</v>
      </c>
      <c r="H63" s="191">
        <f t="shared" si="4"/>
        <v>5.74</v>
      </c>
    </row>
    <row r="64" spans="1:8" ht="33.75" customHeight="1" x14ac:dyDescent="0.25">
      <c r="A64" s="332" t="s">
        <v>294</v>
      </c>
      <c r="B64" s="333"/>
      <c r="C64" s="333"/>
      <c r="D64" s="333"/>
      <c r="E64" s="333"/>
      <c r="F64" s="334"/>
      <c r="G64" s="192"/>
      <c r="H64" s="193">
        <f>SUM(H53:H63)</f>
        <v>276.85000000000008</v>
      </c>
    </row>
    <row r="65" spans="1:8" ht="33.75" customHeight="1" x14ac:dyDescent="0.25">
      <c r="A65" s="335" t="s">
        <v>281</v>
      </c>
      <c r="B65" s="336"/>
      <c r="C65" s="336"/>
      <c r="D65" s="336"/>
      <c r="E65" s="336"/>
      <c r="F65" s="337"/>
      <c r="G65" s="192"/>
      <c r="H65" s="194">
        <f>H64/5</f>
        <v>55.370000000000019</v>
      </c>
    </row>
    <row r="66" spans="1:8" ht="33.75" customHeight="1" x14ac:dyDescent="0.25">
      <c r="A66"/>
      <c r="B66"/>
      <c r="C66"/>
      <c r="D66" s="195"/>
      <c r="E66" s="195"/>
      <c r="F66" s="195"/>
      <c r="G66"/>
      <c r="H66"/>
    </row>
    <row r="67" spans="1:8" x14ac:dyDescent="0.25">
      <c r="A67" s="115" t="s">
        <v>156</v>
      </c>
      <c r="B67" s="115"/>
      <c r="C67" s="115"/>
      <c r="D67" s="115"/>
      <c r="E67" s="115"/>
      <c r="F67" s="115"/>
      <c r="G67" s="115"/>
      <c r="H67" s="43">
        <f>G39</f>
        <v>687.58099574999983</v>
      </c>
    </row>
    <row r="68" spans="1:8" x14ac:dyDescent="0.25">
      <c r="A68" s="338" t="s">
        <v>121</v>
      </c>
      <c r="B68" s="338"/>
      <c r="C68" s="338"/>
      <c r="D68" s="338"/>
      <c r="E68" s="338"/>
      <c r="F68" s="338"/>
      <c r="G68" s="338"/>
      <c r="H68" s="117">
        <f>H48</f>
        <v>50.235199999999999</v>
      </c>
    </row>
    <row r="69" spans="1:8" x14ac:dyDescent="0.25">
      <c r="A69" s="338" t="s">
        <v>122</v>
      </c>
      <c r="B69" s="338"/>
      <c r="C69" s="338"/>
      <c r="D69" s="338"/>
      <c r="E69" s="338"/>
      <c r="F69" s="338"/>
      <c r="G69" s="338"/>
      <c r="H69" s="117">
        <f>H65</f>
        <v>55.370000000000019</v>
      </c>
    </row>
    <row r="70" spans="1:8" x14ac:dyDescent="0.25">
      <c r="A70" s="280" t="s">
        <v>157</v>
      </c>
      <c r="B70" s="280"/>
      <c r="C70" s="280"/>
      <c r="D70" s="280"/>
      <c r="E70" s="280"/>
      <c r="F70" s="280"/>
      <c r="G70" s="280"/>
      <c r="H70" s="196">
        <f>H67+H68+H69</f>
        <v>793.1861957499998</v>
      </c>
    </row>
    <row r="71" spans="1:8" x14ac:dyDescent="0.25">
      <c r="A71" s="280" t="s">
        <v>158</v>
      </c>
      <c r="B71" s="280"/>
      <c r="C71" s="280"/>
      <c r="D71" s="280"/>
      <c r="E71" s="280"/>
      <c r="F71" s="280"/>
      <c r="G71" s="280"/>
      <c r="H71" s="43">
        <f>H70*12</f>
        <v>9518.2343489999985</v>
      </c>
    </row>
    <row r="72" spans="1:8" x14ac:dyDescent="0.25">
      <c r="A72" s="326" t="s">
        <v>295</v>
      </c>
      <c r="B72" s="280"/>
      <c r="C72" s="280"/>
      <c r="D72" s="280"/>
      <c r="E72" s="280"/>
      <c r="F72" s="280"/>
      <c r="G72" s="280"/>
      <c r="H72" s="43">
        <f>H71/5/12</f>
        <v>158.63723914999997</v>
      </c>
    </row>
  </sheetData>
  <mergeCells count="19">
    <mergeCell ref="A1:H1"/>
    <mergeCell ref="A47:G47"/>
    <mergeCell ref="A34:G34"/>
    <mergeCell ref="A41:H41"/>
    <mergeCell ref="A38:F38"/>
    <mergeCell ref="A39:F39"/>
    <mergeCell ref="A35:E35"/>
    <mergeCell ref="A36:E36"/>
    <mergeCell ref="A37:E37"/>
    <mergeCell ref="A70:G70"/>
    <mergeCell ref="A71:G71"/>
    <mergeCell ref="A72:G72"/>
    <mergeCell ref="A49:H49"/>
    <mergeCell ref="A48:G48"/>
    <mergeCell ref="A51:H51"/>
    <mergeCell ref="A64:F64"/>
    <mergeCell ref="A65:F65"/>
    <mergeCell ref="A68:G68"/>
    <mergeCell ref="A69:G69"/>
  </mergeCells>
  <pageMargins left="0.37" right="0.36" top="0.37" bottom="0.28000000000000003" header="0.31496062000000002" footer="0.2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59999389629810485"/>
  </sheetPr>
  <dimension ref="A3:G28"/>
  <sheetViews>
    <sheetView topLeftCell="A10" workbookViewId="0">
      <selection activeCell="F39" sqref="F39"/>
    </sheetView>
  </sheetViews>
  <sheetFormatPr defaultRowHeight="12.75" x14ac:dyDescent="0.2"/>
  <cols>
    <col min="1" max="1" width="21.7109375" customWidth="1"/>
    <col min="2" max="2" width="25.7109375" customWidth="1"/>
    <col min="3" max="3" width="23.140625" customWidth="1"/>
    <col min="4" max="4" width="19.42578125" customWidth="1"/>
    <col min="5" max="5" width="4.42578125" hidden="1" customWidth="1"/>
    <col min="6" max="6" width="16.28515625" customWidth="1"/>
    <col min="7" max="7" width="23.140625" customWidth="1"/>
  </cols>
  <sheetData>
    <row r="3" spans="1:7" ht="15" customHeight="1" x14ac:dyDescent="0.2">
      <c r="A3" s="355" t="s">
        <v>297</v>
      </c>
      <c r="B3" s="355"/>
      <c r="C3" s="355"/>
      <c r="D3" s="355"/>
      <c r="E3" s="355"/>
      <c r="F3" s="355"/>
      <c r="G3" s="355"/>
    </row>
    <row r="4" spans="1:7" ht="15" customHeight="1" x14ac:dyDescent="0.2">
      <c r="A4" s="197"/>
      <c r="B4" s="198"/>
      <c r="C4" s="198"/>
      <c r="D4" s="198"/>
      <c r="E4" s="198"/>
      <c r="F4" s="198"/>
      <c r="G4" s="198"/>
    </row>
    <row r="5" spans="1:7" ht="63" x14ac:dyDescent="0.2">
      <c r="A5" s="199" t="s">
        <v>177</v>
      </c>
      <c r="B5" s="199" t="s">
        <v>124</v>
      </c>
      <c r="C5" s="199" t="s">
        <v>298</v>
      </c>
      <c r="D5" s="199" t="s">
        <v>299</v>
      </c>
      <c r="E5" s="199" t="s">
        <v>300</v>
      </c>
      <c r="F5" s="199" t="s">
        <v>307</v>
      </c>
      <c r="G5" s="199" t="s">
        <v>301</v>
      </c>
    </row>
    <row r="6" spans="1:7" ht="45" x14ac:dyDescent="0.25">
      <c r="A6" s="356" t="s">
        <v>60</v>
      </c>
      <c r="B6" s="153" t="s">
        <v>302</v>
      </c>
      <c r="C6" s="200">
        <v>2</v>
      </c>
      <c r="D6" s="201">
        <v>45.32</v>
      </c>
      <c r="E6" s="201">
        <f>C6*D6</f>
        <v>90.64</v>
      </c>
      <c r="F6" s="201">
        <f>D6*C6</f>
        <v>90.64</v>
      </c>
      <c r="G6" s="201">
        <f>F6/12</f>
        <v>7.5533333333333337</v>
      </c>
    </row>
    <row r="7" spans="1:7" ht="75" x14ac:dyDescent="0.25">
      <c r="A7" s="357"/>
      <c r="B7" s="153" t="s">
        <v>303</v>
      </c>
      <c r="C7" s="200">
        <v>4</v>
      </c>
      <c r="D7" s="201">
        <v>40.25</v>
      </c>
      <c r="E7" s="201">
        <f>C7*D7</f>
        <v>161</v>
      </c>
      <c r="F7" s="201">
        <f t="shared" ref="F7:F9" si="0">D7*C7</f>
        <v>161</v>
      </c>
      <c r="G7" s="201">
        <f t="shared" ref="G7:G9" si="1">F7/12</f>
        <v>13.416666666666666</v>
      </c>
    </row>
    <row r="8" spans="1:7" ht="45" x14ac:dyDescent="0.25">
      <c r="A8" s="357"/>
      <c r="B8" s="153" t="s">
        <v>304</v>
      </c>
      <c r="C8" s="200">
        <v>6</v>
      </c>
      <c r="D8" s="201">
        <v>5.98</v>
      </c>
      <c r="E8" s="201">
        <f>C8*D8</f>
        <v>35.880000000000003</v>
      </c>
      <c r="F8" s="201">
        <f t="shared" si="0"/>
        <v>35.880000000000003</v>
      </c>
      <c r="G8" s="201">
        <f t="shared" si="1"/>
        <v>2.99</v>
      </c>
    </row>
    <row r="9" spans="1:7" ht="45" x14ac:dyDescent="0.25">
      <c r="A9" s="358"/>
      <c r="B9" s="153" t="s">
        <v>305</v>
      </c>
      <c r="C9" s="200">
        <v>2</v>
      </c>
      <c r="D9" s="201">
        <v>46.97</v>
      </c>
      <c r="E9" s="201">
        <f>C9*D9</f>
        <v>93.94</v>
      </c>
      <c r="F9" s="201">
        <f t="shared" si="0"/>
        <v>93.94</v>
      </c>
      <c r="G9" s="201">
        <f t="shared" si="1"/>
        <v>7.8283333333333331</v>
      </c>
    </row>
    <row r="10" spans="1:7" ht="15.75" x14ac:dyDescent="0.2">
      <c r="A10" s="359" t="s">
        <v>306</v>
      </c>
      <c r="B10" s="359"/>
      <c r="C10" s="359"/>
      <c r="D10" s="359"/>
      <c r="E10" s="359"/>
      <c r="F10" s="203"/>
      <c r="G10" s="202">
        <f>SUM(G6:G9)</f>
        <v>31.788333333333334</v>
      </c>
    </row>
    <row r="11" spans="1:7" ht="15.75" x14ac:dyDescent="0.25">
      <c r="A11" s="46" t="s">
        <v>24</v>
      </c>
      <c r="B11" s="46"/>
      <c r="C11" s="46"/>
      <c r="D11" s="351">
        <f>F6+F7+F8+F9</f>
        <v>381.46</v>
      </c>
      <c r="E11" s="351"/>
      <c r="F11" s="204"/>
    </row>
    <row r="12" spans="1:7" ht="15.75" x14ac:dyDescent="0.25">
      <c r="A12" s="352" t="s">
        <v>138</v>
      </c>
      <c r="B12" s="353"/>
      <c r="C12" s="353"/>
      <c r="D12" s="351">
        <f>D11/12</f>
        <v>31.78833333333333</v>
      </c>
      <c r="E12" s="351"/>
      <c r="F12" s="204"/>
    </row>
    <row r="13" spans="1:7" x14ac:dyDescent="0.2">
      <c r="A13" s="354"/>
      <c r="B13" s="354"/>
      <c r="C13" s="354"/>
      <c r="D13" s="354"/>
      <c r="E13" s="354"/>
      <c r="F13" s="205"/>
    </row>
    <row r="14" spans="1:7" x14ac:dyDescent="0.2">
      <c r="A14" s="350"/>
      <c r="B14" s="350"/>
      <c r="C14" s="350"/>
      <c r="D14" s="350"/>
      <c r="E14" s="350"/>
      <c r="F14" s="206"/>
    </row>
    <row r="15" spans="1:7" x14ac:dyDescent="0.2">
      <c r="A15" s="350"/>
      <c r="B15" s="350"/>
      <c r="C15" s="350"/>
      <c r="D15" s="350"/>
      <c r="E15" s="350"/>
      <c r="F15" s="206"/>
    </row>
    <row r="18" spans="1:6" x14ac:dyDescent="0.2">
      <c r="A18" s="360" t="s">
        <v>337</v>
      </c>
      <c r="B18" s="360"/>
      <c r="C18" s="360"/>
      <c r="D18" s="360"/>
      <c r="E18" s="360"/>
      <c r="F18" s="360"/>
    </row>
    <row r="19" spans="1:6" x14ac:dyDescent="0.2">
      <c r="A19" s="360"/>
      <c r="B19" s="360"/>
      <c r="C19" s="360"/>
      <c r="D19" s="360"/>
      <c r="E19" s="360"/>
      <c r="F19" s="360"/>
    </row>
    <row r="20" spans="1:6" x14ac:dyDescent="0.2">
      <c r="A20" s="361"/>
      <c r="B20" s="361"/>
      <c r="C20" s="361"/>
      <c r="D20" s="361"/>
      <c r="E20" s="361"/>
      <c r="F20" s="361"/>
    </row>
    <row r="21" spans="1:6" ht="63" x14ac:dyDescent="0.2">
      <c r="A21" s="199" t="s">
        <v>266</v>
      </c>
      <c r="B21" s="199" t="s">
        <v>124</v>
      </c>
      <c r="C21" s="199" t="s">
        <v>298</v>
      </c>
      <c r="D21" s="199" t="s">
        <v>299</v>
      </c>
      <c r="E21" s="199" t="s">
        <v>300</v>
      </c>
      <c r="F21" s="199" t="s">
        <v>338</v>
      </c>
    </row>
    <row r="22" spans="1:6" ht="30" x14ac:dyDescent="0.25">
      <c r="A22" s="200">
        <v>1</v>
      </c>
      <c r="B22" s="153" t="s">
        <v>339</v>
      </c>
      <c r="C22" s="200">
        <v>50</v>
      </c>
      <c r="D22" s="201">
        <v>4.21</v>
      </c>
      <c r="E22" s="201">
        <f t="shared" ref="E22:E26" si="2">C22*D22</f>
        <v>210.5</v>
      </c>
      <c r="F22" s="201">
        <f>E22/12</f>
        <v>17.541666666666668</v>
      </c>
    </row>
    <row r="23" spans="1:6" ht="30" x14ac:dyDescent="0.25">
      <c r="A23" s="200">
        <v>2</v>
      </c>
      <c r="B23" s="153" t="s">
        <v>340</v>
      </c>
      <c r="C23" s="200">
        <v>1</v>
      </c>
      <c r="D23" s="201">
        <v>51.24</v>
      </c>
      <c r="E23" s="201">
        <f t="shared" si="2"/>
        <v>51.24</v>
      </c>
      <c r="F23" s="201">
        <f t="shared" ref="F23:F26" si="3">E23/12</f>
        <v>4.2700000000000005</v>
      </c>
    </row>
    <row r="24" spans="1:6" ht="30" x14ac:dyDescent="0.25">
      <c r="A24" s="200">
        <v>3</v>
      </c>
      <c r="B24" s="153" t="s">
        <v>341</v>
      </c>
      <c r="C24" s="200">
        <v>2</v>
      </c>
      <c r="D24" s="201">
        <v>35.770000000000003</v>
      </c>
      <c r="E24" s="201">
        <f t="shared" si="2"/>
        <v>71.540000000000006</v>
      </c>
      <c r="F24" s="201">
        <f t="shared" si="3"/>
        <v>5.9616666666666669</v>
      </c>
    </row>
    <row r="25" spans="1:6" ht="45" x14ac:dyDescent="0.25">
      <c r="A25" s="200">
        <v>4</v>
      </c>
      <c r="B25" s="153" t="s">
        <v>342</v>
      </c>
      <c r="C25" s="200">
        <v>2</v>
      </c>
      <c r="D25" s="201">
        <v>32.47</v>
      </c>
      <c r="E25" s="201">
        <f t="shared" si="2"/>
        <v>64.94</v>
      </c>
      <c r="F25" s="201">
        <f t="shared" si="3"/>
        <v>5.4116666666666662</v>
      </c>
    </row>
    <row r="26" spans="1:6" ht="30" x14ac:dyDescent="0.25">
      <c r="A26" s="200">
        <v>5</v>
      </c>
      <c r="B26" s="153" t="s">
        <v>343</v>
      </c>
      <c r="C26" s="200">
        <v>5</v>
      </c>
      <c r="D26" s="201">
        <v>8.9600000000000009</v>
      </c>
      <c r="E26" s="201">
        <f t="shared" si="2"/>
        <v>44.800000000000004</v>
      </c>
      <c r="F26" s="201">
        <f t="shared" si="3"/>
        <v>3.7333333333333338</v>
      </c>
    </row>
    <row r="27" spans="1:6" ht="15.75" x14ac:dyDescent="0.2">
      <c r="A27" s="359" t="s">
        <v>344</v>
      </c>
      <c r="B27" s="359"/>
      <c r="C27" s="359"/>
      <c r="D27" s="359"/>
      <c r="E27" s="359"/>
      <c r="F27" s="202">
        <f>SUM(F22:F26)</f>
        <v>36.918333333333337</v>
      </c>
    </row>
    <row r="28" spans="1:6" ht="15.75" x14ac:dyDescent="0.2">
      <c r="A28" s="349" t="s">
        <v>306</v>
      </c>
      <c r="B28" s="349"/>
      <c r="C28" s="349"/>
      <c r="D28" s="349"/>
      <c r="E28" s="349"/>
      <c r="F28" s="234">
        <f>F27/5</f>
        <v>7.3836666666666675</v>
      </c>
    </row>
  </sheetData>
  <mergeCells count="12">
    <mergeCell ref="A3:G3"/>
    <mergeCell ref="A6:A9"/>
    <mergeCell ref="A10:E10"/>
    <mergeCell ref="A18:F20"/>
    <mergeCell ref="A27:E27"/>
    <mergeCell ref="A28:E28"/>
    <mergeCell ref="A15:E15"/>
    <mergeCell ref="D11:E11"/>
    <mergeCell ref="A12:C12"/>
    <mergeCell ref="D12:E12"/>
    <mergeCell ref="A13:E13"/>
    <mergeCell ref="A14:E14"/>
  </mergeCells>
  <pageMargins left="0.511811024" right="0.32" top="0.78740157499999996" bottom="0.78740157499999996" header="0.31496062000000002" footer="0.31496062000000002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60"/>
  <sheetViews>
    <sheetView workbookViewId="0">
      <selection activeCell="I17" sqref="I17"/>
    </sheetView>
  </sheetViews>
  <sheetFormatPr defaultRowHeight="12.75" x14ac:dyDescent="0.2"/>
  <cols>
    <col min="1" max="1" width="2.85546875" customWidth="1"/>
    <col min="2" max="2" width="25.7109375" customWidth="1"/>
    <col min="3" max="3" width="20.42578125" customWidth="1"/>
    <col min="4" max="4" width="25.5703125" customWidth="1"/>
    <col min="5" max="5" width="18.85546875" customWidth="1"/>
    <col min="6" max="6" width="15.28515625" customWidth="1"/>
    <col min="7" max="7" width="18" customWidth="1"/>
    <col min="8" max="9" width="18.7109375" customWidth="1"/>
    <col min="10" max="10" width="18.42578125" customWidth="1"/>
    <col min="11" max="11" width="29.42578125" customWidth="1"/>
    <col min="13" max="13" width="13.42578125" customWidth="1"/>
    <col min="14" max="14" width="13.5703125" customWidth="1"/>
    <col min="15" max="15" width="19.140625" customWidth="1"/>
    <col min="16" max="16" width="17.28515625" customWidth="1"/>
  </cols>
  <sheetData>
    <row r="1" spans="1:16" x14ac:dyDescent="0.2">
      <c r="B1" s="279" t="s">
        <v>309</v>
      </c>
      <c r="C1" s="279"/>
      <c r="D1" s="279"/>
      <c r="E1" s="279"/>
      <c r="H1" s="376" t="s">
        <v>310</v>
      </c>
      <c r="I1" s="377"/>
      <c r="J1" s="377"/>
      <c r="K1" s="378"/>
      <c r="M1" s="376" t="s">
        <v>311</v>
      </c>
      <c r="N1" s="377"/>
      <c r="O1" s="377"/>
      <c r="P1" s="378"/>
    </row>
    <row r="2" spans="1:16" x14ac:dyDescent="0.2">
      <c r="B2" s="398" t="s">
        <v>131</v>
      </c>
      <c r="C2" s="47" t="s">
        <v>132</v>
      </c>
      <c r="D2" s="47" t="s">
        <v>133</v>
      </c>
      <c r="E2" s="47" t="s">
        <v>134</v>
      </c>
      <c r="H2" s="379" t="s">
        <v>131</v>
      </c>
      <c r="I2" s="47" t="s">
        <v>132</v>
      </c>
      <c r="J2" s="47" t="s">
        <v>133</v>
      </c>
      <c r="K2" s="84" t="s">
        <v>134</v>
      </c>
      <c r="M2" s="379" t="s">
        <v>131</v>
      </c>
      <c r="N2" s="47" t="s">
        <v>132</v>
      </c>
      <c r="O2" s="47" t="s">
        <v>133</v>
      </c>
      <c r="P2" s="84" t="s">
        <v>134</v>
      </c>
    </row>
    <row r="3" spans="1:16" ht="27" x14ac:dyDescent="0.2">
      <c r="B3" s="399"/>
      <c r="C3" s="48" t="s">
        <v>139</v>
      </c>
      <c r="D3" s="49" t="s">
        <v>135</v>
      </c>
      <c r="E3" s="50" t="s">
        <v>140</v>
      </c>
      <c r="H3" s="380"/>
      <c r="I3" s="48" t="s">
        <v>139</v>
      </c>
      <c r="J3" s="49" t="s">
        <v>135</v>
      </c>
      <c r="K3" s="85" t="s">
        <v>140</v>
      </c>
      <c r="M3" s="380"/>
      <c r="N3" s="48" t="s">
        <v>139</v>
      </c>
      <c r="O3" s="49" t="s">
        <v>135</v>
      </c>
      <c r="P3" s="85" t="s">
        <v>140</v>
      </c>
    </row>
    <row r="4" spans="1:16" x14ac:dyDescent="0.2">
      <c r="B4" s="393" t="s">
        <v>137</v>
      </c>
      <c r="C4" s="51" t="s">
        <v>136</v>
      </c>
      <c r="D4" s="384">
        <f>'PREÇO POR EMPREGADO'!I120</f>
        <v>5179.9568010272915</v>
      </c>
      <c r="E4" s="400">
        <f>ROUND((1/C5*D4),2)</f>
        <v>6.47</v>
      </c>
      <c r="H4" s="381" t="s">
        <v>137</v>
      </c>
      <c r="I4" s="51" t="s">
        <v>136</v>
      </c>
      <c r="J4" s="384">
        <f>'PREÇO POR EMPREGADO'!I120</f>
        <v>5179.9568010272915</v>
      </c>
      <c r="K4" s="387">
        <f>ROUND((1/I5*J4),2)</f>
        <v>6.47</v>
      </c>
      <c r="M4" s="381" t="s">
        <v>137</v>
      </c>
      <c r="N4" s="51" t="s">
        <v>136</v>
      </c>
      <c r="O4" s="384">
        <f>'PREÇO POR EMPREGADO'!I120</f>
        <v>5179.9568010272915</v>
      </c>
      <c r="P4" s="387">
        <f>ROUND((1/N5*O4),2)</f>
        <v>3.45</v>
      </c>
    </row>
    <row r="5" spans="1:16" x14ac:dyDescent="0.2">
      <c r="B5" s="394"/>
      <c r="C5" s="52">
        <v>800</v>
      </c>
      <c r="D5" s="386"/>
      <c r="E5" s="401"/>
      <c r="H5" s="383"/>
      <c r="I5" s="52">
        <v>800</v>
      </c>
      <c r="J5" s="386"/>
      <c r="K5" s="389"/>
      <c r="M5" s="383"/>
      <c r="N5" s="52">
        <v>1500</v>
      </c>
      <c r="O5" s="386"/>
      <c r="P5" s="389"/>
    </row>
    <row r="6" spans="1:16" ht="15" thickBot="1" x14ac:dyDescent="0.25">
      <c r="B6" s="395" t="s">
        <v>141</v>
      </c>
      <c r="C6" s="396"/>
      <c r="D6" s="397"/>
      <c r="E6" s="54">
        <f>SUM(E4:E5)</f>
        <v>6.47</v>
      </c>
      <c r="H6" s="362" t="s">
        <v>141</v>
      </c>
      <c r="I6" s="363"/>
      <c r="J6" s="364"/>
      <c r="K6" s="86">
        <f>SUM(K4:K5)</f>
        <v>6.47</v>
      </c>
      <c r="M6" s="362" t="s">
        <v>141</v>
      </c>
      <c r="N6" s="363"/>
      <c r="O6" s="364"/>
      <c r="P6" s="86">
        <f>SUM(P4:P5)</f>
        <v>3.45</v>
      </c>
    </row>
    <row r="7" spans="1:16" x14ac:dyDescent="0.2">
      <c r="B7" s="279" t="s">
        <v>332</v>
      </c>
      <c r="C7" s="279"/>
      <c r="D7" s="279"/>
      <c r="E7" s="279"/>
      <c r="F7" s="279"/>
      <c r="G7" s="279"/>
      <c r="H7" s="402"/>
    </row>
    <row r="8" spans="1:16" ht="12.75" customHeight="1" thickBot="1" x14ac:dyDescent="0.25">
      <c r="B8" s="398" t="s">
        <v>131</v>
      </c>
      <c r="C8" s="47" t="s">
        <v>132</v>
      </c>
      <c r="D8" s="47" t="s">
        <v>133</v>
      </c>
      <c r="E8" s="47" t="s">
        <v>142</v>
      </c>
      <c r="F8" s="73" t="s">
        <v>159</v>
      </c>
      <c r="G8" s="47" t="s">
        <v>144</v>
      </c>
      <c r="H8" s="47" t="s">
        <v>145</v>
      </c>
    </row>
    <row r="9" spans="1:16" ht="27" x14ac:dyDescent="0.2">
      <c r="B9" s="399"/>
      <c r="C9" s="48" t="s">
        <v>139</v>
      </c>
      <c r="D9" s="50" t="s">
        <v>148</v>
      </c>
      <c r="E9" s="50" t="s">
        <v>146</v>
      </c>
      <c r="F9" s="73" t="s">
        <v>143</v>
      </c>
      <c r="G9" s="50" t="s">
        <v>147</v>
      </c>
      <c r="H9" s="50" t="s">
        <v>140</v>
      </c>
      <c r="M9" s="376" t="s">
        <v>308</v>
      </c>
      <c r="N9" s="377"/>
      <c r="O9" s="377"/>
      <c r="P9" s="378"/>
    </row>
    <row r="10" spans="1:16" x14ac:dyDescent="0.2">
      <c r="B10" s="393" t="s">
        <v>137</v>
      </c>
      <c r="C10" s="51" t="s">
        <v>136</v>
      </c>
      <c r="D10" s="403">
        <v>16</v>
      </c>
      <c r="E10" s="407" t="s">
        <v>162</v>
      </c>
      <c r="F10" s="405">
        <v>2.82546E-4</v>
      </c>
      <c r="G10" s="407">
        <f>'PREÇO POR EMPREGADO'!I120</f>
        <v>5179.9568010272915</v>
      </c>
      <c r="H10" s="409">
        <f>G10*F10</f>
        <v>1.463576074303057</v>
      </c>
      <c r="M10" s="379" t="s">
        <v>131</v>
      </c>
      <c r="N10" s="47" t="s">
        <v>132</v>
      </c>
      <c r="O10" s="47" t="s">
        <v>133</v>
      </c>
      <c r="P10" s="84" t="s">
        <v>134</v>
      </c>
    </row>
    <row r="11" spans="1:16" ht="27" x14ac:dyDescent="0.2">
      <c r="B11" s="394"/>
      <c r="C11" s="52">
        <v>300</v>
      </c>
      <c r="D11" s="404"/>
      <c r="E11" s="408"/>
      <c r="F11" s="406"/>
      <c r="G11" s="408"/>
      <c r="H11" s="410"/>
      <c r="M11" s="380"/>
      <c r="N11" s="48" t="s">
        <v>139</v>
      </c>
      <c r="O11" s="49" t="s">
        <v>135</v>
      </c>
      <c r="P11" s="85" t="s">
        <v>140</v>
      </c>
    </row>
    <row r="12" spans="1:16" ht="14.25" x14ac:dyDescent="0.2">
      <c r="B12" s="280" t="s">
        <v>141</v>
      </c>
      <c r="C12" s="280"/>
      <c r="D12" s="280"/>
      <c r="E12" s="280"/>
      <c r="F12" s="280"/>
      <c r="G12" s="280"/>
      <c r="H12" s="53">
        <f>SUM(H10)</f>
        <v>1.463576074303057</v>
      </c>
      <c r="M12" s="381" t="s">
        <v>137</v>
      </c>
      <c r="N12" s="51" t="s">
        <v>136</v>
      </c>
      <c r="O12" s="384">
        <f>'PREÇO POR EMPREGADO'!I120</f>
        <v>5179.9568010272915</v>
      </c>
      <c r="P12" s="387">
        <f>ROUND((1/N13*O12),2)</f>
        <v>5.18</v>
      </c>
    </row>
    <row r="13" spans="1:16" x14ac:dyDescent="0.2">
      <c r="M13" s="383"/>
      <c r="N13" s="52">
        <v>1000</v>
      </c>
      <c r="O13" s="386"/>
      <c r="P13" s="389"/>
    </row>
    <row r="14" spans="1:16" ht="39" thickBot="1" x14ac:dyDescent="0.25">
      <c r="A14" s="390" t="s">
        <v>127</v>
      </c>
      <c r="B14" s="390"/>
      <c r="C14" s="44" t="s">
        <v>128</v>
      </c>
      <c r="D14" s="45" t="s">
        <v>129</v>
      </c>
      <c r="E14" s="44" t="s">
        <v>149</v>
      </c>
      <c r="F14" s="45" t="s">
        <v>130</v>
      </c>
      <c r="G14" s="75" t="s">
        <v>160</v>
      </c>
      <c r="M14" s="362" t="s">
        <v>141</v>
      </c>
      <c r="N14" s="363"/>
      <c r="O14" s="364"/>
      <c r="P14" s="86">
        <f>SUM(P12:P13)</f>
        <v>5.18</v>
      </c>
    </row>
    <row r="15" spans="1:16" x14ac:dyDescent="0.2">
      <c r="A15" s="35" t="s">
        <v>152</v>
      </c>
      <c r="B15" s="35" t="s">
        <v>151</v>
      </c>
      <c r="C15" s="74">
        <f>E6</f>
        <v>6.47</v>
      </c>
      <c r="D15" s="36">
        <v>2552.36</v>
      </c>
      <c r="E15" s="56">
        <v>800</v>
      </c>
      <c r="F15" s="55">
        <f>D15*C15</f>
        <v>16513.769199999999</v>
      </c>
      <c r="G15" s="77">
        <f>F15*12</f>
        <v>198165.2304</v>
      </c>
      <c r="K15" s="116"/>
    </row>
    <row r="16" spans="1:16" x14ac:dyDescent="0.2">
      <c r="A16" s="149"/>
      <c r="B16" s="149" t="s">
        <v>313</v>
      </c>
      <c r="C16" s="74">
        <f>K6</f>
        <v>6.47</v>
      </c>
      <c r="D16" s="148">
        <v>372.83</v>
      </c>
      <c r="E16" s="56">
        <v>800</v>
      </c>
      <c r="F16" s="55">
        <f>D16*C16</f>
        <v>2412.2100999999998</v>
      </c>
      <c r="G16" s="77">
        <f t="shared" ref="G16:G20" si="0">F16*12</f>
        <v>28946.521199999996</v>
      </c>
      <c r="K16" s="116"/>
    </row>
    <row r="17" spans="1:16" x14ac:dyDescent="0.2">
      <c r="A17" s="149"/>
      <c r="B17" s="149" t="s">
        <v>314</v>
      </c>
      <c r="C17" s="74">
        <f>P6</f>
        <v>3.45</v>
      </c>
      <c r="D17" s="229">
        <v>54.78</v>
      </c>
      <c r="E17" s="233">
        <v>1500</v>
      </c>
      <c r="F17" s="55">
        <f>D17*C17</f>
        <v>188.99100000000001</v>
      </c>
      <c r="G17" s="77">
        <f t="shared" si="0"/>
        <v>2267.8920000000003</v>
      </c>
      <c r="K17" s="116"/>
    </row>
    <row r="18" spans="1:16" ht="25.5" x14ac:dyDescent="0.2">
      <c r="A18" s="149"/>
      <c r="B18" s="207" t="s">
        <v>315</v>
      </c>
      <c r="C18" s="74">
        <f>P14</f>
        <v>5.18</v>
      </c>
      <c r="D18" s="229">
        <v>611.64</v>
      </c>
      <c r="E18" s="233">
        <v>1000</v>
      </c>
      <c r="F18" s="55">
        <f>C18*D18</f>
        <v>3168.2951999999996</v>
      </c>
      <c r="G18" s="77">
        <f t="shared" si="0"/>
        <v>38019.542399999991</v>
      </c>
      <c r="K18" s="116"/>
    </row>
    <row r="19" spans="1:16" ht="13.5" thickBot="1" x14ac:dyDescent="0.25">
      <c r="A19" s="149"/>
      <c r="B19" s="207" t="s">
        <v>316</v>
      </c>
      <c r="C19" s="74">
        <f>P27</f>
        <v>25.9</v>
      </c>
      <c r="D19" s="229">
        <v>12.95</v>
      </c>
      <c r="E19" s="233">
        <v>200</v>
      </c>
      <c r="F19" s="55">
        <f>C19*D19</f>
        <v>335.40499999999997</v>
      </c>
      <c r="G19" s="77">
        <f t="shared" si="0"/>
        <v>4024.8599999999997</v>
      </c>
      <c r="K19" s="116"/>
    </row>
    <row r="20" spans="1:16" x14ac:dyDescent="0.2">
      <c r="A20" s="78" t="s">
        <v>153</v>
      </c>
      <c r="B20" s="149" t="s">
        <v>150</v>
      </c>
      <c r="C20" s="74">
        <f>H12</f>
        <v>1.463576074303057</v>
      </c>
      <c r="D20" s="79">
        <v>1071</v>
      </c>
      <c r="E20" s="87">
        <v>300</v>
      </c>
      <c r="F20" s="55">
        <f t="shared" ref="F20" si="1">D20*C20</f>
        <v>1567.4899755785741</v>
      </c>
      <c r="G20" s="77">
        <f t="shared" si="0"/>
        <v>18809.879706942891</v>
      </c>
      <c r="M20" s="376" t="s">
        <v>312</v>
      </c>
      <c r="N20" s="377"/>
      <c r="O20" s="377"/>
      <c r="P20" s="378"/>
    </row>
    <row r="21" spans="1:16" x14ac:dyDescent="0.2">
      <c r="A21" s="35" t="s">
        <v>154</v>
      </c>
      <c r="B21" s="35"/>
      <c r="C21" s="74"/>
      <c r="D21" s="36"/>
      <c r="E21" s="56"/>
      <c r="F21" s="55">
        <f>C21*D21</f>
        <v>0</v>
      </c>
      <c r="G21" s="77">
        <f>F21*12</f>
        <v>0</v>
      </c>
      <c r="M21" s="379" t="s">
        <v>131</v>
      </c>
      <c r="N21" s="47" t="s">
        <v>132</v>
      </c>
      <c r="O21" s="47" t="s">
        <v>133</v>
      </c>
      <c r="P21" s="84" t="s">
        <v>134</v>
      </c>
    </row>
    <row r="22" spans="1:16" ht="27" x14ac:dyDescent="0.2">
      <c r="A22" s="252" t="s">
        <v>24</v>
      </c>
      <c r="B22" s="294"/>
      <c r="C22" s="294"/>
      <c r="D22" s="294"/>
      <c r="E22" s="295"/>
      <c r="F22" s="74">
        <f>SUM(F15:F21)</f>
        <v>24186.160475578574</v>
      </c>
      <c r="G22" s="76">
        <f>SUM(G15:G21)</f>
        <v>290233.92570694286</v>
      </c>
      <c r="H22" s="208"/>
      <c r="I22" s="22"/>
      <c r="M22" s="380"/>
      <c r="N22" s="48" t="s">
        <v>139</v>
      </c>
      <c r="O22" s="49" t="s">
        <v>135</v>
      </c>
      <c r="P22" s="85" t="s">
        <v>140</v>
      </c>
    </row>
    <row r="23" spans="1:16" x14ac:dyDescent="0.2">
      <c r="M23" s="381" t="s">
        <v>137</v>
      </c>
      <c r="N23" s="51" t="s">
        <v>136</v>
      </c>
      <c r="O23" s="384">
        <f>'PREÇO POR EMPREGADO'!I120</f>
        <v>5179.9568010272915</v>
      </c>
      <c r="P23" s="387">
        <f>ROUND((1/N26*O23),2)</f>
        <v>25.9</v>
      </c>
    </row>
    <row r="24" spans="1:16" x14ac:dyDescent="0.2">
      <c r="M24" s="382"/>
      <c r="N24" s="211"/>
      <c r="O24" s="385"/>
      <c r="P24" s="388"/>
    </row>
    <row r="25" spans="1:16" x14ac:dyDescent="0.2">
      <c r="M25" s="382"/>
      <c r="N25" s="211"/>
      <c r="O25" s="385"/>
      <c r="P25" s="388"/>
    </row>
    <row r="26" spans="1:16" x14ac:dyDescent="0.2">
      <c r="M26" s="383"/>
      <c r="N26" s="52">
        <v>200</v>
      </c>
      <c r="O26" s="386"/>
      <c r="P26" s="389"/>
    </row>
    <row r="27" spans="1:16" ht="15" thickBot="1" x14ac:dyDescent="0.25">
      <c r="A27" s="391"/>
      <c r="B27" s="392"/>
      <c r="C27" s="42"/>
      <c r="D27" s="42"/>
      <c r="E27" s="42"/>
      <c r="F27" s="42"/>
      <c r="G27" s="42"/>
      <c r="M27" s="362" t="s">
        <v>141</v>
      </c>
      <c r="N27" s="363"/>
      <c r="O27" s="364"/>
      <c r="P27" s="86">
        <f>SUM(P23:P26)</f>
        <v>25.9</v>
      </c>
    </row>
    <row r="28" spans="1:16" x14ac:dyDescent="0.2">
      <c r="A28" s="36"/>
      <c r="B28" s="35"/>
      <c r="C28" s="113"/>
      <c r="D28" s="210"/>
      <c r="E28" s="113"/>
      <c r="F28" s="113"/>
      <c r="G28" s="209"/>
    </row>
    <row r="29" spans="1:16" x14ac:dyDescent="0.2">
      <c r="A29" s="36"/>
      <c r="B29" s="35"/>
      <c r="C29" s="35"/>
      <c r="D29" s="35"/>
      <c r="E29" s="35"/>
      <c r="F29" s="35"/>
      <c r="G29" s="43"/>
    </row>
    <row r="30" spans="1:16" x14ac:dyDescent="0.2">
      <c r="A30" s="36"/>
      <c r="B30" s="35"/>
      <c r="C30" s="35"/>
      <c r="D30" s="35"/>
      <c r="E30" s="35"/>
      <c r="F30" s="35"/>
      <c r="G30" s="43"/>
      <c r="P30">
        <f>1/200</f>
        <v>5.0000000000000001E-3</v>
      </c>
    </row>
    <row r="31" spans="1:16" x14ac:dyDescent="0.2">
      <c r="A31" s="252"/>
      <c r="B31" s="294"/>
      <c r="C31" s="294"/>
      <c r="D31" s="294"/>
      <c r="E31" s="294"/>
      <c r="F31" s="295"/>
      <c r="G31" s="43"/>
    </row>
    <row r="33" spans="1:7" x14ac:dyDescent="0.2">
      <c r="A33" s="299" t="s">
        <v>45</v>
      </c>
      <c r="B33" s="300"/>
      <c r="C33" s="300"/>
      <c r="D33" s="300"/>
      <c r="E33" s="300"/>
      <c r="F33" s="300"/>
      <c r="G33" s="301"/>
    </row>
    <row r="34" spans="1:7" x14ac:dyDescent="0.2">
      <c r="A34" s="299" t="s">
        <v>124</v>
      </c>
      <c r="B34" s="300"/>
      <c r="C34" s="300"/>
      <c r="D34" s="300"/>
      <c r="E34" s="300"/>
      <c r="F34" s="301"/>
      <c r="G34" s="37" t="s">
        <v>126</v>
      </c>
    </row>
    <row r="35" spans="1:7" x14ac:dyDescent="0.2">
      <c r="A35" s="35" t="s">
        <v>10</v>
      </c>
      <c r="B35" s="296" t="s">
        <v>125</v>
      </c>
      <c r="C35" s="297"/>
      <c r="D35" s="297"/>
      <c r="E35" s="297"/>
      <c r="F35" s="298"/>
      <c r="G35" s="35"/>
    </row>
    <row r="36" spans="1:7" x14ac:dyDescent="0.2">
      <c r="A36" s="35" t="s">
        <v>11</v>
      </c>
      <c r="B36" s="296" t="s">
        <v>48</v>
      </c>
      <c r="C36" s="297"/>
      <c r="D36" s="297"/>
      <c r="E36" s="297"/>
      <c r="F36" s="298"/>
      <c r="G36" s="227">
        <f>F22</f>
        <v>24186.160475578574</v>
      </c>
    </row>
    <row r="37" spans="1:7" x14ac:dyDescent="0.2">
      <c r="A37" s="35" t="s">
        <v>12</v>
      </c>
      <c r="B37" s="296" t="s">
        <v>331</v>
      </c>
      <c r="C37" s="297"/>
      <c r="D37" s="297"/>
      <c r="E37" s="297"/>
      <c r="F37" s="298"/>
      <c r="G37" s="196">
        <f>36*G36</f>
        <v>870701.77712082863</v>
      </c>
    </row>
    <row r="38" spans="1:7" ht="13.5" thickBot="1" x14ac:dyDescent="0.25"/>
    <row r="39" spans="1:7" ht="15" x14ac:dyDescent="0.25">
      <c r="B39" s="365" t="s">
        <v>317</v>
      </c>
      <c r="C39" s="366"/>
      <c r="D39" s="366"/>
      <c r="E39" s="366"/>
      <c r="F39" s="367"/>
    </row>
    <row r="40" spans="1:7" ht="15" x14ac:dyDescent="0.25">
      <c r="B40" s="368" t="s">
        <v>318</v>
      </c>
      <c r="C40" s="369"/>
      <c r="D40" s="369"/>
      <c r="E40" s="369"/>
      <c r="F40" s="370"/>
    </row>
    <row r="41" spans="1:7" ht="15" x14ac:dyDescent="0.25">
      <c r="B41" s="220"/>
      <c r="C41" s="221"/>
      <c r="D41" s="221"/>
      <c r="E41" s="221"/>
      <c r="F41" s="222"/>
    </row>
    <row r="42" spans="1:7" ht="15" x14ac:dyDescent="0.25">
      <c r="B42" s="371" t="s">
        <v>319</v>
      </c>
      <c r="C42" s="212" t="s">
        <v>320</v>
      </c>
      <c r="D42" s="213" t="s">
        <v>321</v>
      </c>
      <c r="E42" s="212" t="s">
        <v>322</v>
      </c>
      <c r="F42" s="223" t="s">
        <v>323</v>
      </c>
    </row>
    <row r="43" spans="1:7" x14ac:dyDescent="0.2">
      <c r="B43" s="372"/>
      <c r="C43" s="149" t="s">
        <v>324</v>
      </c>
      <c r="D43" s="214">
        <v>800</v>
      </c>
      <c r="E43" s="215">
        <v>2552.36</v>
      </c>
      <c r="F43" s="224">
        <f>E43/D43</f>
        <v>3.1904500000000002</v>
      </c>
    </row>
    <row r="44" spans="1:7" x14ac:dyDescent="0.2">
      <c r="B44" s="372"/>
      <c r="C44" s="149" t="s">
        <v>325</v>
      </c>
      <c r="D44" s="214">
        <v>800</v>
      </c>
      <c r="E44" s="215">
        <v>372.83</v>
      </c>
      <c r="F44" s="224">
        <f>E44/D44</f>
        <v>0.46603749999999999</v>
      </c>
    </row>
    <row r="45" spans="1:7" x14ac:dyDescent="0.2">
      <c r="B45" s="372"/>
      <c r="C45" s="149" t="s">
        <v>326</v>
      </c>
      <c r="D45" s="214">
        <v>1500</v>
      </c>
      <c r="E45" s="230">
        <v>54.78</v>
      </c>
      <c r="F45" s="232">
        <f>E45/D45</f>
        <v>3.6520000000000004E-2</v>
      </c>
    </row>
    <row r="46" spans="1:7" ht="38.25" x14ac:dyDescent="0.2">
      <c r="B46" s="372"/>
      <c r="C46" s="216" t="s">
        <v>327</v>
      </c>
      <c r="D46" s="214">
        <v>1000</v>
      </c>
      <c r="E46" s="230">
        <v>611.64</v>
      </c>
      <c r="F46" s="232">
        <f>E46/D46</f>
        <v>0.61163999999999996</v>
      </c>
    </row>
    <row r="47" spans="1:7" x14ac:dyDescent="0.2">
      <c r="B47" s="373"/>
      <c r="C47" s="149" t="s">
        <v>328</v>
      </c>
      <c r="D47" s="214">
        <v>200</v>
      </c>
      <c r="E47" s="230">
        <v>12.95</v>
      </c>
      <c r="F47" s="232">
        <f>E47/D47</f>
        <v>6.4750000000000002E-2</v>
      </c>
    </row>
    <row r="48" spans="1:7" ht="15" x14ac:dyDescent="0.2">
      <c r="B48" s="225" t="s">
        <v>329</v>
      </c>
      <c r="C48" s="217" t="s">
        <v>330</v>
      </c>
      <c r="D48" s="218">
        <v>1500</v>
      </c>
      <c r="E48" s="219">
        <v>1071</v>
      </c>
      <c r="F48" s="226">
        <f>1071/380/220*16</f>
        <v>0.20497607655502392</v>
      </c>
    </row>
    <row r="49" spans="2:6" ht="15.75" thickBot="1" x14ac:dyDescent="0.3">
      <c r="B49" s="374" t="s">
        <v>137</v>
      </c>
      <c r="C49" s="375"/>
      <c r="D49" s="375"/>
      <c r="E49" s="375"/>
      <c r="F49" s="231">
        <f>SUM(F43:F48)</f>
        <v>4.5743735765550237</v>
      </c>
    </row>
    <row r="55" spans="2:6" x14ac:dyDescent="0.2">
      <c r="E55" s="19"/>
    </row>
    <row r="57" spans="2:6" ht="15" x14ac:dyDescent="0.25">
      <c r="B57" s="235" t="s">
        <v>333</v>
      </c>
    </row>
    <row r="58" spans="2:6" ht="14.25" x14ac:dyDescent="0.2">
      <c r="B58" s="228" t="s">
        <v>334</v>
      </c>
    </row>
    <row r="59" spans="2:6" ht="14.25" x14ac:dyDescent="0.2">
      <c r="B59" s="228" t="s">
        <v>335</v>
      </c>
    </row>
    <row r="60" spans="2:6" ht="14.25" x14ac:dyDescent="0.2">
      <c r="B60" s="228" t="s">
        <v>336</v>
      </c>
    </row>
  </sheetData>
  <mergeCells count="52">
    <mergeCell ref="B12:G12"/>
    <mergeCell ref="B7:H7"/>
    <mergeCell ref="D10:D11"/>
    <mergeCell ref="F10:F11"/>
    <mergeCell ref="G10:G11"/>
    <mergeCell ref="B10:B11"/>
    <mergeCell ref="H10:H11"/>
    <mergeCell ref="B8:B9"/>
    <mergeCell ref="E10:E11"/>
    <mergeCell ref="B4:B5"/>
    <mergeCell ref="B6:D6"/>
    <mergeCell ref="B1:E1"/>
    <mergeCell ref="B2:B3"/>
    <mergeCell ref="D4:D5"/>
    <mergeCell ref="E4:E5"/>
    <mergeCell ref="A14:B14"/>
    <mergeCell ref="A27:B27"/>
    <mergeCell ref="A34:F34"/>
    <mergeCell ref="A33:G33"/>
    <mergeCell ref="A31:F31"/>
    <mergeCell ref="A22:E22"/>
    <mergeCell ref="H6:J6"/>
    <mergeCell ref="H1:K1"/>
    <mergeCell ref="H2:H3"/>
    <mergeCell ref="H4:H5"/>
    <mergeCell ref="J4:J5"/>
    <mergeCell ref="K4:K5"/>
    <mergeCell ref="M1:P1"/>
    <mergeCell ref="M2:M3"/>
    <mergeCell ref="M4:M5"/>
    <mergeCell ref="O4:O5"/>
    <mergeCell ref="P4:P5"/>
    <mergeCell ref="M14:O14"/>
    <mergeCell ref="M6:O6"/>
    <mergeCell ref="M9:P9"/>
    <mergeCell ref="M10:M11"/>
    <mergeCell ref="M12:M13"/>
    <mergeCell ref="O12:O13"/>
    <mergeCell ref="P12:P13"/>
    <mergeCell ref="M20:P20"/>
    <mergeCell ref="M21:M22"/>
    <mergeCell ref="M23:M26"/>
    <mergeCell ref="O23:O26"/>
    <mergeCell ref="P23:P26"/>
    <mergeCell ref="M27:O27"/>
    <mergeCell ref="B39:F39"/>
    <mergeCell ref="B40:F40"/>
    <mergeCell ref="B42:B47"/>
    <mergeCell ref="B49:E49"/>
    <mergeCell ref="B35:F35"/>
    <mergeCell ref="B36:F36"/>
    <mergeCell ref="B37:F37"/>
  </mergeCells>
  <pageMargins left="0.51181102362204722" right="0.51181102362204722" top="0.51181102362204722" bottom="0.43307086614173229" header="0.31496062992125984" footer="0.31496062992125984"/>
  <pageSetup paperSize="9" scale="7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4</vt:i4>
      </vt:variant>
    </vt:vector>
  </HeadingPairs>
  <TitlesOfParts>
    <vt:vector size="8" baseType="lpstr">
      <vt:lpstr>PREÇO POR EMPREGADO</vt:lpstr>
      <vt:lpstr>MATERIAIS E INSUMOS</vt:lpstr>
      <vt:lpstr>UNIFORMES-EPI</vt:lpstr>
      <vt:lpstr>RESUMO</vt:lpstr>
      <vt:lpstr>'MATERIAIS E INSUMOS'!_Toc513197346</vt:lpstr>
      <vt:lpstr>'MATERIAIS E INSUMOS'!Area_de_impressao</vt:lpstr>
      <vt:lpstr>'PREÇO POR EMPREGADO'!Area_de_impressao</vt:lpstr>
      <vt:lpstr>RESUMO!Area_de_impressao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</dc:creator>
  <cp:lastModifiedBy>Jaqueline Souto Mangabeira</cp:lastModifiedBy>
  <cp:lastPrinted>2018-06-20T11:09:52Z</cp:lastPrinted>
  <dcterms:created xsi:type="dcterms:W3CDTF">2010-12-08T17:56:29Z</dcterms:created>
  <dcterms:modified xsi:type="dcterms:W3CDTF">2022-06-20T12:38:15Z</dcterms:modified>
</cp:coreProperties>
</file>