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D CARVALHO SERVICOS\5. GreenH 2022\2. GHS Publico\60. ID 4243 - EPL - 395001 - PE 7.2022\6. Proposta Com desconto\"/>
    </mc:Choice>
  </mc:AlternateContent>
  <bookViews>
    <workbookView xWindow="-20610" yWindow="2415" windowWidth="20730" windowHeight="11760" tabRatio="807"/>
  </bookViews>
  <sheets>
    <sheet name="RESUMO" sheetId="5" r:id="rId1"/>
    <sheet name="PREÇO POR EMPREGADO" sheetId="4" r:id="rId2"/>
    <sheet name="MATERIAIS DE CONSUMO" sheetId="8" r:id="rId3"/>
    <sheet name="EQUIPAMENTOS" sheetId="9" r:id="rId4"/>
    <sheet name="UTENSILIOS" sheetId="10" r:id="rId5"/>
    <sheet name="UNIFORMES" sheetId="11" r:id="rId6"/>
    <sheet name="EPI" sheetId="12" r:id="rId7"/>
  </sheets>
  <definedNames>
    <definedName name="_xlnm.Print_Area" localSheetId="1">'PREÇO POR EMPREGADO'!$A$1:$I$120</definedName>
    <definedName name="_xlnm.Print_Area" localSheetId="0">RESUMO!$A$1:$K$37</definedName>
    <definedName name="DadosExternos_1" localSheetId="2" hidden="1">'MATERIAIS DE CONSUMO'!$A$2:$F$33</definedName>
    <definedName name="DadosExternos_1" localSheetId="5" hidden="1">UNIFORMES!$A$1:$D$7</definedName>
    <definedName name="DadosExternos_2" localSheetId="6" hidden="1">EPI!$A$2:$E$10</definedName>
    <definedName name="DadosExternos_2" localSheetId="3" hidden="1">EQUIPAMENTOS!#REF!</definedName>
    <definedName name="DadosExternos_2" localSheetId="4" hidden="1">UTENSILIOS!$B$3:$I$15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3" i="12"/>
  <c r="H104" i="4"/>
  <c r="E8" i="12" l="1"/>
  <c r="E9" i="12" s="1"/>
  <c r="E10" i="12" s="1"/>
  <c r="I94" i="4" s="1"/>
  <c r="D7" i="11"/>
  <c r="D6" i="11"/>
  <c r="D5" i="11"/>
  <c r="D4" i="11"/>
  <c r="D3" i="11"/>
  <c r="D2" i="11"/>
  <c r="I97" i="4"/>
  <c r="I17" i="10"/>
  <c r="G14" i="10"/>
  <c r="I14" i="10" s="1"/>
  <c r="G13" i="10"/>
  <c r="I13" i="10" s="1"/>
  <c r="G12" i="10"/>
  <c r="I12" i="10" s="1"/>
  <c r="G11" i="10"/>
  <c r="I11" i="10" s="1"/>
  <c r="G10" i="10"/>
  <c r="I10" i="10" s="1"/>
  <c r="G9" i="10"/>
  <c r="I9" i="10" s="1"/>
  <c r="G8" i="10"/>
  <c r="I8" i="10" s="1"/>
  <c r="G7" i="10"/>
  <c r="I7" i="10" s="1"/>
  <c r="I16" i="10" s="1"/>
  <c r="G6" i="10"/>
  <c r="I6" i="10" s="1"/>
  <c r="G5" i="10"/>
  <c r="I5" i="10" s="1"/>
  <c r="G4" i="10"/>
  <c r="I4" i="10" s="1"/>
  <c r="F6" i="9"/>
  <c r="H6" i="9" s="1"/>
  <c r="F5" i="9"/>
  <c r="H5" i="9" s="1"/>
  <c r="F4" i="9"/>
  <c r="H4" i="9" s="1"/>
  <c r="F3" i="9"/>
  <c r="H3" i="9" s="1"/>
  <c r="H7" i="9" l="1"/>
  <c r="H8" i="9" s="1"/>
  <c r="I96" i="4" s="1"/>
  <c r="F33" i="8" l="1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35" i="8" l="1"/>
  <c r="F36" i="8" s="1"/>
  <c r="F37" i="8" s="1"/>
  <c r="I95" i="4" s="1"/>
  <c r="H64" i="4"/>
  <c r="D48" i="5"/>
  <c r="D47" i="5"/>
  <c r="D46" i="5"/>
  <c r="D45" i="5"/>
  <c r="D44" i="5"/>
  <c r="D43" i="5"/>
  <c r="F10" i="5"/>
  <c r="E10" i="5"/>
  <c r="F48" i="5" l="1"/>
  <c r="F47" i="5"/>
  <c r="F46" i="5"/>
  <c r="F45" i="5"/>
  <c r="F49" i="5" s="1"/>
  <c r="F44" i="5"/>
  <c r="F43" i="5"/>
  <c r="I51" i="4"/>
  <c r="T52" i="4" l="1"/>
  <c r="T49" i="4"/>
  <c r="N52" i="4"/>
  <c r="O49" i="4"/>
  <c r="I24" i="4"/>
  <c r="I49" i="4" l="1"/>
  <c r="I48" i="4"/>
  <c r="I23" i="4"/>
  <c r="I136" i="4" l="1"/>
  <c r="I130" i="4"/>
  <c r="B119" i="4"/>
  <c r="B117" i="4"/>
  <c r="B116" i="4"/>
  <c r="B115" i="4"/>
  <c r="B114" i="4"/>
  <c r="B113" i="4"/>
  <c r="I84" i="4"/>
  <c r="I89" i="4" s="1"/>
  <c r="I52" i="4"/>
  <c r="I58" i="4" s="1"/>
  <c r="H45" i="4"/>
  <c r="I28" i="4"/>
  <c r="H79" i="4" l="1"/>
  <c r="I79" i="4" s="1"/>
  <c r="H67" i="4"/>
  <c r="I67" i="4" s="1"/>
  <c r="I74" i="4"/>
  <c r="I75" i="4"/>
  <c r="I76" i="4"/>
  <c r="I77" i="4"/>
  <c r="I78" i="4"/>
  <c r="I73" i="4"/>
  <c r="I63" i="4"/>
  <c r="I65" i="4"/>
  <c r="I33" i="4"/>
  <c r="I32" i="4"/>
  <c r="I68" i="4"/>
  <c r="I66" i="4"/>
  <c r="I64" i="4"/>
  <c r="I113" i="4"/>
  <c r="I80" i="4" l="1"/>
  <c r="I88" i="4" s="1"/>
  <c r="I90" i="4" s="1"/>
  <c r="I34" i="4"/>
  <c r="I56" i="4" s="1"/>
  <c r="I116" i="4" l="1"/>
  <c r="I43" i="4"/>
  <c r="I38" i="4"/>
  <c r="I40" i="4"/>
  <c r="I42" i="4"/>
  <c r="I44" i="4"/>
  <c r="I39" i="4"/>
  <c r="I41" i="4"/>
  <c r="I37" i="4"/>
  <c r="I45" i="4" l="1"/>
  <c r="I57" i="4" s="1"/>
  <c r="I59" i="4" s="1"/>
  <c r="I69" i="4"/>
  <c r="I115" i="4" s="1"/>
  <c r="I114" i="4" l="1"/>
  <c r="I98" i="4" l="1"/>
  <c r="I117" i="4" s="1"/>
  <c r="I118" i="4" s="1"/>
  <c r="I102" i="4" l="1"/>
  <c r="I103" i="4" l="1"/>
  <c r="I107" i="4" s="1"/>
  <c r="I144" i="4"/>
  <c r="I106" i="4" l="1"/>
  <c r="I105" i="4"/>
  <c r="I135" i="4" s="1"/>
  <c r="I138" i="4" s="1"/>
  <c r="I108" i="4" l="1"/>
  <c r="I137" i="4" s="1"/>
  <c r="I119" i="4" l="1"/>
  <c r="I120" i="4" s="1"/>
  <c r="O23" i="5" s="1"/>
  <c r="P23" i="5" s="1"/>
  <c r="P27" i="5" s="1"/>
  <c r="C19" i="5" s="1"/>
  <c r="F19" i="5" s="1"/>
  <c r="G10" i="5" l="1"/>
  <c r="H10" i="5" s="1"/>
  <c r="H12" i="5" s="1"/>
  <c r="C20" i="5" s="1"/>
  <c r="F20" i="5" s="1"/>
  <c r="G20" i="5" s="1"/>
  <c r="I143" i="4"/>
  <c r="O12" i="5"/>
  <c r="P12" i="5" s="1"/>
  <c r="P14" i="5" s="1"/>
  <c r="C18" i="5" s="1"/>
  <c r="F18" i="5" s="1"/>
  <c r="G18" i="5" s="1"/>
  <c r="J4" i="5"/>
  <c r="K4" i="5" s="1"/>
  <c r="K6" i="5" s="1"/>
  <c r="C16" i="5" s="1"/>
  <c r="F16" i="5" s="1"/>
  <c r="G16" i="5" s="1"/>
  <c r="D4" i="5"/>
  <c r="E4" i="5" s="1"/>
  <c r="E6" i="5" s="1"/>
  <c r="C15" i="5" s="1"/>
  <c r="F15" i="5" s="1"/>
  <c r="G15" i="5" s="1"/>
  <c r="O4" i="5"/>
  <c r="P4" i="5" s="1"/>
  <c r="P6" i="5" s="1"/>
  <c r="C17" i="5" s="1"/>
  <c r="F17" i="5" s="1"/>
  <c r="G17" i="5" s="1"/>
  <c r="G19" i="5"/>
  <c r="F21" i="5"/>
  <c r="G21" i="5" s="1"/>
  <c r="F22" i="5" l="1"/>
  <c r="G22" i="5"/>
  <c r="G36" i="5" l="1"/>
  <c r="G37" i="5" l="1"/>
  <c r="K103" i="4" s="1"/>
  <c r="J25" i="8" s="1"/>
  <c r="H40" i="5"/>
  <c r="I40" i="5" s="1"/>
  <c r="J24" i="8"/>
</calcChain>
</file>

<file path=xl/connections.xml><?xml version="1.0" encoding="utf-8"?>
<connections xmlns="http://schemas.openxmlformats.org/spreadsheetml/2006/main">
  <connection id="1" keepAlive="1" name="Consulta - Table124 (Page 46)" description="Conexão com a consulta 'Table124 (Page 46)' na pasta de trabalho." type="5" refreshedVersion="8" background="1" saveData="1">
    <dbPr connection="Provider=Microsoft.Mashup.OleDb.1;Data Source=$Workbook$;Location=&quot;Table124 (Page 46)&quot;;Extended Properties=&quot;&quot;" command="SELECT * FROM [Table124 (Page 46)]"/>
  </connection>
  <connection id="2" keepAlive="1" name="Consulta - Table127 (Page 48)" description="Conexão com a consulta 'Table127 (Page 48)' na pasta de trabalho." type="5" refreshedVersion="8" background="1" saveData="1">
    <dbPr connection="Provider=Microsoft.Mashup.OleDb.1;Data Source=$Workbook$;Location=&quot;Table127 (Page 48)&quot;;Extended Properties=&quot;&quot;" command="SELECT * FROM [Table127 (Page 48)]"/>
  </connection>
  <connection id="3" keepAlive="1" name="Consulta - Table129 (Page 50)" description="Conexão com a consulta 'Table129 (Page 50)' na pasta de trabalho." type="5" refreshedVersion="8" background="1" saveData="1">
    <dbPr connection="Provider=Microsoft.Mashup.OleDb.1;Data Source=$Workbook$;Location=&quot;Table129 (Page 50)&quot;;Extended Properties=&quot;&quot;" command="SELECT * FROM [Table129 (Page 50)]"/>
  </connection>
  <connection id="4" keepAlive="1" name="Consulta - Table130 (Page 51)" description="Conexão com a consulta 'Table130 (Page 51)' na pasta de trabalho." type="5" refreshedVersion="8" background="1" saveData="1">
    <dbPr connection="Provider=Microsoft.Mashup.OleDb.1;Data Source=$Workbook$;Location=&quot;Table130 (Page 51)&quot;;Extended Properties=&quot;&quot;" command="SELECT * FROM [Table130 (Page 51)]"/>
  </connection>
</connections>
</file>

<file path=xl/sharedStrings.xml><?xml version="1.0" encoding="utf-8"?>
<sst xmlns="http://schemas.openxmlformats.org/spreadsheetml/2006/main" count="577" uniqueCount="342">
  <si>
    <t>-</t>
  </si>
  <si>
    <t>VALOR (R$)</t>
  </si>
  <si>
    <t>Adicional Noturno</t>
  </si>
  <si>
    <t>%</t>
  </si>
  <si>
    <t>Outros (especificar)</t>
  </si>
  <si>
    <t>Lucro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</si>
  <si>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</si>
  <si>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</si>
  <si>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</si>
  <si>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</si>
  <si>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</si>
  <si>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</si>
  <si>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</si>
  <si>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</si>
  <si>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</si>
  <si>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</si>
  <si>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</si>
  <si>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</si>
  <si>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</si>
  <si>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</si>
  <si>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Equipamentos</t>
  </si>
  <si>
    <t>TOTAL SUBMÓDULO 4.1</t>
  </si>
  <si>
    <t>Nota(1):</t>
  </si>
  <si>
    <t>TOTAL SUBMÓDULO 4.2</t>
  </si>
  <si>
    <t>TOTAL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</si>
  <si>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</si>
  <si>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</si>
  <si>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</si>
  <si>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</si>
  <si>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</si>
  <si>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</si>
  <si>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</si>
  <si>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</si>
  <si>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</si>
  <si>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</si>
  <si>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</si>
  <si>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</si>
  <si>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</si>
  <si>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</si>
  <si>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</si>
  <si>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</si>
  <si>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</si>
  <si>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</si>
  <si>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</si>
  <si>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</si>
  <si>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</si>
  <si>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</si>
  <si>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</si>
  <si>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</si>
  <si>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</si>
  <si>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</si>
  <si>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Discriminação dos Serviços</t>
  </si>
  <si>
    <t>Data de apresentação da proposta</t>
  </si>
  <si>
    <t>Município</t>
  </si>
  <si>
    <t>Nº de meses de execução contratual</t>
  </si>
  <si>
    <t>Tipo de Serviço</t>
  </si>
  <si>
    <t>Unidade de Medida</t>
  </si>
  <si>
    <t>Quantidade total a contratar (em função da unidade de medida)</t>
  </si>
  <si>
    <t>Identificação do Serviço</t>
  </si>
  <si>
    <t>Limpeza</t>
  </si>
  <si>
    <t>Servente</t>
  </si>
  <si>
    <t>PIS</t>
  </si>
  <si>
    <t>COFINS</t>
  </si>
  <si>
    <t>ISS</t>
  </si>
  <si>
    <t>TRIBUTOS</t>
  </si>
  <si>
    <t>Área (m2)</t>
  </si>
  <si>
    <t>C.1</t>
  </si>
  <si>
    <t>C.2</t>
  </si>
  <si>
    <t>C.3</t>
  </si>
  <si>
    <t>Ano do Acordo, Convenção ou Dissídio Coletivo</t>
  </si>
  <si>
    <t>Dados para composição dos custos referentes à mão-de-obra</t>
  </si>
  <si>
    <t>Classificação Brasileira de Ocupações (CBO)</t>
  </si>
  <si>
    <t xml:space="preserve">Adicional Periculosidade </t>
  </si>
  <si>
    <t>Adicional de Hora Noturna Reduzida</t>
  </si>
  <si>
    <t>MÓDULO 2 – ENCARGOS E BENEFÍCIOS ANUAIS, MENSAIS E DIÁRIOS</t>
  </si>
  <si>
    <t>13º Salário, Férias e Adicional de Férias</t>
  </si>
  <si>
    <r>
      <t>13 (Décimo-terceiro) salário</t>
    </r>
    <r>
      <rPr>
        <sz val="10"/>
        <color indexed="10"/>
        <rFont val="Arial"/>
        <family val="2"/>
      </rPr>
      <t xml:space="preserve"> </t>
    </r>
  </si>
  <si>
    <t>TOTAL SUBMÓDULO 2.1</t>
  </si>
  <si>
    <t>GPS, FGTS e Outras Contribuições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</si>
  <si>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</si>
  <si>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</si>
  <si>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</si>
  <si>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</si>
  <si>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</si>
  <si>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</si>
  <si>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</si>
  <si>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</si>
  <si>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</si>
  <si>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</si>
  <si>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</si>
  <si>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</si>
  <si>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</si>
  <si>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</si>
  <si>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</si>
  <si>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</si>
  <si>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</si>
  <si>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</si>
  <si>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</si>
  <si>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</si>
  <si>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</si>
  <si>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</si>
  <si>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</si>
  <si>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</si>
  <si>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</si>
  <si>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</si>
  <si>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Multa do FGTS e Contribuição Social sobre o Aviso Prévio Indenizado</t>
  </si>
  <si>
    <t xml:space="preserve">Multa do FGTS e Contribuição Social sobre o Aviso Prévio Trabalhado. </t>
  </si>
  <si>
    <t>TOTAL DO MÓDULO 3</t>
  </si>
  <si>
    <t>MÓDULO 4 – CUSTO DE REPOSIÇÃO DO PROFISSIONAL AUSENTE</t>
  </si>
  <si>
    <t>Submódulo 4.2 - Intrajornada</t>
  </si>
  <si>
    <t>QUADRO-RESUMO DO MÓDULO 4 - CUSTO DE REPOSIÇÃO DO PROFISSIONAL AUSENTE</t>
  </si>
  <si>
    <t>Módulo 4 - Custo de Reposição do Profissional Ausente</t>
  </si>
  <si>
    <t>TOTAL DO MÓDULO 4</t>
  </si>
  <si>
    <t>MÓDULO 5 – INSUMOS DIVERSOS</t>
  </si>
  <si>
    <t>TOTAL DO MÓDULO 5</t>
  </si>
  <si>
    <t>MÓDULO 6 – CUSTOS INDIRETOS, TRIBUTOS E LUCRO</t>
  </si>
  <si>
    <t>TOTAL DO MÓDULO 6</t>
  </si>
  <si>
    <t>QUADRO RESUMO DO CUSTO POR EMPREGADO</t>
  </si>
  <si>
    <t>Subtotal (A + B + C + D + E)</t>
  </si>
  <si>
    <t>PREÇO TOTAL POR EMPREGADO</t>
  </si>
  <si>
    <t>DESCRIÇÃO</t>
  </si>
  <si>
    <t>Valor proposto por unidade de medida</t>
  </si>
  <si>
    <t>VALOR</t>
  </si>
  <si>
    <t>TIPO DE ÁREA</t>
  </si>
  <si>
    <t>PREÇO UNITÁRIO MENSAL</t>
  </si>
  <si>
    <t>ÁREA (M²)</t>
  </si>
  <si>
    <t>SUBTOTAL</t>
  </si>
  <si>
    <t>MÃO-DE-OBRA</t>
  </si>
  <si>
    <t>(1)</t>
  </si>
  <si>
    <t>(2)</t>
  </si>
  <si>
    <t>(1X2)</t>
  </si>
  <si>
    <t>PREÇO HOMEM/MÊS</t>
  </si>
  <si>
    <t>____1____</t>
  </si>
  <si>
    <t>SERVENTE</t>
  </si>
  <si>
    <t>Custo Mensal do Uniforme por Posto (total dividido por 12)</t>
  </si>
  <si>
    <r>
      <t>PRODUTIVIDADE (1/M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</si>
  <si>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SUBTOTAL (R$/M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</si>
  <si>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PREÇO UNITÁRIO MENSAL/M</t>
    </r>
    <r>
      <rPr>
        <b/>
        <vertAlign val="superscript"/>
        <sz val="10"/>
        <rFont val="Arial"/>
        <family val="2"/>
      </rPr>
      <t>2</t>
    </r>
  </si>
  <si>
    <t>(3)</t>
  </si>
  <si>
    <t>(4) = (1 x 2 x 3) Ki</t>
  </si>
  <si>
    <t>(5)</t>
  </si>
  <si>
    <t>(4x5)</t>
  </si>
  <si>
    <t>Jornada de trabalho no Mês (horas)</t>
  </si>
  <si>
    <r>
      <t>Preço Homem (mês) (R$/M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</si>
  <si>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FREQUÊNCIA NO MÊS (HORAS)</t>
  </si>
  <si>
    <t>PRODUTIVIDADE MÍNIMA DA IN 05/2017 SLTI/MPOG</t>
  </si>
  <si>
    <t xml:space="preserve">Esquadria Externa </t>
  </si>
  <si>
    <t>Área interna</t>
  </si>
  <si>
    <t>I</t>
  </si>
  <si>
    <t>II</t>
  </si>
  <si>
    <t>III</t>
  </si>
  <si>
    <t>VALOR TOTAL ANUAL</t>
  </si>
  <si>
    <t xml:space="preserve">            (4)</t>
  </si>
  <si>
    <t>TOTAL ANUAL</t>
  </si>
  <si>
    <t>Incidência dos encargos do submódulo 2.2 sobre Ausências Legais</t>
  </si>
  <si>
    <t xml:space="preserve">Salário Base </t>
  </si>
  <si>
    <t>Adicional Insalubridade</t>
  </si>
  <si>
    <t>Incidência de GPS, FGTS e outras contribuições sobre o Aviso Prévio Trabalhado</t>
  </si>
  <si>
    <t xml:space="preserve">Submódulo 4.1 - Substituto nas Ausências Legais </t>
  </si>
  <si>
    <t>Substituto na cobertura de Férias (Valor pago no (Módulo 1) e na (letra B do submódulo 2.1) zeramos essa rubrica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</si>
  <si>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</si>
  <si>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</si>
  <si>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10"/>
        <color indexed="10"/>
        <rFont val="Arial"/>
        <family val="2"/>
      </rPr>
      <t xml:space="preserve"> </t>
    </r>
  </si>
  <si>
    <t>Substituto na cobertura de Afastamento Maternidade</t>
  </si>
  <si>
    <t>Substituto na cobertura de Intervalo para Repouso ou Alimentação</t>
  </si>
  <si>
    <t>Substituto na cobertura das Ausências Legais</t>
  </si>
  <si>
    <t>Substituto na cobertura de Intrajornada</t>
  </si>
  <si>
    <t xml:space="preserve">Categoria profissional:  Servente de Limpeza </t>
  </si>
  <si>
    <t>Categoria</t>
  </si>
  <si>
    <t>Vr. Unitário</t>
  </si>
  <si>
    <t>Vale por dia</t>
  </si>
  <si>
    <t>Dias efetivamente trabalhados</t>
  </si>
  <si>
    <t>Custo total</t>
  </si>
  <si>
    <t>Custo da passagem/categoria</t>
  </si>
  <si>
    <t>CUSTO DA PASSAGEM</t>
  </si>
  <si>
    <t>DESCONTO DA PASSAGEM</t>
  </si>
  <si>
    <t xml:space="preserve">Categoria </t>
  </si>
  <si>
    <t>Base de cálculo</t>
  </si>
  <si>
    <t>Percentual</t>
  </si>
  <si>
    <t>Desconto</t>
  </si>
  <si>
    <r>
      <t xml:space="preserve">Auxílio-Refeição/Alimentaçã  </t>
    </r>
    <r>
      <rPr>
        <b/>
        <sz val="10"/>
        <rFont val="Arial"/>
        <family val="2"/>
      </rPr>
      <t>(auxilio alimentação- CCT Cla. nº 12 )</t>
    </r>
  </si>
  <si>
    <t>Vr. DIÁRIO</t>
  </si>
  <si>
    <t>CUSTO VALE ALIMENTAÇÃO</t>
  </si>
  <si>
    <t>DESCONTO VALE ALIMENTAÇÃO</t>
  </si>
  <si>
    <t>Categoria profissional:  Servente de Limpeza cód.  5143 - Proc SEI - 50840.100213/2022-31</t>
  </si>
  <si>
    <t>DF</t>
  </si>
  <si>
    <t xml:space="preserve">Assistência Médica e Familiar  - </t>
  </si>
  <si>
    <t xml:space="preserve">Transporte  - </t>
  </si>
  <si>
    <t>Álcool 70º</t>
  </si>
  <si>
    <t>Álcool gel antisséptico 70∘ - refil</t>
  </si>
  <si>
    <t>Litro</t>
  </si>
  <si>
    <t>Álcool 46º</t>
  </si>
  <si>
    <t>Desinfante concentrado</t>
  </si>
  <si>
    <t>Unidade</t>
  </si>
  <si>
    <t>Galão</t>
  </si>
  <si>
    <t>Disco vermelho/preto/verde para lavar piso</t>
  </si>
  <si>
    <t>Escova de mão, com pegador de madeira</t>
  </si>
  <si>
    <t>Esponja de fibra tipo dupla face</t>
  </si>
  <si>
    <t>Hidratante de couro</t>
  </si>
  <si>
    <t>Limpa carpetes e tapetes</t>
  </si>
  <si>
    <t>Limpador multiuso, 500ml, tipo veja</t>
  </si>
  <si>
    <t>Lustra móveis neutro ou lavanda, 200ml</t>
  </si>
  <si>
    <t>Par</t>
  </si>
  <si>
    <t>Pano de chão 50x80cm</t>
  </si>
  <si>
    <t>Pano multiuso tipo microfibra, amarelo</t>
  </si>
  <si>
    <t>Caixa</t>
  </si>
  <si>
    <t>Pasta tipo cristal para limpeza, cor rosa</t>
  </si>
  <si>
    <t>Sabão barra neutro, pacote com 500g</t>
  </si>
  <si>
    <t>Pacote</t>
  </si>
  <si>
    <t>Sabão em pó, 1kg</t>
  </si>
  <si>
    <t>Saponáceo em pó, 300g</t>
  </si>
  <si>
    <t>Quantidade Anual</t>
  </si>
  <si>
    <t>3</t>
  </si>
  <si>
    <t>5</t>
  </si>
  <si>
    <t>60</t>
  </si>
  <si>
    <t>6</t>
  </si>
  <si>
    <t>12</t>
  </si>
  <si>
    <t>45</t>
  </si>
  <si>
    <t>24</t>
  </si>
  <si>
    <t>Valor Anual</t>
  </si>
  <si>
    <t>MATERIAIS A SEREM EMPREGADOS NA EXECUÇÃO DOS SERVIÇOS</t>
  </si>
  <si>
    <t>Item</t>
  </si>
  <si>
    <t>Especificação</t>
  </si>
  <si>
    <t>Valor Unitário</t>
  </si>
  <si>
    <t>EQUIPAMENTOS A SEREM EMPREGADOS NA EXECUÇÃO DOS SERVIÇOS</t>
  </si>
  <si>
    <t>Valor Total</t>
  </si>
  <si>
    <t>Vida Útil/meses</t>
  </si>
  <si>
    <t>Valor Mensal</t>
  </si>
  <si>
    <t>Máquina enceradeira tipo industrial.</t>
  </si>
  <si>
    <t>Extratora de estofados e carpetes.</t>
  </si>
  <si>
    <t>Valor total Mensal</t>
  </si>
  <si>
    <t>UTENSÍLIOS A SEREM EMPREGADOS NA EXECUÇÃO DOS SERVIÇOS</t>
  </si>
  <si>
    <t>Borrifador de água</t>
  </si>
  <si>
    <t>Dispenser para álcool gel</t>
  </si>
  <si>
    <t>Dispenser para papel toalha</t>
  </si>
  <si>
    <t>Pá para lixo, plástico, cabo curto</t>
  </si>
  <si>
    <t>Rodo limpa vidros e janelas, extensivo com cabo</t>
  </si>
  <si>
    <t>Vassoura de piaçava, com cabo em madeira</t>
  </si>
  <si>
    <t>Vassourinha para limpar vaso</t>
  </si>
  <si>
    <t>Quantidade por ano</t>
  </si>
  <si>
    <t>Custo unitário</t>
  </si>
  <si>
    <t>Calça comprida, com elástico e cordão, em tecido tactel.</t>
  </si>
  <si>
    <t>TOTAL MENSAL POR EMPREGADO</t>
  </si>
  <si>
    <t>Custo Anual</t>
  </si>
  <si>
    <t>d) Almoxarifados/Galpões</t>
  </si>
  <si>
    <t>a) ÁREA INTERNA Piso acarpetado</t>
  </si>
  <si>
    <t>b) ÁREA Interna - Pisos Frios</t>
  </si>
  <si>
    <t>c) Almoxarifados/Galpões</t>
  </si>
  <si>
    <t>e) Banheiro</t>
  </si>
  <si>
    <t>Pisos Frios</t>
  </si>
  <si>
    <t>Almoxarifados /Galpões</t>
  </si>
  <si>
    <t>áreas com espaços livres/Galpões</t>
  </si>
  <si>
    <t>Banheiros e Contenções</t>
  </si>
  <si>
    <t xml:space="preserve">QUADRO  EFETIVO </t>
  </si>
  <si>
    <t>GRUPO 01</t>
  </si>
  <si>
    <t xml:space="preserve">ÀREAS INTERNAS </t>
  </si>
  <si>
    <t xml:space="preserve">UNIDADES </t>
  </si>
  <si>
    <t>PRODUTIVIDADE</t>
  </si>
  <si>
    <t>AREA (M²)</t>
  </si>
  <si>
    <t xml:space="preserve">EFETIVO </t>
  </si>
  <si>
    <t xml:space="preserve">Pisos Acarpetados </t>
  </si>
  <si>
    <t xml:space="preserve">Pisos Frios </t>
  </si>
  <si>
    <t>Almoxarifados/Galpões</t>
  </si>
  <si>
    <t xml:space="preserve">Áreas com espaços livres - Saguão, hall e Salão </t>
  </si>
  <si>
    <t xml:space="preserve">Banheiros e Contenções </t>
  </si>
  <si>
    <t xml:space="preserve">ESQUADRIAS EXTERNAS </t>
  </si>
  <si>
    <t xml:space="preserve">Face Interna </t>
  </si>
  <si>
    <t>Valor global da proposta (valor mensal do serviço multiplicado pelo número de meses do contrato - 36 meses)</t>
  </si>
  <si>
    <t>ESQUADRIAS EXTERNAS - Face Interna</t>
  </si>
  <si>
    <t>3.3. Esquadrias Externas:</t>
  </si>
  <si>
    <t>a) face externa com exposição a situação de risco: 130 m² a 160 m²;</t>
  </si>
  <si>
    <t>b) face externa sem exposição a situação de risco: 300 m² a 380 m²; e</t>
  </si>
  <si>
    <t>c) face interna: 300 m² a 380 m².</t>
  </si>
  <si>
    <t>Custo mensal</t>
  </si>
  <si>
    <t>Valor Estimado</t>
  </si>
  <si>
    <t>Férias e Adicional de Férias -</t>
  </si>
  <si>
    <t xml:space="preserve">ITEM </t>
  </si>
  <si>
    <t>Unidade de 
medida</t>
  </si>
  <si>
    <t>VMA</t>
  </si>
  <si>
    <t>Água sanitária</t>
  </si>
  <si>
    <t>Desodorizador de ar, fragância de talco,
unidade de 360 ml</t>
  </si>
  <si>
    <t>Detergente líquido concentrado para limpeza
geral, neutro</t>
  </si>
  <si>
    <t>Luvas de borracha apropriadas para limpeza,
em tamanhos adequados aos empregados da
contratada</t>
  </si>
  <si>
    <t>Papel higiênico interfolhado, tipo cai-cai pacote com 8.000 folha duplas, cor branco.</t>
  </si>
  <si>
    <t>Papel toalha interfolhado, pacote com 8.000
folhas, cor branco, 100% celulose</t>
  </si>
  <si>
    <t>23</t>
  </si>
  <si>
    <t>Sabonete líquido, antialergênico, com Ph
neutro, concentrado</t>
  </si>
  <si>
    <t>Saco descartável para máquina aspiradora de
pó (papel)</t>
  </si>
  <si>
    <t>25</t>
  </si>
  <si>
    <t>Saco para lixo com capacidade de 100 litros,
azul, com 100 unidades</t>
  </si>
  <si>
    <t>26</t>
  </si>
  <si>
    <t>Saco para lixo com capacidade de 100 litros,
cinza, com 100 unidades</t>
  </si>
  <si>
    <t>27</t>
  </si>
  <si>
    <t>Saco para lixo com capacidade de 100 litros,
preto, com 100 unidades</t>
  </si>
  <si>
    <t>28</t>
  </si>
  <si>
    <t>Saco para lixo com capacidade de 40 litros,
azul, com 100 unidades</t>
  </si>
  <si>
    <t>29</t>
  </si>
  <si>
    <t>Saco para lixo com capacidade de 40 litros,
cinza, com 100 unidades</t>
  </si>
  <si>
    <t>30</t>
  </si>
  <si>
    <t>Saco para lixo com capacidade de 40 litros,
preto, com 100 unidades</t>
  </si>
  <si>
    <t>31</t>
  </si>
  <si>
    <t>VALOR TOTAL MENSAL</t>
  </si>
  <si>
    <t>VALOR TOTAL MENSAL / POR POSTO</t>
  </si>
  <si>
    <t>Material de Consumo</t>
  </si>
  <si>
    <t>ITEM</t>
  </si>
  <si>
    <t>Quantidade</t>
  </si>
  <si>
    <t>1</t>
  </si>
  <si>
    <t>4</t>
  </si>
  <si>
    <t>498.63</t>
  </si>
  <si>
    <t>2</t>
  </si>
  <si>
    <t>719.99</t>
  </si>
  <si>
    <t>1,785.24</t>
  </si>
  <si>
    <t>7,690.85</t>
  </si>
  <si>
    <t>Valor Total mensal por Posto</t>
  </si>
  <si>
    <t>Balde plástico com alça em alumínio de alta resistencia, capacidade para 8 litros</t>
  </si>
  <si>
    <t>50</t>
  </si>
  <si>
    <t xml:space="preserve">Rodo de metal, com borracha siliconada dupla de 60cm, cabo de 1,30m, aproximadamente, plastificado e com pendurico </t>
  </si>
  <si>
    <t>Vassoura de teto cabo longo, com cabo de aluminio ou madeira plastificada com rosca</t>
  </si>
  <si>
    <t>Vassoura plastiçável, 60cm, cerda de pêlos, pendurico
cabo de madeira, 1,20m, plastificado e com</t>
  </si>
  <si>
    <t/>
  </si>
  <si>
    <t>Valor Total Mensal de Utensilios</t>
  </si>
  <si>
    <t>Valor Total Mensal Por posto</t>
  </si>
  <si>
    <t>Utensilios</t>
  </si>
  <si>
    <t>Camiseta tipo malha fria, decote ribana (gola grossa), com emblema da empresa,
confeccionada em material 100% algodão.</t>
  </si>
  <si>
    <t>Meia tipo cano longo,
confeccionada em material
100% algodão.</t>
  </si>
  <si>
    <t>Sapato profissional babuche,solado baixo e antiderrapante</t>
  </si>
  <si>
    <t xml:space="preserve">PLANILHA MEMÓRIA DE CALCULO - EQUIPAMENTOS DE PROTEÇÃO INDIVIDUAL </t>
  </si>
  <si>
    <t>Par de botas de borracha, cano
médio.</t>
  </si>
  <si>
    <t>Sinalizador indicativo de piso
molhado.</t>
  </si>
  <si>
    <t>Faixa de segurança para
isolamento de áreas 5cm x
16,4m.</t>
  </si>
  <si>
    <t>Valor Total Anual</t>
  </si>
  <si>
    <t>Valor Total Mensal</t>
  </si>
  <si>
    <t>Valor Total por Colaborador</t>
  </si>
  <si>
    <t>Uniformes + EPI</t>
  </si>
  <si>
    <t>Máscara de proteção
descartável contra pó.(Nota¹)</t>
  </si>
  <si>
    <t>Protetor auricular para
aspiração de pó e água.(Nota²)</t>
  </si>
  <si>
    <r>
      <rPr>
        <b/>
        <sz val="11"/>
        <color theme="1"/>
        <rFont val="Calibri"/>
        <family val="2"/>
        <scheme val="minor"/>
      </rPr>
      <t>Nota²:</t>
    </r>
    <r>
      <rPr>
        <sz val="11"/>
        <color theme="1"/>
        <rFont val="Calibri"/>
        <family val="2"/>
        <scheme val="minor"/>
      </rPr>
      <t xml:space="preserve"> No valor estimado por esta empresa publica, foi considerado 5 prodetores auricular para aspiradação de pó e água, seria considerado 1 protetor para cada colaborador, sabendo que aplicamos um aumento na produtividade , reduzindo o quantitativo ofertado para 3 postos, foi feita a redução no quantitativo de protetores a serem fornecidos neste contrato</t>
    </r>
  </si>
  <si>
    <r>
      <rPr>
        <b/>
        <sz val="11"/>
        <color theme="1"/>
        <rFont val="Calibri"/>
        <family val="2"/>
        <scheme val="minor"/>
      </rPr>
      <t>Nota ¹</t>
    </r>
    <r>
      <rPr>
        <sz val="11"/>
        <color theme="1"/>
        <rFont val="Calibri"/>
        <family val="2"/>
        <scheme val="minor"/>
      </rPr>
      <t>: na estimativa de custo desta empresa publica, foi conseiderado para o quantitativo de 5 postos o total de 50 Máscara de proteção por ano, assim consideramos que para cada posto seria necessario o total de 10 mascaras, dendo aplicado a alteração na produtividade e reduzindo o quantidativo de postos para 3, chegamos ao total de 30 mascaras por ano</t>
    </r>
  </si>
  <si>
    <r>
      <rPr>
        <b/>
        <sz val="11"/>
        <color theme="1"/>
        <rFont val="Calibri"/>
        <family val="2"/>
        <scheme val="minor"/>
      </rPr>
      <t>Nota¹:</t>
    </r>
    <r>
      <rPr>
        <sz val="11"/>
        <color theme="1"/>
        <rFont val="Calibri"/>
        <family val="2"/>
        <scheme val="minor"/>
      </rPr>
      <t xml:space="preserve"> Esta empresa pública, estimou em seu edital o quantitativo de 4 aspiradores que seriam necessarios para a execução do contrato considerando 5 postos , porém para adequar o quantitativo de equipamentos ao quantitativo de postos ( 3 postos) desta proposta, reduzimos de 4 aspiradores para 2 aspiradores.</t>
    </r>
  </si>
  <si>
    <r>
      <rPr>
        <b/>
        <sz val="11"/>
        <color theme="1"/>
        <rFont val="Calibri"/>
        <family val="2"/>
        <scheme val="minor"/>
      </rPr>
      <t xml:space="preserve">Nota² : </t>
    </r>
    <r>
      <rPr>
        <sz val="11"/>
        <color theme="1"/>
        <rFont val="Calibri"/>
        <family val="2"/>
        <scheme val="minor"/>
      </rPr>
      <t xml:space="preserve"> Para os itens de Carrinho de limpeza, que havia sido estimado o quantitativo de 5 (cinco), um para cada posto. Entretanto com a aplicação da produtividade e assim reduzindo o quantitativo para 3 (três) postos, foi necessario fazer a redução deste item de 5 carrinhos para 3 carrinhos de limpeza.</t>
    </r>
  </si>
  <si>
    <t>Aspirador de pó e água, tipo industrial, com reservatorio.(Nota ¹)</t>
  </si>
  <si>
    <t>Carrinho de limpeza. (Nota²)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</si>
</sst>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#,##0.0000000"/>
    <numFmt numFmtId="167" formatCode="_-* #,##0_-;\-* #,##0_-;_-* &quot;-&quot;??_-;_-@_-"/>
    <numFmt numFmtId="168" formatCode="&quot;R$&quot;\ #,##0.00"/>
    <numFmt numFmtId="169" formatCode="_-[$R$-416]\ * #,##0.00_-;\-[$R$-416]\ * #,##0.00_-;_-[$R$-416]\ * &quot;-&quot;??_-;_-@_-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theme="9" tint="0.79998168889431442"/>
      </patternFill>
    </fill>
    <fill>
      <patternFill patternType="solid">
        <fgColor theme="1"/>
        <bgColor theme="9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rgb="FF002060"/>
        <bgColor theme="9" tint="0.79998168889431442"/>
      </patternFill>
    </fill>
    <fill>
      <patternFill patternType="solid">
        <fgColor rgb="FF002060"/>
        <b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theme="9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</borders>
  <cellStyleXfs count="10">
    <xf numFmtId="0" fontId="0" fillId="0" borderId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79">
    <xf numFmtId="0" fontId="0" fillId="0" borderId="0" xfId="0"/>
    <xf numFmtId="10" fontId="0" fillId="0" borderId="1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/>
    <xf numFmtId="0" fontId="0" fillId="0" borderId="0" xfId="0" applyBorder="1"/>
    <xf numFmtId="10" fontId="6" fillId="0" borderId="1" xfId="0" applyNumberFormat="1" applyFont="1" applyBorder="1" applyAlignment="1">
      <alignment horizontal="center"/>
    </xf>
    <xf numFmtId="2" fontId="6" fillId="0" borderId="13" xfId="0" applyNumberFormat="1" applyFont="1" applyFill="1" applyBorder="1"/>
    <xf numFmtId="2" fontId="6" fillId="0" borderId="0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21" xfId="0" applyFont="1" applyBorder="1" applyAlignment="1"/>
    <xf numFmtId="0" fontId="6" fillId="0" borderId="2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0" fontId="5" fillId="0" borderId="1" xfId="2" applyNumberFormat="1" applyBorder="1" applyAlignment="1"/>
    <xf numFmtId="2" fontId="0" fillId="0" borderId="0" xfId="0" applyNumberFormat="1"/>
    <xf numFmtId="10" fontId="0" fillId="0" borderId="1" xfId="0" applyNumberFormat="1" applyFont="1" applyFill="1" applyBorder="1" applyAlignment="1">
      <alignment horizontal="center"/>
    </xf>
    <xf numFmtId="164" fontId="6" fillId="0" borderId="0" xfId="1" applyFont="1"/>
    <xf numFmtId="0" fontId="6" fillId="0" borderId="0" xfId="0" applyFont="1"/>
    <xf numFmtId="43" fontId="0" fillId="0" borderId="0" xfId="0" applyNumberFormat="1"/>
    <xf numFmtId="0" fontId="6" fillId="0" borderId="1" xfId="0" applyFont="1" applyFill="1" applyBorder="1" applyAlignment="1">
      <alignment horizontal="center"/>
    </xf>
    <xf numFmtId="10" fontId="0" fillId="5" borderId="1" xfId="0" applyNumberFormat="1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6" fillId="0" borderId="1" xfId="0" applyNumberFormat="1" applyFont="1" applyFill="1" applyBorder="1"/>
    <xf numFmtId="2" fontId="0" fillId="0" borderId="1" xfId="0" applyNumberFormat="1" applyBorder="1" applyAlignment="1">
      <alignment horizontal="right"/>
    </xf>
    <xf numFmtId="2" fontId="6" fillId="0" borderId="1" xfId="0" applyNumberFormat="1" applyFont="1" applyBorder="1"/>
    <xf numFmtId="2" fontId="0" fillId="0" borderId="1" xfId="0" applyNumberFormat="1" applyBorder="1"/>
    <xf numFmtId="10" fontId="0" fillId="0" borderId="1" xfId="0" applyNumberFormat="1" applyBorder="1" applyAlignment="1"/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9" fillId="0" borderId="0" xfId="0" applyFont="1"/>
    <xf numFmtId="164" fontId="9" fillId="0" borderId="0" xfId="1" applyFont="1"/>
    <xf numFmtId="164" fontId="5" fillId="0" borderId="1" xfId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64" fontId="5" fillId="0" borderId="1" xfId="1" applyBorder="1"/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4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44" fontId="6" fillId="0" borderId="1" xfId="0" applyNumberFormat="1" applyFont="1" applyBorder="1" applyAlignment="1"/>
    <xf numFmtId="165" fontId="6" fillId="0" borderId="46" xfId="5" applyFont="1" applyBorder="1" applyAlignment="1">
      <alignment horizontal="center"/>
    </xf>
    <xf numFmtId="164" fontId="5" fillId="0" borderId="1" xfId="1" applyBorder="1" applyAlignment="1">
      <alignment horizontal="center"/>
    </xf>
    <xf numFmtId="0" fontId="5" fillId="0" borderId="1" xfId="1" applyNumberFormat="1" applyBorder="1" applyAlignment="1">
      <alignment horizontal="center"/>
    </xf>
    <xf numFmtId="4" fontId="0" fillId="0" borderId="0" xfId="0" applyNumberFormat="1"/>
    <xf numFmtId="10" fontId="0" fillId="0" borderId="1" xfId="0" applyNumberFormat="1" applyBorder="1"/>
    <xf numFmtId="10" fontId="5" fillId="0" borderId="1" xfId="2" applyNumberFormat="1" applyBorder="1" applyAlignment="1">
      <alignment horizontal="right"/>
    </xf>
    <xf numFmtId="10" fontId="5" fillId="0" borderId="1" xfId="2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6" fillId="0" borderId="0" xfId="0" applyNumberFormat="1" applyFont="1"/>
    <xf numFmtId="49" fontId="0" fillId="0" borderId="46" xfId="0" applyNumberFormat="1" applyFont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43" fontId="6" fillId="0" borderId="1" xfId="0" applyNumberFormat="1" applyFont="1" applyBorder="1"/>
    <xf numFmtId="43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165" fontId="6" fillId="0" borderId="7" xfId="5" applyFont="1" applyBorder="1" applyAlignment="1">
      <alignment horizontal="center"/>
    </xf>
    <xf numFmtId="3" fontId="5" fillId="0" borderId="1" xfId="1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2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5" xfId="0" applyFont="1" applyBorder="1" applyAlignment="1"/>
    <xf numFmtId="0" fontId="5" fillId="0" borderId="20" xfId="0" applyFont="1" applyBorder="1" applyAlignment="1"/>
    <xf numFmtId="2" fontId="5" fillId="0" borderId="17" xfId="0" applyNumberFormat="1" applyFont="1" applyBorder="1"/>
    <xf numFmtId="0" fontId="5" fillId="0" borderId="12" xfId="0" applyFont="1" applyBorder="1" applyAlignment="1"/>
    <xf numFmtId="0" fontId="5" fillId="0" borderId="21" xfId="0" applyFont="1" applyBorder="1" applyAlignment="1"/>
    <xf numFmtId="2" fontId="5" fillId="0" borderId="18" xfId="0" applyNumberFormat="1" applyFont="1" applyFill="1" applyBorder="1"/>
    <xf numFmtId="0" fontId="5" fillId="0" borderId="16" xfId="0" applyFont="1" applyBorder="1" applyAlignment="1"/>
    <xf numFmtId="0" fontId="5" fillId="0" borderId="22" xfId="0" applyFont="1" applyBorder="1" applyAlignment="1"/>
    <xf numFmtId="2" fontId="5" fillId="0" borderId="19" xfId="0" applyNumberFormat="1" applyFont="1" applyFill="1" applyBorder="1"/>
    <xf numFmtId="0" fontId="5" fillId="0" borderId="2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5" xfId="0" applyFont="1" applyFill="1" applyBorder="1" applyAlignment="1">
      <alignment horizontal="center"/>
    </xf>
    <xf numFmtId="2" fontId="5" fillId="0" borderId="4" xfId="0" applyNumberFormat="1" applyFont="1" applyFill="1" applyBorder="1"/>
    <xf numFmtId="0" fontId="5" fillId="0" borderId="0" xfId="0" applyFont="1" applyFill="1" applyBorder="1" applyAlignment="1">
      <alignment horizontal="center"/>
    </xf>
    <xf numFmtId="4" fontId="0" fillId="0" borderId="1" xfId="0" applyNumberFormat="1" applyBorder="1"/>
    <xf numFmtId="4" fontId="6" fillId="0" borderId="1" xfId="0" applyNumberFormat="1" applyFont="1" applyBorder="1" applyAlignment="1"/>
    <xf numFmtId="44" fontId="0" fillId="0" borderId="0" xfId="0" applyNumberFormat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51" xfId="0" applyBorder="1"/>
    <xf numFmtId="0" fontId="6" fillId="0" borderId="2" xfId="0" applyFont="1" applyBorder="1" applyAlignment="1">
      <alignment horizontal="center" wrapText="1"/>
    </xf>
    <xf numFmtId="0" fontId="6" fillId="0" borderId="47" xfId="0" applyFont="1" applyBorder="1" applyAlignment="1">
      <alignment horizontal="center"/>
    </xf>
    <xf numFmtId="0" fontId="6" fillId="0" borderId="47" xfId="0" applyNumberFormat="1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" fontId="0" fillId="0" borderId="7" xfId="0" applyNumberFormat="1" applyBorder="1"/>
    <xf numFmtId="9" fontId="0" fillId="0" borderId="51" xfId="0" applyNumberFormat="1" applyBorder="1"/>
    <xf numFmtId="4" fontId="0" fillId="0" borderId="51" xfId="0" applyNumberFormat="1" applyBorder="1"/>
    <xf numFmtId="0" fontId="6" fillId="0" borderId="0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 wrapText="1"/>
    </xf>
    <xf numFmtId="4" fontId="0" fillId="0" borderId="0" xfId="0" applyNumberFormat="1" applyBorder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16" fontId="0" fillId="0" borderId="0" xfId="0" applyNumberFormat="1"/>
    <xf numFmtId="0" fontId="16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0" fontId="16" fillId="0" borderId="0" xfId="0" applyFont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6" fillId="0" borderId="1" xfId="0" applyNumberFormat="1" applyFont="1" applyBorder="1"/>
    <xf numFmtId="4" fontId="18" fillId="0" borderId="0" xfId="0" applyNumberFormat="1" applyFont="1"/>
    <xf numFmtId="0" fontId="18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6" fillId="0" borderId="1" xfId="1" applyFont="1" applyBorder="1"/>
    <xf numFmtId="0" fontId="0" fillId="0" borderId="1" xfId="0" applyBorder="1" applyAlignment="1">
      <alignment wrapText="1"/>
    </xf>
    <xf numFmtId="43" fontId="6" fillId="0" borderId="0" xfId="0" applyNumberFormat="1" applyFont="1"/>
    <xf numFmtId="4" fontId="5" fillId="0" borderId="1" xfId="1" applyNumberFormat="1" applyBorder="1"/>
    <xf numFmtId="0" fontId="0" fillId="0" borderId="1" xfId="0" applyNumberFormat="1" applyBorder="1"/>
    <xf numFmtId="0" fontId="12" fillId="0" borderId="5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43" fontId="0" fillId="5" borderId="1" xfId="7" applyFont="1" applyFill="1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46" xfId="0" applyBorder="1" applyAlignment="1">
      <alignment horizontal="left" vertical="center"/>
    </xf>
    <xf numFmtId="167" fontId="0" fillId="5" borderId="46" xfId="7" applyNumberFormat="1" applyFont="1" applyFill="1" applyBorder="1" applyAlignment="1">
      <alignment horizontal="center" vertical="center"/>
    </xf>
    <xf numFmtId="0" fontId="19" fillId="0" borderId="43" xfId="0" applyFont="1" applyBorder="1"/>
    <xf numFmtId="0" fontId="19" fillId="0" borderId="0" xfId="0" applyFont="1" applyBorder="1"/>
    <xf numFmtId="0" fontId="19" fillId="0" borderId="56" xfId="0" applyFont="1" applyBorder="1"/>
    <xf numFmtId="0" fontId="19" fillId="0" borderId="4" xfId="0" applyFont="1" applyBorder="1" applyAlignment="1">
      <alignment horizontal="center" vertical="center" wrapText="1"/>
    </xf>
    <xf numFmtId="43" fontId="0" fillId="0" borderId="4" xfId="7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43" fontId="0" fillId="0" borderId="49" xfId="7" applyFont="1" applyBorder="1" applyAlignment="1">
      <alignment horizontal="center" vertical="center"/>
    </xf>
    <xf numFmtId="164" fontId="6" fillId="0" borderId="1" xfId="0" applyNumberFormat="1" applyFont="1" applyBorder="1"/>
    <xf numFmtId="0" fontId="22" fillId="0" borderId="0" xfId="0" applyFont="1"/>
    <xf numFmtId="0" fontId="9" fillId="0" borderId="1" xfId="0" applyFont="1" applyBorder="1" applyAlignment="1">
      <alignment horizontal="center"/>
    </xf>
    <xf numFmtId="43" fontId="9" fillId="5" borderId="1" xfId="7" applyFont="1" applyFill="1" applyBorder="1" applyAlignment="1">
      <alignment vertical="center"/>
    </xf>
    <xf numFmtId="1" fontId="23" fillId="0" borderId="7" xfId="7" applyNumberFormat="1" applyFont="1" applyBorder="1"/>
    <xf numFmtId="43" fontId="9" fillId="0" borderId="4" xfId="7" applyFont="1" applyBorder="1" applyAlignment="1">
      <alignment vertical="center"/>
    </xf>
    <xf numFmtId="0" fontId="9" fillId="0" borderId="1" xfId="1" applyNumberFormat="1" applyFont="1" applyBorder="1" applyAlignment="1">
      <alignment horizontal="center"/>
    </xf>
    <xf numFmtId="0" fontId="24" fillId="0" borderId="0" xfId="0" applyFont="1"/>
    <xf numFmtId="0" fontId="0" fillId="7" borderId="0" xfId="0" applyFill="1"/>
    <xf numFmtId="164" fontId="5" fillId="7" borderId="0" xfId="1" applyFill="1"/>
    <xf numFmtId="0" fontId="0" fillId="7" borderId="0" xfId="0" applyFill="1" applyAlignment="1">
      <alignment horizontal="center"/>
    </xf>
    <xf numFmtId="3" fontId="0" fillId="0" borderId="46" xfId="0" applyNumberFormat="1" applyBorder="1" applyAlignment="1">
      <alignment horizontal="right" vertical="center"/>
    </xf>
    <xf numFmtId="10" fontId="0" fillId="0" borderId="1" xfId="0" applyNumberFormat="1" applyFill="1" applyBorder="1" applyAlignment="1">
      <alignment horizontal="center"/>
    </xf>
    <xf numFmtId="10" fontId="0" fillId="0" borderId="0" xfId="0" applyNumberFormat="1" applyBorder="1"/>
    <xf numFmtId="2" fontId="0" fillId="7" borderId="1" xfId="0" applyNumberFormat="1" applyFont="1" applyFill="1" applyBorder="1"/>
    <xf numFmtId="4" fontId="0" fillId="7" borderId="1" xfId="0" applyNumberFormat="1" applyFont="1" applyFill="1" applyBorder="1"/>
    <xf numFmtId="0" fontId="3" fillId="0" borderId="0" xfId="8"/>
    <xf numFmtId="0" fontId="20" fillId="9" borderId="0" xfId="8" applyFont="1" applyFill="1" applyAlignment="1">
      <alignment horizontal="center" vertical="center" wrapText="1"/>
    </xf>
    <xf numFmtId="0" fontId="20" fillId="0" borderId="0" xfId="8" applyFont="1" applyAlignment="1">
      <alignment horizontal="center" vertical="center"/>
    </xf>
    <xf numFmtId="0" fontId="25" fillId="10" borderId="57" xfId="8" applyFont="1" applyFill="1" applyBorder="1" applyAlignment="1">
      <alignment horizontal="center" vertical="center" wrapText="1"/>
    </xf>
    <xf numFmtId="0" fontId="20" fillId="5" borderId="1" xfId="8" applyFont="1" applyFill="1" applyBorder="1" applyAlignment="1">
      <alignment horizontal="center" vertical="center"/>
    </xf>
    <xf numFmtId="0" fontId="20" fillId="5" borderId="1" xfId="8" applyNumberFormat="1" applyFont="1" applyFill="1" applyBorder="1" applyAlignment="1">
      <alignment horizontal="center" vertical="center" wrapText="1"/>
    </xf>
    <xf numFmtId="0" fontId="20" fillId="5" borderId="1" xfId="8" applyNumberFormat="1" applyFont="1" applyFill="1" applyBorder="1" applyAlignment="1">
      <alignment horizontal="center" vertical="center"/>
    </xf>
    <xf numFmtId="168" fontId="20" fillId="5" borderId="1" xfId="8" applyNumberFormat="1" applyFont="1" applyFill="1" applyBorder="1" applyAlignment="1">
      <alignment horizontal="center" vertical="center"/>
    </xf>
    <xf numFmtId="0" fontId="20" fillId="12" borderId="1" xfId="8" applyNumberFormat="1" applyFont="1" applyFill="1" applyBorder="1" applyAlignment="1">
      <alignment horizontal="center" vertical="center"/>
    </xf>
    <xf numFmtId="0" fontId="20" fillId="12" borderId="1" xfId="8" applyNumberFormat="1" applyFont="1" applyFill="1" applyBorder="1" applyAlignment="1">
      <alignment horizontal="center" vertical="center" wrapText="1"/>
    </xf>
    <xf numFmtId="168" fontId="20" fillId="12" borderId="1" xfId="8" applyNumberFormat="1" applyFont="1" applyFill="1" applyBorder="1" applyAlignment="1">
      <alignment horizontal="center" vertical="center"/>
    </xf>
    <xf numFmtId="43" fontId="3" fillId="0" borderId="1" xfId="8" applyNumberFormat="1" applyBorder="1"/>
    <xf numFmtId="0" fontId="20" fillId="14" borderId="61" xfId="8" applyNumberFormat="1" applyFont="1" applyFill="1" applyBorder="1" applyAlignment="1">
      <alignment horizontal="center" vertical="center" wrapText="1"/>
    </xf>
    <xf numFmtId="0" fontId="25" fillId="15" borderId="62" xfId="8" applyNumberFormat="1" applyFont="1" applyFill="1" applyBorder="1" applyAlignment="1">
      <alignment horizontal="center" vertical="center" wrapText="1"/>
    </xf>
    <xf numFmtId="0" fontId="20" fillId="5" borderId="59" xfId="8" applyNumberFormat="1" applyFont="1" applyFill="1" applyBorder="1" applyAlignment="1">
      <alignment horizontal="center" vertical="center" wrapText="1"/>
    </xf>
    <xf numFmtId="169" fontId="20" fillId="16" borderId="59" xfId="8" applyNumberFormat="1" applyFont="1" applyFill="1" applyBorder="1" applyAlignment="1">
      <alignment horizontal="center" vertical="center" wrapText="1"/>
    </xf>
    <xf numFmtId="169" fontId="20" fillId="5" borderId="59" xfId="8" applyNumberFormat="1" applyFont="1" applyFill="1" applyBorder="1" applyAlignment="1">
      <alignment horizontal="center" vertical="center" wrapText="1"/>
    </xf>
    <xf numFmtId="169" fontId="20" fillId="5" borderId="1" xfId="8" applyNumberFormat="1" applyFont="1" applyFill="1" applyBorder="1" applyAlignment="1">
      <alignment horizontal="center" vertical="center" wrapText="1"/>
    </xf>
    <xf numFmtId="0" fontId="20" fillId="12" borderId="59" xfId="8" applyNumberFormat="1" applyFont="1" applyFill="1" applyBorder="1" applyAlignment="1">
      <alignment horizontal="center" vertical="center" wrapText="1"/>
    </xf>
    <xf numFmtId="169" fontId="20" fillId="17" borderId="59" xfId="8" applyNumberFormat="1" applyFont="1" applyFill="1" applyBorder="1" applyAlignment="1">
      <alignment horizontal="center" vertical="center" wrapText="1"/>
    </xf>
    <xf numFmtId="169" fontId="20" fillId="12" borderId="1" xfId="8" applyNumberFormat="1" applyFont="1" applyFill="1" applyBorder="1" applyAlignment="1">
      <alignment horizontal="center" vertical="center" wrapText="1"/>
    </xf>
    <xf numFmtId="0" fontId="20" fillId="5" borderId="63" xfId="8" applyNumberFormat="1" applyFont="1" applyFill="1" applyBorder="1" applyAlignment="1">
      <alignment horizontal="center" vertical="center" wrapText="1"/>
    </xf>
    <xf numFmtId="169" fontId="20" fillId="5" borderId="63" xfId="8" applyNumberFormat="1" applyFont="1" applyFill="1" applyBorder="1" applyAlignment="1">
      <alignment horizontal="center" vertical="center" wrapText="1"/>
    </xf>
    <xf numFmtId="169" fontId="25" fillId="18" borderId="60" xfId="8" applyNumberFormat="1" applyFont="1" applyFill="1" applyBorder="1" applyAlignment="1">
      <alignment horizontal="center"/>
    </xf>
    <xf numFmtId="169" fontId="25" fillId="8" borderId="0" xfId="8" applyNumberFormat="1" applyFont="1" applyFill="1" applyAlignment="1">
      <alignment horizontal="center"/>
    </xf>
    <xf numFmtId="0" fontId="20" fillId="8" borderId="0" xfId="8" applyFont="1" applyFill="1" applyAlignment="1">
      <alignment horizontal="center"/>
    </xf>
    <xf numFmtId="0" fontId="25" fillId="19" borderId="59" xfId="8" applyFont="1" applyFill="1" applyBorder="1" applyAlignment="1">
      <alignment horizontal="center"/>
    </xf>
    <xf numFmtId="0" fontId="26" fillId="9" borderId="0" xfId="8" applyFont="1" applyFill="1"/>
    <xf numFmtId="0" fontId="26" fillId="9" borderId="0" xfId="8" applyNumberFormat="1" applyFont="1" applyFill="1"/>
    <xf numFmtId="0" fontId="25" fillId="10" borderId="64" xfId="8" applyNumberFormat="1" applyFont="1" applyFill="1" applyBorder="1" applyAlignment="1">
      <alignment horizontal="center"/>
    </xf>
    <xf numFmtId="0" fontId="27" fillId="5" borderId="1" xfId="8" applyFont="1" applyFill="1" applyBorder="1" applyAlignment="1">
      <alignment horizontal="center" vertical="center"/>
    </xf>
    <xf numFmtId="44" fontId="27" fillId="5" borderId="1" xfId="9" applyFont="1" applyFill="1" applyBorder="1" applyAlignment="1">
      <alignment horizontal="center" vertical="center"/>
    </xf>
    <xf numFmtId="44" fontId="27" fillId="5" borderId="1" xfId="9" applyNumberFormat="1" applyFont="1" applyFill="1" applyBorder="1" applyAlignment="1">
      <alignment horizontal="center" vertical="center"/>
    </xf>
    <xf numFmtId="0" fontId="27" fillId="5" borderId="1" xfId="8" applyNumberFormat="1" applyFont="1" applyFill="1" applyBorder="1" applyAlignment="1">
      <alignment horizontal="center" vertical="center" wrapText="1"/>
    </xf>
    <xf numFmtId="0" fontId="27" fillId="5" borderId="1" xfId="8" applyNumberFormat="1" applyFont="1" applyFill="1" applyBorder="1" applyAlignment="1">
      <alignment horizontal="center" vertical="center"/>
    </xf>
    <xf numFmtId="44" fontId="28" fillId="11" borderId="1" xfId="9" applyFont="1" applyFill="1" applyBorder="1" applyAlignment="1">
      <alignment horizontal="center" vertical="center"/>
    </xf>
    <xf numFmtId="0" fontId="27" fillId="5" borderId="0" xfId="8" applyNumberFormat="1" applyFont="1" applyFill="1"/>
    <xf numFmtId="44" fontId="3" fillId="0" borderId="1" xfId="8" applyNumberFormat="1" applyBorder="1"/>
    <xf numFmtId="0" fontId="3" fillId="0" borderId="0" xfId="8" applyAlignment="1">
      <alignment horizontal="center" vertical="center" wrapText="1"/>
    </xf>
    <xf numFmtId="0" fontId="25" fillId="21" borderId="64" xfId="8" applyFont="1" applyFill="1" applyBorder="1" applyAlignment="1">
      <alignment horizontal="center"/>
    </xf>
    <xf numFmtId="0" fontId="20" fillId="5" borderId="65" xfId="8" applyNumberFormat="1" applyFont="1" applyFill="1" applyBorder="1" applyAlignment="1">
      <alignment wrapText="1"/>
    </xf>
    <xf numFmtId="0" fontId="20" fillId="5" borderId="65" xfId="8" applyFont="1" applyFill="1" applyBorder="1"/>
    <xf numFmtId="44" fontId="20" fillId="5" borderId="65" xfId="9" applyFont="1" applyFill="1" applyBorder="1"/>
    <xf numFmtId="44" fontId="20" fillId="5" borderId="65" xfId="9" applyNumberFormat="1" applyFont="1" applyFill="1" applyBorder="1"/>
    <xf numFmtId="0" fontId="21" fillId="5" borderId="65" xfId="8" applyNumberFormat="1" applyFont="1" applyFill="1" applyBorder="1"/>
    <xf numFmtId="0" fontId="21" fillId="5" borderId="65" xfId="8" applyFont="1" applyFill="1" applyBorder="1"/>
    <xf numFmtId="44" fontId="21" fillId="5" borderId="65" xfId="9" applyFont="1" applyFill="1" applyBorder="1"/>
    <xf numFmtId="10" fontId="29" fillId="0" borderId="1" xfId="2" applyNumberFormat="1" applyFont="1" applyBorder="1" applyAlignment="1">
      <alignment horizontal="center"/>
    </xf>
    <xf numFmtId="0" fontId="21" fillId="0" borderId="0" xfId="8" applyFont="1" applyAlignment="1">
      <alignment horizontal="center" vertical="center" wrapText="1"/>
    </xf>
    <xf numFmtId="0" fontId="20" fillId="5" borderId="0" xfId="8" applyNumberFormat="1" applyFont="1" applyFill="1" applyAlignment="1">
      <alignment horizontal="center" vertical="center" wrapText="1"/>
    </xf>
    <xf numFmtId="0" fontId="20" fillId="5" borderId="0" xfId="8" applyFont="1" applyFill="1" applyAlignment="1">
      <alignment horizontal="center" vertical="center" wrapText="1"/>
    </xf>
    <xf numFmtId="169" fontId="20" fillId="11" borderId="0" xfId="8" applyNumberFormat="1" applyFont="1" applyFill="1" applyAlignment="1">
      <alignment horizontal="center" vertical="center" wrapText="1"/>
    </xf>
    <xf numFmtId="169" fontId="20" fillId="5" borderId="0" xfId="8" applyNumberFormat="1" applyFont="1" applyFill="1" applyAlignment="1">
      <alignment horizontal="center" vertical="center" wrapText="1"/>
    </xf>
    <xf numFmtId="0" fontId="21" fillId="5" borderId="0" xfId="8" applyNumberFormat="1" applyFont="1" applyFill="1"/>
    <xf numFmtId="0" fontId="21" fillId="5" borderId="0" xfId="8" applyFont="1" applyFill="1"/>
    <xf numFmtId="169" fontId="21" fillId="5" borderId="0" xfId="8" applyNumberFormat="1" applyFont="1" applyFill="1"/>
    <xf numFmtId="164" fontId="5" fillId="0" borderId="0" xfId="1"/>
    <xf numFmtId="164" fontId="5" fillId="0" borderId="0" xfId="1" applyAlignment="1">
      <alignment horizontal="left"/>
    </xf>
    <xf numFmtId="164" fontId="5" fillId="0" borderId="0" xfId="1" applyAlignment="1">
      <alignment horizontal="center" vertical="center"/>
    </xf>
    <xf numFmtId="0" fontId="3" fillId="0" borderId="0" xfId="8" applyAlignment="1"/>
    <xf numFmtId="0" fontId="6" fillId="0" borderId="5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9" fillId="6" borderId="2" xfId="0" applyFont="1" applyFill="1" applyBorder="1" applyAlignment="1">
      <alignment horizontal="center"/>
    </xf>
    <xf numFmtId="0" fontId="19" fillId="6" borderId="47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47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0" borderId="4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165" fontId="11" fillId="0" borderId="46" xfId="5" applyFont="1" applyBorder="1" applyAlignment="1">
      <alignment horizontal="center" vertical="center"/>
    </xf>
    <xf numFmtId="165" fontId="11" fillId="0" borderId="53" xfId="5" applyFont="1" applyBorder="1" applyAlignment="1">
      <alignment horizontal="center" vertical="center"/>
    </xf>
    <xf numFmtId="165" fontId="11" fillId="0" borderId="10" xfId="5" applyFont="1" applyBorder="1" applyAlignment="1">
      <alignment horizontal="center" vertical="center"/>
    </xf>
    <xf numFmtId="165" fontId="0" fillId="0" borderId="49" xfId="5" applyFont="1" applyBorder="1" applyAlignment="1">
      <alignment horizontal="center" vertical="center"/>
    </xf>
    <xf numFmtId="165" fontId="0" fillId="0" borderId="55" xfId="5" applyFont="1" applyBorder="1" applyAlignment="1">
      <alignment horizontal="center" vertical="center"/>
    </xf>
    <xf numFmtId="165" fontId="0" fillId="0" borderId="8" xfId="5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46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0" fillId="0" borderId="4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5" fontId="0" fillId="0" borderId="46" xfId="5" applyFont="1" applyBorder="1" applyAlignment="1">
      <alignment horizontal="center" vertical="center"/>
    </xf>
    <xf numFmtId="165" fontId="0" fillId="0" borderId="10" xfId="5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3" fontId="0" fillId="0" borderId="46" xfId="6" applyNumberFormat="1" applyFont="1" applyBorder="1" applyAlignment="1">
      <alignment horizontal="center" vertical="center"/>
    </xf>
    <xf numFmtId="3" fontId="0" fillId="0" borderId="10" xfId="6" applyNumberFormat="1" applyFont="1" applyBorder="1" applyAlignment="1">
      <alignment horizontal="center" vertical="center"/>
    </xf>
    <xf numFmtId="166" fontId="0" fillId="0" borderId="46" xfId="6" applyNumberFormat="1" applyFont="1" applyBorder="1" applyAlignment="1">
      <alignment horizontal="center" vertical="center"/>
    </xf>
    <xf numFmtId="166" fontId="0" fillId="0" borderId="10" xfId="6" applyNumberFormat="1" applyFont="1" applyBorder="1" applyAlignment="1">
      <alignment horizontal="center" vertical="center"/>
    </xf>
    <xf numFmtId="44" fontId="0" fillId="0" borderId="46" xfId="6" applyFont="1" applyBorder="1" applyAlignment="1">
      <alignment horizontal="center" vertical="center"/>
    </xf>
    <xf numFmtId="44" fontId="0" fillId="0" borderId="10" xfId="6" applyFont="1" applyBorder="1" applyAlignment="1">
      <alignment horizontal="center" vertical="center"/>
    </xf>
    <xf numFmtId="44" fontId="6" fillId="0" borderId="46" xfId="6" applyFont="1" applyBorder="1" applyAlignment="1">
      <alignment horizontal="center" vertical="center"/>
    </xf>
    <xf numFmtId="44" fontId="6" fillId="0" borderId="10" xfId="6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2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6" fillId="0" borderId="38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4" fontId="0" fillId="0" borderId="32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9" fillId="13" borderId="1" xfId="8" applyFont="1" applyFill="1" applyBorder="1" applyAlignment="1">
      <alignment horizontal="right"/>
    </xf>
    <xf numFmtId="0" fontId="25" fillId="8" borderId="0" xfId="8" applyFont="1" applyFill="1" applyAlignment="1">
      <alignment horizontal="center"/>
    </xf>
    <xf numFmtId="0" fontId="25" fillId="8" borderId="58" xfId="8" applyNumberFormat="1" applyFont="1" applyFill="1" applyBorder="1" applyAlignment="1">
      <alignment horizontal="center"/>
    </xf>
    <xf numFmtId="0" fontId="25" fillId="8" borderId="59" xfId="8" applyNumberFormat="1" applyFont="1" applyFill="1" applyBorder="1" applyAlignment="1">
      <alignment horizontal="center"/>
    </xf>
    <xf numFmtId="0" fontId="25" fillId="8" borderId="60" xfId="8" applyNumberFormat="1" applyFont="1" applyFill="1" applyBorder="1" applyAlignment="1">
      <alignment horizontal="center"/>
    </xf>
    <xf numFmtId="0" fontId="25" fillId="18" borderId="58" xfId="8" applyNumberFormat="1" applyFont="1" applyFill="1" applyBorder="1" applyAlignment="1">
      <alignment horizontal="center"/>
    </xf>
    <xf numFmtId="0" fontId="25" fillId="18" borderId="59" xfId="8" applyNumberFormat="1" applyFont="1" applyFill="1" applyBorder="1" applyAlignment="1">
      <alignment horizontal="center"/>
    </xf>
    <xf numFmtId="0" fontId="25" fillId="8" borderId="63" xfId="8" applyNumberFormat="1" applyFont="1" applyFill="1" applyBorder="1" applyAlignment="1">
      <alignment horizontal="center" vertical="center" wrapText="1"/>
    </xf>
    <xf numFmtId="0" fontId="2" fillId="0" borderId="0" xfId="8" applyFont="1" applyAlignment="1">
      <alignment horizontal="center" wrapText="1"/>
    </xf>
    <xf numFmtId="0" fontId="3" fillId="0" borderId="0" xfId="8" applyAlignment="1">
      <alignment horizontal="center" wrapText="1"/>
    </xf>
    <xf numFmtId="0" fontId="19" fillId="20" borderId="1" xfId="8" applyFont="1" applyFill="1" applyBorder="1" applyAlignment="1">
      <alignment horizontal="right"/>
    </xf>
  </cellXfs>
  <cellStyles count="10">
    <cellStyle name="Moeda" xfId="1" builtinId="4"/>
    <cellStyle name="Moeda 2" xfId="4"/>
    <cellStyle name="Moeda 3" xfId="9"/>
    <cellStyle name="Moeda_Prop149 PG 007 DGP - EXÉRCITO limpeza" xfId="5"/>
    <cellStyle name="Moeda_Prop149 PG 007 DGP - EXÉRCITO limpeza 2" xfId="6"/>
    <cellStyle name="Normal" xfId="0" builtinId="0"/>
    <cellStyle name="Normal 2" xfId="3"/>
    <cellStyle name="Normal 3" xfId="8"/>
    <cellStyle name="Porcentagem" xfId="2" builtinId="5"/>
    <cellStyle name="Vírgula" xfId="7" builtinId="3"/>
  </cellStyles>
  <dxfs count="43">
    <dxf>
      <numFmt numFmtId="169" formatCode="_-[$R$-416]\ * #,##0.00_-;\-[$R$-416]\ * #,##0.00_-;_-[$R$-416]\ * &quot;-&quot;??_-;_-@_-"/>
      <fill>
        <patternFill patternType="solid">
          <fgColor indexed="64"/>
          <bgColor theme="0"/>
        </patternFill>
      </fill>
    </dxf>
    <dxf>
      <numFmt numFmtId="169" formatCode="_-[$R$-416]\ * #,##0.00_-;\-[$R$-416]\ * #,##0.00_-;_-[$R$-416]\ * &quot;-&quot;??_-;_-@_-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double">
          <color theme="2"/>
        </left>
        <right style="double">
          <color theme="2"/>
        </right>
        <top style="double">
          <color theme="2"/>
        </top>
        <bottom style="double">
          <color theme="2"/>
        </bottom>
        <vertical style="double">
          <color theme="2"/>
        </vertical>
        <horizontal style="double">
          <color theme="2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ouble">
          <color theme="2"/>
        </left>
        <right style="double">
          <color theme="2"/>
        </right>
        <top style="double">
          <color theme="2"/>
        </top>
        <bottom style="double">
          <color theme="2"/>
        </bottom>
        <vertical style="double">
          <color theme="2"/>
        </vertical>
        <horizontal style="double">
          <color theme="2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ouble">
          <color theme="2"/>
        </left>
        <right style="double">
          <color theme="2"/>
        </right>
        <top style="double">
          <color theme="2"/>
        </top>
        <bottom style="double">
          <color theme="2"/>
        </bottom>
        <vertical style="double">
          <color theme="2"/>
        </vertical>
        <horizontal style="double">
          <color theme="2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double">
          <color theme="2"/>
        </left>
        <right style="double">
          <color theme="2"/>
        </right>
        <top style="double">
          <color theme="2"/>
        </top>
        <bottom style="double">
          <color theme="2"/>
        </bottom>
        <vertical style="double">
          <color theme="2"/>
        </vertical>
        <horizontal style="double">
          <color theme="2"/>
        </horizontal>
      </border>
    </dxf>
    <dxf>
      <fill>
        <patternFill patternType="solid">
          <fgColor indexed="64"/>
          <bgColor theme="0"/>
        </patternFill>
      </fill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-[$R$-416]\ * #,##0.00_-;\-[$R$-416]\ * #,##0.00_-;_-[$R$-416]\ * &quot;-&quot;??_-;_-@_-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-[$R$-416]\ * #,##0.00_-;\-[$R$-416]\ * #,##0.00_-;_-[$R$-416]\ * &quot;-&quot;??_-;_-@_-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-[$R$-416]\ * #,##0.00_-;\-[$R$-416]\ * #,##0.00_-;_-[$R$-416]\ * &quot;-&quot;??_-;_-@_-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&quot;R$&quot;\ #,##0.00"/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&quot;R$&quot;\ #,##0.00"/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dosExternos_1" connectionId="1" autoFormatId="16" applyNumberFormats="0" applyBorderFormats="0" applyFontFormats="0" applyPatternFormats="0" applyAlignmentFormats="0" applyWidthHeightFormats="0">
  <queryTableRefresh nextId="11">
    <queryTableFields count="6">
      <queryTableField id="1" name="Item" tableColumnId="1"/>
      <queryTableField id="2" name="Especificação" tableColumnId="2"/>
      <queryTableField id="3" name="Unidade de_x000a_medida" tableColumnId="3"/>
      <queryTableField id="5" name="Quantidade_x000a_Anual" tableColumnId="5"/>
      <queryTableField id="6" name="Valor Unitário" tableColumnId="6"/>
      <queryTableField id="10" name="Valor Anual" tableColumnId="10"/>
    </queryTableFields>
    <queryTableDeletedFields count="4">
      <deletedField name="Column7"/>
      <deletedField name="Column9"/>
      <deletedField name="Quantidade_x000a_Mensal"/>
      <deletedField name="Valor_x000a_mensal"/>
    </queryTableDeletedFields>
  </queryTableRefresh>
</queryTable>
</file>

<file path=xl/queryTables/queryTable2.xml><?xml version="1.0" encoding="utf-8"?>
<queryTable xmlns="http://schemas.openxmlformats.org/spreadsheetml/2006/main" name="DadosExternos_2" connectionId="2" autoFormatId="16" applyNumberFormats="0" applyBorderFormats="0" applyFontFormats="0" applyPatternFormats="0" applyAlignmentFormats="0" applyWidthHeightFormats="0">
  <queryTableRefresh nextId="12">
    <queryTableFields count="8">
      <queryTableField id="1" name="Column1" tableColumnId="1"/>
      <queryTableField id="2" name="Column2" tableColumnId="2"/>
      <queryTableField id="3" name="Column3" tableColumnId="3"/>
      <queryTableField id="4" name="UTENSÍLIOS A SEREM EMPREGADOS NA EXECUÇÃO DOS SERVIÇOS" tableColumnId="4"/>
      <queryTableField id="5" name="Column5" tableColumnId="5"/>
      <queryTableField id="8" name="Column8" tableColumnId="8"/>
      <queryTableField id="9" name="Column9" tableColumnId="9"/>
      <queryTableField id="10" name="Column10" tableColumnId="10"/>
    </queryTableFields>
    <queryTableDeletedFields count="3">
      <deletedField name="Column6"/>
      <deletedField name="Column7"/>
      <deletedField name="Column11"/>
    </queryTableDeletedFields>
  </queryTableRefresh>
</queryTable>
</file>

<file path=xl/queryTables/queryTable3.xml><?xml version="1.0" encoding="utf-8"?>
<queryTable xmlns="http://schemas.openxmlformats.org/spreadsheetml/2006/main" name="DadosExternos_1" connectionId="3" autoFormatId="16" applyNumberFormats="0" applyBorderFormats="0" applyFontFormats="0" applyPatternFormats="0" applyAlignmentFormats="0" applyWidthHeightFormats="0">
  <queryTableRefresh nextId="8">
    <queryTableFields count="4">
      <queryTableField id="2" name="DESCRIÇÃO" tableColumnId="2"/>
      <queryTableField id="3" name="Quantidade por ano" tableColumnId="3"/>
      <queryTableField id="5" name="Custo unitário" tableColumnId="5"/>
      <queryTableField id="6" name="Custo Anual" tableColumnId="6"/>
    </queryTableFields>
    <queryTableDeletedFields count="3">
      <deletedField name="Column4"/>
      <deletedField name="Categoria"/>
      <deletedField name="Custo mensal por"/>
    </queryTableDeletedFields>
  </queryTableRefresh>
</queryTable>
</file>

<file path=xl/queryTables/queryTable4.xml><?xml version="1.0" encoding="utf-8"?>
<queryTable xmlns="http://schemas.openxmlformats.org/spreadsheetml/2006/main" name="DadosExternos_2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Item" tableColumnId="1"/>
      <queryTableField id="2" name="DESCRIÇÃO" tableColumnId="2"/>
      <queryTableField id="3" name="Quantidade por ano" tableColumnId="3"/>
      <queryTableField id="4" name="Custo unitário" tableColumnId="4"/>
      <queryTableField id="5" name="Custo mensal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id="1" name="Table124__Page_46" displayName="Table124__Page_46" ref="A2:F33" tableType="queryTable" totalsRowShown="0" headerRowDxfId="42" dataDxfId="41">
  <autoFilter ref="A2:F33"/>
  <tableColumns count="6">
    <tableColumn id="1" uniqueName="1" name="ITEM " queryTableFieldId="1" dataDxfId="40"/>
    <tableColumn id="2" uniqueName="2" name="Especificação" queryTableFieldId="2" dataDxfId="39"/>
    <tableColumn id="3" uniqueName="3" name="Unidade de _x000a_medida" queryTableFieldId="3" dataDxfId="38"/>
    <tableColumn id="5" uniqueName="5" name="Quantidade Anual" queryTableFieldId="5" dataDxfId="37"/>
    <tableColumn id="6" uniqueName="6" name="Valor Unitário" queryTableFieldId="6" dataDxfId="36"/>
    <tableColumn id="10" uniqueName="10" name="Valor Anual" queryTableFieldId="10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H6" totalsRowShown="0" headerRowDxfId="34" dataDxfId="32" headerRowBorderDxfId="33" tableBorderDxfId="31" totalsRowBorderDxfId="30">
  <autoFilter ref="A2:H6"/>
  <tableColumns count="8">
    <tableColumn id="1" name="ITEM" dataDxfId="29"/>
    <tableColumn id="2" name="Descrição" dataDxfId="28"/>
    <tableColumn id="3" name="Unidade" dataDxfId="27"/>
    <tableColumn id="4" name="Quantidade" dataDxfId="26"/>
    <tableColumn id="5" name="Valor Unitário" dataDxfId="25"/>
    <tableColumn id="6" name="Valor Total" dataDxfId="24">
      <calculatedColumnFormula>Tabela2[[#This Row],[Quantidade]]*Tabela2[[#This Row],[Valor Unitário]]</calculatedColumnFormula>
    </tableColumn>
    <tableColumn id="7" name="Vida Útil/meses" dataDxfId="23"/>
    <tableColumn id="8" name="Valor Mensal" dataDxfId="22">
      <calculatedColumnFormula>Tabela2[[#This Row],[Valor Total]]/Tabela2[[#This Row],[Vida Útil/meses]]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3" name="Table127__Page_48" displayName="Table127__Page_48" ref="B3:I15" tableType="queryTable" totalsRowShown="0" headerRowDxfId="21" dataDxfId="20">
  <autoFilter ref="B3:I15"/>
  <tableColumns count="8">
    <tableColumn id="1" uniqueName="1" name="ITEM" queryTableFieldId="1" dataDxfId="19"/>
    <tableColumn id="2" uniqueName="2" name="Descrição" queryTableFieldId="2" dataDxfId="18"/>
    <tableColumn id="3" uniqueName="3" name="Unidade" queryTableFieldId="3" dataDxfId="17"/>
    <tableColumn id="4" uniqueName="4" name="Quantidade" queryTableFieldId="4" dataDxfId="16"/>
    <tableColumn id="5" uniqueName="5" name="Valor Unitário" queryTableFieldId="5" dataDxfId="15"/>
    <tableColumn id="8" uniqueName="8" name="Valor Total" queryTableFieldId="8" dataDxfId="14"/>
    <tableColumn id="9" uniqueName="9" name="Vida Útil/meses" queryTableFieldId="9" dataDxfId="13"/>
    <tableColumn id="10" uniqueName="10" name="Valor Mensal" queryTableFieldId="10" dataDxfId="12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4" name="Table129__Page_50" displayName="Table129__Page_50" ref="A1:D7" tableType="queryTable" totalsRowShown="0" headerRowDxfId="11" dataDxfId="10">
  <autoFilter ref="A1:D7"/>
  <tableColumns count="4">
    <tableColumn id="2" uniqueName="2" name="DESCRIÇÃO" queryTableFieldId="2" dataDxfId="9"/>
    <tableColumn id="3" uniqueName="3" name="Quantidade por ano" queryTableFieldId="3" dataDxfId="8"/>
    <tableColumn id="5" uniqueName="5" name="Custo unitário" queryTableFieldId="5" dataDxfId="7"/>
    <tableColumn id="6" uniqueName="6" name="Custo Anual" queryTableFieldId="6" dataDxfId="6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5" name="Table130__Page_51" displayName="Table130__Page_51" ref="A2:E10" tableType="queryTable" totalsRowShown="0" dataDxfId="5">
  <autoFilter ref="A2:E10"/>
  <tableColumns count="5">
    <tableColumn id="1" uniqueName="1" name="Item" queryTableFieldId="1" dataDxfId="4"/>
    <tableColumn id="2" uniqueName="2" name="DESCRIÇÃO" queryTableFieldId="2" dataDxfId="3"/>
    <tableColumn id="3" uniqueName="3" name="Quantidade por ano" queryTableFieldId="3" dataDxfId="2"/>
    <tableColumn id="4" uniqueName="4" name="Custo unitário" queryTableFieldId="4" dataDxfId="1"/>
    <tableColumn id="5" uniqueName="5" name="Custo mensal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6" zoomScale="85" zoomScaleNormal="85" workbookViewId="0">
      <selection activeCell="I21" sqref="I21"/>
    </sheetView>
  </sheetViews>
  <sheetFormatPr defaultRowHeight="12.75" x14ac:dyDescent="0.2"/>
  <cols>
    <col min="1" max="1" width="2.85546875" customWidth="1"/>
    <col min="2" max="2" width="25.7109375" customWidth="1"/>
    <col min="3" max="3" width="20.42578125" customWidth="1"/>
    <col min="4" max="4" width="25.5703125" customWidth="1"/>
    <col min="5" max="5" width="18.85546875" customWidth="1"/>
    <col min="6" max="6" width="16.7109375" bestFit="1" customWidth="1"/>
    <col min="7" max="7" width="18" customWidth="1"/>
    <col min="8" max="9" width="18.7109375" customWidth="1"/>
    <col min="10" max="10" width="18.42578125" customWidth="1"/>
    <col min="11" max="11" width="29.42578125" customWidth="1"/>
    <col min="13" max="13" width="13.42578125" customWidth="1"/>
    <col min="14" max="14" width="13.5703125" customWidth="1"/>
    <col min="15" max="15" width="19.140625" customWidth="1"/>
    <col min="16" max="16" width="17.28515625" customWidth="1"/>
  </cols>
  <sheetData>
    <row r="1" spans="1:16" x14ac:dyDescent="0.2">
      <c r="B1" s="274" t="s">
        <v>245</v>
      </c>
      <c r="C1" s="274"/>
      <c r="D1" s="274"/>
      <c r="E1" s="274"/>
      <c r="H1" s="246" t="s">
        <v>246</v>
      </c>
      <c r="I1" s="247"/>
      <c r="J1" s="247"/>
      <c r="K1" s="248"/>
      <c r="M1" s="246" t="s">
        <v>247</v>
      </c>
      <c r="N1" s="247"/>
      <c r="O1" s="247"/>
      <c r="P1" s="248"/>
    </row>
    <row r="2" spans="1:16" x14ac:dyDescent="0.2">
      <c r="B2" s="275" t="s">
        <v>127</v>
      </c>
      <c r="C2" s="41" t="s">
        <v>128</v>
      </c>
      <c r="D2" s="41" t="s">
        <v>129</v>
      </c>
      <c r="E2" s="41" t="s">
        <v>130</v>
      </c>
      <c r="H2" s="249" t="s">
        <v>127</v>
      </c>
      <c r="I2" s="41" t="s">
        <v>128</v>
      </c>
      <c r="J2" s="41" t="s">
        <v>129</v>
      </c>
      <c r="K2" s="70" t="s">
        <v>130</v>
      </c>
      <c r="M2" s="249" t="s">
        <v>127</v>
      </c>
      <c r="N2" s="41" t="s">
        <v>128</v>
      </c>
      <c r="O2" s="41" t="s">
        <v>129</v>
      </c>
      <c r="P2" s="70" t="s">
        <v>130</v>
      </c>
    </row>
    <row r="3" spans="1:16" ht="27" x14ac:dyDescent="0.2">
      <c r="B3" s="276"/>
      <c r="C3" s="42" t="s">
        <v>135</v>
      </c>
      <c r="D3" s="43" t="s">
        <v>131</v>
      </c>
      <c r="E3" s="44" t="s">
        <v>136</v>
      </c>
      <c r="H3" s="250"/>
      <c r="I3" s="42" t="s">
        <v>135</v>
      </c>
      <c r="J3" s="43" t="s">
        <v>131</v>
      </c>
      <c r="K3" s="71" t="s">
        <v>136</v>
      </c>
      <c r="M3" s="250"/>
      <c r="N3" s="42" t="s">
        <v>135</v>
      </c>
      <c r="O3" s="43" t="s">
        <v>131</v>
      </c>
      <c r="P3" s="71" t="s">
        <v>136</v>
      </c>
    </row>
    <row r="4" spans="1:16" x14ac:dyDescent="0.2">
      <c r="B4" s="269" t="s">
        <v>133</v>
      </c>
      <c r="C4" s="45" t="s">
        <v>132</v>
      </c>
      <c r="D4" s="254">
        <f>'PREÇO POR EMPREGADO'!I120</f>
        <v>5006.4328700970618</v>
      </c>
      <c r="E4" s="277">
        <f>ROUND((1/C5*D4),2)</f>
        <v>4.17</v>
      </c>
      <c r="H4" s="251" t="s">
        <v>133</v>
      </c>
      <c r="I4" s="45" t="s">
        <v>132</v>
      </c>
      <c r="J4" s="254">
        <f>'PREÇO POR EMPREGADO'!I120</f>
        <v>5006.4328700970618</v>
      </c>
      <c r="K4" s="257">
        <f>ROUND((1/I5*J4),2)</f>
        <v>4.17</v>
      </c>
      <c r="M4" s="251" t="s">
        <v>133</v>
      </c>
      <c r="N4" s="45" t="s">
        <v>132</v>
      </c>
      <c r="O4" s="254">
        <f>'PREÇO POR EMPREGADO'!I120</f>
        <v>5006.4328700970618</v>
      </c>
      <c r="P4" s="257">
        <f>ROUND((1/N5*O4),2)</f>
        <v>2</v>
      </c>
    </row>
    <row r="5" spans="1:16" x14ac:dyDescent="0.2">
      <c r="B5" s="270"/>
      <c r="C5" s="46">
        <v>1200</v>
      </c>
      <c r="D5" s="256"/>
      <c r="E5" s="278"/>
      <c r="H5" s="253"/>
      <c r="I5" s="46">
        <v>1200</v>
      </c>
      <c r="J5" s="256"/>
      <c r="K5" s="259"/>
      <c r="M5" s="253"/>
      <c r="N5" s="46">
        <v>2500</v>
      </c>
      <c r="O5" s="256"/>
      <c r="P5" s="259"/>
    </row>
    <row r="6" spans="1:16" ht="15" thickBot="1" x14ac:dyDescent="0.25">
      <c r="B6" s="271" t="s">
        <v>137</v>
      </c>
      <c r="C6" s="272"/>
      <c r="D6" s="273"/>
      <c r="E6" s="48">
        <f>SUM(E4:E5)</f>
        <v>4.17</v>
      </c>
      <c r="H6" s="229" t="s">
        <v>137</v>
      </c>
      <c r="I6" s="230"/>
      <c r="J6" s="231"/>
      <c r="K6" s="72">
        <f>SUM(K4:K5)</f>
        <v>4.17</v>
      </c>
      <c r="M6" s="229" t="s">
        <v>137</v>
      </c>
      <c r="N6" s="230"/>
      <c r="O6" s="231"/>
      <c r="P6" s="72">
        <f>SUM(P4:P5)</f>
        <v>2</v>
      </c>
    </row>
    <row r="7" spans="1:16" x14ac:dyDescent="0.2">
      <c r="B7" s="274" t="s">
        <v>268</v>
      </c>
      <c r="C7" s="274"/>
      <c r="D7" s="274"/>
      <c r="E7" s="274"/>
      <c r="F7" s="274"/>
      <c r="G7" s="274"/>
      <c r="H7" s="280"/>
    </row>
    <row r="8" spans="1:16" ht="12.75" customHeight="1" thickBot="1" x14ac:dyDescent="0.25">
      <c r="B8" s="275" t="s">
        <v>127</v>
      </c>
      <c r="C8" s="41" t="s">
        <v>128</v>
      </c>
      <c r="D8" s="41" t="s">
        <v>129</v>
      </c>
      <c r="E8" s="41" t="s">
        <v>138</v>
      </c>
      <c r="F8" s="59" t="s">
        <v>152</v>
      </c>
      <c r="G8" s="41" t="s">
        <v>140</v>
      </c>
      <c r="H8" s="41" t="s">
        <v>141</v>
      </c>
    </row>
    <row r="9" spans="1:16" ht="27" x14ac:dyDescent="0.2">
      <c r="B9" s="276"/>
      <c r="C9" s="42" t="s">
        <v>135</v>
      </c>
      <c r="D9" s="44" t="s">
        <v>144</v>
      </c>
      <c r="E9" s="44" t="s">
        <v>142</v>
      </c>
      <c r="F9" s="59" t="s">
        <v>139</v>
      </c>
      <c r="G9" s="44" t="s">
        <v>143</v>
      </c>
      <c r="H9" s="44" t="s">
        <v>136</v>
      </c>
      <c r="M9" s="246" t="s">
        <v>244</v>
      </c>
      <c r="N9" s="247"/>
      <c r="O9" s="247"/>
      <c r="P9" s="248"/>
    </row>
    <row r="10" spans="1:16" x14ac:dyDescent="0.2">
      <c r="B10" s="269" t="s">
        <v>133</v>
      </c>
      <c r="C10" s="45" t="s">
        <v>132</v>
      </c>
      <c r="D10" s="281">
        <v>16</v>
      </c>
      <c r="E10" s="283">
        <f>1/188.76</f>
        <v>5.2977325704598437E-3</v>
      </c>
      <c r="F10" s="283">
        <f>(1/C11)*D10*E10</f>
        <v>2.2306242401936183E-4</v>
      </c>
      <c r="G10" s="285">
        <f>'PREÇO POR EMPREGADO'!I120</f>
        <v>5006.4328700970618</v>
      </c>
      <c r="H10" s="287">
        <f>G10*F10</f>
        <v>1.1167470516940614</v>
      </c>
      <c r="M10" s="249" t="s">
        <v>127</v>
      </c>
      <c r="N10" s="41" t="s">
        <v>128</v>
      </c>
      <c r="O10" s="41" t="s">
        <v>129</v>
      </c>
      <c r="P10" s="70" t="s">
        <v>130</v>
      </c>
    </row>
    <row r="11" spans="1:16" ht="27" x14ac:dyDescent="0.2">
      <c r="B11" s="270"/>
      <c r="C11" s="46">
        <v>380</v>
      </c>
      <c r="D11" s="282"/>
      <c r="E11" s="284"/>
      <c r="F11" s="284"/>
      <c r="G11" s="286"/>
      <c r="H11" s="288"/>
      <c r="M11" s="250"/>
      <c r="N11" s="42" t="s">
        <v>135</v>
      </c>
      <c r="O11" s="43" t="s">
        <v>131</v>
      </c>
      <c r="P11" s="71" t="s">
        <v>136</v>
      </c>
    </row>
    <row r="12" spans="1:16" ht="14.25" x14ac:dyDescent="0.2">
      <c r="B12" s="279" t="s">
        <v>137</v>
      </c>
      <c r="C12" s="279"/>
      <c r="D12" s="279"/>
      <c r="E12" s="279"/>
      <c r="F12" s="279"/>
      <c r="G12" s="279"/>
      <c r="H12" s="47">
        <f>SUM(H10)</f>
        <v>1.1167470516940614</v>
      </c>
      <c r="M12" s="251" t="s">
        <v>133</v>
      </c>
      <c r="N12" s="45" t="s">
        <v>132</v>
      </c>
      <c r="O12" s="254">
        <f>'PREÇO POR EMPREGADO'!I120</f>
        <v>5006.4328700970618</v>
      </c>
      <c r="P12" s="257">
        <f>ROUND((1/N13*O12),2)</f>
        <v>3.34</v>
      </c>
    </row>
    <row r="13" spans="1:16" x14ac:dyDescent="0.2">
      <c r="M13" s="253"/>
      <c r="N13" s="46">
        <v>1500</v>
      </c>
      <c r="O13" s="256"/>
      <c r="P13" s="259"/>
    </row>
    <row r="14" spans="1:16" ht="39" thickBot="1" x14ac:dyDescent="0.25">
      <c r="A14" s="260" t="s">
        <v>123</v>
      </c>
      <c r="B14" s="260"/>
      <c r="C14" s="39" t="s">
        <v>124</v>
      </c>
      <c r="D14" s="40" t="s">
        <v>125</v>
      </c>
      <c r="E14" s="39" t="s">
        <v>145</v>
      </c>
      <c r="F14" s="40" t="s">
        <v>126</v>
      </c>
      <c r="G14" s="61" t="s">
        <v>153</v>
      </c>
      <c r="M14" s="229" t="s">
        <v>137</v>
      </c>
      <c r="N14" s="230"/>
      <c r="O14" s="231"/>
      <c r="P14" s="72">
        <f>SUM(P12:P13)</f>
        <v>3.34</v>
      </c>
    </row>
    <row r="15" spans="1:16" x14ac:dyDescent="0.2">
      <c r="A15" s="31" t="s">
        <v>148</v>
      </c>
      <c r="B15" s="31" t="s">
        <v>147</v>
      </c>
      <c r="C15" s="60">
        <f>E6</f>
        <v>4.17</v>
      </c>
      <c r="D15" s="32">
        <v>2552.36</v>
      </c>
      <c r="E15" s="50">
        <v>1200</v>
      </c>
      <c r="F15" s="49">
        <f>D15*C15</f>
        <v>10643.341200000001</v>
      </c>
      <c r="G15" s="63">
        <f>F15*12</f>
        <v>127720.0944</v>
      </c>
      <c r="K15" s="101"/>
    </row>
    <row r="16" spans="1:16" x14ac:dyDescent="0.2">
      <c r="A16" s="132"/>
      <c r="B16" s="132" t="s">
        <v>249</v>
      </c>
      <c r="C16" s="60">
        <f>K6</f>
        <v>4.17</v>
      </c>
      <c r="D16" s="131">
        <v>372.83</v>
      </c>
      <c r="E16" s="50">
        <v>1200</v>
      </c>
      <c r="F16" s="49">
        <f>D16*C16</f>
        <v>1554.7011</v>
      </c>
      <c r="G16" s="63">
        <f t="shared" ref="G16:G20" si="0">F16*12</f>
        <v>18656.413199999999</v>
      </c>
      <c r="K16" s="101"/>
    </row>
    <row r="17" spans="1:16" x14ac:dyDescent="0.2">
      <c r="A17" s="132"/>
      <c r="B17" s="132" t="s">
        <v>250</v>
      </c>
      <c r="C17" s="60">
        <f>P6</f>
        <v>2</v>
      </c>
      <c r="D17" s="155">
        <v>54.78</v>
      </c>
      <c r="E17" s="159">
        <v>2500</v>
      </c>
      <c r="F17" s="49">
        <f>D17*C17</f>
        <v>109.56</v>
      </c>
      <c r="G17" s="63">
        <f t="shared" si="0"/>
        <v>1314.72</v>
      </c>
      <c r="K17" s="101"/>
    </row>
    <row r="18" spans="1:16" ht="25.5" x14ac:dyDescent="0.2">
      <c r="A18" s="132"/>
      <c r="B18" s="134" t="s">
        <v>251</v>
      </c>
      <c r="C18" s="60">
        <f>P14</f>
        <v>3.34</v>
      </c>
      <c r="D18" s="155">
        <v>611.64</v>
      </c>
      <c r="E18" s="159">
        <v>1500</v>
      </c>
      <c r="F18" s="49">
        <f>C18*D18</f>
        <v>2042.8775999999998</v>
      </c>
      <c r="G18" s="63">
        <f t="shared" si="0"/>
        <v>24514.531199999998</v>
      </c>
      <c r="K18" s="101"/>
    </row>
    <row r="19" spans="1:16" ht="13.5" thickBot="1" x14ac:dyDescent="0.25">
      <c r="A19" s="132"/>
      <c r="B19" s="134" t="s">
        <v>252</v>
      </c>
      <c r="C19" s="60">
        <f>P27</f>
        <v>16.690000000000001</v>
      </c>
      <c r="D19" s="155">
        <v>12.95</v>
      </c>
      <c r="E19" s="159">
        <v>300</v>
      </c>
      <c r="F19" s="49">
        <f>C19*D19</f>
        <v>216.13550000000001</v>
      </c>
      <c r="G19" s="63">
        <f t="shared" si="0"/>
        <v>2593.6260000000002</v>
      </c>
      <c r="K19" s="101"/>
    </row>
    <row r="20" spans="1:16" x14ac:dyDescent="0.2">
      <c r="A20" s="64" t="s">
        <v>149</v>
      </c>
      <c r="B20" s="132" t="s">
        <v>146</v>
      </c>
      <c r="C20" s="60">
        <f>H12</f>
        <v>1.1167470516940614</v>
      </c>
      <c r="D20" s="65">
        <v>1071</v>
      </c>
      <c r="E20" s="73">
        <v>380</v>
      </c>
      <c r="F20" s="49">
        <f t="shared" ref="F20" si="1">D20*C20</f>
        <v>1196.0360923643398</v>
      </c>
      <c r="G20" s="63">
        <f t="shared" si="0"/>
        <v>14352.433108372077</v>
      </c>
      <c r="M20" s="246" t="s">
        <v>248</v>
      </c>
      <c r="N20" s="247"/>
      <c r="O20" s="247"/>
      <c r="P20" s="248"/>
    </row>
    <row r="21" spans="1:16" x14ac:dyDescent="0.2">
      <c r="A21" s="31" t="s">
        <v>150</v>
      </c>
      <c r="B21" s="31"/>
      <c r="C21" s="60"/>
      <c r="D21" s="32"/>
      <c r="E21" s="50"/>
      <c r="F21" s="49">
        <f>C21*D21</f>
        <v>0</v>
      </c>
      <c r="G21" s="63">
        <f>F21*12</f>
        <v>0</v>
      </c>
      <c r="M21" s="249" t="s">
        <v>127</v>
      </c>
      <c r="N21" s="41" t="s">
        <v>128</v>
      </c>
      <c r="O21" s="41" t="s">
        <v>129</v>
      </c>
      <c r="P21" s="70" t="s">
        <v>130</v>
      </c>
    </row>
    <row r="22" spans="1:16" ht="27" x14ac:dyDescent="0.2">
      <c r="A22" s="266" t="s">
        <v>24</v>
      </c>
      <c r="B22" s="267"/>
      <c r="C22" s="267"/>
      <c r="D22" s="267"/>
      <c r="E22" s="268"/>
      <c r="F22" s="60">
        <f>SUM(F15:F21)</f>
        <v>15762.651492364341</v>
      </c>
      <c r="G22" s="62">
        <f>SUM(G15:G21)</f>
        <v>189151.81790837209</v>
      </c>
      <c r="H22" s="135"/>
      <c r="I22" s="18"/>
      <c r="M22" s="250"/>
      <c r="N22" s="42" t="s">
        <v>135</v>
      </c>
      <c r="O22" s="43" t="s">
        <v>131</v>
      </c>
      <c r="P22" s="71" t="s">
        <v>136</v>
      </c>
    </row>
    <row r="23" spans="1:16" x14ac:dyDescent="0.2">
      <c r="M23" s="251" t="s">
        <v>133</v>
      </c>
      <c r="N23" s="45" t="s">
        <v>132</v>
      </c>
      <c r="O23" s="254">
        <f>'PREÇO POR EMPREGADO'!I120</f>
        <v>5006.4328700970618</v>
      </c>
      <c r="P23" s="257">
        <f>ROUND((1/N26*O23),2)</f>
        <v>16.690000000000001</v>
      </c>
    </row>
    <row r="24" spans="1:16" x14ac:dyDescent="0.2">
      <c r="M24" s="252"/>
      <c r="N24" s="138"/>
      <c r="O24" s="255"/>
      <c r="P24" s="258"/>
    </row>
    <row r="25" spans="1:16" x14ac:dyDescent="0.2">
      <c r="M25" s="252"/>
      <c r="N25" s="138"/>
      <c r="O25" s="255"/>
      <c r="P25" s="258"/>
    </row>
    <row r="26" spans="1:16" x14ac:dyDescent="0.2">
      <c r="M26" s="253"/>
      <c r="N26" s="46">
        <v>300</v>
      </c>
      <c r="O26" s="256"/>
      <c r="P26" s="259"/>
    </row>
    <row r="27" spans="1:16" ht="15" thickBot="1" x14ac:dyDescent="0.25">
      <c r="A27" s="261"/>
      <c r="B27" s="262"/>
      <c r="C27" s="37"/>
      <c r="D27" s="37"/>
      <c r="E27" s="37"/>
      <c r="F27" s="37"/>
      <c r="G27" s="37"/>
      <c r="M27" s="229" t="s">
        <v>137</v>
      </c>
      <c r="N27" s="230"/>
      <c r="O27" s="231"/>
      <c r="P27" s="72">
        <f>SUM(P23:P26)</f>
        <v>16.690000000000001</v>
      </c>
    </row>
    <row r="28" spans="1:16" x14ac:dyDescent="0.2">
      <c r="A28" s="32"/>
      <c r="B28" s="31"/>
      <c r="C28" s="99"/>
      <c r="D28" s="137"/>
      <c r="E28" s="99"/>
      <c r="F28" s="99"/>
      <c r="G28" s="136"/>
    </row>
    <row r="29" spans="1:16" x14ac:dyDescent="0.2">
      <c r="A29" s="32"/>
      <c r="B29" s="31"/>
      <c r="C29" s="31"/>
      <c r="D29" s="31"/>
      <c r="E29" s="31"/>
      <c r="F29" s="31"/>
      <c r="G29" s="38"/>
    </row>
    <row r="30" spans="1:16" x14ac:dyDescent="0.2">
      <c r="A30" s="32"/>
      <c r="B30" s="31"/>
      <c r="C30" s="31"/>
      <c r="D30" s="31"/>
      <c r="E30" s="31"/>
      <c r="F30" s="31"/>
      <c r="G30" s="38"/>
    </row>
    <row r="31" spans="1:16" x14ac:dyDescent="0.2">
      <c r="A31" s="266"/>
      <c r="B31" s="267"/>
      <c r="C31" s="267"/>
      <c r="D31" s="267"/>
      <c r="E31" s="267"/>
      <c r="F31" s="268"/>
      <c r="G31" s="38"/>
    </row>
    <row r="33" spans="1:10" x14ac:dyDescent="0.2">
      <c r="A33" s="263" t="s">
        <v>45</v>
      </c>
      <c r="B33" s="264"/>
      <c r="C33" s="264"/>
      <c r="D33" s="264"/>
      <c r="E33" s="264"/>
      <c r="F33" s="264"/>
      <c r="G33" s="265"/>
      <c r="H33" s="18"/>
    </row>
    <row r="34" spans="1:10" x14ac:dyDescent="0.2">
      <c r="A34" s="263" t="s">
        <v>120</v>
      </c>
      <c r="B34" s="264"/>
      <c r="C34" s="264"/>
      <c r="D34" s="264"/>
      <c r="E34" s="264"/>
      <c r="F34" s="265"/>
      <c r="G34" s="33" t="s">
        <v>122</v>
      </c>
      <c r="I34" s="163" t="s">
        <v>274</v>
      </c>
    </row>
    <row r="35" spans="1:10" x14ac:dyDescent="0.2">
      <c r="A35" s="31" t="s">
        <v>10</v>
      </c>
      <c r="B35" s="243" t="s">
        <v>121</v>
      </c>
      <c r="C35" s="244"/>
      <c r="D35" s="244"/>
      <c r="E35" s="244"/>
      <c r="F35" s="245"/>
      <c r="G35" s="31"/>
      <c r="I35" s="161"/>
    </row>
    <row r="36" spans="1:10" x14ac:dyDescent="0.2">
      <c r="A36" s="31" t="s">
        <v>11</v>
      </c>
      <c r="B36" s="243" t="s">
        <v>48</v>
      </c>
      <c r="C36" s="244"/>
      <c r="D36" s="244"/>
      <c r="E36" s="244"/>
      <c r="F36" s="245"/>
      <c r="G36" s="153">
        <f>F22</f>
        <v>15762.651492364341</v>
      </c>
      <c r="H36" s="225">
        <v>15762.89</v>
      </c>
      <c r="I36" s="162">
        <v>24186.160475578574</v>
      </c>
    </row>
    <row r="37" spans="1:10" x14ac:dyDescent="0.2">
      <c r="A37" s="31" t="s">
        <v>12</v>
      </c>
      <c r="B37" s="243" t="s">
        <v>267</v>
      </c>
      <c r="C37" s="244"/>
      <c r="D37" s="244"/>
      <c r="E37" s="244"/>
      <c r="F37" s="245"/>
      <c r="G37" s="133">
        <f>36*G36</f>
        <v>567455.45372511633</v>
      </c>
      <c r="H37" s="225">
        <v>567464.02</v>
      </c>
      <c r="I37" s="162">
        <v>870701.77712082863</v>
      </c>
    </row>
    <row r="38" spans="1:10" ht="13.5" thickBot="1" x14ac:dyDescent="0.25">
      <c r="H38" s="225"/>
    </row>
    <row r="39" spans="1:10" ht="15" x14ac:dyDescent="0.25">
      <c r="B39" s="232" t="s">
        <v>253</v>
      </c>
      <c r="C39" s="233"/>
      <c r="D39" s="233"/>
      <c r="E39" s="233"/>
      <c r="F39" s="234"/>
    </row>
    <row r="40" spans="1:10" ht="15" x14ac:dyDescent="0.25">
      <c r="B40" s="235" t="s">
        <v>254</v>
      </c>
      <c r="C40" s="236"/>
      <c r="D40" s="236"/>
      <c r="E40" s="236"/>
      <c r="F40" s="237"/>
      <c r="H40" s="225">
        <f>G36*12</f>
        <v>189151.81790837209</v>
      </c>
      <c r="I40" s="18">
        <f>H40/3</f>
        <v>63050.605969457363</v>
      </c>
    </row>
    <row r="41" spans="1:10" ht="15" x14ac:dyDescent="0.25">
      <c r="B41" s="146"/>
      <c r="C41" s="147"/>
      <c r="D41" s="147"/>
      <c r="E41" s="147"/>
      <c r="F41" s="148"/>
      <c r="H41" s="18"/>
    </row>
    <row r="42" spans="1:10" ht="15" x14ac:dyDescent="0.25">
      <c r="B42" s="238" t="s">
        <v>255</v>
      </c>
      <c r="C42" s="139" t="s">
        <v>256</v>
      </c>
      <c r="D42" s="140" t="s">
        <v>257</v>
      </c>
      <c r="E42" s="139" t="s">
        <v>258</v>
      </c>
      <c r="F42" s="149" t="s">
        <v>259</v>
      </c>
      <c r="H42" s="225"/>
      <c r="I42" s="18"/>
      <c r="J42" s="18"/>
    </row>
    <row r="43" spans="1:10" x14ac:dyDescent="0.2">
      <c r="B43" s="239"/>
      <c r="C43" s="132" t="s">
        <v>260</v>
      </c>
      <c r="D43" s="141">
        <f t="shared" ref="D43:D48" si="2">E15</f>
        <v>1200</v>
      </c>
      <c r="E43" s="142">
        <v>2552.36</v>
      </c>
      <c r="F43" s="150">
        <f>E43/D43</f>
        <v>2.1269666666666667</v>
      </c>
      <c r="G43" s="18"/>
    </row>
    <row r="44" spans="1:10" x14ac:dyDescent="0.2">
      <c r="B44" s="239"/>
      <c r="C44" s="132" t="s">
        <v>261</v>
      </c>
      <c r="D44" s="141">
        <f t="shared" si="2"/>
        <v>1200</v>
      </c>
      <c r="E44" s="142">
        <v>372.83</v>
      </c>
      <c r="F44" s="150">
        <f>E44/D44</f>
        <v>0.31069166666666664</v>
      </c>
    </row>
    <row r="45" spans="1:10" x14ac:dyDescent="0.2">
      <c r="B45" s="239"/>
      <c r="C45" s="132" t="s">
        <v>262</v>
      </c>
      <c r="D45" s="141">
        <f t="shared" si="2"/>
        <v>2500</v>
      </c>
      <c r="E45" s="156">
        <v>54.78</v>
      </c>
      <c r="F45" s="158">
        <f>E45/D45</f>
        <v>2.1912000000000001E-2</v>
      </c>
    </row>
    <row r="46" spans="1:10" ht="38.25" x14ac:dyDescent="0.2">
      <c r="B46" s="239"/>
      <c r="C46" s="143" t="s">
        <v>263</v>
      </c>
      <c r="D46" s="141">
        <f t="shared" si="2"/>
        <v>1500</v>
      </c>
      <c r="E46" s="156">
        <v>611.64</v>
      </c>
      <c r="F46" s="158">
        <f>E46/D46</f>
        <v>0.40776000000000001</v>
      </c>
      <c r="I46" s="18"/>
    </row>
    <row r="47" spans="1:10" x14ac:dyDescent="0.2">
      <c r="B47" s="240"/>
      <c r="C47" s="132" t="s">
        <v>264</v>
      </c>
      <c r="D47" s="141">
        <f t="shared" si="2"/>
        <v>300</v>
      </c>
      <c r="E47" s="156">
        <v>12.95</v>
      </c>
      <c r="F47" s="158">
        <f>E47/D47</f>
        <v>4.3166666666666666E-2</v>
      </c>
    </row>
    <row r="48" spans="1:10" ht="15" x14ac:dyDescent="0.2">
      <c r="B48" s="151" t="s">
        <v>265</v>
      </c>
      <c r="C48" s="144" t="s">
        <v>266</v>
      </c>
      <c r="D48" s="164">
        <f t="shared" si="2"/>
        <v>380</v>
      </c>
      <c r="E48" s="145">
        <v>1071</v>
      </c>
      <c r="F48" s="152">
        <f>1071/380/220*16</f>
        <v>0.20497607655502392</v>
      </c>
    </row>
    <row r="49" spans="2:6" ht="15.75" thickBot="1" x14ac:dyDescent="0.3">
      <c r="B49" s="241" t="s">
        <v>133</v>
      </c>
      <c r="C49" s="242"/>
      <c r="D49" s="242"/>
      <c r="E49" s="242"/>
      <c r="F49" s="157">
        <f>SUM(F43:F48)</f>
        <v>3.1154730765550238</v>
      </c>
    </row>
    <row r="55" spans="2:6" x14ac:dyDescent="0.2">
      <c r="E55" s="17"/>
    </row>
    <row r="57" spans="2:6" ht="15" x14ac:dyDescent="0.25">
      <c r="B57" s="160" t="s">
        <v>269</v>
      </c>
    </row>
    <row r="58" spans="2:6" ht="14.25" x14ac:dyDescent="0.2">
      <c r="B58" s="154" t="s">
        <v>270</v>
      </c>
    </row>
    <row r="59" spans="2:6" ht="14.25" x14ac:dyDescent="0.2">
      <c r="B59" s="154" t="s">
        <v>271</v>
      </c>
    </row>
    <row r="60" spans="2:6" ht="14.25" x14ac:dyDescent="0.2">
      <c r="B60" s="154" t="s">
        <v>272</v>
      </c>
    </row>
  </sheetData>
  <mergeCells count="52">
    <mergeCell ref="B12:G12"/>
    <mergeCell ref="B7:H7"/>
    <mergeCell ref="D10:D11"/>
    <mergeCell ref="F10:F11"/>
    <mergeCell ref="G10:G11"/>
    <mergeCell ref="B10:B11"/>
    <mergeCell ref="H10:H11"/>
    <mergeCell ref="B8:B9"/>
    <mergeCell ref="E10:E11"/>
    <mergeCell ref="B4:B5"/>
    <mergeCell ref="B6:D6"/>
    <mergeCell ref="B1:E1"/>
    <mergeCell ref="B2:B3"/>
    <mergeCell ref="D4:D5"/>
    <mergeCell ref="E4:E5"/>
    <mergeCell ref="A14:B14"/>
    <mergeCell ref="A27:B27"/>
    <mergeCell ref="A34:F34"/>
    <mergeCell ref="A33:G33"/>
    <mergeCell ref="A31:F31"/>
    <mergeCell ref="A22:E22"/>
    <mergeCell ref="H6:J6"/>
    <mergeCell ref="H1:K1"/>
    <mergeCell ref="H2:H3"/>
    <mergeCell ref="H4:H5"/>
    <mergeCell ref="J4:J5"/>
    <mergeCell ref="K4:K5"/>
    <mergeCell ref="M1:P1"/>
    <mergeCell ref="M2:M3"/>
    <mergeCell ref="M4:M5"/>
    <mergeCell ref="O4:O5"/>
    <mergeCell ref="P4:P5"/>
    <mergeCell ref="M14:O14"/>
    <mergeCell ref="M6:O6"/>
    <mergeCell ref="M9:P9"/>
    <mergeCell ref="M10:M11"/>
    <mergeCell ref="M12:M13"/>
    <mergeCell ref="O12:O13"/>
    <mergeCell ref="P12:P13"/>
    <mergeCell ref="M20:P20"/>
    <mergeCell ref="M21:M22"/>
    <mergeCell ref="M23:M26"/>
    <mergeCell ref="O23:O26"/>
    <mergeCell ref="P23:P26"/>
    <mergeCell ref="M27:O27"/>
    <mergeCell ref="B39:F39"/>
    <mergeCell ref="B40:F40"/>
    <mergeCell ref="B42:B47"/>
    <mergeCell ref="B49:E49"/>
    <mergeCell ref="B35:F35"/>
    <mergeCell ref="B36:F36"/>
    <mergeCell ref="B37:F37"/>
  </mergeCells>
  <pageMargins left="0.51181102362204722" right="0.51181102362204722" top="0.51181102362204722" bottom="0.43307086614173229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T146"/>
  <sheetViews>
    <sheetView topLeftCell="A79" zoomScale="85" zoomScaleNormal="85" workbookViewId="0">
      <selection activeCell="K95" sqref="K95"/>
    </sheetView>
  </sheetViews>
  <sheetFormatPr defaultRowHeight="12.75" x14ac:dyDescent="0.2"/>
  <cols>
    <col min="1" max="1" width="10" bestFit="1" customWidth="1"/>
    <col min="5" max="5" width="10.85546875" bestFit="1" customWidth="1"/>
    <col min="7" max="7" width="26.28515625" customWidth="1"/>
    <col min="8" max="8" width="8.85546875" customWidth="1"/>
    <col min="9" max="9" width="21.42578125" customWidth="1"/>
    <col min="10" max="10" width="13.140625" customWidth="1"/>
    <col min="11" max="11" width="29.42578125" customWidth="1"/>
    <col min="12" max="13" width="19.5703125" customWidth="1"/>
    <col min="14" max="14" width="14.28515625" customWidth="1"/>
    <col min="15" max="15" width="9.85546875" customWidth="1"/>
    <col min="17" max="17" width="14.42578125" customWidth="1"/>
    <col min="18" max="18" width="15.5703125" customWidth="1"/>
    <col min="19" max="19" width="12.7109375" customWidth="1"/>
  </cols>
  <sheetData>
    <row r="1" spans="1:9" x14ac:dyDescent="0.2">
      <c r="A1" s="289" t="s">
        <v>167</v>
      </c>
      <c r="B1" s="289"/>
      <c r="C1" s="289"/>
      <c r="D1" s="289"/>
      <c r="E1" s="289"/>
      <c r="F1" s="289"/>
      <c r="G1" s="289"/>
      <c r="H1" s="289"/>
      <c r="I1" s="289"/>
    </row>
    <row r="2" spans="1:9" ht="42.75" customHeight="1" x14ac:dyDescent="0.2">
      <c r="A2" s="291" t="s">
        <v>184</v>
      </c>
      <c r="B2" s="291"/>
      <c r="C2" s="291"/>
      <c r="D2" s="291"/>
      <c r="E2" s="291"/>
      <c r="F2" s="291"/>
      <c r="G2" s="291"/>
      <c r="H2" s="291"/>
      <c r="I2" s="291"/>
    </row>
    <row r="3" spans="1:9" ht="48.75" customHeight="1" x14ac:dyDescent="0.2">
      <c r="A3" s="297" t="s">
        <v>51</v>
      </c>
      <c r="B3" s="297"/>
      <c r="C3" s="297"/>
      <c r="D3" s="297"/>
      <c r="E3" s="297"/>
      <c r="F3" s="297"/>
      <c r="G3" s="297"/>
      <c r="H3" s="297"/>
      <c r="I3" s="297"/>
    </row>
    <row r="4" spans="1:9" x14ac:dyDescent="0.2">
      <c r="A4" s="74" t="s">
        <v>10</v>
      </c>
      <c r="B4" s="295" t="s">
        <v>52</v>
      </c>
      <c r="C4" s="295"/>
      <c r="D4" s="295"/>
      <c r="E4" s="295"/>
      <c r="F4" s="295"/>
      <c r="G4" s="295"/>
      <c r="H4" s="295"/>
      <c r="I4" s="75"/>
    </row>
    <row r="5" spans="1:9" x14ac:dyDescent="0.2">
      <c r="A5" s="74" t="s">
        <v>11</v>
      </c>
      <c r="B5" s="295" t="s">
        <v>53</v>
      </c>
      <c r="C5" s="295"/>
      <c r="D5" s="295"/>
      <c r="E5" s="295"/>
      <c r="F5" s="295"/>
      <c r="G5" s="295"/>
      <c r="H5" s="295"/>
      <c r="I5" s="68" t="s">
        <v>185</v>
      </c>
    </row>
    <row r="6" spans="1:9" x14ac:dyDescent="0.2">
      <c r="A6" s="74" t="s">
        <v>12</v>
      </c>
      <c r="B6" s="296" t="s">
        <v>69</v>
      </c>
      <c r="C6" s="296"/>
      <c r="D6" s="296"/>
      <c r="E6" s="296"/>
      <c r="F6" s="296"/>
      <c r="G6" s="296"/>
      <c r="H6" s="296"/>
      <c r="I6" s="74">
        <v>2022</v>
      </c>
    </row>
    <row r="7" spans="1:9" x14ac:dyDescent="0.2">
      <c r="A7" s="74" t="s">
        <v>13</v>
      </c>
      <c r="B7" s="295" t="s">
        <v>54</v>
      </c>
      <c r="C7" s="295"/>
      <c r="D7" s="295"/>
      <c r="E7" s="295"/>
      <c r="F7" s="295"/>
      <c r="G7" s="295"/>
      <c r="H7" s="295"/>
      <c r="I7" s="74">
        <v>36</v>
      </c>
    </row>
    <row r="8" spans="1:9" x14ac:dyDescent="0.2">
      <c r="A8" s="76"/>
      <c r="B8" s="77"/>
      <c r="C8" s="77"/>
      <c r="D8" s="77"/>
      <c r="E8" s="77"/>
      <c r="F8" s="77"/>
      <c r="G8" s="77"/>
      <c r="H8" s="76"/>
      <c r="I8" s="76"/>
    </row>
    <row r="9" spans="1:9" x14ac:dyDescent="0.2">
      <c r="A9" s="297" t="s">
        <v>58</v>
      </c>
      <c r="B9" s="297"/>
      <c r="C9" s="297"/>
      <c r="D9" s="297"/>
      <c r="E9" s="297"/>
      <c r="F9" s="297"/>
      <c r="G9" s="297"/>
      <c r="H9" s="297"/>
      <c r="I9" s="297"/>
    </row>
    <row r="10" spans="1:9" x14ac:dyDescent="0.2">
      <c r="A10" s="292" t="s">
        <v>55</v>
      </c>
      <c r="B10" s="292"/>
      <c r="C10" s="292" t="s">
        <v>56</v>
      </c>
      <c r="D10" s="292"/>
      <c r="E10" s="292" t="s">
        <v>57</v>
      </c>
      <c r="F10" s="292"/>
      <c r="G10" s="292"/>
      <c r="H10" s="292"/>
      <c r="I10" s="292"/>
    </row>
    <row r="11" spans="1:9" x14ac:dyDescent="0.2">
      <c r="A11" s="292" t="s">
        <v>59</v>
      </c>
      <c r="B11" s="292"/>
      <c r="C11" s="293" t="s">
        <v>65</v>
      </c>
      <c r="D11" s="292"/>
      <c r="E11" s="294"/>
      <c r="F11" s="292"/>
      <c r="G11" s="292"/>
      <c r="H11" s="292"/>
      <c r="I11" s="292"/>
    </row>
    <row r="12" spans="1:9" x14ac:dyDescent="0.2">
      <c r="A12" s="76"/>
      <c r="B12" s="77"/>
      <c r="C12" s="77"/>
      <c r="D12" s="77"/>
      <c r="E12" s="77"/>
      <c r="F12" s="77"/>
      <c r="G12" s="77"/>
      <c r="H12" s="76"/>
      <c r="I12" s="76"/>
    </row>
    <row r="13" spans="1:9" x14ac:dyDescent="0.2">
      <c r="A13" s="297" t="s">
        <v>70</v>
      </c>
      <c r="B13" s="297"/>
      <c r="C13" s="297"/>
      <c r="D13" s="297"/>
      <c r="E13" s="297"/>
      <c r="F13" s="297"/>
      <c r="G13" s="297"/>
      <c r="H13" s="297"/>
      <c r="I13" s="297"/>
    </row>
    <row r="14" spans="1:9" x14ac:dyDescent="0.2">
      <c r="A14" s="74">
        <v>1</v>
      </c>
      <c r="B14" s="295" t="s">
        <v>9</v>
      </c>
      <c r="C14" s="295"/>
      <c r="D14" s="295"/>
      <c r="E14" s="295"/>
      <c r="F14" s="295"/>
      <c r="G14" s="295"/>
      <c r="H14" s="295"/>
      <c r="I14" s="74" t="s">
        <v>59</v>
      </c>
    </row>
    <row r="15" spans="1:9" x14ac:dyDescent="0.2">
      <c r="A15" s="74">
        <v>2</v>
      </c>
      <c r="B15" s="296" t="s">
        <v>71</v>
      </c>
      <c r="C15" s="296"/>
      <c r="D15" s="296"/>
      <c r="E15" s="296"/>
      <c r="F15" s="296"/>
      <c r="G15" s="296"/>
      <c r="H15" s="296"/>
      <c r="I15" s="74">
        <v>5143</v>
      </c>
    </row>
    <row r="16" spans="1:9" x14ac:dyDescent="0.2">
      <c r="A16" s="74">
        <v>3</v>
      </c>
      <c r="B16" s="295" t="s">
        <v>8</v>
      </c>
      <c r="C16" s="295"/>
      <c r="D16" s="295"/>
      <c r="E16" s="295"/>
      <c r="F16" s="295"/>
      <c r="G16" s="295"/>
      <c r="H16" s="295"/>
      <c r="I16" s="36">
        <v>1416.75</v>
      </c>
    </row>
    <row r="17" spans="1:10" x14ac:dyDescent="0.2">
      <c r="A17" s="74">
        <v>4</v>
      </c>
      <c r="B17" s="295" t="s">
        <v>7</v>
      </c>
      <c r="C17" s="295"/>
      <c r="D17" s="295"/>
      <c r="E17" s="295"/>
      <c r="F17" s="295"/>
      <c r="G17" s="295"/>
      <c r="H17" s="295"/>
      <c r="I17" s="78" t="s">
        <v>60</v>
      </c>
    </row>
    <row r="18" spans="1:10" x14ac:dyDescent="0.2">
      <c r="A18" s="74">
        <v>5</v>
      </c>
      <c r="B18" s="295" t="s">
        <v>6</v>
      </c>
      <c r="C18" s="295"/>
      <c r="D18" s="295"/>
      <c r="E18" s="295"/>
      <c r="F18" s="295"/>
      <c r="G18" s="295"/>
      <c r="H18" s="295"/>
      <c r="I18" s="75">
        <v>44562</v>
      </c>
    </row>
    <row r="19" spans="1:10" x14ac:dyDescent="0.2">
      <c r="A19" s="298"/>
      <c r="B19" s="298"/>
      <c r="C19" s="298"/>
      <c r="D19" s="298"/>
      <c r="E19" s="298"/>
      <c r="F19" s="298"/>
      <c r="G19" s="298"/>
      <c r="H19" s="298"/>
      <c r="I19" s="298"/>
    </row>
    <row r="20" spans="1:10" x14ac:dyDescent="0.2">
      <c r="A20" s="290" t="s">
        <v>30</v>
      </c>
      <c r="B20" s="290"/>
      <c r="C20" s="290"/>
      <c r="D20" s="290"/>
      <c r="E20" s="290"/>
      <c r="F20" s="290"/>
      <c r="G20" s="290"/>
      <c r="H20" s="290"/>
      <c r="I20" s="290"/>
    </row>
    <row r="21" spans="1:10" x14ac:dyDescent="0.2">
      <c r="A21" s="66">
        <v>1</v>
      </c>
      <c r="B21" s="279" t="s">
        <v>18</v>
      </c>
      <c r="C21" s="279"/>
      <c r="D21" s="279"/>
      <c r="E21" s="279"/>
      <c r="F21" s="279"/>
      <c r="G21" s="279"/>
      <c r="H21" s="66" t="s">
        <v>3</v>
      </c>
      <c r="I21" s="66" t="s">
        <v>1</v>
      </c>
    </row>
    <row r="22" spans="1:10" x14ac:dyDescent="0.2">
      <c r="A22" s="66" t="s">
        <v>10</v>
      </c>
      <c r="B22" s="325" t="s">
        <v>155</v>
      </c>
      <c r="C22" s="296"/>
      <c r="D22" s="296"/>
      <c r="E22" s="296"/>
      <c r="F22" s="296"/>
      <c r="G22" s="296"/>
      <c r="H22" s="52">
        <v>1</v>
      </c>
      <c r="I22" s="99">
        <v>1416.75</v>
      </c>
    </row>
    <row r="23" spans="1:10" x14ac:dyDescent="0.2">
      <c r="A23" s="66" t="s">
        <v>11</v>
      </c>
      <c r="B23" s="325" t="s">
        <v>72</v>
      </c>
      <c r="C23" s="296"/>
      <c r="D23" s="296"/>
      <c r="E23" s="296"/>
      <c r="F23" s="296"/>
      <c r="G23" s="296"/>
      <c r="H23" s="53">
        <v>0</v>
      </c>
      <c r="I23" s="26">
        <f>I22*H23</f>
        <v>0</v>
      </c>
    </row>
    <row r="24" spans="1:10" x14ac:dyDescent="0.2">
      <c r="A24" s="66" t="s">
        <v>12</v>
      </c>
      <c r="B24" s="325" t="s">
        <v>156</v>
      </c>
      <c r="C24" s="296"/>
      <c r="D24" s="296"/>
      <c r="E24" s="296"/>
      <c r="F24" s="296"/>
      <c r="G24" s="296"/>
      <c r="H24" s="53">
        <v>0</v>
      </c>
      <c r="I24" s="26">
        <f>I22*H24</f>
        <v>0</v>
      </c>
    </row>
    <row r="25" spans="1:10" x14ac:dyDescent="0.2">
      <c r="A25" s="66" t="s">
        <v>13</v>
      </c>
      <c r="B25" s="296" t="s">
        <v>2</v>
      </c>
      <c r="C25" s="296"/>
      <c r="D25" s="296"/>
      <c r="E25" s="296"/>
      <c r="F25" s="296"/>
      <c r="G25" s="296"/>
      <c r="H25" s="53">
        <v>0</v>
      </c>
      <c r="I25" s="26">
        <v>0</v>
      </c>
    </row>
    <row r="26" spans="1:10" x14ac:dyDescent="0.2">
      <c r="A26" s="19" t="s">
        <v>14</v>
      </c>
      <c r="B26" s="296" t="s">
        <v>73</v>
      </c>
      <c r="C26" s="296"/>
      <c r="D26" s="296"/>
      <c r="E26" s="296"/>
      <c r="F26" s="296"/>
      <c r="G26" s="296"/>
      <c r="H26" s="54">
        <v>0</v>
      </c>
      <c r="I26" s="26">
        <v>0</v>
      </c>
      <c r="J26" s="122"/>
    </row>
    <row r="27" spans="1:10" x14ac:dyDescent="0.2">
      <c r="A27" s="19" t="s">
        <v>15</v>
      </c>
      <c r="B27" s="325" t="s">
        <v>4</v>
      </c>
      <c r="C27" s="296"/>
      <c r="D27" s="296"/>
      <c r="E27" s="296"/>
      <c r="F27" s="296"/>
      <c r="G27" s="296"/>
      <c r="H27" s="53">
        <v>0</v>
      </c>
      <c r="I27" s="26">
        <v>0</v>
      </c>
    </row>
    <row r="28" spans="1:10" x14ac:dyDescent="0.2">
      <c r="A28" s="279" t="s">
        <v>98</v>
      </c>
      <c r="B28" s="279"/>
      <c r="C28" s="279"/>
      <c r="D28" s="279"/>
      <c r="E28" s="279"/>
      <c r="F28" s="279"/>
      <c r="G28" s="279"/>
      <c r="H28" s="279"/>
      <c r="I28" s="100">
        <f>SUM(I22:I27)</f>
        <v>1416.75</v>
      </c>
      <c r="J28" s="51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3"/>
    </row>
    <row r="30" spans="1:10" x14ac:dyDescent="0.2">
      <c r="A30" s="290" t="s">
        <v>74</v>
      </c>
      <c r="B30" s="290"/>
      <c r="C30" s="290"/>
      <c r="D30" s="290"/>
      <c r="E30" s="290"/>
      <c r="F30" s="290"/>
      <c r="G30" s="290"/>
      <c r="H30" s="290"/>
      <c r="I30" s="290"/>
      <c r="J30" s="4"/>
    </row>
    <row r="31" spans="1:10" x14ac:dyDescent="0.2">
      <c r="A31" s="279" t="s">
        <v>88</v>
      </c>
      <c r="B31" s="279"/>
      <c r="C31" s="279"/>
      <c r="D31" s="279"/>
      <c r="E31" s="279"/>
      <c r="F31" s="279"/>
      <c r="G31" s="279"/>
      <c r="H31" s="66" t="s">
        <v>3</v>
      </c>
      <c r="I31" s="66" t="s">
        <v>1</v>
      </c>
      <c r="J31" s="4"/>
    </row>
    <row r="32" spans="1:10" x14ac:dyDescent="0.2">
      <c r="A32" s="66" t="s">
        <v>10</v>
      </c>
      <c r="B32" s="325" t="s">
        <v>76</v>
      </c>
      <c r="C32" s="296"/>
      <c r="D32" s="296"/>
      <c r="E32" s="296"/>
      <c r="F32" s="296"/>
      <c r="G32" s="296"/>
      <c r="H32" s="1">
        <v>8.3299999999999999E-2</v>
      </c>
      <c r="I32" s="26">
        <f>I28*H32</f>
        <v>118.015275</v>
      </c>
      <c r="J32" s="4"/>
    </row>
    <row r="33" spans="1:20" x14ac:dyDescent="0.2">
      <c r="A33" s="66" t="s">
        <v>11</v>
      </c>
      <c r="B33" s="296" t="s">
        <v>275</v>
      </c>
      <c r="C33" s="296"/>
      <c r="D33" s="296"/>
      <c r="E33" s="296"/>
      <c r="F33" s="296"/>
      <c r="G33" s="296"/>
      <c r="H33" s="20">
        <v>0.1111</v>
      </c>
      <c r="I33" s="26">
        <f>H33*I28</f>
        <v>157.400925</v>
      </c>
      <c r="J33" s="4"/>
    </row>
    <row r="34" spans="1:20" x14ac:dyDescent="0.2">
      <c r="A34" s="279" t="s">
        <v>77</v>
      </c>
      <c r="B34" s="279"/>
      <c r="C34" s="279"/>
      <c r="D34" s="279"/>
      <c r="E34" s="279"/>
      <c r="F34" s="279"/>
      <c r="G34" s="279"/>
      <c r="H34" s="5"/>
      <c r="I34" s="25">
        <f>SUM(I32:I33)</f>
        <v>275.4162</v>
      </c>
      <c r="J34" s="4"/>
    </row>
    <row r="35" spans="1:20" x14ac:dyDescent="0.2">
      <c r="A35" s="340"/>
      <c r="B35" s="341"/>
      <c r="C35" s="341"/>
      <c r="D35" s="341"/>
      <c r="E35" s="341"/>
      <c r="F35" s="341"/>
      <c r="G35" s="341"/>
      <c r="H35" s="341"/>
      <c r="I35" s="341"/>
      <c r="J35" s="4"/>
    </row>
    <row r="36" spans="1:20" x14ac:dyDescent="0.2">
      <c r="A36" s="279" t="s">
        <v>89</v>
      </c>
      <c r="B36" s="279"/>
      <c r="C36" s="279"/>
      <c r="D36" s="279"/>
      <c r="E36" s="279"/>
      <c r="F36" s="279"/>
      <c r="G36" s="279"/>
      <c r="H36" s="66" t="s">
        <v>3</v>
      </c>
      <c r="I36" s="66" t="s">
        <v>1</v>
      </c>
      <c r="J36" s="4"/>
    </row>
    <row r="37" spans="1:20" x14ac:dyDescent="0.2">
      <c r="A37" s="66" t="s">
        <v>10</v>
      </c>
      <c r="B37" s="325" t="s">
        <v>80</v>
      </c>
      <c r="C37" s="296"/>
      <c r="D37" s="296"/>
      <c r="E37" s="296"/>
      <c r="F37" s="296"/>
      <c r="G37" s="296"/>
      <c r="H37" s="55">
        <v>0.2</v>
      </c>
      <c r="I37" s="26">
        <f>(I28+I34)*H37</f>
        <v>338.43324000000007</v>
      </c>
      <c r="J37" s="4"/>
      <c r="K37" s="34"/>
      <c r="L37" s="30"/>
    </row>
    <row r="38" spans="1:20" x14ac:dyDescent="0.2">
      <c r="A38" s="66" t="s">
        <v>11</v>
      </c>
      <c r="B38" s="325" t="s">
        <v>81</v>
      </c>
      <c r="C38" s="296"/>
      <c r="D38" s="296"/>
      <c r="E38" s="296"/>
      <c r="F38" s="296"/>
      <c r="G38" s="296"/>
      <c r="H38" s="55">
        <v>2.5000000000000001E-2</v>
      </c>
      <c r="I38" s="26">
        <f>(I28+I34)*H38</f>
        <v>42.304155000000009</v>
      </c>
      <c r="J38" s="4"/>
      <c r="K38" s="35"/>
      <c r="L38" s="30"/>
    </row>
    <row r="39" spans="1:20" x14ac:dyDescent="0.2">
      <c r="A39" s="66" t="s">
        <v>12</v>
      </c>
      <c r="B39" s="325" t="s">
        <v>82</v>
      </c>
      <c r="C39" s="296"/>
      <c r="D39" s="296"/>
      <c r="E39" s="296"/>
      <c r="F39" s="296"/>
      <c r="G39" s="296"/>
      <c r="H39" s="56">
        <v>1.4999999999999999E-2</v>
      </c>
      <c r="I39" s="26">
        <f>(I28+I34)*H39</f>
        <v>25.382493</v>
      </c>
      <c r="J39" s="4"/>
      <c r="K39" s="34"/>
    </row>
    <row r="40" spans="1:20" x14ac:dyDescent="0.2">
      <c r="A40" s="66" t="s">
        <v>13</v>
      </c>
      <c r="B40" s="325" t="s">
        <v>79</v>
      </c>
      <c r="C40" s="325"/>
      <c r="D40" s="325"/>
      <c r="E40" s="325"/>
      <c r="F40" s="325"/>
      <c r="G40" s="325"/>
      <c r="H40" s="55">
        <v>1.4999999999999999E-2</v>
      </c>
      <c r="I40" s="26">
        <f>(I28+I34)*H40</f>
        <v>25.382493</v>
      </c>
      <c r="J40" s="4"/>
      <c r="K40" s="34"/>
    </row>
    <row r="41" spans="1:20" x14ac:dyDescent="0.2">
      <c r="A41" s="66" t="s">
        <v>14</v>
      </c>
      <c r="B41" s="325" t="s">
        <v>83</v>
      </c>
      <c r="C41" s="296"/>
      <c r="D41" s="296"/>
      <c r="E41" s="296"/>
      <c r="F41" s="296"/>
      <c r="G41" s="296"/>
      <c r="H41" s="55">
        <v>0.01</v>
      </c>
      <c r="I41" s="26">
        <f>(I28+I34)*H41</f>
        <v>16.921662000000001</v>
      </c>
      <c r="J41" s="4"/>
    </row>
    <row r="42" spans="1:20" x14ac:dyDescent="0.2">
      <c r="A42" s="66" t="s">
        <v>15</v>
      </c>
      <c r="B42" s="325" t="s">
        <v>84</v>
      </c>
      <c r="C42" s="296"/>
      <c r="D42" s="296"/>
      <c r="E42" s="296"/>
      <c r="F42" s="296"/>
      <c r="G42" s="296"/>
      <c r="H42" s="55">
        <v>6.0000000000000001E-3</v>
      </c>
      <c r="I42" s="26">
        <f>(I28+I34)*H42</f>
        <v>10.152997200000001</v>
      </c>
      <c r="J42" s="4"/>
    </row>
    <row r="43" spans="1:20" x14ac:dyDescent="0.2">
      <c r="A43" s="66" t="s">
        <v>16</v>
      </c>
      <c r="B43" s="325" t="s">
        <v>85</v>
      </c>
      <c r="C43" s="296"/>
      <c r="D43" s="296"/>
      <c r="E43" s="296"/>
      <c r="F43" s="296"/>
      <c r="G43" s="296"/>
      <c r="H43" s="55">
        <v>2E-3</v>
      </c>
      <c r="I43" s="26">
        <f>(I28+I34)*H43</f>
        <v>3.3843324000000004</v>
      </c>
      <c r="J43" s="4"/>
    </row>
    <row r="44" spans="1:20" x14ac:dyDescent="0.2">
      <c r="A44" s="66" t="s">
        <v>17</v>
      </c>
      <c r="B44" s="325" t="s">
        <v>86</v>
      </c>
      <c r="C44" s="296"/>
      <c r="D44" s="296"/>
      <c r="E44" s="296"/>
      <c r="F44" s="296"/>
      <c r="G44" s="296"/>
      <c r="H44" s="55">
        <v>0.08</v>
      </c>
      <c r="I44" s="26">
        <f>(I28+I34)*H44</f>
        <v>135.37329600000001</v>
      </c>
      <c r="J44" s="4"/>
    </row>
    <row r="45" spans="1:20" x14ac:dyDescent="0.2">
      <c r="A45" s="279" t="s">
        <v>87</v>
      </c>
      <c r="B45" s="279"/>
      <c r="C45" s="279"/>
      <c r="D45" s="279"/>
      <c r="E45" s="279"/>
      <c r="F45" s="279"/>
      <c r="G45" s="279"/>
      <c r="H45" s="56">
        <f>SUM(H37:H44)</f>
        <v>0.35300000000000004</v>
      </c>
      <c r="I45" s="25">
        <f>SUM(I37:I44)</f>
        <v>597.33466860000021</v>
      </c>
      <c r="J45" s="4"/>
    </row>
    <row r="46" spans="1:20" ht="13.5" thickBot="1" x14ac:dyDescent="0.25">
      <c r="A46" s="342"/>
      <c r="B46" s="342"/>
      <c r="C46" s="342"/>
      <c r="D46" s="342"/>
      <c r="E46" s="342"/>
      <c r="F46" s="342"/>
      <c r="G46" s="342"/>
      <c r="H46" s="342"/>
      <c r="I46" s="343"/>
      <c r="J46" s="4"/>
      <c r="K46" s="18"/>
    </row>
    <row r="47" spans="1:20" ht="13.5" thickBot="1" x14ac:dyDescent="0.25">
      <c r="A47" s="279" t="s">
        <v>90</v>
      </c>
      <c r="B47" s="279"/>
      <c r="C47" s="279"/>
      <c r="D47" s="279"/>
      <c r="E47" s="279"/>
      <c r="F47" s="279"/>
      <c r="G47" s="279"/>
      <c r="H47" s="5"/>
      <c r="I47" s="66" t="s">
        <v>1</v>
      </c>
      <c r="J47" s="4"/>
      <c r="K47" s="351" t="s">
        <v>174</v>
      </c>
      <c r="L47" s="352"/>
      <c r="M47" s="352"/>
      <c r="N47" s="352"/>
      <c r="O47" s="353"/>
      <c r="Q47" s="351" t="s">
        <v>182</v>
      </c>
      <c r="R47" s="352"/>
      <c r="S47" s="352"/>
      <c r="T47" s="353"/>
    </row>
    <row r="48" spans="1:20" ht="39.75" customHeight="1" x14ac:dyDescent="0.2">
      <c r="A48" s="66" t="s">
        <v>10</v>
      </c>
      <c r="B48" s="323" t="s">
        <v>187</v>
      </c>
      <c r="C48" s="324"/>
      <c r="D48" s="324"/>
      <c r="E48" s="324"/>
      <c r="F48" s="324"/>
      <c r="G48" s="324"/>
      <c r="H48" s="68" t="s">
        <v>0</v>
      </c>
      <c r="I48" s="24">
        <f>O49-N52</f>
        <v>145.995</v>
      </c>
      <c r="J48" s="105"/>
      <c r="K48" s="108" t="s">
        <v>173</v>
      </c>
      <c r="L48" s="109" t="s">
        <v>169</v>
      </c>
      <c r="M48" s="110" t="s">
        <v>170</v>
      </c>
      <c r="N48" s="111" t="s">
        <v>171</v>
      </c>
      <c r="O48" s="112" t="s">
        <v>172</v>
      </c>
      <c r="Q48" s="108" t="s">
        <v>168</v>
      </c>
      <c r="R48" s="109" t="s">
        <v>181</v>
      </c>
      <c r="S48" s="111" t="s">
        <v>171</v>
      </c>
      <c r="T48" s="112" t="s">
        <v>172</v>
      </c>
    </row>
    <row r="49" spans="1:20" ht="13.5" thickBot="1" x14ac:dyDescent="0.25">
      <c r="A49" s="66" t="s">
        <v>11</v>
      </c>
      <c r="B49" s="326" t="s">
        <v>180</v>
      </c>
      <c r="C49" s="327"/>
      <c r="D49" s="327"/>
      <c r="E49" s="327"/>
      <c r="F49" s="327"/>
      <c r="G49" s="328"/>
      <c r="H49" s="68" t="s">
        <v>0</v>
      </c>
      <c r="I49" s="24">
        <f>T49-T52</f>
        <v>798</v>
      </c>
      <c r="J49" s="4"/>
      <c r="K49" s="106" t="s">
        <v>60</v>
      </c>
      <c r="L49" s="107">
        <v>5.5</v>
      </c>
      <c r="M49" s="107">
        <v>2</v>
      </c>
      <c r="N49" s="107">
        <v>21</v>
      </c>
      <c r="O49" s="113">
        <f>L49*M49*N49</f>
        <v>231</v>
      </c>
      <c r="Q49" s="106" t="s">
        <v>60</v>
      </c>
      <c r="R49" s="107">
        <v>38</v>
      </c>
      <c r="S49" s="107">
        <v>21</v>
      </c>
      <c r="T49" s="113">
        <f>R49*S49</f>
        <v>798</v>
      </c>
    </row>
    <row r="50" spans="1:20" ht="16.5" customHeight="1" thickBot="1" x14ac:dyDescent="0.25">
      <c r="A50" s="66" t="s">
        <v>12</v>
      </c>
      <c r="B50" s="323" t="s">
        <v>186</v>
      </c>
      <c r="C50" s="324"/>
      <c r="D50" s="324"/>
      <c r="E50" s="324"/>
      <c r="F50" s="324"/>
      <c r="G50" s="324"/>
      <c r="H50" s="68" t="s">
        <v>0</v>
      </c>
      <c r="I50" s="24">
        <v>169.67</v>
      </c>
      <c r="J50" s="4"/>
      <c r="K50" s="351" t="s">
        <v>175</v>
      </c>
      <c r="L50" s="352"/>
      <c r="M50" s="352"/>
      <c r="N50" s="352"/>
      <c r="O50" s="353"/>
      <c r="Q50" s="351" t="s">
        <v>183</v>
      </c>
      <c r="R50" s="352"/>
      <c r="S50" s="352"/>
      <c r="T50" s="353"/>
    </row>
    <row r="51" spans="1:20" ht="25.5" x14ac:dyDescent="0.2">
      <c r="A51" s="66" t="s">
        <v>13</v>
      </c>
      <c r="B51" s="323" t="s">
        <v>4</v>
      </c>
      <c r="C51" s="324"/>
      <c r="D51" s="324"/>
      <c r="E51" s="324"/>
      <c r="F51" s="324"/>
      <c r="G51" s="324"/>
      <c r="H51" s="68" t="s">
        <v>0</v>
      </c>
      <c r="I51" s="24">
        <f>11.27+2.5</f>
        <v>13.77</v>
      </c>
      <c r="J51" s="4"/>
      <c r="K51" s="108" t="s">
        <v>176</v>
      </c>
      <c r="L51" s="109" t="s">
        <v>177</v>
      </c>
      <c r="M51" s="110" t="s">
        <v>178</v>
      </c>
      <c r="N51" s="363" t="s">
        <v>179</v>
      </c>
      <c r="O51" s="364"/>
      <c r="Q51" s="108" t="s">
        <v>168</v>
      </c>
      <c r="R51" s="109" t="s">
        <v>177</v>
      </c>
      <c r="S51" s="111" t="s">
        <v>178</v>
      </c>
      <c r="T51" s="112" t="s">
        <v>172</v>
      </c>
    </row>
    <row r="52" spans="1:20" ht="13.5" thickBot="1" x14ac:dyDescent="0.25">
      <c r="A52" s="279" t="s">
        <v>91</v>
      </c>
      <c r="B52" s="279"/>
      <c r="C52" s="279"/>
      <c r="D52" s="279"/>
      <c r="E52" s="279"/>
      <c r="F52" s="279"/>
      <c r="G52" s="279"/>
      <c r="H52" s="279"/>
      <c r="I52" s="25">
        <f>SUM(I48:I51)</f>
        <v>1127.4349999999999</v>
      </c>
      <c r="J52" s="4"/>
      <c r="K52" s="106" t="s">
        <v>60</v>
      </c>
      <c r="L52" s="115">
        <v>1416.75</v>
      </c>
      <c r="M52" s="114">
        <v>0.06</v>
      </c>
      <c r="N52" s="365">
        <f>L52*M52</f>
        <v>85.004999999999995</v>
      </c>
      <c r="O52" s="366"/>
      <c r="Q52" s="106" t="s">
        <v>60</v>
      </c>
      <c r="R52" s="107">
        <v>0</v>
      </c>
      <c r="S52" s="114">
        <v>0</v>
      </c>
      <c r="T52" s="113">
        <f>R52*S52</f>
        <v>0</v>
      </c>
    </row>
    <row r="53" spans="1:20" x14ac:dyDescent="0.2">
      <c r="A53" s="342"/>
      <c r="B53" s="342"/>
      <c r="C53" s="342"/>
      <c r="D53" s="342"/>
      <c r="E53" s="342"/>
      <c r="F53" s="342"/>
      <c r="G53" s="342"/>
      <c r="H53" s="342"/>
      <c r="I53" s="343"/>
      <c r="J53" s="4"/>
    </row>
    <row r="54" spans="1:20" x14ac:dyDescent="0.2">
      <c r="A54" s="263" t="s">
        <v>92</v>
      </c>
      <c r="B54" s="264"/>
      <c r="C54" s="264"/>
      <c r="D54" s="264"/>
      <c r="E54" s="264"/>
      <c r="F54" s="264"/>
      <c r="G54" s="264"/>
      <c r="H54" s="264"/>
      <c r="I54" s="265"/>
      <c r="J54" s="4"/>
      <c r="K54" s="367"/>
      <c r="L54" s="367"/>
      <c r="M54" s="367"/>
      <c r="N54" s="367"/>
      <c r="O54" s="367"/>
    </row>
    <row r="55" spans="1:20" x14ac:dyDescent="0.2">
      <c r="A55" s="266" t="s">
        <v>96</v>
      </c>
      <c r="B55" s="267"/>
      <c r="C55" s="267"/>
      <c r="D55" s="267"/>
      <c r="E55" s="267"/>
      <c r="F55" s="267"/>
      <c r="G55" s="267"/>
      <c r="H55" s="268"/>
      <c r="I55" s="66" t="s">
        <v>1</v>
      </c>
      <c r="J55" s="4"/>
      <c r="K55" s="116"/>
      <c r="L55" s="2"/>
      <c r="M55" s="117"/>
      <c r="N55" s="116"/>
      <c r="O55" s="116"/>
    </row>
    <row r="56" spans="1:20" x14ac:dyDescent="0.2">
      <c r="A56" s="66" t="s">
        <v>93</v>
      </c>
      <c r="B56" s="243" t="s">
        <v>75</v>
      </c>
      <c r="C56" s="244"/>
      <c r="D56" s="244"/>
      <c r="E56" s="244"/>
      <c r="F56" s="244"/>
      <c r="G56" s="244"/>
      <c r="H56" s="245"/>
      <c r="I56" s="21">
        <f>I34</f>
        <v>275.4162</v>
      </c>
      <c r="J56" s="4"/>
      <c r="K56" s="4"/>
      <c r="L56" s="4"/>
      <c r="M56" s="4"/>
      <c r="N56" s="4"/>
      <c r="O56" s="118"/>
    </row>
    <row r="57" spans="1:20" x14ac:dyDescent="0.2">
      <c r="A57" s="19" t="s">
        <v>94</v>
      </c>
      <c r="B57" s="294" t="s">
        <v>78</v>
      </c>
      <c r="C57" s="294"/>
      <c r="D57" s="294"/>
      <c r="E57" s="294"/>
      <c r="F57" s="294"/>
      <c r="G57" s="294"/>
      <c r="H57" s="294"/>
      <c r="I57" s="22">
        <f>I45</f>
        <v>597.33466860000021</v>
      </c>
      <c r="J57" s="4"/>
    </row>
    <row r="58" spans="1:20" x14ac:dyDescent="0.2">
      <c r="A58" s="19" t="s">
        <v>95</v>
      </c>
      <c r="B58" s="294" t="s">
        <v>97</v>
      </c>
      <c r="C58" s="294"/>
      <c r="D58" s="294"/>
      <c r="E58" s="294"/>
      <c r="F58" s="294"/>
      <c r="G58" s="294"/>
      <c r="H58" s="294"/>
      <c r="I58" s="22">
        <f>I52</f>
        <v>1127.4349999999999</v>
      </c>
      <c r="J58" s="4"/>
    </row>
    <row r="59" spans="1:20" x14ac:dyDescent="0.2">
      <c r="A59" s="279" t="s">
        <v>99</v>
      </c>
      <c r="B59" s="279"/>
      <c r="C59" s="279"/>
      <c r="D59" s="279"/>
      <c r="E59" s="279"/>
      <c r="F59" s="279"/>
      <c r="G59" s="279"/>
      <c r="H59" s="279"/>
      <c r="I59" s="57">
        <f>SUM(I56:I58)</f>
        <v>2000.1858686</v>
      </c>
      <c r="J59" s="4"/>
    </row>
    <row r="60" spans="1:20" x14ac:dyDescent="0.2">
      <c r="A60" s="338"/>
      <c r="B60" s="339"/>
      <c r="C60" s="339"/>
      <c r="D60" s="339"/>
      <c r="E60" s="339"/>
      <c r="F60" s="339"/>
      <c r="G60" s="339"/>
      <c r="H60" s="339"/>
      <c r="I60" s="339"/>
      <c r="J60" s="4"/>
    </row>
    <row r="61" spans="1:20" x14ac:dyDescent="0.2">
      <c r="A61" s="290" t="s">
        <v>100</v>
      </c>
      <c r="B61" s="290"/>
      <c r="C61" s="290"/>
      <c r="D61" s="290"/>
      <c r="E61" s="290"/>
      <c r="F61" s="290"/>
      <c r="G61" s="290"/>
      <c r="H61" s="290"/>
      <c r="I61" s="290"/>
      <c r="J61" s="4"/>
      <c r="K61" s="266"/>
      <c r="L61" s="268"/>
      <c r="M61" s="119"/>
      <c r="N61" s="119"/>
    </row>
    <row r="62" spans="1:20" x14ac:dyDescent="0.2">
      <c r="A62" s="66">
        <v>3</v>
      </c>
      <c r="B62" s="279" t="s">
        <v>101</v>
      </c>
      <c r="C62" s="279"/>
      <c r="D62" s="279"/>
      <c r="E62" s="279"/>
      <c r="F62" s="279"/>
      <c r="G62" s="279"/>
      <c r="H62" s="66" t="s">
        <v>3</v>
      </c>
      <c r="I62" s="66" t="s">
        <v>1</v>
      </c>
      <c r="J62" s="4"/>
      <c r="K62" s="102"/>
      <c r="L62" s="102"/>
      <c r="M62" s="120"/>
    </row>
    <row r="63" spans="1:20" x14ac:dyDescent="0.2">
      <c r="A63" s="66" t="s">
        <v>10</v>
      </c>
      <c r="B63" s="330" t="s">
        <v>104</v>
      </c>
      <c r="C63" s="329"/>
      <c r="D63" s="329"/>
      <c r="E63" s="329"/>
      <c r="F63" s="329"/>
      <c r="G63" s="329"/>
      <c r="H63" s="15">
        <v>4.1999999999999997E-3</v>
      </c>
      <c r="I63" s="22">
        <f>H63*$I$28</f>
        <v>5.9503499999999994</v>
      </c>
      <c r="J63" s="4"/>
      <c r="K63" s="104"/>
      <c r="L63" s="1"/>
      <c r="M63" s="17"/>
      <c r="N63" s="17"/>
    </row>
    <row r="64" spans="1:20" x14ac:dyDescent="0.2">
      <c r="A64" s="66" t="s">
        <v>11</v>
      </c>
      <c r="B64" s="325" t="s">
        <v>103</v>
      </c>
      <c r="C64" s="325"/>
      <c r="D64" s="325"/>
      <c r="E64" s="325"/>
      <c r="F64" s="325"/>
      <c r="G64" s="325"/>
      <c r="H64" s="15">
        <f>H63*H44</f>
        <v>3.3599999999999998E-4</v>
      </c>
      <c r="I64" s="22">
        <f t="shared" ref="I64:I68" si="0">H64*$I$28</f>
        <v>0.47602799999999995</v>
      </c>
      <c r="J64" s="4"/>
      <c r="K64" s="104"/>
      <c r="L64" s="103"/>
      <c r="M64" s="51"/>
      <c r="O64" s="51"/>
    </row>
    <row r="65" spans="1:14" x14ac:dyDescent="0.2">
      <c r="A65" s="66" t="s">
        <v>12</v>
      </c>
      <c r="B65" s="330" t="s">
        <v>105</v>
      </c>
      <c r="C65" s="329"/>
      <c r="D65" s="329"/>
      <c r="E65" s="329"/>
      <c r="F65" s="329"/>
      <c r="G65" s="329"/>
      <c r="H65" s="165">
        <v>3.5000000000000003E-2</v>
      </c>
      <c r="I65" s="22">
        <f t="shared" si="0"/>
        <v>49.586250000000007</v>
      </c>
      <c r="J65" s="4"/>
      <c r="K65" s="104"/>
      <c r="L65" s="1"/>
      <c r="M65" s="17"/>
      <c r="N65" s="17"/>
    </row>
    <row r="66" spans="1:14" ht="46.5" customHeight="1" x14ac:dyDescent="0.2">
      <c r="A66" s="121" t="s">
        <v>13</v>
      </c>
      <c r="B66" s="331" t="s">
        <v>102</v>
      </c>
      <c r="C66" s="331"/>
      <c r="D66" s="331"/>
      <c r="E66" s="331"/>
      <c r="F66" s="331"/>
      <c r="G66" s="331"/>
      <c r="H66" s="1">
        <v>1.9E-3</v>
      </c>
      <c r="I66" s="22">
        <f t="shared" si="0"/>
        <v>2.6918250000000001</v>
      </c>
      <c r="J66" s="4"/>
      <c r="K66" s="361"/>
      <c r="L66" s="362"/>
      <c r="M66" s="51"/>
      <c r="N66" s="51"/>
    </row>
    <row r="67" spans="1:14" x14ac:dyDescent="0.2">
      <c r="A67" s="66" t="s">
        <v>14</v>
      </c>
      <c r="B67" s="325" t="s">
        <v>157</v>
      </c>
      <c r="C67" s="325"/>
      <c r="D67" s="325"/>
      <c r="E67" s="325"/>
      <c r="F67" s="325"/>
      <c r="G67" s="325"/>
      <c r="H67" s="20">
        <f>H66*H45</f>
        <v>6.7070000000000009E-4</v>
      </c>
      <c r="I67" s="22">
        <f t="shared" si="0"/>
        <v>0.95021422500000008</v>
      </c>
      <c r="J67" s="4"/>
      <c r="L67" s="105"/>
      <c r="M67" s="119"/>
      <c r="N67" s="119"/>
    </row>
    <row r="68" spans="1:14" x14ac:dyDescent="0.2">
      <c r="A68" s="66" t="s">
        <v>15</v>
      </c>
      <c r="B68" s="330" t="s">
        <v>106</v>
      </c>
      <c r="C68" s="330"/>
      <c r="D68" s="330"/>
      <c r="E68" s="330"/>
      <c r="F68" s="330"/>
      <c r="G68" s="330"/>
      <c r="H68" s="15">
        <v>5.0000000000000001E-3</v>
      </c>
      <c r="I68" s="22">
        <f t="shared" si="0"/>
        <v>7.0837500000000002</v>
      </c>
      <c r="J68" s="4"/>
      <c r="M68" s="120"/>
    </row>
    <row r="69" spans="1:14" x14ac:dyDescent="0.2">
      <c r="A69" s="279" t="s">
        <v>107</v>
      </c>
      <c r="B69" s="279"/>
      <c r="C69" s="279"/>
      <c r="D69" s="279"/>
      <c r="E69" s="279"/>
      <c r="F69" s="279"/>
      <c r="G69" s="279"/>
      <c r="H69" s="5"/>
      <c r="I69" s="25">
        <f>SUM(I63:I68)</f>
        <v>66.738417225000006</v>
      </c>
      <c r="J69" s="4"/>
      <c r="M69" s="17"/>
      <c r="N69" s="17"/>
    </row>
    <row r="70" spans="1:14" x14ac:dyDescent="0.2">
      <c r="A70" s="266"/>
      <c r="B70" s="267"/>
      <c r="C70" s="267"/>
      <c r="D70" s="267"/>
      <c r="E70" s="267"/>
      <c r="F70" s="267"/>
      <c r="G70" s="267"/>
      <c r="H70" s="267"/>
      <c r="I70" s="267"/>
      <c r="J70" s="4"/>
      <c r="M70" s="51"/>
    </row>
    <row r="71" spans="1:14" x14ac:dyDescent="0.2">
      <c r="A71" s="290" t="s">
        <v>108</v>
      </c>
      <c r="B71" s="290"/>
      <c r="C71" s="290"/>
      <c r="D71" s="290"/>
      <c r="E71" s="290"/>
      <c r="F71" s="290"/>
      <c r="G71" s="290"/>
      <c r="H71" s="290"/>
      <c r="I71" s="290"/>
      <c r="J71" s="4"/>
      <c r="M71" s="17"/>
      <c r="N71" s="17"/>
    </row>
    <row r="72" spans="1:14" x14ac:dyDescent="0.2">
      <c r="A72" s="279" t="s">
        <v>158</v>
      </c>
      <c r="B72" s="279"/>
      <c r="C72" s="279"/>
      <c r="D72" s="279"/>
      <c r="E72" s="279"/>
      <c r="F72" s="279"/>
      <c r="G72" s="279"/>
      <c r="H72" s="66" t="s">
        <v>3</v>
      </c>
      <c r="I72" s="66" t="s">
        <v>1</v>
      </c>
      <c r="J72" s="4"/>
      <c r="M72" s="51"/>
      <c r="N72" s="51"/>
    </row>
    <row r="73" spans="1:14" ht="33.75" customHeight="1" x14ac:dyDescent="0.2">
      <c r="A73" s="66" t="s">
        <v>10</v>
      </c>
      <c r="B73" s="333" t="s">
        <v>159</v>
      </c>
      <c r="C73" s="333"/>
      <c r="D73" s="333"/>
      <c r="E73" s="333"/>
      <c r="F73" s="333"/>
      <c r="G73" s="333"/>
      <c r="H73" s="79">
        <v>9.4999999999999998E-3</v>
      </c>
      <c r="I73" s="26">
        <f>H73*$I$28</f>
        <v>13.459125</v>
      </c>
      <c r="J73" s="4"/>
    </row>
    <row r="74" spans="1:14" x14ac:dyDescent="0.2">
      <c r="A74" s="19" t="s">
        <v>11</v>
      </c>
      <c r="B74" s="330" t="s">
        <v>160</v>
      </c>
      <c r="C74" s="329"/>
      <c r="D74" s="329"/>
      <c r="E74" s="329"/>
      <c r="F74" s="329"/>
      <c r="G74" s="329"/>
      <c r="H74" s="80">
        <v>1.1000000000000001E-3</v>
      </c>
      <c r="I74" s="26">
        <f t="shared" ref="I74:I78" si="1">H74*$I$28</f>
        <v>1.5584250000000002</v>
      </c>
      <c r="J74" s="4"/>
      <c r="K74" s="51"/>
    </row>
    <row r="75" spans="1:14" x14ac:dyDescent="0.2">
      <c r="A75" s="19" t="s">
        <v>12</v>
      </c>
      <c r="B75" s="329" t="s">
        <v>161</v>
      </c>
      <c r="C75" s="329"/>
      <c r="D75" s="329"/>
      <c r="E75" s="329"/>
      <c r="F75" s="329"/>
      <c r="G75" s="329"/>
      <c r="H75" s="80">
        <v>2.0000000000000001E-4</v>
      </c>
      <c r="I75" s="26">
        <f t="shared" si="1"/>
        <v>0.28334999999999999</v>
      </c>
      <c r="J75" s="4"/>
    </row>
    <row r="76" spans="1:14" ht="20.25" x14ac:dyDescent="0.2">
      <c r="A76" s="19" t="s">
        <v>13</v>
      </c>
      <c r="B76" s="330" t="s">
        <v>162</v>
      </c>
      <c r="C76" s="329"/>
      <c r="D76" s="329"/>
      <c r="E76" s="329"/>
      <c r="F76" s="329"/>
      <c r="G76" s="329"/>
      <c r="H76" s="15">
        <v>6.9999999999999999E-4</v>
      </c>
      <c r="I76" s="26">
        <f t="shared" si="1"/>
        <v>0.99172499999999997</v>
      </c>
      <c r="J76" s="4"/>
      <c r="K76" s="124"/>
    </row>
    <row r="77" spans="1:14" ht="18" x14ac:dyDescent="0.25">
      <c r="A77" s="19" t="s">
        <v>14</v>
      </c>
      <c r="B77" s="325" t="s">
        <v>163</v>
      </c>
      <c r="C77" s="325"/>
      <c r="D77" s="325"/>
      <c r="E77" s="325"/>
      <c r="F77" s="325"/>
      <c r="G77" s="325"/>
      <c r="H77" s="80">
        <v>2.0000000000000001E-4</v>
      </c>
      <c r="I77" s="26">
        <f t="shared" si="1"/>
        <v>0.28334999999999999</v>
      </c>
      <c r="J77" s="4"/>
      <c r="K77" s="123"/>
      <c r="N77" s="129"/>
    </row>
    <row r="78" spans="1:14" ht="18" x14ac:dyDescent="0.25">
      <c r="A78" s="66" t="s">
        <v>15</v>
      </c>
      <c r="B78" s="329" t="s">
        <v>4</v>
      </c>
      <c r="C78" s="329"/>
      <c r="D78" s="329"/>
      <c r="E78" s="329"/>
      <c r="F78" s="329"/>
      <c r="G78" s="329"/>
      <c r="H78" s="80">
        <v>0</v>
      </c>
      <c r="I78" s="26">
        <f t="shared" si="1"/>
        <v>0</v>
      </c>
      <c r="J78" s="4"/>
      <c r="K78" s="125"/>
    </row>
    <row r="79" spans="1:14" ht="20.25" x14ac:dyDescent="0.25">
      <c r="A79" s="66" t="s">
        <v>16</v>
      </c>
      <c r="B79" s="332" t="s">
        <v>154</v>
      </c>
      <c r="C79" s="332"/>
      <c r="D79" s="332"/>
      <c r="E79" s="332"/>
      <c r="F79" s="332"/>
      <c r="G79" s="332"/>
      <c r="H79" s="80">
        <f>SUM(H73:H78)*H45</f>
        <v>4.1301000000000003E-3</v>
      </c>
      <c r="I79" s="22">
        <f>H79*I28</f>
        <v>5.8513191750000004</v>
      </c>
      <c r="J79" s="4"/>
      <c r="K79" s="124"/>
      <c r="N79" s="130"/>
    </row>
    <row r="80" spans="1:14" ht="18" x14ac:dyDescent="0.25">
      <c r="A80" s="279" t="s">
        <v>21</v>
      </c>
      <c r="B80" s="279"/>
      <c r="C80" s="279"/>
      <c r="D80" s="279"/>
      <c r="E80" s="279"/>
      <c r="F80" s="279"/>
      <c r="G80" s="279"/>
      <c r="H80" s="5"/>
      <c r="I80" s="25">
        <f>SUM(I73:I79)</f>
        <v>22.427294175</v>
      </c>
      <c r="J80" s="166"/>
      <c r="N80" s="129"/>
    </row>
    <row r="81" spans="1:11" x14ac:dyDescent="0.2">
      <c r="A81" s="334"/>
      <c r="B81" s="335"/>
      <c r="C81" s="335"/>
      <c r="D81" s="335"/>
      <c r="E81" s="335"/>
      <c r="F81" s="335"/>
      <c r="G81" s="335"/>
      <c r="H81" s="335"/>
      <c r="I81" s="335"/>
      <c r="J81" s="4"/>
      <c r="K81" s="51"/>
    </row>
    <row r="82" spans="1:11" x14ac:dyDescent="0.2">
      <c r="A82" s="279" t="s">
        <v>109</v>
      </c>
      <c r="B82" s="279"/>
      <c r="C82" s="279"/>
      <c r="D82" s="279"/>
      <c r="E82" s="279"/>
      <c r="F82" s="279"/>
      <c r="G82" s="279"/>
      <c r="H82" s="66" t="s">
        <v>3</v>
      </c>
      <c r="I82" s="66" t="s">
        <v>1</v>
      </c>
      <c r="J82" s="4"/>
    </row>
    <row r="83" spans="1:11" x14ac:dyDescent="0.2">
      <c r="A83" s="66" t="s">
        <v>10</v>
      </c>
      <c r="B83" s="296" t="s">
        <v>164</v>
      </c>
      <c r="C83" s="296"/>
      <c r="D83" s="296"/>
      <c r="E83" s="296"/>
      <c r="F83" s="296"/>
      <c r="G83" s="296"/>
      <c r="H83" s="79"/>
      <c r="I83" s="26">
        <v>0</v>
      </c>
      <c r="J83" s="4"/>
    </row>
    <row r="84" spans="1:11" x14ac:dyDescent="0.2">
      <c r="A84" s="279" t="s">
        <v>23</v>
      </c>
      <c r="B84" s="279"/>
      <c r="C84" s="279"/>
      <c r="D84" s="279"/>
      <c r="E84" s="279"/>
      <c r="F84" s="279"/>
      <c r="G84" s="279"/>
      <c r="H84" s="5"/>
      <c r="I84" s="25">
        <f>SUM(I83)</f>
        <v>0</v>
      </c>
      <c r="J84" s="4"/>
    </row>
    <row r="85" spans="1:11" x14ac:dyDescent="0.2">
      <c r="A85" s="336"/>
      <c r="B85" s="337"/>
      <c r="C85" s="337"/>
      <c r="D85" s="337"/>
      <c r="E85" s="337"/>
      <c r="F85" s="337"/>
      <c r="G85" s="337"/>
      <c r="H85" s="337"/>
      <c r="I85" s="337"/>
      <c r="J85" s="4"/>
    </row>
    <row r="86" spans="1:11" x14ac:dyDescent="0.2">
      <c r="A86" s="274" t="s">
        <v>110</v>
      </c>
      <c r="B86" s="274"/>
      <c r="C86" s="274"/>
      <c r="D86" s="274"/>
      <c r="E86" s="274"/>
      <c r="F86" s="274"/>
      <c r="G86" s="274"/>
      <c r="H86" s="274"/>
      <c r="I86" s="274"/>
      <c r="J86" s="4"/>
    </row>
    <row r="87" spans="1:11" x14ac:dyDescent="0.2">
      <c r="A87" s="279" t="s">
        <v>111</v>
      </c>
      <c r="B87" s="279"/>
      <c r="C87" s="279"/>
      <c r="D87" s="279"/>
      <c r="E87" s="279"/>
      <c r="F87" s="279"/>
      <c r="G87" s="279"/>
      <c r="H87" s="279"/>
      <c r="I87" s="66" t="s">
        <v>1</v>
      </c>
      <c r="J87" s="4"/>
    </row>
    <row r="88" spans="1:11" x14ac:dyDescent="0.2">
      <c r="A88" s="66" t="s">
        <v>26</v>
      </c>
      <c r="B88" s="294" t="s">
        <v>165</v>
      </c>
      <c r="C88" s="294"/>
      <c r="D88" s="294"/>
      <c r="E88" s="294"/>
      <c r="F88" s="294"/>
      <c r="G88" s="294"/>
      <c r="H88" s="294"/>
      <c r="I88" s="21">
        <f>SUM(I80)</f>
        <v>22.427294175</v>
      </c>
      <c r="J88" s="4"/>
    </row>
    <row r="89" spans="1:11" x14ac:dyDescent="0.2">
      <c r="A89" s="19" t="s">
        <v>27</v>
      </c>
      <c r="B89" s="294" t="s">
        <v>166</v>
      </c>
      <c r="C89" s="294"/>
      <c r="D89" s="294"/>
      <c r="E89" s="294"/>
      <c r="F89" s="294"/>
      <c r="G89" s="294"/>
      <c r="H89" s="294"/>
      <c r="I89" s="22">
        <f>I84</f>
        <v>0</v>
      </c>
      <c r="J89" s="4"/>
    </row>
    <row r="90" spans="1:11" x14ac:dyDescent="0.2">
      <c r="A90" s="279" t="s">
        <v>112</v>
      </c>
      <c r="B90" s="279"/>
      <c r="C90" s="279"/>
      <c r="D90" s="279"/>
      <c r="E90" s="279"/>
      <c r="F90" s="279"/>
      <c r="G90" s="279"/>
      <c r="H90" s="279"/>
      <c r="I90" s="23">
        <f>SUM(I88:I89)</f>
        <v>22.427294175</v>
      </c>
      <c r="J90" s="4"/>
    </row>
    <row r="91" spans="1:11" x14ac:dyDescent="0.2">
      <c r="A91" s="338"/>
      <c r="B91" s="339"/>
      <c r="C91" s="339"/>
      <c r="D91" s="339"/>
      <c r="E91" s="339"/>
      <c r="F91" s="339"/>
      <c r="G91" s="339"/>
      <c r="H91" s="339"/>
      <c r="I91" s="339"/>
      <c r="J91" s="4"/>
    </row>
    <row r="92" spans="1:11" x14ac:dyDescent="0.2">
      <c r="A92" s="290" t="s">
        <v>113</v>
      </c>
      <c r="B92" s="290"/>
      <c r="C92" s="290"/>
      <c r="D92" s="290"/>
      <c r="E92" s="290"/>
      <c r="F92" s="290"/>
      <c r="G92" s="290"/>
      <c r="H92" s="290"/>
      <c r="I92" s="290"/>
      <c r="J92" s="4"/>
    </row>
    <row r="93" spans="1:11" x14ac:dyDescent="0.2">
      <c r="A93" s="66">
        <v>5</v>
      </c>
      <c r="B93" s="279" t="s">
        <v>19</v>
      </c>
      <c r="C93" s="279"/>
      <c r="D93" s="279"/>
      <c r="E93" s="279"/>
      <c r="F93" s="279"/>
      <c r="G93" s="279"/>
      <c r="H93" s="66"/>
      <c r="I93" s="66" t="s">
        <v>1</v>
      </c>
      <c r="J93" s="4"/>
    </row>
    <row r="94" spans="1:11" x14ac:dyDescent="0.2">
      <c r="A94" s="66" t="s">
        <v>10</v>
      </c>
      <c r="B94" s="323" t="s">
        <v>333</v>
      </c>
      <c r="C94" s="323"/>
      <c r="D94" s="323"/>
      <c r="E94" s="323"/>
      <c r="F94" s="323"/>
      <c r="G94" s="323"/>
      <c r="H94" s="68" t="s">
        <v>0</v>
      </c>
      <c r="I94" s="167">
        <f>UNIFORMES!D7+EPI!E10</f>
        <v>28.019170291590715</v>
      </c>
      <c r="J94" s="4"/>
    </row>
    <row r="95" spans="1:11" x14ac:dyDescent="0.2">
      <c r="A95" s="66" t="s">
        <v>11</v>
      </c>
      <c r="B95" s="323" t="s">
        <v>303</v>
      </c>
      <c r="C95" s="323"/>
      <c r="D95" s="323"/>
      <c r="E95" s="323"/>
      <c r="F95" s="323"/>
      <c r="G95" s="323"/>
      <c r="H95" s="68" t="s">
        <v>0</v>
      </c>
      <c r="I95" s="168">
        <f>'MATERIAIS DE CONSUMO'!F37</f>
        <v>662.08243477451526</v>
      </c>
      <c r="J95" s="4"/>
    </row>
    <row r="96" spans="1:11" x14ac:dyDescent="0.2">
      <c r="A96" s="67" t="s">
        <v>12</v>
      </c>
      <c r="B96" s="323" t="s">
        <v>20</v>
      </c>
      <c r="C96" s="323"/>
      <c r="D96" s="323"/>
      <c r="E96" s="323"/>
      <c r="F96" s="323"/>
      <c r="G96" s="323"/>
      <c r="H96" s="68" t="s">
        <v>0</v>
      </c>
      <c r="I96" s="168">
        <f>EQUIPAMENTOS!H8</f>
        <v>38.129629245484928</v>
      </c>
      <c r="J96" s="4"/>
    </row>
    <row r="97" spans="1:11" x14ac:dyDescent="0.2">
      <c r="A97" s="67" t="s">
        <v>13</v>
      </c>
      <c r="B97" s="324" t="s">
        <v>322</v>
      </c>
      <c r="C97" s="324"/>
      <c r="D97" s="324"/>
      <c r="E97" s="324"/>
      <c r="F97" s="324"/>
      <c r="G97" s="324"/>
      <c r="H97" s="68" t="s">
        <v>0</v>
      </c>
      <c r="I97" s="168">
        <f>UTENSILIOS!I17</f>
        <v>65.423718428893125</v>
      </c>
      <c r="J97" s="4"/>
    </row>
    <row r="98" spans="1:11" x14ac:dyDescent="0.2">
      <c r="A98" s="279" t="s">
        <v>114</v>
      </c>
      <c r="B98" s="279"/>
      <c r="C98" s="279"/>
      <c r="D98" s="279"/>
      <c r="E98" s="279"/>
      <c r="F98" s="279"/>
      <c r="G98" s="279"/>
      <c r="H98" s="5" t="s">
        <v>0</v>
      </c>
      <c r="I98" s="128">
        <f>SUM(I94:I97)</f>
        <v>793.65495274048408</v>
      </c>
      <c r="J98" s="4"/>
    </row>
    <row r="99" spans="1:11" x14ac:dyDescent="0.2">
      <c r="A99" s="338"/>
      <c r="B99" s="339"/>
      <c r="C99" s="339"/>
      <c r="D99" s="339"/>
      <c r="E99" s="339"/>
      <c r="F99" s="339"/>
      <c r="G99" s="339"/>
      <c r="H99" s="339"/>
      <c r="I99" s="339"/>
      <c r="J99" s="4"/>
    </row>
    <row r="100" spans="1:11" x14ac:dyDescent="0.2">
      <c r="A100" s="290" t="s">
        <v>115</v>
      </c>
      <c r="B100" s="290"/>
      <c r="C100" s="290"/>
      <c r="D100" s="290"/>
      <c r="E100" s="290"/>
      <c r="F100" s="290"/>
      <c r="G100" s="290"/>
      <c r="H100" s="290"/>
      <c r="I100" s="290"/>
      <c r="J100" s="4"/>
    </row>
    <row r="101" spans="1:11" x14ac:dyDescent="0.2">
      <c r="A101" s="66">
        <v>6</v>
      </c>
      <c r="B101" s="279" t="s">
        <v>25</v>
      </c>
      <c r="C101" s="279"/>
      <c r="D101" s="279"/>
      <c r="E101" s="279"/>
      <c r="F101" s="279"/>
      <c r="G101" s="279"/>
      <c r="H101" s="66" t="s">
        <v>3</v>
      </c>
      <c r="I101" s="66" t="s">
        <v>1</v>
      </c>
      <c r="J101" s="4"/>
    </row>
    <row r="102" spans="1:11" x14ac:dyDescent="0.2">
      <c r="A102" s="66" t="s">
        <v>10</v>
      </c>
      <c r="B102" s="325" t="s">
        <v>28</v>
      </c>
      <c r="C102" s="325"/>
      <c r="D102" s="325"/>
      <c r="E102" s="325"/>
      <c r="F102" s="325"/>
      <c r="G102" s="325"/>
      <c r="H102" s="27">
        <v>1.0999999999999999E-2</v>
      </c>
      <c r="I102" s="81">
        <f>I118*H102</f>
        <v>47.297321860145324</v>
      </c>
      <c r="J102" s="4"/>
      <c r="K102" s="226">
        <v>567455.5</v>
      </c>
    </row>
    <row r="103" spans="1:11" x14ac:dyDescent="0.2">
      <c r="A103" s="19" t="s">
        <v>11</v>
      </c>
      <c r="B103" s="325" t="s">
        <v>5</v>
      </c>
      <c r="C103" s="325"/>
      <c r="D103" s="325"/>
      <c r="E103" s="325"/>
      <c r="F103" s="325"/>
      <c r="G103" s="325"/>
      <c r="H103" s="27">
        <v>1.21E-2</v>
      </c>
      <c r="I103" s="81">
        <f>(I118+I102)*H103</f>
        <v>52.599351640667621</v>
      </c>
      <c r="J103" s="4"/>
      <c r="K103" s="225">
        <f>RESUMO!G37</f>
        <v>567455.45372511633</v>
      </c>
    </row>
    <row r="104" spans="1:11" x14ac:dyDescent="0.2">
      <c r="A104" s="66" t="s">
        <v>12</v>
      </c>
      <c r="B104" s="332" t="s">
        <v>64</v>
      </c>
      <c r="C104" s="332"/>
      <c r="D104" s="332"/>
      <c r="E104" s="332"/>
      <c r="F104" s="332"/>
      <c r="G104" s="332"/>
      <c r="H104" s="216">
        <f>SUM(H105:H107)</f>
        <v>0.1212</v>
      </c>
      <c r="I104" s="29"/>
      <c r="J104" s="4"/>
    </row>
    <row r="105" spans="1:11" x14ac:dyDescent="0.2">
      <c r="A105" s="19" t="s">
        <v>66</v>
      </c>
      <c r="B105" s="325" t="s">
        <v>61</v>
      </c>
      <c r="C105" s="325"/>
      <c r="D105" s="325"/>
      <c r="E105" s="325"/>
      <c r="F105" s="325"/>
      <c r="G105" s="325"/>
      <c r="H105" s="13">
        <v>1.2699999999999999E-2</v>
      </c>
      <c r="I105" s="82">
        <f>($I$102+$I$103+$I$118)/(1-$H$104)*H105</f>
        <v>63.581697450232674</v>
      </c>
      <c r="J105" s="4"/>
    </row>
    <row r="106" spans="1:11" x14ac:dyDescent="0.2">
      <c r="A106" s="19" t="s">
        <v>67</v>
      </c>
      <c r="B106" s="325" t="s">
        <v>62</v>
      </c>
      <c r="C106" s="325"/>
      <c r="D106" s="325"/>
      <c r="E106" s="325"/>
      <c r="F106" s="325"/>
      <c r="G106" s="325"/>
      <c r="H106" s="13">
        <v>5.8500000000000003E-2</v>
      </c>
      <c r="I106" s="82">
        <f t="shared" ref="I106:I107" si="2">($I$102+$I$103+$I$118)/(1-$H$104)*H106</f>
        <v>292.87632290067808</v>
      </c>
      <c r="J106" s="4"/>
    </row>
    <row r="107" spans="1:11" x14ac:dyDescent="0.2">
      <c r="A107" s="19" t="s">
        <v>68</v>
      </c>
      <c r="B107" s="325" t="s">
        <v>63</v>
      </c>
      <c r="C107" s="325"/>
      <c r="D107" s="325"/>
      <c r="E107" s="325"/>
      <c r="F107" s="325"/>
      <c r="G107" s="325"/>
      <c r="H107" s="13">
        <v>0.05</v>
      </c>
      <c r="I107" s="82">
        <f t="shared" si="2"/>
        <v>250.32164350485306</v>
      </c>
      <c r="J107" s="4"/>
    </row>
    <row r="108" spans="1:11" x14ac:dyDescent="0.2">
      <c r="A108" s="279" t="s">
        <v>116</v>
      </c>
      <c r="B108" s="279"/>
      <c r="C108" s="279"/>
      <c r="D108" s="279"/>
      <c r="E108" s="279"/>
      <c r="F108" s="279"/>
      <c r="G108" s="279"/>
      <c r="H108" s="13"/>
      <c r="I108" s="23">
        <f>SUM(I102:I107)</f>
        <v>706.67633735657682</v>
      </c>
      <c r="J108" s="4"/>
    </row>
    <row r="109" spans="1:11" x14ac:dyDescent="0.2">
      <c r="A109" s="76"/>
      <c r="B109" s="344"/>
      <c r="C109" s="344"/>
      <c r="D109" s="344"/>
      <c r="E109" s="344"/>
      <c r="F109" s="344"/>
      <c r="G109" s="344"/>
      <c r="H109" s="344"/>
      <c r="I109" s="344"/>
      <c r="J109" s="4"/>
    </row>
    <row r="110" spans="1:11" x14ac:dyDescent="0.2">
      <c r="A110" s="76"/>
      <c r="B110" s="76"/>
      <c r="C110" s="76"/>
      <c r="D110" s="76"/>
      <c r="E110" s="76"/>
      <c r="F110" s="76"/>
      <c r="G110" s="76"/>
      <c r="H110" s="76"/>
      <c r="I110" s="7"/>
    </row>
    <row r="111" spans="1:11" x14ac:dyDescent="0.2">
      <c r="A111" s="274" t="s">
        <v>117</v>
      </c>
      <c r="B111" s="274"/>
      <c r="C111" s="274"/>
      <c r="D111" s="274"/>
      <c r="E111" s="274"/>
      <c r="F111" s="274"/>
      <c r="G111" s="274"/>
      <c r="H111" s="274"/>
      <c r="I111" s="274"/>
    </row>
    <row r="112" spans="1:11" x14ac:dyDescent="0.2">
      <c r="A112" s="279" t="s">
        <v>29</v>
      </c>
      <c r="B112" s="279"/>
      <c r="C112" s="279"/>
      <c r="D112" s="279"/>
      <c r="E112" s="279"/>
      <c r="F112" s="279"/>
      <c r="G112" s="279"/>
      <c r="H112" s="279"/>
      <c r="I112" s="66" t="s">
        <v>1</v>
      </c>
      <c r="K112" s="16"/>
    </row>
    <row r="113" spans="1:11" x14ac:dyDescent="0.2">
      <c r="A113" s="74" t="s">
        <v>10</v>
      </c>
      <c r="B113" s="295" t="str">
        <f>A20</f>
        <v>MÓDULO 1 - COMPOSIÇÃO DA REMUNERAÇÃO</v>
      </c>
      <c r="C113" s="295"/>
      <c r="D113" s="295"/>
      <c r="E113" s="295"/>
      <c r="F113" s="295"/>
      <c r="G113" s="295"/>
      <c r="H113" s="295"/>
      <c r="I113" s="126">
        <f>I28</f>
        <v>1416.75</v>
      </c>
    </row>
    <row r="114" spans="1:11" x14ac:dyDescent="0.2">
      <c r="A114" s="83" t="s">
        <v>11</v>
      </c>
      <c r="B114" s="295" t="str">
        <f>A30</f>
        <v>MÓDULO 2 – ENCARGOS E BENEFÍCIOS ANUAIS, MENSAIS E DIÁRIOS</v>
      </c>
      <c r="C114" s="295"/>
      <c r="D114" s="295"/>
      <c r="E114" s="295"/>
      <c r="F114" s="295"/>
      <c r="G114" s="295"/>
      <c r="H114" s="295"/>
      <c r="I114" s="127">
        <f>I59</f>
        <v>2000.1858686</v>
      </c>
    </row>
    <row r="115" spans="1:11" x14ac:dyDescent="0.2">
      <c r="A115" s="83" t="s">
        <v>12</v>
      </c>
      <c r="B115" s="295" t="str">
        <f>A61</f>
        <v>MÓDULO 3 – PROVISÃO PARA RESCISÃO</v>
      </c>
      <c r="C115" s="295"/>
      <c r="D115" s="295"/>
      <c r="E115" s="295"/>
      <c r="F115" s="295"/>
      <c r="G115" s="295"/>
      <c r="H115" s="295"/>
      <c r="I115" s="127">
        <f>I69</f>
        <v>66.738417225000006</v>
      </c>
    </row>
    <row r="116" spans="1:11" x14ac:dyDescent="0.2">
      <c r="A116" s="69" t="s">
        <v>13</v>
      </c>
      <c r="B116" s="295" t="str">
        <f>A71</f>
        <v>MÓDULO 4 – CUSTO DE REPOSIÇÃO DO PROFISSIONAL AUSENTE</v>
      </c>
      <c r="C116" s="295"/>
      <c r="D116" s="295"/>
      <c r="E116" s="295"/>
      <c r="F116" s="295"/>
      <c r="G116" s="295"/>
      <c r="H116" s="295"/>
      <c r="I116" s="127">
        <f>I90</f>
        <v>22.427294175</v>
      </c>
      <c r="K116" s="16"/>
    </row>
    <row r="117" spans="1:11" x14ac:dyDescent="0.2">
      <c r="A117" s="28" t="s">
        <v>14</v>
      </c>
      <c r="B117" s="295" t="str">
        <f>A92</f>
        <v>MÓDULO 5 – INSUMOS DIVERSOS</v>
      </c>
      <c r="C117" s="295"/>
      <c r="D117" s="295"/>
      <c r="E117" s="295"/>
      <c r="F117" s="295"/>
      <c r="G117" s="295"/>
      <c r="H117" s="295"/>
      <c r="I117" s="127">
        <f>I98</f>
        <v>793.65495274048408</v>
      </c>
      <c r="K117" s="16"/>
    </row>
    <row r="118" spans="1:11" x14ac:dyDescent="0.2">
      <c r="A118" s="19"/>
      <c r="B118" s="279" t="s">
        <v>118</v>
      </c>
      <c r="C118" s="279"/>
      <c r="D118" s="279"/>
      <c r="E118" s="279"/>
      <c r="F118" s="279"/>
      <c r="G118" s="279"/>
      <c r="H118" s="279"/>
      <c r="I118" s="57">
        <f>SUM(I113:I117)</f>
        <v>4299.7565327404845</v>
      </c>
    </row>
    <row r="119" spans="1:11" x14ac:dyDescent="0.2">
      <c r="A119" s="69" t="s">
        <v>15</v>
      </c>
      <c r="B119" s="295" t="str">
        <f>A100</f>
        <v>MÓDULO 6 – CUSTOS INDIRETOS, TRIBUTOS E LUCRO</v>
      </c>
      <c r="C119" s="295"/>
      <c r="D119" s="295"/>
      <c r="E119" s="295"/>
      <c r="F119" s="295"/>
      <c r="G119" s="295"/>
      <c r="H119" s="295"/>
      <c r="I119" s="99">
        <f>I108</f>
        <v>706.67633735657682</v>
      </c>
      <c r="K119" s="14"/>
    </row>
    <row r="120" spans="1:11" x14ac:dyDescent="0.2">
      <c r="A120" s="279" t="s">
        <v>119</v>
      </c>
      <c r="B120" s="279"/>
      <c r="C120" s="279"/>
      <c r="D120" s="279"/>
      <c r="E120" s="279"/>
      <c r="F120" s="279"/>
      <c r="G120" s="279"/>
      <c r="H120" s="279"/>
      <c r="I120" s="57">
        <f>I118+I119</f>
        <v>5006.4328700970618</v>
      </c>
    </row>
    <row r="121" spans="1:11" x14ac:dyDescent="0.2">
      <c r="I121" s="14"/>
    </row>
    <row r="122" spans="1:11" x14ac:dyDescent="0.2">
      <c r="A122" s="76"/>
      <c r="B122" s="345" t="s">
        <v>31</v>
      </c>
      <c r="C122" s="345"/>
      <c r="D122" s="345"/>
      <c r="E122" s="345"/>
      <c r="F122" s="345"/>
      <c r="G122" s="345"/>
      <c r="H122" s="2"/>
      <c r="I122" s="2"/>
    </row>
    <row r="123" spans="1:11" ht="13.5" hidden="1" customHeight="1" x14ac:dyDescent="0.2">
      <c r="A123" s="346" t="s">
        <v>33</v>
      </c>
      <c r="B123" s="347"/>
      <c r="C123" s="346" t="s">
        <v>34</v>
      </c>
      <c r="D123" s="347"/>
      <c r="E123" s="346" t="s">
        <v>36</v>
      </c>
      <c r="F123" s="347"/>
      <c r="G123" s="11" t="s">
        <v>35</v>
      </c>
      <c r="H123" s="12" t="s">
        <v>32</v>
      </c>
      <c r="I123" s="8" t="s">
        <v>1</v>
      </c>
    </row>
    <row r="124" spans="1:11" ht="40.5" hidden="1" customHeight="1" x14ac:dyDescent="0.2">
      <c r="A124" s="357" t="s">
        <v>37</v>
      </c>
      <c r="B124" s="358"/>
      <c r="C124" s="359" t="s">
        <v>41</v>
      </c>
      <c r="D124" s="360"/>
      <c r="E124" s="355"/>
      <c r="F124" s="356"/>
      <c r="G124" s="84" t="s">
        <v>41</v>
      </c>
      <c r="H124" s="85"/>
      <c r="I124" s="86">
        <v>0</v>
      </c>
    </row>
    <row r="125" spans="1:11" ht="12.75" hidden="1" customHeight="1" x14ac:dyDescent="0.2">
      <c r="A125" s="292" t="s">
        <v>38</v>
      </c>
      <c r="B125" s="354"/>
      <c r="C125" s="321" t="s">
        <v>41</v>
      </c>
      <c r="D125" s="322"/>
      <c r="E125" s="302"/>
      <c r="F125" s="303"/>
      <c r="G125" s="87" t="s">
        <v>41</v>
      </c>
      <c r="H125" s="88"/>
      <c r="I125" s="89">
        <v>0</v>
      </c>
    </row>
    <row r="126" spans="1:11" ht="12.75" hidden="1" customHeight="1" x14ac:dyDescent="0.2">
      <c r="A126" s="292" t="s">
        <v>39</v>
      </c>
      <c r="B126" s="354"/>
      <c r="C126" s="321" t="s">
        <v>41</v>
      </c>
      <c r="D126" s="322"/>
      <c r="E126" s="302"/>
      <c r="F126" s="303"/>
      <c r="G126" s="87" t="s">
        <v>41</v>
      </c>
      <c r="H126" s="88"/>
      <c r="I126" s="89">
        <v>0</v>
      </c>
    </row>
    <row r="127" spans="1:11" ht="12.75" hidden="1" customHeight="1" x14ac:dyDescent="0.2">
      <c r="A127" s="292" t="s">
        <v>40</v>
      </c>
      <c r="B127" s="354"/>
      <c r="C127" s="321" t="s">
        <v>41</v>
      </c>
      <c r="D127" s="322"/>
      <c r="E127" s="302"/>
      <c r="F127" s="303"/>
      <c r="G127" s="87" t="s">
        <v>41</v>
      </c>
      <c r="H127" s="88"/>
      <c r="I127" s="89">
        <v>0</v>
      </c>
    </row>
    <row r="128" spans="1:11" ht="12.75" hidden="1" customHeight="1" x14ac:dyDescent="0.2">
      <c r="A128" s="304"/>
      <c r="B128" s="266"/>
      <c r="C128" s="302"/>
      <c r="D128" s="303"/>
      <c r="E128" s="302"/>
      <c r="F128" s="303"/>
      <c r="G128" s="9"/>
      <c r="H128" s="10"/>
      <c r="I128" s="89"/>
    </row>
    <row r="129" spans="1:9" ht="12.75" hidden="1" customHeight="1" x14ac:dyDescent="0.2">
      <c r="A129" s="305"/>
      <c r="B129" s="306"/>
      <c r="C129" s="319"/>
      <c r="D129" s="320"/>
      <c r="E129" s="319"/>
      <c r="F129" s="320"/>
      <c r="G129" s="90"/>
      <c r="H129" s="91"/>
      <c r="I129" s="92"/>
    </row>
    <row r="130" spans="1:9" ht="13.5" hidden="1" customHeight="1" x14ac:dyDescent="0.2">
      <c r="A130" s="348" t="s">
        <v>42</v>
      </c>
      <c r="B130" s="349"/>
      <c r="C130" s="349"/>
      <c r="D130" s="349"/>
      <c r="E130" s="349"/>
      <c r="F130" s="349"/>
      <c r="G130" s="349"/>
      <c r="H130" s="350"/>
      <c r="I130" s="6">
        <f>SUM(I128:I129)</f>
        <v>0</v>
      </c>
    </row>
    <row r="131" spans="1:9" ht="13.5" hidden="1" customHeight="1" x14ac:dyDescent="0.2"/>
    <row r="132" spans="1:9" ht="12.75" hidden="1" customHeight="1" x14ac:dyDescent="0.2">
      <c r="A132" s="76" t="s">
        <v>43</v>
      </c>
      <c r="B132" s="345" t="s">
        <v>44</v>
      </c>
      <c r="C132" s="345"/>
      <c r="D132" s="345"/>
      <c r="E132" s="345"/>
      <c r="F132" s="345"/>
      <c r="G132" s="345"/>
      <c r="H132" s="2"/>
      <c r="I132" s="2"/>
    </row>
    <row r="133" spans="1:9" ht="13.5" hidden="1" customHeight="1" x14ac:dyDescent="0.2">
      <c r="A133" s="351" t="s">
        <v>45</v>
      </c>
      <c r="B133" s="352"/>
      <c r="C133" s="352"/>
      <c r="D133" s="352"/>
      <c r="E133" s="352"/>
      <c r="F133" s="352"/>
      <c r="G133" s="352"/>
      <c r="H133" s="352"/>
      <c r="I133" s="353"/>
    </row>
    <row r="134" spans="1:9" ht="13.5" hidden="1" customHeight="1" x14ac:dyDescent="0.2">
      <c r="A134" s="93"/>
      <c r="B134" s="307" t="s">
        <v>46</v>
      </c>
      <c r="C134" s="308"/>
      <c r="D134" s="308"/>
      <c r="E134" s="308"/>
      <c r="F134" s="308"/>
      <c r="G134" s="308"/>
      <c r="H134" s="309"/>
      <c r="I134" s="8" t="s">
        <v>1</v>
      </c>
    </row>
    <row r="135" spans="1:9" ht="13.5" hidden="1" customHeight="1" x14ac:dyDescent="0.2">
      <c r="A135" s="94" t="s">
        <v>10</v>
      </c>
      <c r="B135" s="299" t="s">
        <v>47</v>
      </c>
      <c r="C135" s="300"/>
      <c r="D135" s="300"/>
      <c r="E135" s="300"/>
      <c r="F135" s="300"/>
      <c r="G135" s="300"/>
      <c r="H135" s="301"/>
      <c r="I135" s="95">
        <f>I105</f>
        <v>63.581697450232674</v>
      </c>
    </row>
    <row r="136" spans="1:9" ht="12.75" hidden="1" customHeight="1" x14ac:dyDescent="0.2">
      <c r="A136" s="96" t="s">
        <v>11</v>
      </c>
      <c r="B136" s="313" t="s">
        <v>48</v>
      </c>
      <c r="C136" s="314"/>
      <c r="D136" s="314"/>
      <c r="E136" s="314"/>
      <c r="F136" s="314"/>
      <c r="G136" s="314"/>
      <c r="H136" s="315"/>
      <c r="I136" s="97" t="e">
        <f>#REF!</f>
        <v>#REF!</v>
      </c>
    </row>
    <row r="137" spans="1:9" ht="12.75" hidden="1" customHeight="1" x14ac:dyDescent="0.2">
      <c r="A137" s="96" t="s">
        <v>12</v>
      </c>
      <c r="B137" s="316" t="s">
        <v>49</v>
      </c>
      <c r="C137" s="317"/>
      <c r="D137" s="317"/>
      <c r="E137" s="317"/>
      <c r="F137" s="317"/>
      <c r="G137" s="317"/>
      <c r="H137" s="318"/>
      <c r="I137" s="97">
        <f>I108</f>
        <v>706.67633735657682</v>
      </c>
    </row>
    <row r="138" spans="1:9" ht="13.5" hidden="1" customHeight="1" x14ac:dyDescent="0.2">
      <c r="A138" s="310" t="s">
        <v>24</v>
      </c>
      <c r="B138" s="311"/>
      <c r="C138" s="311"/>
      <c r="D138" s="311"/>
      <c r="E138" s="311"/>
      <c r="F138" s="311"/>
      <c r="G138" s="311"/>
      <c r="H138" s="312"/>
      <c r="I138" s="6" t="e">
        <f>SUM(I135:I137)</f>
        <v>#REF!</v>
      </c>
    </row>
    <row r="139" spans="1:9" ht="13.5" hidden="1" customHeight="1" x14ac:dyDescent="0.2">
      <c r="A139" s="98" t="s">
        <v>22</v>
      </c>
      <c r="B139" t="s">
        <v>50</v>
      </c>
    </row>
    <row r="140" spans="1:9" ht="12.75" hidden="1" customHeight="1" x14ac:dyDescent="0.2"/>
    <row r="141" spans="1:9" ht="12.75" hidden="1" customHeight="1" x14ac:dyDescent="0.2"/>
    <row r="142" spans="1:9" ht="12.75" hidden="1" customHeight="1" x14ac:dyDescent="0.2">
      <c r="A142" s="17"/>
      <c r="B142" s="17"/>
    </row>
    <row r="143" spans="1:9" x14ac:dyDescent="0.2">
      <c r="A143" s="16"/>
      <c r="B143" s="17"/>
      <c r="E143" s="18"/>
      <c r="I143" s="58">
        <f>I120*12</f>
        <v>60077.194441164742</v>
      </c>
    </row>
    <row r="144" spans="1:9" x14ac:dyDescent="0.2">
      <c r="A144" s="16"/>
      <c r="B144" s="17"/>
      <c r="E144" s="18"/>
      <c r="I144" s="58">
        <f>I121*12</f>
        <v>0</v>
      </c>
    </row>
    <row r="145" spans="1:9" x14ac:dyDescent="0.2">
      <c r="A145" s="18"/>
      <c r="I145" s="51"/>
    </row>
    <row r="146" spans="1:9" x14ac:dyDescent="0.2">
      <c r="A146" s="18"/>
    </row>
  </sheetData>
  <mergeCells count="159">
    <mergeCell ref="K61:L61"/>
    <mergeCell ref="K66:L66"/>
    <mergeCell ref="K47:O47"/>
    <mergeCell ref="K50:O50"/>
    <mergeCell ref="N51:O51"/>
    <mergeCell ref="N52:O52"/>
    <mergeCell ref="K54:O54"/>
    <mergeCell ref="Q47:T47"/>
    <mergeCell ref="Q50:T50"/>
    <mergeCell ref="A123:B123"/>
    <mergeCell ref="C123:D123"/>
    <mergeCell ref="E123:F123"/>
    <mergeCell ref="A130:H130"/>
    <mergeCell ref="B132:G132"/>
    <mergeCell ref="A133:I133"/>
    <mergeCell ref="C127:D127"/>
    <mergeCell ref="A126:B126"/>
    <mergeCell ref="A127:B127"/>
    <mergeCell ref="E124:F124"/>
    <mergeCell ref="E125:F125"/>
    <mergeCell ref="A125:B125"/>
    <mergeCell ref="A124:B124"/>
    <mergeCell ref="C124:D124"/>
    <mergeCell ref="C125:D125"/>
    <mergeCell ref="B101:G101"/>
    <mergeCell ref="A108:G108"/>
    <mergeCell ref="B109:I109"/>
    <mergeCell ref="A111:I111"/>
    <mergeCell ref="A112:H112"/>
    <mergeCell ref="B105:G105"/>
    <mergeCell ref="B113:H113"/>
    <mergeCell ref="A120:H120"/>
    <mergeCell ref="B122:G122"/>
    <mergeCell ref="B118:H118"/>
    <mergeCell ref="B119:H119"/>
    <mergeCell ref="B114:H114"/>
    <mergeCell ref="B115:H115"/>
    <mergeCell ref="B116:H116"/>
    <mergeCell ref="B117:H117"/>
    <mergeCell ref="A52:H52"/>
    <mergeCell ref="A53:I53"/>
    <mergeCell ref="A55:H55"/>
    <mergeCell ref="B56:H56"/>
    <mergeCell ref="A59:H59"/>
    <mergeCell ref="A60:I60"/>
    <mergeCell ref="B62:G62"/>
    <mergeCell ref="A69:G69"/>
    <mergeCell ref="A70:I70"/>
    <mergeCell ref="A54:I54"/>
    <mergeCell ref="A31:G31"/>
    <mergeCell ref="B32:G32"/>
    <mergeCell ref="A34:G34"/>
    <mergeCell ref="A35:I35"/>
    <mergeCell ref="A36:G36"/>
    <mergeCell ref="B37:G37"/>
    <mergeCell ref="A45:G45"/>
    <mergeCell ref="A46:I46"/>
    <mergeCell ref="A47:G47"/>
    <mergeCell ref="B40:G40"/>
    <mergeCell ref="B43:G43"/>
    <mergeCell ref="B39:G39"/>
    <mergeCell ref="B33:G33"/>
    <mergeCell ref="B38:G38"/>
    <mergeCell ref="B41:G41"/>
    <mergeCell ref="B42:G42"/>
    <mergeCell ref="B44:G44"/>
    <mergeCell ref="B21:G21"/>
    <mergeCell ref="A28:H28"/>
    <mergeCell ref="A30:I30"/>
    <mergeCell ref="B22:G22"/>
    <mergeCell ref="B23:G23"/>
    <mergeCell ref="B27:G27"/>
    <mergeCell ref="B26:G26"/>
    <mergeCell ref="B24:G24"/>
    <mergeCell ref="B25:G25"/>
    <mergeCell ref="A71:I71"/>
    <mergeCell ref="A61:I61"/>
    <mergeCell ref="B63:G63"/>
    <mergeCell ref="B64:G64"/>
    <mergeCell ref="B65:G65"/>
    <mergeCell ref="B66:G66"/>
    <mergeCell ref="B67:G67"/>
    <mergeCell ref="B68:G68"/>
    <mergeCell ref="B104:G104"/>
    <mergeCell ref="A72:G72"/>
    <mergeCell ref="B73:G73"/>
    <mergeCell ref="A80:G80"/>
    <mergeCell ref="A81:I81"/>
    <mergeCell ref="A82:G82"/>
    <mergeCell ref="B83:G83"/>
    <mergeCell ref="A84:G84"/>
    <mergeCell ref="A85:I85"/>
    <mergeCell ref="A87:H87"/>
    <mergeCell ref="B74:G74"/>
    <mergeCell ref="B79:G79"/>
    <mergeCell ref="A91:I91"/>
    <mergeCell ref="B93:G93"/>
    <mergeCell ref="A98:G98"/>
    <mergeCell ref="A99:I99"/>
    <mergeCell ref="B48:G48"/>
    <mergeCell ref="B106:G106"/>
    <mergeCell ref="B107:G107"/>
    <mergeCell ref="B49:G49"/>
    <mergeCell ref="B50:G50"/>
    <mergeCell ref="B51:G51"/>
    <mergeCell ref="B96:G96"/>
    <mergeCell ref="B95:G95"/>
    <mergeCell ref="B75:G75"/>
    <mergeCell ref="B76:G76"/>
    <mergeCell ref="A86:I86"/>
    <mergeCell ref="B57:H57"/>
    <mergeCell ref="B58:H58"/>
    <mergeCell ref="B77:G77"/>
    <mergeCell ref="B78:G78"/>
    <mergeCell ref="A100:I100"/>
    <mergeCell ref="B102:G102"/>
    <mergeCell ref="B103:G103"/>
    <mergeCell ref="B94:G94"/>
    <mergeCell ref="B97:G97"/>
    <mergeCell ref="A92:I92"/>
    <mergeCell ref="B89:H89"/>
    <mergeCell ref="B88:H88"/>
    <mergeCell ref="A90:H90"/>
    <mergeCell ref="B135:H135"/>
    <mergeCell ref="E126:F126"/>
    <mergeCell ref="E127:F127"/>
    <mergeCell ref="A128:B128"/>
    <mergeCell ref="A129:B129"/>
    <mergeCell ref="E128:F128"/>
    <mergeCell ref="B134:H134"/>
    <mergeCell ref="A138:H138"/>
    <mergeCell ref="B136:H136"/>
    <mergeCell ref="B137:H137"/>
    <mergeCell ref="C128:D128"/>
    <mergeCell ref="C129:D129"/>
    <mergeCell ref="E129:F129"/>
    <mergeCell ref="C126:D126"/>
    <mergeCell ref="A1:I1"/>
    <mergeCell ref="A20:I20"/>
    <mergeCell ref="A2:I2"/>
    <mergeCell ref="A11:B11"/>
    <mergeCell ref="C11:D11"/>
    <mergeCell ref="E11:I11"/>
    <mergeCell ref="B5:H5"/>
    <mergeCell ref="B6:H6"/>
    <mergeCell ref="B7:H7"/>
    <mergeCell ref="B15:H15"/>
    <mergeCell ref="B16:H16"/>
    <mergeCell ref="B17:H17"/>
    <mergeCell ref="B18:H18"/>
    <mergeCell ref="A3:I3"/>
    <mergeCell ref="B4:H4"/>
    <mergeCell ref="A9:I9"/>
    <mergeCell ref="A10:B10"/>
    <mergeCell ref="C10:D10"/>
    <mergeCell ref="E10:I10"/>
    <mergeCell ref="A13:I13"/>
    <mergeCell ref="B14:H14"/>
    <mergeCell ref="A19:I19"/>
  </mergeCells>
  <phoneticPr fontId="7" type="noConversion"/>
  <pageMargins left="0.66" right="0.19685039370078741" top="0.59055118110236227" bottom="0.39370078740157483" header="0.18" footer="0.15748031496062992"/>
  <pageSetup paperSize="9" scale="80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opLeftCell="A22" zoomScale="80" zoomScaleNormal="80" workbookViewId="0">
      <selection activeCell="E33" sqref="E33"/>
    </sheetView>
  </sheetViews>
  <sheetFormatPr defaultRowHeight="15" x14ac:dyDescent="0.25"/>
  <cols>
    <col min="1" max="1" width="10.140625" style="169" customWidth="1"/>
    <col min="2" max="2" width="59.7109375" style="169" customWidth="1"/>
    <col min="3" max="3" width="18.85546875" style="169" customWidth="1"/>
    <col min="4" max="4" width="14.140625" style="169" customWidth="1"/>
    <col min="5" max="5" width="16.140625" style="169" customWidth="1"/>
    <col min="6" max="6" width="21.7109375" style="169" customWidth="1"/>
    <col min="7" max="7" width="9.140625" style="169"/>
    <col min="8" max="8" width="20.85546875" style="169" customWidth="1"/>
    <col min="9" max="9" width="9.140625" style="169"/>
    <col min="10" max="10" width="15.28515625" style="169" bestFit="1" customWidth="1"/>
    <col min="11" max="16384" width="9.140625" style="169"/>
  </cols>
  <sheetData>
    <row r="1" spans="1:10" ht="15.75" x14ac:dyDescent="0.25">
      <c r="A1" s="369" t="s">
        <v>220</v>
      </c>
      <c r="B1" s="369"/>
      <c r="C1" s="369"/>
      <c r="D1" s="369"/>
      <c r="E1" s="369"/>
      <c r="F1" s="369"/>
    </row>
    <row r="2" spans="1:10" ht="31.5" x14ac:dyDescent="0.25">
      <c r="A2" s="170" t="s">
        <v>276</v>
      </c>
      <c r="B2" s="170" t="s">
        <v>222</v>
      </c>
      <c r="C2" s="170" t="s">
        <v>277</v>
      </c>
      <c r="D2" s="170" t="s">
        <v>211</v>
      </c>
      <c r="E2" s="170" t="s">
        <v>223</v>
      </c>
      <c r="F2" s="170" t="s">
        <v>219</v>
      </c>
      <c r="G2" s="171"/>
      <c r="H2" s="172" t="s">
        <v>278</v>
      </c>
      <c r="I2" s="171"/>
      <c r="J2" s="171"/>
    </row>
    <row r="3" spans="1:10" ht="15.75" x14ac:dyDescent="0.25">
      <c r="A3" s="173">
        <v>1</v>
      </c>
      <c r="B3" s="174" t="s">
        <v>279</v>
      </c>
      <c r="C3" s="175" t="s">
        <v>190</v>
      </c>
      <c r="D3" s="173">
        <v>160</v>
      </c>
      <c r="E3" s="176">
        <v>1.41</v>
      </c>
      <c r="F3" s="176">
        <f>Table124__Page_46[[#This Row],[Quantidade Anual]]*Table124__Page_46[[#This Row],[Valor Unitário]]</f>
        <v>225.6</v>
      </c>
      <c r="G3" s="171"/>
      <c r="H3" s="176">
        <v>4.9800000000000004</v>
      </c>
      <c r="I3" s="171"/>
      <c r="J3" s="171"/>
    </row>
    <row r="4" spans="1:10" ht="15.75" x14ac:dyDescent="0.25">
      <c r="A4" s="173">
        <v>2</v>
      </c>
      <c r="B4" s="174" t="s">
        <v>191</v>
      </c>
      <c r="C4" s="175" t="s">
        <v>190</v>
      </c>
      <c r="D4" s="173">
        <v>144</v>
      </c>
      <c r="E4" s="176">
        <v>2.64</v>
      </c>
      <c r="F4" s="176">
        <f>Table124__Page_46[[#This Row],[Quantidade Anual]]*Table124__Page_46[[#This Row],[Valor Unitário]]</f>
        <v>380.16</v>
      </c>
      <c r="G4" s="171"/>
      <c r="H4" s="176">
        <v>6.99</v>
      </c>
      <c r="I4" s="171"/>
      <c r="J4" s="171"/>
    </row>
    <row r="5" spans="1:10" ht="15.75" x14ac:dyDescent="0.25">
      <c r="A5" s="173">
        <v>3</v>
      </c>
      <c r="B5" s="174" t="s">
        <v>188</v>
      </c>
      <c r="C5" s="175" t="s">
        <v>190</v>
      </c>
      <c r="D5" s="173">
        <v>576</v>
      </c>
      <c r="E5" s="176">
        <v>5.64</v>
      </c>
      <c r="F5" s="176">
        <f>Table124__Page_46[[#This Row],[Quantidade Anual]]*Table124__Page_46[[#This Row],[Valor Unitário]]</f>
        <v>3248.64</v>
      </c>
      <c r="G5" s="171"/>
      <c r="H5" s="176">
        <v>7.99</v>
      </c>
      <c r="I5" s="171"/>
      <c r="J5" s="171"/>
    </row>
    <row r="6" spans="1:10" ht="15.75" x14ac:dyDescent="0.25">
      <c r="A6" s="173">
        <v>4</v>
      </c>
      <c r="B6" s="174" t="s">
        <v>189</v>
      </c>
      <c r="C6" s="175" t="s">
        <v>190</v>
      </c>
      <c r="D6" s="173">
        <v>72</v>
      </c>
      <c r="E6" s="176">
        <v>9.5</v>
      </c>
      <c r="F6" s="176">
        <f>Table124__Page_46[[#This Row],[Quantidade Anual]]*Table124__Page_46[[#This Row],[Valor Unitário]]</f>
        <v>684</v>
      </c>
      <c r="G6" s="171"/>
      <c r="H6" s="176">
        <v>12.99</v>
      </c>
      <c r="I6" s="171"/>
      <c r="J6" s="171"/>
    </row>
    <row r="7" spans="1:10" ht="15.75" x14ac:dyDescent="0.25">
      <c r="A7" s="173">
        <v>5</v>
      </c>
      <c r="B7" s="174" t="s">
        <v>192</v>
      </c>
      <c r="C7" s="175" t="s">
        <v>190</v>
      </c>
      <c r="D7" s="173">
        <v>158</v>
      </c>
      <c r="E7" s="176">
        <v>9.92</v>
      </c>
      <c r="F7" s="176">
        <f>Table124__Page_46[[#This Row],[Quantidade Anual]]*Table124__Page_46[[#This Row],[Valor Unitário]]</f>
        <v>1567.36</v>
      </c>
      <c r="G7" s="171"/>
      <c r="H7" s="176">
        <v>16.55</v>
      </c>
      <c r="I7" s="171"/>
      <c r="J7" s="171"/>
    </row>
    <row r="8" spans="1:10" ht="31.5" x14ac:dyDescent="0.25">
      <c r="A8" s="173">
        <v>6</v>
      </c>
      <c r="B8" s="174" t="s">
        <v>280</v>
      </c>
      <c r="C8" s="175" t="s">
        <v>193</v>
      </c>
      <c r="D8" s="173">
        <v>66</v>
      </c>
      <c r="E8" s="176">
        <v>7.25</v>
      </c>
      <c r="F8" s="176">
        <f>Table124__Page_46[[#This Row],[Quantidade Anual]]*Table124__Page_46[[#This Row],[Valor Unitário]]</f>
        <v>478.5</v>
      </c>
      <c r="G8" s="171"/>
      <c r="H8" s="176">
        <v>9.32</v>
      </c>
      <c r="I8" s="171"/>
      <c r="J8" s="171"/>
    </row>
    <row r="9" spans="1:10" ht="31.5" x14ac:dyDescent="0.25">
      <c r="A9" s="173">
        <v>7</v>
      </c>
      <c r="B9" s="174" t="s">
        <v>281</v>
      </c>
      <c r="C9" s="175" t="s">
        <v>194</v>
      </c>
      <c r="D9" s="173">
        <v>53</v>
      </c>
      <c r="E9" s="176">
        <v>17.57</v>
      </c>
      <c r="F9" s="176">
        <f>Table124__Page_46[[#This Row],[Quantidade Anual]]*Table124__Page_46[[#This Row],[Valor Unitário]]</f>
        <v>931.21</v>
      </c>
      <c r="G9" s="171"/>
      <c r="H9" s="176">
        <v>27.55</v>
      </c>
      <c r="I9" s="171"/>
      <c r="J9" s="171"/>
    </row>
    <row r="10" spans="1:10" ht="15.75" x14ac:dyDescent="0.25">
      <c r="A10" s="173">
        <v>8</v>
      </c>
      <c r="B10" s="174" t="s">
        <v>195</v>
      </c>
      <c r="C10" s="175" t="s">
        <v>193</v>
      </c>
      <c r="D10" s="173">
        <v>3</v>
      </c>
      <c r="E10" s="176">
        <v>25.52</v>
      </c>
      <c r="F10" s="176">
        <f>Table124__Page_46[[#This Row],[Quantidade Anual]]*Table124__Page_46[[#This Row],[Valor Unitário]]</f>
        <v>76.56</v>
      </c>
      <c r="G10" s="171"/>
      <c r="H10" s="176">
        <v>67.8</v>
      </c>
      <c r="I10" s="171"/>
      <c r="J10" s="171"/>
    </row>
    <row r="11" spans="1:10" ht="15.75" x14ac:dyDescent="0.25">
      <c r="A11" s="173">
        <v>9</v>
      </c>
      <c r="B11" s="174" t="s">
        <v>196</v>
      </c>
      <c r="C11" s="175" t="s">
        <v>193</v>
      </c>
      <c r="D11" s="173">
        <v>3</v>
      </c>
      <c r="E11" s="176">
        <v>2.5</v>
      </c>
      <c r="F11" s="176">
        <f>Table124__Page_46[[#This Row],[Quantidade Anual]]*Table124__Page_46[[#This Row],[Valor Unitário]]</f>
        <v>7.5</v>
      </c>
      <c r="G11" s="171"/>
      <c r="H11" s="176">
        <v>7.9</v>
      </c>
      <c r="I11" s="171"/>
      <c r="J11" s="171"/>
    </row>
    <row r="12" spans="1:10" ht="15.75" x14ac:dyDescent="0.25">
      <c r="A12" s="173">
        <v>10</v>
      </c>
      <c r="B12" s="174" t="s">
        <v>197</v>
      </c>
      <c r="C12" s="175" t="s">
        <v>193</v>
      </c>
      <c r="D12" s="173">
        <v>120</v>
      </c>
      <c r="E12" s="176">
        <v>6.33</v>
      </c>
      <c r="F12" s="176">
        <f>Table124__Page_46[[#This Row],[Quantidade Anual]]*Table124__Page_46[[#This Row],[Valor Unitário]]</f>
        <v>759.6</v>
      </c>
      <c r="G12" s="171"/>
      <c r="H12" s="176">
        <v>22.5</v>
      </c>
      <c r="I12" s="171"/>
      <c r="J12" s="171"/>
    </row>
    <row r="13" spans="1:10" ht="15.75" x14ac:dyDescent="0.25">
      <c r="A13" s="173">
        <v>11</v>
      </c>
      <c r="B13" s="174" t="s">
        <v>198</v>
      </c>
      <c r="C13" s="175" t="s">
        <v>193</v>
      </c>
      <c r="D13" s="173">
        <v>10</v>
      </c>
      <c r="E13" s="176">
        <v>14.9</v>
      </c>
      <c r="F13" s="176">
        <f>Table124__Page_46[[#This Row],[Quantidade Anual]]*Table124__Page_46[[#This Row],[Valor Unitário]]</f>
        <v>149</v>
      </c>
      <c r="G13" s="171"/>
      <c r="H13" s="176">
        <v>33.9</v>
      </c>
      <c r="I13" s="171"/>
      <c r="J13" s="171"/>
    </row>
    <row r="14" spans="1:10" ht="15.75" x14ac:dyDescent="0.25">
      <c r="A14" s="173">
        <v>12</v>
      </c>
      <c r="B14" s="174" t="s">
        <v>199</v>
      </c>
      <c r="C14" s="175" t="s">
        <v>190</v>
      </c>
      <c r="D14" s="173">
        <v>20</v>
      </c>
      <c r="E14" s="176">
        <v>11.77</v>
      </c>
      <c r="F14" s="176">
        <f>Table124__Page_46[[#This Row],[Quantidade Anual]]*Table124__Page_46[[#This Row],[Valor Unitário]]</f>
        <v>235.39999999999998</v>
      </c>
      <c r="G14" s="171"/>
      <c r="H14" s="176">
        <v>19.600000000000001</v>
      </c>
      <c r="I14" s="171"/>
      <c r="J14" s="171"/>
    </row>
    <row r="15" spans="1:10" ht="15.75" x14ac:dyDescent="0.25">
      <c r="A15" s="173">
        <v>13</v>
      </c>
      <c r="B15" s="174" t="s">
        <v>200</v>
      </c>
      <c r="C15" s="175" t="s">
        <v>193</v>
      </c>
      <c r="D15" s="173">
        <v>154</v>
      </c>
      <c r="E15" s="176">
        <v>1.98</v>
      </c>
      <c r="F15" s="176">
        <f>Table124__Page_46[[#This Row],[Quantidade Anual]]*Table124__Page_46[[#This Row],[Valor Unitário]]</f>
        <v>304.92</v>
      </c>
      <c r="G15" s="171"/>
      <c r="H15" s="176">
        <v>3.69</v>
      </c>
      <c r="I15" s="171"/>
      <c r="J15" s="171"/>
    </row>
    <row r="16" spans="1:10" ht="15.75" x14ac:dyDescent="0.25">
      <c r="A16" s="173">
        <v>14</v>
      </c>
      <c r="B16" s="174" t="s">
        <v>201</v>
      </c>
      <c r="C16" s="175" t="s">
        <v>193</v>
      </c>
      <c r="D16" s="173">
        <v>5</v>
      </c>
      <c r="E16" s="176">
        <v>3.53</v>
      </c>
      <c r="F16" s="176">
        <f>Table124__Page_46[[#This Row],[Quantidade Anual]]*Table124__Page_46[[#This Row],[Valor Unitário]]</f>
        <v>17.649999999999999</v>
      </c>
      <c r="G16" s="171"/>
      <c r="H16" s="176">
        <v>5.99</v>
      </c>
      <c r="I16" s="171"/>
      <c r="J16" s="171"/>
    </row>
    <row r="17" spans="1:10" ht="47.25" x14ac:dyDescent="0.25">
      <c r="A17" s="173">
        <v>15</v>
      </c>
      <c r="B17" s="174" t="s">
        <v>282</v>
      </c>
      <c r="C17" s="175" t="s">
        <v>202</v>
      </c>
      <c r="D17" s="173">
        <v>60</v>
      </c>
      <c r="E17" s="176">
        <v>4.95</v>
      </c>
      <c r="F17" s="176">
        <f>Table124__Page_46[[#This Row],[Quantidade Anual]]*Table124__Page_46[[#This Row],[Valor Unitário]]</f>
        <v>297</v>
      </c>
      <c r="G17" s="171"/>
      <c r="H17" s="176">
        <v>6.99</v>
      </c>
      <c r="I17" s="171"/>
      <c r="J17" s="171"/>
    </row>
    <row r="18" spans="1:10" ht="15.75" x14ac:dyDescent="0.25">
      <c r="A18" s="173">
        <v>16</v>
      </c>
      <c r="B18" s="174" t="s">
        <v>203</v>
      </c>
      <c r="C18" s="175" t="s">
        <v>193</v>
      </c>
      <c r="D18" s="173">
        <v>100</v>
      </c>
      <c r="E18" s="176">
        <v>4.6100000000000003</v>
      </c>
      <c r="F18" s="176">
        <f>Table124__Page_46[[#This Row],[Quantidade Anual]]*Table124__Page_46[[#This Row],[Valor Unitário]]</f>
        <v>461.00000000000006</v>
      </c>
      <c r="G18" s="171"/>
      <c r="H18" s="176">
        <v>4.95</v>
      </c>
      <c r="I18" s="171"/>
      <c r="J18" s="171"/>
    </row>
    <row r="19" spans="1:10" ht="15.75" x14ac:dyDescent="0.25">
      <c r="A19" s="173">
        <v>17</v>
      </c>
      <c r="B19" s="174" t="s">
        <v>204</v>
      </c>
      <c r="C19" s="175" t="s">
        <v>193</v>
      </c>
      <c r="D19" s="173">
        <v>120</v>
      </c>
      <c r="E19" s="176">
        <v>1.68</v>
      </c>
      <c r="F19" s="176">
        <f>Table124__Page_46[[#This Row],[Quantidade Anual]]*Table124__Page_46[[#This Row],[Valor Unitário]]</f>
        <v>201.6</v>
      </c>
      <c r="G19" s="171"/>
      <c r="H19" s="176">
        <v>7.56</v>
      </c>
      <c r="I19" s="171"/>
      <c r="J19" s="171"/>
    </row>
    <row r="20" spans="1:10" ht="60.75" customHeight="1" x14ac:dyDescent="0.25">
      <c r="A20" s="173">
        <v>18</v>
      </c>
      <c r="B20" s="174" t="s">
        <v>283</v>
      </c>
      <c r="C20" s="175" t="s">
        <v>205</v>
      </c>
      <c r="D20" s="173">
        <v>6</v>
      </c>
      <c r="E20" s="176">
        <v>57.85</v>
      </c>
      <c r="F20" s="176">
        <f>Table124__Page_46[[#This Row],[Quantidade Anual]]*Table124__Page_46[[#This Row],[Valor Unitário]]</f>
        <v>347.1</v>
      </c>
      <c r="G20" s="171"/>
      <c r="H20" s="176">
        <v>127.99</v>
      </c>
      <c r="I20" s="171"/>
      <c r="J20" s="171"/>
    </row>
    <row r="21" spans="1:10" ht="31.5" x14ac:dyDescent="0.25">
      <c r="A21" s="173">
        <v>19</v>
      </c>
      <c r="B21" s="174" t="s">
        <v>284</v>
      </c>
      <c r="C21" s="175" t="s">
        <v>205</v>
      </c>
      <c r="D21" s="173">
        <v>60</v>
      </c>
      <c r="E21" s="176">
        <v>160.93</v>
      </c>
      <c r="F21" s="176">
        <f>Table124__Page_46[[#This Row],[Quantidade Anual]]*Table124__Page_46[[#This Row],[Valor Unitário]]</f>
        <v>9655.8000000000011</v>
      </c>
      <c r="G21" s="171"/>
      <c r="H21" s="176">
        <v>189.9</v>
      </c>
      <c r="I21" s="171"/>
      <c r="J21" s="171"/>
    </row>
    <row r="22" spans="1:10" ht="15.75" x14ac:dyDescent="0.25">
      <c r="A22" s="173">
        <v>20</v>
      </c>
      <c r="B22" s="174" t="s">
        <v>206</v>
      </c>
      <c r="C22" s="175" t="s">
        <v>193</v>
      </c>
      <c r="D22" s="173">
        <v>12</v>
      </c>
      <c r="E22" s="176">
        <v>3.15</v>
      </c>
      <c r="F22" s="176">
        <f>Table124__Page_46[[#This Row],[Quantidade Anual]]*Table124__Page_46[[#This Row],[Valor Unitário]]</f>
        <v>37.799999999999997</v>
      </c>
      <c r="G22" s="171"/>
      <c r="H22" s="176">
        <v>7.99</v>
      </c>
      <c r="I22" s="171"/>
      <c r="J22" s="171"/>
    </row>
    <row r="23" spans="1:10" ht="15.75" x14ac:dyDescent="0.25">
      <c r="A23" s="173">
        <v>21</v>
      </c>
      <c r="B23" s="174" t="s">
        <v>207</v>
      </c>
      <c r="C23" s="175" t="s">
        <v>208</v>
      </c>
      <c r="D23" s="173">
        <v>12</v>
      </c>
      <c r="E23" s="176">
        <v>2.99</v>
      </c>
      <c r="F23" s="176">
        <f>Table124__Page_46[[#This Row],[Quantidade Anual]]*Table124__Page_46[[#This Row],[Valor Unitário]]</f>
        <v>35.880000000000003</v>
      </c>
      <c r="G23" s="171"/>
      <c r="H23" s="176">
        <v>13.99</v>
      </c>
      <c r="I23" s="171"/>
      <c r="J23" s="171"/>
    </row>
    <row r="24" spans="1:10" ht="15.75" x14ac:dyDescent="0.25">
      <c r="A24" s="173">
        <v>22</v>
      </c>
      <c r="B24" s="174" t="s">
        <v>209</v>
      </c>
      <c r="C24" s="175" t="s">
        <v>208</v>
      </c>
      <c r="D24" s="173">
        <v>12</v>
      </c>
      <c r="E24" s="176">
        <v>13.38</v>
      </c>
      <c r="F24" s="176">
        <f>Table124__Page_46[[#This Row],[Quantidade Anual]]*Table124__Page_46[[#This Row],[Valor Unitário]]</f>
        <v>160.56</v>
      </c>
      <c r="G24" s="171"/>
      <c r="H24" s="176">
        <v>14.99</v>
      </c>
      <c r="I24" s="171"/>
      <c r="J24" s="227">
        <f>'PREÇO POR EMPREGADO'!K102</f>
        <v>567455.5</v>
      </c>
    </row>
    <row r="25" spans="1:10" ht="31.5" x14ac:dyDescent="0.25">
      <c r="A25" s="177" t="s">
        <v>285</v>
      </c>
      <c r="B25" s="178" t="s">
        <v>286</v>
      </c>
      <c r="C25" s="177" t="s">
        <v>190</v>
      </c>
      <c r="D25" s="177" t="s">
        <v>217</v>
      </c>
      <c r="E25" s="179">
        <v>5.8</v>
      </c>
      <c r="F25" s="176">
        <f>Table124__Page_46[[#This Row],[Quantidade Anual]]*Table124__Page_46[[#This Row],[Valor Unitário]]</f>
        <v>261</v>
      </c>
      <c r="G25" s="171"/>
      <c r="H25" s="179">
        <v>7.41</v>
      </c>
      <c r="I25" s="171"/>
      <c r="J25" s="227">
        <f>'PREÇO POR EMPREGADO'!K103</f>
        <v>567455.45372511633</v>
      </c>
    </row>
    <row r="26" spans="1:10" ht="31.5" x14ac:dyDescent="0.25">
      <c r="A26" s="175" t="s">
        <v>218</v>
      </c>
      <c r="B26" s="174" t="s">
        <v>287</v>
      </c>
      <c r="C26" s="175" t="s">
        <v>193</v>
      </c>
      <c r="D26" s="175">
        <v>24</v>
      </c>
      <c r="E26" s="176">
        <v>8.9700000000000006</v>
      </c>
      <c r="F26" s="176">
        <f>Table124__Page_46[[#This Row],[Quantidade Anual]]*Table124__Page_46[[#This Row],[Valor Unitário]]</f>
        <v>215.28000000000003</v>
      </c>
      <c r="G26" s="171"/>
      <c r="H26" s="176">
        <v>8.9700000000000006</v>
      </c>
      <c r="I26" s="171"/>
      <c r="J26" s="171"/>
    </row>
    <row r="27" spans="1:10" ht="31.5" x14ac:dyDescent="0.25">
      <c r="A27" s="177" t="s">
        <v>288</v>
      </c>
      <c r="B27" s="178" t="s">
        <v>289</v>
      </c>
      <c r="C27" s="177" t="s">
        <v>208</v>
      </c>
      <c r="D27" s="177">
        <v>48</v>
      </c>
      <c r="E27" s="179">
        <v>30.5</v>
      </c>
      <c r="F27" s="176">
        <f>Table124__Page_46[[#This Row],[Quantidade Anual]]*Table124__Page_46[[#This Row],[Valor Unitário]]</f>
        <v>1464</v>
      </c>
      <c r="G27" s="171"/>
      <c r="H27" s="179">
        <v>37.520000000000003</v>
      </c>
      <c r="I27" s="171"/>
      <c r="J27" s="171"/>
    </row>
    <row r="28" spans="1:10" ht="31.5" x14ac:dyDescent="0.25">
      <c r="A28" s="175" t="s">
        <v>290</v>
      </c>
      <c r="B28" s="174" t="s">
        <v>291</v>
      </c>
      <c r="C28" s="175" t="s">
        <v>208</v>
      </c>
      <c r="D28" s="175">
        <v>12</v>
      </c>
      <c r="E28" s="176">
        <v>30.17</v>
      </c>
      <c r="F28" s="176">
        <f>Table124__Page_46[[#This Row],[Quantidade Anual]]*Table124__Page_46[[#This Row],[Valor Unitário]]</f>
        <v>362.04</v>
      </c>
      <c r="G28" s="171"/>
      <c r="H28" s="176">
        <v>37.520000000000003</v>
      </c>
      <c r="I28" s="171"/>
      <c r="J28" s="171"/>
    </row>
    <row r="29" spans="1:10" ht="31.5" x14ac:dyDescent="0.25">
      <c r="A29" s="177" t="s">
        <v>292</v>
      </c>
      <c r="B29" s="178" t="s">
        <v>293</v>
      </c>
      <c r="C29" s="177" t="s">
        <v>208</v>
      </c>
      <c r="D29" s="177">
        <v>48</v>
      </c>
      <c r="E29" s="179">
        <v>26</v>
      </c>
      <c r="F29" s="176">
        <f>Table124__Page_46[[#This Row],[Quantidade Anual]]*Table124__Page_46[[#This Row],[Valor Unitário]]</f>
        <v>1248</v>
      </c>
      <c r="G29" s="171"/>
      <c r="H29" s="179">
        <v>37.520000000000003</v>
      </c>
      <c r="I29" s="171"/>
      <c r="J29" s="171"/>
    </row>
    <row r="30" spans="1:10" ht="31.5" x14ac:dyDescent="0.25">
      <c r="A30" s="175" t="s">
        <v>294</v>
      </c>
      <c r="B30" s="174" t="s">
        <v>295</v>
      </c>
      <c r="C30" s="175" t="s">
        <v>208</v>
      </c>
      <c r="D30" s="175">
        <v>48</v>
      </c>
      <c r="E30" s="176">
        <v>12.2</v>
      </c>
      <c r="F30" s="176">
        <f>Table124__Page_46[[#This Row],[Quantidade Anual]]*Table124__Page_46[[#This Row],[Valor Unitário]]</f>
        <v>585.59999999999991</v>
      </c>
      <c r="G30" s="171"/>
      <c r="H30" s="176">
        <v>18.52</v>
      </c>
      <c r="I30" s="171"/>
      <c r="J30" s="171"/>
    </row>
    <row r="31" spans="1:10" ht="31.5" x14ac:dyDescent="0.25">
      <c r="A31" s="177" t="s">
        <v>296</v>
      </c>
      <c r="B31" s="178" t="s">
        <v>297</v>
      </c>
      <c r="C31" s="177" t="s">
        <v>208</v>
      </c>
      <c r="D31" s="177">
        <v>12</v>
      </c>
      <c r="E31" s="179">
        <v>12.2</v>
      </c>
      <c r="F31" s="176">
        <f>Table124__Page_46[[#This Row],[Quantidade Anual]]*Table124__Page_46[[#This Row],[Valor Unitário]]</f>
        <v>146.39999999999998</v>
      </c>
      <c r="G31" s="171"/>
      <c r="H31" s="179">
        <v>18.52</v>
      </c>
      <c r="I31" s="171"/>
      <c r="J31" s="171"/>
    </row>
    <row r="32" spans="1:10" ht="31.5" x14ac:dyDescent="0.25">
      <c r="A32" s="175" t="s">
        <v>298</v>
      </c>
      <c r="B32" s="174" t="s">
        <v>299</v>
      </c>
      <c r="C32" s="175" t="s">
        <v>208</v>
      </c>
      <c r="D32" s="175">
        <v>12</v>
      </c>
      <c r="E32" s="176">
        <v>11.23</v>
      </c>
      <c r="F32" s="176">
        <f>Table124__Page_46[[#This Row],[Quantidade Anual]]*Table124__Page_46[[#This Row],[Valor Unitário]]</f>
        <v>134.76</v>
      </c>
      <c r="G32" s="171"/>
      <c r="H32" s="176">
        <v>18.52</v>
      </c>
      <c r="I32" s="171"/>
      <c r="J32" s="171"/>
    </row>
    <row r="33" spans="1:10" ht="15.75" x14ac:dyDescent="0.25">
      <c r="A33" s="177" t="s">
        <v>300</v>
      </c>
      <c r="B33" s="178" t="s">
        <v>210</v>
      </c>
      <c r="C33" s="177" t="s">
        <v>193</v>
      </c>
      <c r="D33" s="177">
        <v>24</v>
      </c>
      <c r="E33" s="179">
        <v>3.02</v>
      </c>
      <c r="F33" s="176">
        <f>Table124__Page_46[[#This Row],[Quantidade Anual]]*Table124__Page_46[[#This Row],[Valor Unitário]]</f>
        <v>72.48</v>
      </c>
      <c r="G33" s="171"/>
      <c r="H33" s="179">
        <v>5.69</v>
      </c>
      <c r="I33" s="171"/>
      <c r="J33" s="171"/>
    </row>
    <row r="35" spans="1:10" x14ac:dyDescent="0.25">
      <c r="A35" s="368" t="s">
        <v>151</v>
      </c>
      <c r="B35" s="368"/>
      <c r="C35" s="368"/>
      <c r="D35" s="368"/>
      <c r="E35" s="368"/>
      <c r="F35" s="38">
        <f>SUM(Table124__Page_46[Valor Anual])</f>
        <v>24752.399999999998</v>
      </c>
    </row>
    <row r="36" spans="1:10" x14ac:dyDescent="0.25">
      <c r="A36" s="368" t="s">
        <v>301</v>
      </c>
      <c r="B36" s="368"/>
      <c r="C36" s="368"/>
      <c r="D36" s="368"/>
      <c r="E36" s="368"/>
      <c r="F36" s="180">
        <f>F35/12</f>
        <v>2062.6999999999998</v>
      </c>
    </row>
    <row r="37" spans="1:10" x14ac:dyDescent="0.25">
      <c r="A37" s="368" t="s">
        <v>302</v>
      </c>
      <c r="B37" s="368"/>
      <c r="C37" s="368"/>
      <c r="D37" s="368"/>
      <c r="E37" s="368"/>
      <c r="F37" s="180">
        <f>F36/RESUMO!F49</f>
        <v>662.08243477451526</v>
      </c>
    </row>
  </sheetData>
  <mergeCells count="4">
    <mergeCell ref="A36:E36"/>
    <mergeCell ref="A37:E37"/>
    <mergeCell ref="A1:F1"/>
    <mergeCell ref="A35:E3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picture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11"/>
  <sheetViews>
    <sheetView showGridLines="0" zoomScale="80" zoomScaleNormal="80" workbookViewId="0">
      <selection activeCell="B5" sqref="B5"/>
    </sheetView>
  </sheetViews>
  <sheetFormatPr defaultRowHeight="15" x14ac:dyDescent="0.25"/>
  <cols>
    <col min="1" max="1" width="9.140625" style="169"/>
    <col min="2" max="2" width="54.5703125" style="169" customWidth="1"/>
    <col min="3" max="3" width="36" style="169" customWidth="1"/>
    <col min="4" max="4" width="22.140625" style="169" customWidth="1"/>
    <col min="5" max="5" width="23.140625" style="169" customWidth="1"/>
    <col min="6" max="6" width="19.42578125" style="169" customWidth="1"/>
    <col min="7" max="7" width="19.7109375" style="169" customWidth="1"/>
    <col min="8" max="8" width="16.85546875" style="169" customWidth="1"/>
    <col min="9" max="9" width="9.140625" style="169"/>
    <col min="10" max="10" width="16.140625" style="169" customWidth="1"/>
    <col min="11" max="16384" width="9.140625" style="169"/>
  </cols>
  <sheetData>
    <row r="1" spans="1:11" ht="15.75" x14ac:dyDescent="0.25">
      <c r="A1" s="370" t="s">
        <v>224</v>
      </c>
      <c r="B1" s="371"/>
      <c r="C1" s="371"/>
      <c r="D1" s="371"/>
      <c r="E1" s="371"/>
      <c r="F1" s="371"/>
      <c r="G1" s="371"/>
      <c r="H1" s="372"/>
    </row>
    <row r="2" spans="1:11" ht="15.75" x14ac:dyDescent="0.25">
      <c r="A2" s="181" t="s">
        <v>304</v>
      </c>
      <c r="B2" s="181" t="s">
        <v>46</v>
      </c>
      <c r="C2" s="181" t="s">
        <v>193</v>
      </c>
      <c r="D2" s="181" t="s">
        <v>305</v>
      </c>
      <c r="E2" s="181" t="s">
        <v>223</v>
      </c>
      <c r="F2" s="181" t="s">
        <v>225</v>
      </c>
      <c r="G2" s="181" t="s">
        <v>226</v>
      </c>
      <c r="H2" s="181" t="s">
        <v>227</v>
      </c>
      <c r="J2" s="182" t="s">
        <v>278</v>
      </c>
    </row>
    <row r="3" spans="1:11" ht="31.5" x14ac:dyDescent="0.25">
      <c r="A3" s="183" t="s">
        <v>306</v>
      </c>
      <c r="B3" s="183" t="s">
        <v>340</v>
      </c>
      <c r="C3" s="183" t="s">
        <v>193</v>
      </c>
      <c r="D3" s="183">
        <v>2</v>
      </c>
      <c r="E3" s="184">
        <v>498.63</v>
      </c>
      <c r="F3" s="185">
        <f>Tabela2[[#This Row],[Quantidade]]*Tabela2[[#This Row],[Valor Unitário]]</f>
        <v>997.26</v>
      </c>
      <c r="G3" s="183" t="s">
        <v>214</v>
      </c>
      <c r="H3" s="185">
        <f>Tabela2[[#This Row],[Valor Total]]/Tabela2[[#This Row],[Vida Útil/meses]]</f>
        <v>16.620999999999999</v>
      </c>
      <c r="J3" s="186" t="s">
        <v>308</v>
      </c>
    </row>
    <row r="4" spans="1:11" ht="15.75" x14ac:dyDescent="0.25">
      <c r="A4" s="183" t="s">
        <v>309</v>
      </c>
      <c r="B4" s="183" t="s">
        <v>341</v>
      </c>
      <c r="C4" s="183" t="s">
        <v>193</v>
      </c>
      <c r="D4" s="183">
        <v>3</v>
      </c>
      <c r="E4" s="185">
        <v>615</v>
      </c>
      <c r="F4" s="185">
        <f>Tabela2[[#This Row],[Quantidade]]*Tabela2[[#This Row],[Valor Unitário]]</f>
        <v>1845</v>
      </c>
      <c r="G4" s="183" t="s">
        <v>214</v>
      </c>
      <c r="H4" s="185">
        <f>Tabela2[[#This Row],[Valor Total]]/Tabela2[[#This Row],[Vida Útil/meses]]</f>
        <v>30.75</v>
      </c>
      <c r="J4" s="186" t="s">
        <v>310</v>
      </c>
    </row>
    <row r="5" spans="1:11" ht="15.75" x14ac:dyDescent="0.25">
      <c r="A5" s="187" t="s">
        <v>212</v>
      </c>
      <c r="B5" s="187" t="s">
        <v>228</v>
      </c>
      <c r="C5" s="187" t="s">
        <v>193</v>
      </c>
      <c r="D5" s="187" t="s">
        <v>306</v>
      </c>
      <c r="E5" s="188">
        <v>1785.25</v>
      </c>
      <c r="F5" s="185">
        <f>Tabela2[[#This Row],[Quantidade]]*Tabela2[[#This Row],[Valor Unitário]]</f>
        <v>1785.25</v>
      </c>
      <c r="G5" s="187" t="s">
        <v>214</v>
      </c>
      <c r="H5" s="185">
        <f>Tabela2[[#This Row],[Valor Total]]/Tabela2[[#This Row],[Vida Útil/meses]]</f>
        <v>29.754166666666666</v>
      </c>
      <c r="J5" s="189" t="s">
        <v>311</v>
      </c>
    </row>
    <row r="6" spans="1:11" ht="15.75" x14ac:dyDescent="0.25">
      <c r="A6" s="190" t="s">
        <v>307</v>
      </c>
      <c r="B6" s="190" t="s">
        <v>229</v>
      </c>
      <c r="C6" s="190" t="s">
        <v>193</v>
      </c>
      <c r="D6" s="190" t="s">
        <v>306</v>
      </c>
      <c r="E6" s="191">
        <v>2500</v>
      </c>
      <c r="F6" s="185">
        <f>Tabela2[[#This Row],[Quantidade]]*Tabela2[[#This Row],[Valor Unitário]]</f>
        <v>2500</v>
      </c>
      <c r="G6" s="190" t="s">
        <v>214</v>
      </c>
      <c r="H6" s="185">
        <f>Tabela2[[#This Row],[Valor Total]]/Tabela2[[#This Row],[Vida Útil/meses]]</f>
        <v>41.666666666666664</v>
      </c>
      <c r="J6" s="186" t="s">
        <v>312</v>
      </c>
    </row>
    <row r="7" spans="1:11" ht="15.75" x14ac:dyDescent="0.25">
      <c r="A7" s="373" t="s">
        <v>230</v>
      </c>
      <c r="B7" s="374"/>
      <c r="C7" s="374"/>
      <c r="D7" s="374"/>
      <c r="E7" s="374"/>
      <c r="F7" s="374"/>
      <c r="G7" s="374"/>
      <c r="H7" s="192">
        <f>SUM(Tabela2[Valor Mensal])</f>
        <v>118.79183333333333</v>
      </c>
    </row>
    <row r="8" spans="1:11" ht="15.75" x14ac:dyDescent="0.25">
      <c r="A8" s="375" t="s">
        <v>313</v>
      </c>
      <c r="B8" s="375"/>
      <c r="C8" s="375"/>
      <c r="D8" s="375"/>
      <c r="E8" s="375"/>
      <c r="F8" s="375"/>
      <c r="G8" s="375"/>
      <c r="H8" s="193">
        <f>H7/RESUMO!F49</f>
        <v>38.129629245484928</v>
      </c>
    </row>
    <row r="10" spans="1:11" ht="36" customHeight="1" x14ac:dyDescent="0.25">
      <c r="A10" s="376" t="s">
        <v>338</v>
      </c>
      <c r="B10" s="377"/>
      <c r="C10" s="377"/>
      <c r="D10" s="377"/>
      <c r="E10" s="377"/>
      <c r="F10" s="377"/>
      <c r="G10" s="377"/>
      <c r="H10" s="377"/>
    </row>
    <row r="11" spans="1:11" ht="39" customHeight="1" x14ac:dyDescent="0.25">
      <c r="A11" s="376" t="s">
        <v>339</v>
      </c>
      <c r="B11" s="377"/>
      <c r="C11" s="377"/>
      <c r="D11" s="377"/>
      <c r="E11" s="377"/>
      <c r="F11" s="377"/>
      <c r="G11" s="377"/>
      <c r="H11" s="377"/>
      <c r="I11" s="228"/>
      <c r="J11" s="228"/>
      <c r="K11" s="228"/>
    </row>
  </sheetData>
  <mergeCells count="5">
    <mergeCell ref="A1:H1"/>
    <mergeCell ref="A7:G7"/>
    <mergeCell ref="A8:G8"/>
    <mergeCell ref="A10:H10"/>
    <mergeCell ref="A11:H11"/>
  </mergeCells>
  <pageMargins left="0.511811024" right="0.511811024" top="0.78740157499999996" bottom="0.78740157499999996" header="0.31496062000000002" footer="0.31496062000000002"/>
  <picture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K17"/>
  <sheetViews>
    <sheetView showGridLines="0" zoomScale="80" zoomScaleNormal="80" workbookViewId="0">
      <selection activeCell="I17" sqref="I17"/>
    </sheetView>
  </sheetViews>
  <sheetFormatPr defaultRowHeight="15" x14ac:dyDescent="0.25"/>
  <cols>
    <col min="1" max="1" width="9.140625" style="169"/>
    <col min="2" max="2" width="11.42578125" style="169" customWidth="1"/>
    <col min="3" max="3" width="84.5703125" style="169" bestFit="1" customWidth="1"/>
    <col min="4" max="4" width="17.140625" style="169" customWidth="1"/>
    <col min="5" max="5" width="18" style="169" customWidth="1"/>
    <col min="6" max="6" width="21" style="169" customWidth="1"/>
    <col min="7" max="7" width="18.28515625" style="169" customWidth="1"/>
    <col min="8" max="8" width="20.5703125" style="169" customWidth="1"/>
    <col min="9" max="9" width="16.85546875" style="169" bestFit="1" customWidth="1"/>
    <col min="10" max="10" width="9.140625" style="169"/>
    <col min="11" max="11" width="18.85546875" style="169" customWidth="1"/>
    <col min="12" max="16384" width="9.140625" style="169"/>
  </cols>
  <sheetData>
    <row r="2" spans="2:11" ht="15.75" x14ac:dyDescent="0.25">
      <c r="B2" s="194"/>
      <c r="C2" s="194"/>
      <c r="D2" s="194"/>
      <c r="E2" s="195" t="s">
        <v>231</v>
      </c>
      <c r="F2" s="194"/>
      <c r="G2" s="194"/>
      <c r="H2" s="194"/>
      <c r="I2" s="194"/>
    </row>
    <row r="3" spans="2:11" ht="16.5" thickBot="1" x14ac:dyDescent="0.3">
      <c r="B3" s="196" t="s">
        <v>304</v>
      </c>
      <c r="C3" s="197" t="s">
        <v>46</v>
      </c>
      <c r="D3" s="197" t="s">
        <v>193</v>
      </c>
      <c r="E3" s="197" t="s">
        <v>305</v>
      </c>
      <c r="F3" s="197" t="s">
        <v>223</v>
      </c>
      <c r="G3" s="197" t="s">
        <v>225</v>
      </c>
      <c r="H3" s="197" t="s">
        <v>226</v>
      </c>
      <c r="I3" s="197" t="s">
        <v>227</v>
      </c>
      <c r="K3" s="198" t="s">
        <v>278</v>
      </c>
    </row>
    <row r="4" spans="2:11" ht="39" customHeight="1" thickTop="1" x14ac:dyDescent="0.25">
      <c r="B4" s="199">
        <v>1</v>
      </c>
      <c r="C4" s="202" t="s">
        <v>314</v>
      </c>
      <c r="D4" s="203" t="s">
        <v>193</v>
      </c>
      <c r="E4" s="203" t="s">
        <v>213</v>
      </c>
      <c r="F4" s="204">
        <v>7.5</v>
      </c>
      <c r="G4" s="200">
        <f>Table127__Page_48[[#This Row],[Quantidade]]*Table127__Page_48[[#This Row],[Valor Unitário]]</f>
        <v>37.5</v>
      </c>
      <c r="H4" s="203" t="s">
        <v>215</v>
      </c>
      <c r="I4" s="200">
        <f>Table127__Page_48[[#This Row],[Valor Total]]/Table127__Page_48[[#This Row],[Vida Útil/meses]]</f>
        <v>6.25</v>
      </c>
      <c r="K4" s="201">
        <v>14.36</v>
      </c>
    </row>
    <row r="5" spans="2:11" ht="15.75" x14ac:dyDescent="0.25">
      <c r="B5" s="199">
        <v>2</v>
      </c>
      <c r="C5" s="202" t="s">
        <v>232</v>
      </c>
      <c r="D5" s="203" t="s">
        <v>193</v>
      </c>
      <c r="E5" s="203" t="s">
        <v>315</v>
      </c>
      <c r="F5" s="204">
        <v>4.0999999999999996</v>
      </c>
      <c r="G5" s="200">
        <f>Table127__Page_48[[#This Row],[Quantidade]]*Table127__Page_48[[#This Row],[Valor Unitário]]</f>
        <v>204.99999999999997</v>
      </c>
      <c r="H5" s="203" t="s">
        <v>215</v>
      </c>
      <c r="I5" s="200">
        <f>Table127__Page_48[[#This Row],[Valor Total]]/Table127__Page_48[[#This Row],[Vida Útil/meses]]</f>
        <v>34.166666666666664</v>
      </c>
      <c r="K5" s="201">
        <v>8.99</v>
      </c>
    </row>
    <row r="6" spans="2:11" ht="15.75" x14ac:dyDescent="0.25">
      <c r="B6" s="199">
        <v>3</v>
      </c>
      <c r="C6" s="202" t="s">
        <v>233</v>
      </c>
      <c r="D6" s="203" t="s">
        <v>193</v>
      </c>
      <c r="E6" s="203" t="s">
        <v>215</v>
      </c>
      <c r="F6" s="204">
        <v>24.5</v>
      </c>
      <c r="G6" s="200">
        <f>Table127__Page_48[[#This Row],[Quantidade]]*Table127__Page_48[[#This Row],[Valor Unitário]]</f>
        <v>147</v>
      </c>
      <c r="H6" s="203" t="s">
        <v>216</v>
      </c>
      <c r="I6" s="200">
        <f>Table127__Page_48[[#This Row],[Valor Total]]/Table127__Page_48[[#This Row],[Vida Útil/meses]]</f>
        <v>12.25</v>
      </c>
      <c r="K6" s="201">
        <v>24.69</v>
      </c>
    </row>
    <row r="7" spans="2:11" ht="15.75" x14ac:dyDescent="0.25">
      <c r="B7" s="199">
        <v>4</v>
      </c>
      <c r="C7" s="202" t="s">
        <v>234</v>
      </c>
      <c r="D7" s="203" t="s">
        <v>193</v>
      </c>
      <c r="E7" s="203" t="s">
        <v>215</v>
      </c>
      <c r="F7" s="204">
        <v>26.54</v>
      </c>
      <c r="G7" s="200">
        <f>Table127__Page_48[[#This Row],[Quantidade]]*Table127__Page_48[[#This Row],[Valor Unitário]]</f>
        <v>159.24</v>
      </c>
      <c r="H7" s="203" t="s">
        <v>309</v>
      </c>
      <c r="I7" s="200">
        <f>Table127__Page_48[[#This Row],[Valor Total]]/Table127__Page_48[[#This Row],[Vida Útil/meses]]</f>
        <v>79.62</v>
      </c>
      <c r="K7" s="201">
        <v>26.54</v>
      </c>
    </row>
    <row r="8" spans="2:11" ht="15.75" x14ac:dyDescent="0.25">
      <c r="B8" s="199">
        <v>5</v>
      </c>
      <c r="C8" s="202" t="s">
        <v>235</v>
      </c>
      <c r="D8" s="203" t="s">
        <v>193</v>
      </c>
      <c r="E8" s="203" t="s">
        <v>309</v>
      </c>
      <c r="F8" s="204">
        <v>16.87</v>
      </c>
      <c r="G8" s="200">
        <f>Table127__Page_48[[#This Row],[Quantidade]]*Table127__Page_48[[#This Row],[Valor Unitário]]</f>
        <v>33.74</v>
      </c>
      <c r="H8" s="203" t="s">
        <v>309</v>
      </c>
      <c r="I8" s="200">
        <f>Table127__Page_48[[#This Row],[Valor Total]]/Table127__Page_48[[#This Row],[Vida Útil/meses]]</f>
        <v>16.87</v>
      </c>
      <c r="K8" s="201">
        <v>16.87</v>
      </c>
    </row>
    <row r="9" spans="2:11" ht="31.5" x14ac:dyDescent="0.25">
      <c r="B9" s="199">
        <v>6</v>
      </c>
      <c r="C9" s="202" t="s">
        <v>316</v>
      </c>
      <c r="D9" s="203"/>
      <c r="E9" s="203" t="s">
        <v>213</v>
      </c>
      <c r="F9" s="204">
        <v>21</v>
      </c>
      <c r="G9" s="200">
        <f>Table127__Page_48[[#This Row],[Quantidade]]*Table127__Page_48[[#This Row],[Valor Unitário]]</f>
        <v>105</v>
      </c>
      <c r="H9" s="203" t="s">
        <v>216</v>
      </c>
      <c r="I9" s="200">
        <f>Table127__Page_48[[#This Row],[Valor Total]]/Table127__Page_48[[#This Row],[Vida Útil/meses]]</f>
        <v>8.75</v>
      </c>
      <c r="K9" s="201">
        <v>47.99</v>
      </c>
    </row>
    <row r="10" spans="2:11" ht="15.75" x14ac:dyDescent="0.25">
      <c r="B10" s="199">
        <v>7</v>
      </c>
      <c r="C10" s="202" t="s">
        <v>236</v>
      </c>
      <c r="D10" s="203" t="s">
        <v>193</v>
      </c>
      <c r="E10" s="203" t="s">
        <v>213</v>
      </c>
      <c r="F10" s="204">
        <v>22.75</v>
      </c>
      <c r="G10" s="200">
        <f>Table127__Page_48[[#This Row],[Quantidade]]*Table127__Page_48[[#This Row],[Valor Unitário]]</f>
        <v>113.75</v>
      </c>
      <c r="H10" s="203" t="s">
        <v>216</v>
      </c>
      <c r="I10" s="200">
        <f>Table127__Page_48[[#This Row],[Valor Total]]/Table127__Page_48[[#This Row],[Vida Útil/meses]]</f>
        <v>9.4791666666666661</v>
      </c>
      <c r="K10" s="201">
        <v>29.87</v>
      </c>
    </row>
    <row r="11" spans="2:11" ht="15.75" x14ac:dyDescent="0.25">
      <c r="B11" s="199">
        <v>8</v>
      </c>
      <c r="C11" s="202" t="s">
        <v>317</v>
      </c>
      <c r="D11" s="203" t="s">
        <v>193</v>
      </c>
      <c r="E11" s="203" t="s">
        <v>309</v>
      </c>
      <c r="F11" s="204">
        <v>12.2</v>
      </c>
      <c r="G11" s="200">
        <f>Table127__Page_48[[#This Row],[Quantidade]]*Table127__Page_48[[#This Row],[Valor Unitário]]</f>
        <v>24.4</v>
      </c>
      <c r="H11" s="203" t="s">
        <v>309</v>
      </c>
      <c r="I11" s="200">
        <f>Table127__Page_48[[#This Row],[Valor Total]]/Table127__Page_48[[#This Row],[Vida Útil/meses]]</f>
        <v>12.2</v>
      </c>
      <c r="K11" s="201">
        <v>17.52</v>
      </c>
    </row>
    <row r="12" spans="2:11" ht="52.5" customHeight="1" x14ac:dyDescent="0.25">
      <c r="B12" s="199">
        <v>9</v>
      </c>
      <c r="C12" s="202" t="s">
        <v>318</v>
      </c>
      <c r="D12" s="203" t="s">
        <v>193</v>
      </c>
      <c r="E12" s="203" t="s">
        <v>309</v>
      </c>
      <c r="F12" s="204">
        <v>12.69</v>
      </c>
      <c r="G12" s="200">
        <f>Table127__Page_48[[#This Row],[Quantidade]]*Table127__Page_48[[#This Row],[Valor Unitário]]</f>
        <v>25.38</v>
      </c>
      <c r="H12" s="203" t="s">
        <v>309</v>
      </c>
      <c r="I12" s="200">
        <f>Table127__Page_48[[#This Row],[Valor Total]]/Table127__Page_48[[#This Row],[Vida Útil/meses]]</f>
        <v>12.69</v>
      </c>
      <c r="K12" s="201">
        <v>12.69</v>
      </c>
    </row>
    <row r="13" spans="2:11" ht="15.75" x14ac:dyDescent="0.25">
      <c r="B13" s="199">
        <v>10</v>
      </c>
      <c r="C13" s="202" t="s">
        <v>237</v>
      </c>
      <c r="D13" s="203" t="s">
        <v>193</v>
      </c>
      <c r="E13" s="203" t="s">
        <v>309</v>
      </c>
      <c r="F13" s="204">
        <v>6.45</v>
      </c>
      <c r="G13" s="200">
        <f>Table127__Page_48[[#This Row],[Quantidade]]*Table127__Page_48[[#This Row],[Valor Unitário]]</f>
        <v>12.9</v>
      </c>
      <c r="H13" s="203" t="s">
        <v>309</v>
      </c>
      <c r="I13" s="200">
        <f>Table127__Page_48[[#This Row],[Valor Total]]/Table127__Page_48[[#This Row],[Vida Útil/meses]]</f>
        <v>6.45</v>
      </c>
      <c r="K13" s="201">
        <v>12.74</v>
      </c>
    </row>
    <row r="14" spans="2:11" ht="15.75" x14ac:dyDescent="0.25">
      <c r="B14" s="199">
        <v>11</v>
      </c>
      <c r="C14" s="202" t="s">
        <v>238</v>
      </c>
      <c r="D14" s="203" t="s">
        <v>193</v>
      </c>
      <c r="E14" s="203" t="s">
        <v>309</v>
      </c>
      <c r="F14" s="204">
        <v>5.0999999999999996</v>
      </c>
      <c r="G14" s="200">
        <f>Table127__Page_48[[#This Row],[Quantidade]]*Table127__Page_48[[#This Row],[Valor Unitário]]</f>
        <v>10.199999999999999</v>
      </c>
      <c r="H14" s="203" t="s">
        <v>309</v>
      </c>
      <c r="I14" s="200">
        <f>Table127__Page_48[[#This Row],[Valor Total]]/Table127__Page_48[[#This Row],[Vida Útil/meses]]</f>
        <v>5.0999999999999996</v>
      </c>
      <c r="K14" s="201">
        <v>5.74</v>
      </c>
    </row>
    <row r="15" spans="2:11" ht="15.75" x14ac:dyDescent="0.25">
      <c r="B15" s="205" t="s">
        <v>319</v>
      </c>
      <c r="C15" s="205" t="s">
        <v>319</v>
      </c>
      <c r="D15" s="205" t="s">
        <v>319</v>
      </c>
      <c r="E15" s="205"/>
      <c r="F15" s="205"/>
      <c r="G15" s="205"/>
      <c r="H15" s="205"/>
      <c r="I15" s="205"/>
    </row>
    <row r="16" spans="2:11" x14ac:dyDescent="0.25">
      <c r="C16" s="378" t="s">
        <v>320</v>
      </c>
      <c r="D16" s="378"/>
      <c r="E16" s="378"/>
      <c r="F16" s="378"/>
      <c r="G16" s="378"/>
      <c r="H16" s="378"/>
      <c r="I16" s="206">
        <f>SUM(I4:I14)</f>
        <v>203.82583333333329</v>
      </c>
    </row>
    <row r="17" spans="3:9" x14ac:dyDescent="0.25">
      <c r="C17" s="378" t="s">
        <v>321</v>
      </c>
      <c r="D17" s="378"/>
      <c r="E17" s="378"/>
      <c r="F17" s="378"/>
      <c r="G17" s="378"/>
      <c r="H17" s="378"/>
      <c r="I17" s="206">
        <f>I16/RESUMO!F49</f>
        <v>65.423718428893125</v>
      </c>
    </row>
  </sheetData>
  <mergeCells count="2">
    <mergeCell ref="C16:H16"/>
    <mergeCell ref="C17:H17"/>
  </mergeCells>
  <pageMargins left="0.511811024" right="0.511811024" top="0.78740157499999996" bottom="0.78740157499999996" header="0.31496062000000002" footer="0.31496062000000002"/>
  <picture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8"/>
  <sheetViews>
    <sheetView showGridLines="0" zoomScale="80" zoomScaleNormal="80" workbookViewId="0">
      <selection activeCell="D7" sqref="D7"/>
    </sheetView>
  </sheetViews>
  <sheetFormatPr defaultRowHeight="15" x14ac:dyDescent="0.25"/>
  <cols>
    <col min="1" max="1" width="55.140625" style="169" customWidth="1"/>
    <col min="2" max="2" width="17.140625" style="169" customWidth="1"/>
    <col min="3" max="3" width="22.7109375" style="169" customWidth="1"/>
    <col min="4" max="4" width="17" style="169" customWidth="1"/>
    <col min="5" max="5" width="9.140625" style="169"/>
    <col min="6" max="6" width="26.5703125" style="169" customWidth="1"/>
    <col min="7" max="16384" width="9.140625" style="169"/>
  </cols>
  <sheetData>
    <row r="1" spans="1:6" ht="30.75" thickBot="1" x14ac:dyDescent="0.3">
      <c r="A1" s="207" t="s">
        <v>120</v>
      </c>
      <c r="B1" s="207" t="s">
        <v>239</v>
      </c>
      <c r="C1" s="207" t="s">
        <v>240</v>
      </c>
      <c r="D1" s="207" t="s">
        <v>243</v>
      </c>
      <c r="F1" s="208" t="s">
        <v>278</v>
      </c>
    </row>
    <row r="2" spans="1:6" ht="33" thickTop="1" thickBot="1" x14ac:dyDescent="0.3">
      <c r="A2" s="209" t="s">
        <v>241</v>
      </c>
      <c r="B2" s="210">
        <v>2</v>
      </c>
      <c r="C2" s="211">
        <v>45.32</v>
      </c>
      <c r="D2" s="211">
        <f>Table129__Page_50[[#This Row],[Quantidade por ano]]*Table129__Page_50[[#This Row],[Custo unitário]]</f>
        <v>90.64</v>
      </c>
      <c r="F2" s="212">
        <v>45.32</v>
      </c>
    </row>
    <row r="3" spans="1:6" ht="48.75" thickTop="1" thickBot="1" x14ac:dyDescent="0.3">
      <c r="A3" s="209" t="s">
        <v>323</v>
      </c>
      <c r="B3" s="210">
        <v>4</v>
      </c>
      <c r="C3" s="211">
        <v>24</v>
      </c>
      <c r="D3" s="211">
        <f>Table129__Page_50[[#This Row],[Quantidade por ano]]*Table129__Page_50[[#This Row],[Custo unitário]]</f>
        <v>96</v>
      </c>
      <c r="F3" s="212">
        <v>40.25</v>
      </c>
    </row>
    <row r="4" spans="1:6" ht="48.75" thickTop="1" thickBot="1" x14ac:dyDescent="0.3">
      <c r="A4" s="209" t="s">
        <v>324</v>
      </c>
      <c r="B4" s="210">
        <v>6</v>
      </c>
      <c r="C4" s="211">
        <v>4.5</v>
      </c>
      <c r="D4" s="211">
        <f>Table129__Page_50[[#This Row],[Quantidade por ano]]*Table129__Page_50[[#This Row],[Custo unitário]]</f>
        <v>27</v>
      </c>
      <c r="F4" s="212">
        <v>5.98</v>
      </c>
    </row>
    <row r="5" spans="1:6" ht="33" thickTop="1" thickBot="1" x14ac:dyDescent="0.3">
      <c r="A5" s="209" t="s">
        <v>325</v>
      </c>
      <c r="B5" s="210">
        <v>2</v>
      </c>
      <c r="C5" s="211">
        <v>33.799999999999997</v>
      </c>
      <c r="D5" s="211">
        <f>Table129__Page_50[[#This Row],[Quantidade por ano]]*Table129__Page_50[[#This Row],[Custo unitário]]</f>
        <v>67.599999999999994</v>
      </c>
      <c r="F5" s="212">
        <v>46.97</v>
      </c>
    </row>
    <row r="6" spans="1:6" ht="17.25" thickTop="1" thickBot="1" x14ac:dyDescent="0.3">
      <c r="A6" s="213" t="s">
        <v>242</v>
      </c>
      <c r="B6" s="214"/>
      <c r="C6" s="215"/>
      <c r="D6" s="215">
        <f>SUBTOTAL(109,D2:D5)</f>
        <v>281.24</v>
      </c>
    </row>
    <row r="7" spans="1:6" ht="17.25" thickTop="1" thickBot="1" x14ac:dyDescent="0.3">
      <c r="A7" s="213" t="s">
        <v>134</v>
      </c>
      <c r="B7" s="214"/>
      <c r="C7" s="215"/>
      <c r="D7" s="215">
        <f>D6/12</f>
        <v>23.436666666666667</v>
      </c>
    </row>
    <row r="8" spans="1:6" ht="15.75" thickTop="1" x14ac:dyDescent="0.25"/>
  </sheetData>
  <pageMargins left="0.511811024" right="0.511811024" top="0.78740157499999996" bottom="0.78740157499999996" header="0.31496062000000002" footer="0.31496062000000002"/>
  <picture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3"/>
  <sheetViews>
    <sheetView showGridLines="0" zoomScale="80" zoomScaleNormal="80" workbookViewId="0">
      <selection activeCell="G13" sqref="G13"/>
    </sheetView>
  </sheetViews>
  <sheetFormatPr defaultRowHeight="15" x14ac:dyDescent="0.25"/>
  <cols>
    <col min="1" max="1" width="13.7109375" style="169" customWidth="1"/>
    <col min="2" max="2" width="32.140625" style="169" customWidth="1"/>
    <col min="3" max="3" width="15.85546875" style="169" customWidth="1"/>
    <col min="4" max="4" width="16.28515625" style="169" customWidth="1"/>
    <col min="5" max="5" width="20.140625" style="169" customWidth="1"/>
    <col min="6" max="16384" width="9.140625" style="169"/>
  </cols>
  <sheetData>
    <row r="1" spans="1:5" ht="30" customHeight="1" x14ac:dyDescent="0.25">
      <c r="A1" s="369" t="s">
        <v>326</v>
      </c>
      <c r="B1" s="369"/>
      <c r="C1" s="369"/>
      <c r="D1" s="369"/>
      <c r="E1" s="369"/>
    </row>
    <row r="2" spans="1:5" ht="36.75" customHeight="1" x14ac:dyDescent="0.25">
      <c r="A2" s="217" t="s">
        <v>221</v>
      </c>
      <c r="B2" s="217" t="s">
        <v>120</v>
      </c>
      <c r="C2" s="217" t="s">
        <v>239</v>
      </c>
      <c r="D2" s="217" t="s">
        <v>240</v>
      </c>
      <c r="E2" s="217" t="s">
        <v>273</v>
      </c>
    </row>
    <row r="3" spans="1:5" ht="31.5" x14ac:dyDescent="0.25">
      <c r="A3" s="218" t="s">
        <v>306</v>
      </c>
      <c r="B3" s="218" t="s">
        <v>334</v>
      </c>
      <c r="C3" s="219">
        <v>30</v>
      </c>
      <c r="D3" s="220">
        <v>1.28</v>
      </c>
      <c r="E3" s="221">
        <f>Table130__Page_51[[#This Row],[Quantidade por ano]]*Table130__Page_51[[#This Row],[Custo unitário]]</f>
        <v>38.4</v>
      </c>
    </row>
    <row r="4" spans="1:5" ht="31.5" x14ac:dyDescent="0.25">
      <c r="A4" s="218" t="s">
        <v>309</v>
      </c>
      <c r="B4" s="218" t="s">
        <v>327</v>
      </c>
      <c r="C4" s="219">
        <v>1</v>
      </c>
      <c r="D4" s="220">
        <v>32</v>
      </c>
      <c r="E4" s="221">
        <f>Table130__Page_51[[#This Row],[Quantidade por ano]]*Table130__Page_51[[#This Row],[Custo unitário]]</f>
        <v>32</v>
      </c>
    </row>
    <row r="5" spans="1:5" ht="31.5" x14ac:dyDescent="0.25">
      <c r="A5" s="218" t="s">
        <v>212</v>
      </c>
      <c r="B5" s="218" t="s">
        <v>328</v>
      </c>
      <c r="C5" s="219">
        <v>2</v>
      </c>
      <c r="D5" s="220">
        <v>33.200000000000003</v>
      </c>
      <c r="E5" s="221">
        <f>Table130__Page_51[[#This Row],[Quantidade por ano]]*Table130__Page_51[[#This Row],[Custo unitário]]</f>
        <v>66.400000000000006</v>
      </c>
    </row>
    <row r="6" spans="1:5" ht="47.25" x14ac:dyDescent="0.25">
      <c r="A6" s="218" t="s">
        <v>307</v>
      </c>
      <c r="B6" s="218" t="s">
        <v>329</v>
      </c>
      <c r="C6" s="219">
        <v>2</v>
      </c>
      <c r="D6" s="220">
        <v>13</v>
      </c>
      <c r="E6" s="221">
        <f>Table130__Page_51[[#This Row],[Quantidade por ano]]*Table130__Page_51[[#This Row],[Custo unitário]]</f>
        <v>26</v>
      </c>
    </row>
    <row r="7" spans="1:5" ht="31.5" x14ac:dyDescent="0.25">
      <c r="A7" s="218" t="s">
        <v>213</v>
      </c>
      <c r="B7" s="218" t="s">
        <v>335</v>
      </c>
      <c r="C7" s="219">
        <v>3</v>
      </c>
      <c r="D7" s="220">
        <v>2.84</v>
      </c>
      <c r="E7" s="221">
        <f>Table130__Page_51[[#This Row],[Quantidade por ano]]*Table130__Page_51[[#This Row],[Custo unitário]]</f>
        <v>8.52</v>
      </c>
    </row>
    <row r="8" spans="1:5" ht="15.75" x14ac:dyDescent="0.25">
      <c r="A8" s="222" t="s">
        <v>330</v>
      </c>
      <c r="B8" s="222"/>
      <c r="C8" s="223"/>
      <c r="D8" s="224"/>
      <c r="E8" s="224">
        <f>SUM(E3:E7)</f>
        <v>171.32000000000002</v>
      </c>
    </row>
    <row r="9" spans="1:5" ht="15.75" x14ac:dyDescent="0.25">
      <c r="A9" s="222" t="s">
        <v>331</v>
      </c>
      <c r="B9" s="222"/>
      <c r="C9" s="223"/>
      <c r="D9" s="224"/>
      <c r="E9" s="224">
        <f>E8/12</f>
        <v>14.276666666666669</v>
      </c>
    </row>
    <row r="10" spans="1:5" ht="15.75" x14ac:dyDescent="0.25">
      <c r="A10" s="222" t="s">
        <v>332</v>
      </c>
      <c r="B10" s="222"/>
      <c r="C10" s="223"/>
      <c r="D10" s="224"/>
      <c r="E10" s="224">
        <f>E9/RESUMO!F49</f>
        <v>4.5825036249240467</v>
      </c>
    </row>
    <row r="12" spans="1:5" ht="58.5" customHeight="1" x14ac:dyDescent="0.25">
      <c r="A12" s="376" t="s">
        <v>337</v>
      </c>
      <c r="B12" s="377"/>
      <c r="C12" s="377"/>
      <c r="D12" s="377"/>
      <c r="E12" s="377"/>
    </row>
    <row r="13" spans="1:5" ht="69.75" customHeight="1" x14ac:dyDescent="0.25">
      <c r="A13" s="376" t="s">
        <v>336</v>
      </c>
      <c r="B13" s="377"/>
      <c r="C13" s="377"/>
      <c r="D13" s="377"/>
      <c r="E13" s="377"/>
    </row>
  </sheetData>
  <mergeCells count="3">
    <mergeCell ref="A1:E1"/>
    <mergeCell ref="A12:E12"/>
    <mergeCell ref="A13:E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picture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RESUMO</vt:lpstr>
      <vt:lpstr>PREÇO POR EMPREGADO</vt:lpstr>
      <vt:lpstr>MATERIAIS DE CONSUMO</vt:lpstr>
      <vt:lpstr>EQUIPAMENTOS</vt:lpstr>
      <vt:lpstr>UTENSILIOS</vt:lpstr>
      <vt:lpstr>UNIFORMES</vt:lpstr>
      <vt:lpstr>EPI</vt:lpstr>
      <vt:lpstr>'PREÇO POR EMPREGADO'!Area_de_impressao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Usuario</cp:lastModifiedBy>
  <cp:lastPrinted>2018-06-20T11:09:52Z</cp:lastPrinted>
  <dcterms:created xsi:type="dcterms:W3CDTF">2010-12-08T17:56:29Z</dcterms:created>
  <dcterms:modified xsi:type="dcterms:W3CDTF">2022-07-08T13:19:01Z</dcterms:modified>
</cp:coreProperties>
</file>