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V:\GELIC\COLIC\PASTAS COLIC\2020\04 - Licitações - Modalidades\RCE\RCE nº 03.2020 - EVTEA\FASE EXTERNA\EDITAL + ANEXOS (PUBLICAÇÃO)\"/>
    </mc:Choice>
  </mc:AlternateContent>
  <bookViews>
    <workbookView xWindow="0" yWindow="0" windowWidth="28800" windowHeight="13020"/>
  </bookViews>
  <sheets>
    <sheet name="GRUPO A" sheetId="1" r:id="rId1"/>
    <sheet name="GRUPO B" sheetId="5" r:id="rId2"/>
  </sheets>
  <externalReferences>
    <externalReference r:id="rId3"/>
    <externalReference r:id="rId4"/>
  </externalReferences>
  <definedNames>
    <definedName name="_xlnm._FilterDatabase" localSheetId="0" hidden="1">'GRUPO A'!$A$15:$AJ$189</definedName>
    <definedName name="_xlnm.Print_Area" localSheetId="0">'GRUPO A'!$A$1:$AJ$190</definedName>
    <definedName name="_xlnm.Print_Titles" localSheetId="0">'GRUPO A'!$10:$12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8" i="5" l="1"/>
  <c r="R189" i="5" s="1"/>
  <c r="C186" i="5"/>
  <c r="D185" i="5"/>
  <c r="C185" i="5"/>
  <c r="C183" i="5"/>
  <c r="D183" i="5" s="1"/>
  <c r="C181" i="5"/>
  <c r="C182" i="5" s="1"/>
  <c r="C175" i="5"/>
  <c r="D175" i="5" s="1"/>
  <c r="C174" i="5"/>
  <c r="C178" i="5" s="1"/>
  <c r="D178" i="5" s="1"/>
  <c r="C173" i="5"/>
  <c r="C172" i="5"/>
  <c r="R172" i="5" s="1"/>
  <c r="C171" i="5"/>
  <c r="C169" i="5"/>
  <c r="C168" i="5" s="1"/>
  <c r="D168" i="5" s="1"/>
  <c r="C167" i="5"/>
  <c r="D156" i="5"/>
  <c r="C156" i="5"/>
  <c r="C150" i="5"/>
  <c r="C151" i="5" s="1"/>
  <c r="AI151" i="5" s="1"/>
  <c r="D149" i="5"/>
  <c r="C149" i="5"/>
  <c r="C152" i="5" s="1"/>
  <c r="C153" i="5" s="1"/>
  <c r="C145" i="5"/>
  <c r="C146" i="5" s="1"/>
  <c r="AI146" i="5" s="1"/>
  <c r="D142" i="5"/>
  <c r="C142" i="5"/>
  <c r="C143" i="5" s="1"/>
  <c r="C144" i="5" s="1"/>
  <c r="D119" i="5"/>
  <c r="D110" i="5"/>
  <c r="D101" i="5"/>
  <c r="D90" i="5"/>
  <c r="C88" i="5"/>
  <c r="C89" i="5" s="1"/>
  <c r="AI89" i="5" s="1"/>
  <c r="R87" i="5"/>
  <c r="C86" i="5"/>
  <c r="C87" i="5" s="1"/>
  <c r="AI87" i="5" s="1"/>
  <c r="C84" i="5"/>
  <c r="AI84" i="5" s="1"/>
  <c r="C83" i="5"/>
  <c r="C85" i="5" s="1"/>
  <c r="AI85" i="5" s="1"/>
  <c r="C82" i="5"/>
  <c r="D82" i="5" s="1"/>
  <c r="C81" i="5"/>
  <c r="C80" i="5" s="1"/>
  <c r="D86" i="5" s="1"/>
  <c r="C78" i="5"/>
  <c r="C77" i="5"/>
  <c r="C79" i="5" s="1"/>
  <c r="I79" i="5" s="1"/>
  <c r="C76" i="5"/>
  <c r="AI76" i="5" s="1"/>
  <c r="C75" i="5"/>
  <c r="C74" i="5"/>
  <c r="D74" i="5" s="1"/>
  <c r="C73" i="5"/>
  <c r="C72" i="5"/>
  <c r="C71" i="5"/>
  <c r="C70" i="5"/>
  <c r="C69" i="5"/>
  <c r="AI69" i="5" s="1"/>
  <c r="C67" i="5"/>
  <c r="C62" i="5"/>
  <c r="C61" i="5"/>
  <c r="C60" i="5"/>
  <c r="C52" i="5"/>
  <c r="G51" i="5"/>
  <c r="C50" i="5"/>
  <c r="D34" i="5"/>
  <c r="C33" i="5"/>
  <c r="C32" i="5"/>
  <c r="R32" i="5" s="1"/>
  <c r="D30" i="5"/>
  <c r="C28" i="5"/>
  <c r="D26" i="5"/>
  <c r="C26" i="5" s="1"/>
  <c r="C25" i="5"/>
  <c r="C23" i="5"/>
  <c r="Z23" i="5" s="1"/>
  <c r="C20" i="5"/>
  <c r="Z20" i="5" s="1"/>
  <c r="D18" i="5"/>
  <c r="C17" i="5"/>
  <c r="AH13" i="5"/>
  <c r="AF13" i="5"/>
  <c r="AE13" i="5"/>
  <c r="AD13" i="5"/>
  <c r="AC13" i="5"/>
  <c r="AB13" i="5"/>
  <c r="AA13" i="5"/>
  <c r="Y13" i="5"/>
  <c r="X13" i="5"/>
  <c r="W13" i="5"/>
  <c r="V13" i="5"/>
  <c r="U13" i="5"/>
  <c r="T13" i="5"/>
  <c r="S13" i="5"/>
  <c r="C2" i="5"/>
  <c r="N146" i="5" l="1"/>
  <c r="R146" i="5"/>
  <c r="Z146" i="5"/>
  <c r="D85" i="5"/>
  <c r="R79" i="5"/>
  <c r="D87" i="5"/>
  <c r="D181" i="5"/>
  <c r="D174" i="5" s="1"/>
  <c r="D84" i="5"/>
  <c r="K87" i="5"/>
  <c r="J85" i="5"/>
  <c r="J84" i="5"/>
  <c r="Z87" i="5"/>
  <c r="D146" i="5"/>
  <c r="Z85" i="5"/>
  <c r="D88" i="5"/>
  <c r="D81" i="5"/>
  <c r="AI82" i="5"/>
  <c r="D83" i="5"/>
  <c r="K89" i="5"/>
  <c r="K13" i="5" s="1"/>
  <c r="C179" i="5"/>
  <c r="Z179" i="5" s="1"/>
  <c r="I76" i="5"/>
  <c r="D17" i="5"/>
  <c r="R89" i="5"/>
  <c r="F151" i="5"/>
  <c r="C180" i="5"/>
  <c r="AI180" i="5" s="1"/>
  <c r="D76" i="5"/>
  <c r="C176" i="5"/>
  <c r="Z89" i="5"/>
  <c r="F25" i="5"/>
  <c r="AI25" i="5"/>
  <c r="Z72" i="5"/>
  <c r="R72" i="5"/>
  <c r="AI72" i="5"/>
  <c r="D72" i="5"/>
  <c r="R25" i="5"/>
  <c r="H32" i="5"/>
  <c r="F23" i="5"/>
  <c r="AI33" i="5"/>
  <c r="Z33" i="5"/>
  <c r="H33" i="5"/>
  <c r="C65" i="5"/>
  <c r="C66" i="5"/>
  <c r="C63" i="5"/>
  <c r="D153" i="5"/>
  <c r="AI153" i="5"/>
  <c r="Z153" i="5"/>
  <c r="D173" i="5"/>
  <c r="AI173" i="5"/>
  <c r="Z173" i="5"/>
  <c r="R173" i="5"/>
  <c r="D179" i="5"/>
  <c r="AI179" i="5"/>
  <c r="R23" i="5"/>
  <c r="R33" i="5"/>
  <c r="Z74" i="5"/>
  <c r="R74" i="5"/>
  <c r="AI74" i="5"/>
  <c r="AI79" i="5"/>
  <c r="Z79" i="5"/>
  <c r="N153" i="5"/>
  <c r="P173" i="5"/>
  <c r="AI32" i="5"/>
  <c r="Z32" i="5"/>
  <c r="AI171" i="5"/>
  <c r="R171" i="5"/>
  <c r="P171" i="5"/>
  <c r="Z171" i="5"/>
  <c r="Z61" i="5"/>
  <c r="H61" i="5"/>
  <c r="D61" i="5"/>
  <c r="AI61" i="5"/>
  <c r="Z25" i="5"/>
  <c r="R61" i="5"/>
  <c r="R20" i="5"/>
  <c r="AI20" i="5"/>
  <c r="F20" i="5"/>
  <c r="C37" i="5"/>
  <c r="C35" i="5"/>
  <c r="C29" i="5"/>
  <c r="C22" i="5"/>
  <c r="C38" i="5"/>
  <c r="C31" i="5"/>
  <c r="C39" i="5"/>
  <c r="C27" i="5"/>
  <c r="C21" i="5"/>
  <c r="C36" i="5"/>
  <c r="C19" i="5"/>
  <c r="C24" i="5"/>
  <c r="C18" i="5"/>
  <c r="AI23" i="5"/>
  <c r="C30" i="5"/>
  <c r="Z71" i="5"/>
  <c r="I71" i="5"/>
  <c r="D71" i="5"/>
  <c r="Z78" i="5"/>
  <c r="R78" i="5"/>
  <c r="I78" i="5"/>
  <c r="D78" i="5"/>
  <c r="C187" i="5"/>
  <c r="D187" i="5" s="1"/>
  <c r="AI187" i="5"/>
  <c r="R187" i="5"/>
  <c r="C51" i="5"/>
  <c r="C64" i="5"/>
  <c r="R71" i="5"/>
  <c r="I74" i="5"/>
  <c r="AI78" i="5"/>
  <c r="C170" i="5"/>
  <c r="D170" i="5" s="1"/>
  <c r="AI28" i="5"/>
  <c r="Z28" i="5"/>
  <c r="G28" i="5"/>
  <c r="C56" i="5"/>
  <c r="C54" i="5" s="1"/>
  <c r="AI182" i="5"/>
  <c r="Z182" i="5"/>
  <c r="R28" i="5"/>
  <c r="I72" i="5"/>
  <c r="D182" i="5"/>
  <c r="Z69" i="5"/>
  <c r="I69" i="5"/>
  <c r="D69" i="5"/>
  <c r="R69" i="5"/>
  <c r="C34" i="5"/>
  <c r="Z82" i="5"/>
  <c r="R82" i="5"/>
  <c r="R153" i="5"/>
  <c r="AI71" i="5"/>
  <c r="D79" i="5"/>
  <c r="F82" i="5"/>
  <c r="AI144" i="5"/>
  <c r="Z144" i="5"/>
  <c r="R144" i="5"/>
  <c r="F144" i="5"/>
  <c r="D144" i="5"/>
  <c r="C157" i="5"/>
  <c r="C158" i="5" s="1"/>
  <c r="C159" i="5"/>
  <c r="AI176" i="5"/>
  <c r="Z176" i="5"/>
  <c r="R85" i="5"/>
  <c r="D151" i="5"/>
  <c r="C177" i="5"/>
  <c r="C184" i="5"/>
  <c r="AI169" i="5"/>
  <c r="R169" i="5"/>
  <c r="F169" i="5"/>
  <c r="AI172" i="5"/>
  <c r="Z172" i="5"/>
  <c r="D180" i="5"/>
  <c r="C68" i="5"/>
  <c r="Z84" i="5"/>
  <c r="R84" i="5"/>
  <c r="D89" i="5"/>
  <c r="R151" i="5"/>
  <c r="D169" i="5"/>
  <c r="AI189" i="5"/>
  <c r="C189" i="5"/>
  <c r="D189" i="5" s="1"/>
  <c r="Z76" i="5"/>
  <c r="R76" i="5"/>
  <c r="Z151" i="5"/>
  <c r="Z169" i="5"/>
  <c r="P172" i="5"/>
  <c r="C154" i="5"/>
  <c r="C155" i="5" s="1"/>
  <c r="C147" i="5"/>
  <c r="C148" i="5" s="1"/>
  <c r="C53" i="5" l="1"/>
  <c r="Z53" i="5" s="1"/>
  <c r="Z180" i="5"/>
  <c r="R180" i="5"/>
  <c r="D80" i="5"/>
  <c r="D176" i="5"/>
  <c r="F176" i="5"/>
  <c r="R179" i="5"/>
  <c r="R176" i="5"/>
  <c r="C55" i="5"/>
  <c r="AI55" i="5" s="1"/>
  <c r="AI54" i="5"/>
  <c r="R54" i="5"/>
  <c r="I54" i="5"/>
  <c r="Z54" i="5"/>
  <c r="D54" i="5"/>
  <c r="R53" i="5"/>
  <c r="D53" i="5"/>
  <c r="AI53" i="5"/>
  <c r="H53" i="5"/>
  <c r="AI22" i="5"/>
  <c r="Z22" i="5"/>
  <c r="F22" i="5"/>
  <c r="R22" i="5"/>
  <c r="Z35" i="5"/>
  <c r="I35" i="5"/>
  <c r="AI35" i="5"/>
  <c r="R35" i="5"/>
  <c r="D148" i="5"/>
  <c r="Z148" i="5"/>
  <c r="R148" i="5"/>
  <c r="N148" i="5"/>
  <c r="AI148" i="5"/>
  <c r="Z21" i="5"/>
  <c r="F21" i="5"/>
  <c r="R21" i="5"/>
  <c r="AI21" i="5"/>
  <c r="AI37" i="5"/>
  <c r="Z37" i="5"/>
  <c r="R37" i="5"/>
  <c r="J37" i="5"/>
  <c r="N155" i="5"/>
  <c r="Z155" i="5"/>
  <c r="R155" i="5"/>
  <c r="D155" i="5"/>
  <c r="AI155" i="5"/>
  <c r="R27" i="5"/>
  <c r="AI27" i="5"/>
  <c r="G27" i="5"/>
  <c r="G13" i="5" s="1"/>
  <c r="Z27" i="5"/>
  <c r="Z63" i="5"/>
  <c r="G63" i="5"/>
  <c r="D63" i="5"/>
  <c r="AI63" i="5"/>
  <c r="R63" i="5"/>
  <c r="Z64" i="5"/>
  <c r="R64" i="5"/>
  <c r="H64" i="5"/>
  <c r="D64" i="5"/>
  <c r="AI64" i="5"/>
  <c r="F19" i="5"/>
  <c r="Z19" i="5"/>
  <c r="R19" i="5"/>
  <c r="AI19" i="5"/>
  <c r="Z36" i="5"/>
  <c r="R36" i="5"/>
  <c r="I36" i="5"/>
  <c r="AI36" i="5"/>
  <c r="I68" i="5"/>
  <c r="D68" i="5"/>
  <c r="R68" i="5"/>
  <c r="AI68" i="5"/>
  <c r="Z68" i="5"/>
  <c r="C163" i="5"/>
  <c r="C164" i="5"/>
  <c r="C160" i="5"/>
  <c r="C162" i="5"/>
  <c r="C166" i="5"/>
  <c r="C161" i="5"/>
  <c r="C165" i="5"/>
  <c r="AI39" i="5"/>
  <c r="Z39" i="5"/>
  <c r="J39" i="5"/>
  <c r="R39" i="5"/>
  <c r="H66" i="5"/>
  <c r="Z66" i="5"/>
  <c r="AI66" i="5"/>
  <c r="R66" i="5"/>
  <c r="D66" i="5"/>
  <c r="D172" i="5"/>
  <c r="AI184" i="5"/>
  <c r="D184" i="5"/>
  <c r="AG184" i="5"/>
  <c r="AG13" i="5" s="1"/>
  <c r="D158" i="5"/>
  <c r="AI158" i="5"/>
  <c r="Z158" i="5"/>
  <c r="R158" i="5"/>
  <c r="F158" i="5"/>
  <c r="H31" i="5"/>
  <c r="AI31" i="5"/>
  <c r="Z31" i="5"/>
  <c r="R31" i="5"/>
  <c r="D171" i="5"/>
  <c r="AI65" i="5"/>
  <c r="H65" i="5"/>
  <c r="D65" i="5"/>
  <c r="Z65" i="5"/>
  <c r="R65" i="5"/>
  <c r="Z24" i="5"/>
  <c r="R24" i="5"/>
  <c r="AI24" i="5"/>
  <c r="F24" i="5"/>
  <c r="H29" i="5"/>
  <c r="R29" i="5"/>
  <c r="AI29" i="5"/>
  <c r="Z29" i="5"/>
  <c r="I55" i="5"/>
  <c r="D55" i="5"/>
  <c r="R55" i="5"/>
  <c r="R51" i="5"/>
  <c r="D51" i="5"/>
  <c r="AI51" i="5"/>
  <c r="Z51" i="5"/>
  <c r="C41" i="5"/>
  <c r="D177" i="5"/>
  <c r="Z177" i="5"/>
  <c r="R177" i="5"/>
  <c r="F177" i="5"/>
  <c r="AI177" i="5"/>
  <c r="C57" i="5"/>
  <c r="C58" i="5"/>
  <c r="C59" i="5"/>
  <c r="Z38" i="5"/>
  <c r="J38" i="5"/>
  <c r="AI38" i="5"/>
  <c r="R38" i="5"/>
  <c r="Z55" i="5" l="1"/>
  <c r="I13" i="5"/>
  <c r="Z161" i="5"/>
  <c r="O161" i="5"/>
  <c r="D161" i="5"/>
  <c r="R161" i="5"/>
  <c r="AI161" i="5"/>
  <c r="Z59" i="5"/>
  <c r="J59" i="5"/>
  <c r="D59" i="5"/>
  <c r="AI59" i="5"/>
  <c r="R59" i="5"/>
  <c r="C49" i="5"/>
  <c r="C45" i="5"/>
  <c r="C47" i="5"/>
  <c r="C46" i="5"/>
  <c r="C44" i="5"/>
  <c r="C48" i="5"/>
  <c r="C40" i="5"/>
  <c r="C43" i="5"/>
  <c r="C42" i="5"/>
  <c r="Z166" i="5"/>
  <c r="R166" i="5"/>
  <c r="D166" i="5"/>
  <c r="AI166" i="5"/>
  <c r="P166" i="5"/>
  <c r="Z165" i="5"/>
  <c r="P165" i="5"/>
  <c r="D165" i="5"/>
  <c r="AI165" i="5"/>
  <c r="R165" i="5"/>
  <c r="J58" i="5"/>
  <c r="AI58" i="5"/>
  <c r="Z58" i="5"/>
  <c r="R58" i="5"/>
  <c r="D58" i="5"/>
  <c r="Z162" i="5"/>
  <c r="R162" i="5"/>
  <c r="AI162" i="5"/>
  <c r="O162" i="5"/>
  <c r="D162" i="5"/>
  <c r="AI57" i="5"/>
  <c r="R57" i="5"/>
  <c r="J57" i="5"/>
  <c r="Z57" i="5"/>
  <c r="D57" i="5"/>
  <c r="O160" i="5"/>
  <c r="AI160" i="5"/>
  <c r="D160" i="5"/>
  <c r="Z160" i="5"/>
  <c r="R160" i="5"/>
  <c r="AI163" i="5"/>
  <c r="Z163" i="5"/>
  <c r="R163" i="5"/>
  <c r="O163" i="5"/>
  <c r="D163" i="5"/>
  <c r="H13" i="5"/>
  <c r="P164" i="5"/>
  <c r="D164" i="5"/>
  <c r="R164" i="5"/>
  <c r="AI164" i="5"/>
  <c r="Z164" i="5"/>
  <c r="J13" i="5" l="1"/>
  <c r="AI47" i="5"/>
  <c r="Z47" i="5"/>
  <c r="F47" i="5"/>
  <c r="D47" i="5"/>
  <c r="R47" i="5"/>
  <c r="AI43" i="5"/>
  <c r="Z43" i="5"/>
  <c r="R43" i="5"/>
  <c r="D43" i="5"/>
  <c r="F43" i="5"/>
  <c r="R49" i="5"/>
  <c r="D49" i="5"/>
  <c r="AI49" i="5"/>
  <c r="Z49" i="5"/>
  <c r="F49" i="5"/>
  <c r="D70" i="5"/>
  <c r="D75" i="5"/>
  <c r="D77" i="5"/>
  <c r="C3" i="5"/>
  <c r="C4" i="5" s="1"/>
  <c r="D73" i="5"/>
  <c r="D60" i="5"/>
  <c r="D50" i="5"/>
  <c r="D67" i="5"/>
  <c r="D52" i="5"/>
  <c r="D62" i="5"/>
  <c r="AI46" i="5"/>
  <c r="R46" i="5"/>
  <c r="F46" i="5"/>
  <c r="Z46" i="5"/>
  <c r="D46" i="5"/>
  <c r="AI42" i="5"/>
  <c r="R42" i="5"/>
  <c r="F42" i="5"/>
  <c r="Z42" i="5"/>
  <c r="D42" i="5"/>
  <c r="D48" i="5"/>
  <c r="AI48" i="5"/>
  <c r="Z48" i="5"/>
  <c r="F48" i="5"/>
  <c r="R48" i="5"/>
  <c r="D41" i="5"/>
  <c r="R45" i="5"/>
  <c r="D45" i="5"/>
  <c r="F45" i="5"/>
  <c r="AI45" i="5"/>
  <c r="Z45" i="5"/>
  <c r="D44" i="5"/>
  <c r="Z44" i="5"/>
  <c r="R44" i="5"/>
  <c r="AI44" i="5"/>
  <c r="F44" i="5"/>
  <c r="C101" i="5" l="1"/>
  <c r="C119" i="5"/>
  <c r="C90" i="5"/>
  <c r="C110" i="5"/>
  <c r="D40" i="5"/>
  <c r="C106" i="5" l="1"/>
  <c r="C107" i="5" s="1"/>
  <c r="C108" i="5"/>
  <c r="C109" i="5" s="1"/>
  <c r="C102" i="5"/>
  <c r="C115" i="5"/>
  <c r="C116" i="5" s="1"/>
  <c r="C111" i="5"/>
  <c r="C117" i="5"/>
  <c r="C118" i="5" s="1"/>
  <c r="C91" i="5"/>
  <c r="C99" i="5"/>
  <c r="C100" i="5" s="1"/>
  <c r="C95" i="5"/>
  <c r="C96" i="5" s="1"/>
  <c r="C97" i="5"/>
  <c r="C98" i="5" s="1"/>
  <c r="C15" i="5"/>
  <c r="C138" i="5"/>
  <c r="C139" i="5" s="1"/>
  <c r="C120" i="5"/>
  <c r="C134" i="5"/>
  <c r="C127" i="5"/>
  <c r="C140" i="5"/>
  <c r="C141" i="5" s="1"/>
  <c r="C130" i="5"/>
  <c r="AI141" i="5" l="1"/>
  <c r="R141" i="5"/>
  <c r="D141" i="5"/>
  <c r="N141" i="5"/>
  <c r="Z141" i="5"/>
  <c r="C128" i="5"/>
  <c r="C129" i="5"/>
  <c r="AI118" i="5"/>
  <c r="Z118" i="5"/>
  <c r="R118" i="5"/>
  <c r="D118" i="5"/>
  <c r="L118" i="5"/>
  <c r="S14" i="5"/>
  <c r="AH14" i="5"/>
  <c r="AD14" i="5"/>
  <c r="Y14" i="5"/>
  <c r="K14" i="5"/>
  <c r="AA14" i="5"/>
  <c r="V14" i="5"/>
  <c r="AB14" i="5"/>
  <c r="AF14" i="5"/>
  <c r="W14" i="5"/>
  <c r="T14" i="5"/>
  <c r="U14" i="5"/>
  <c r="X14" i="5"/>
  <c r="AC14" i="5"/>
  <c r="AE14" i="5"/>
  <c r="I14" i="5"/>
  <c r="AG14" i="5"/>
  <c r="G14" i="5"/>
  <c r="J14" i="5"/>
  <c r="H14" i="5"/>
  <c r="AI98" i="5"/>
  <c r="R98" i="5"/>
  <c r="L98" i="5"/>
  <c r="Z98" i="5"/>
  <c r="D98" i="5"/>
  <c r="R109" i="5"/>
  <c r="D109" i="5"/>
  <c r="L109" i="5"/>
  <c r="AI109" i="5"/>
  <c r="Z109" i="5"/>
  <c r="Z100" i="5"/>
  <c r="R100" i="5"/>
  <c r="AI100" i="5"/>
  <c r="L100" i="5"/>
  <c r="D100" i="5"/>
  <c r="C94" i="5"/>
  <c r="C93" i="5"/>
  <c r="C92" i="5"/>
  <c r="C135" i="5"/>
  <c r="C137" i="5"/>
  <c r="C136" i="5"/>
  <c r="C123" i="5"/>
  <c r="C126" i="5"/>
  <c r="C122" i="5"/>
  <c r="C125" i="5"/>
  <c r="C121" i="5"/>
  <c r="C124" i="5"/>
  <c r="C112" i="5"/>
  <c r="C113" i="5"/>
  <c r="C114" i="5"/>
  <c r="AI139" i="5"/>
  <c r="Z139" i="5"/>
  <c r="R139" i="5"/>
  <c r="N139" i="5"/>
  <c r="D139" i="5"/>
  <c r="AI116" i="5"/>
  <c r="Z116" i="5"/>
  <c r="R116" i="5"/>
  <c r="L116" i="5"/>
  <c r="D116" i="5"/>
  <c r="C103" i="5"/>
  <c r="C104" i="5"/>
  <c r="C105" i="5"/>
  <c r="C132" i="5"/>
  <c r="C133" i="5"/>
  <c r="C131" i="5"/>
  <c r="Z96" i="5"/>
  <c r="L96" i="5"/>
  <c r="L13" i="5" s="1"/>
  <c r="L14" i="5" s="1"/>
  <c r="D96" i="5"/>
  <c r="AI96" i="5"/>
  <c r="R96" i="5"/>
  <c r="L107" i="5"/>
  <c r="Z107" i="5"/>
  <c r="D107" i="5"/>
  <c r="AI107" i="5"/>
  <c r="R107" i="5"/>
  <c r="AI131" i="5" l="1"/>
  <c r="R131" i="5"/>
  <c r="O131" i="5"/>
  <c r="O13" i="5" s="1"/>
  <c r="O14" i="5" s="1"/>
  <c r="Z131" i="5"/>
  <c r="D131" i="5"/>
  <c r="R123" i="5"/>
  <c r="D123" i="5"/>
  <c r="AI123" i="5"/>
  <c r="Z123" i="5"/>
  <c r="F123" i="5"/>
  <c r="Q128" i="5"/>
  <c r="AI128" i="5"/>
  <c r="Z128" i="5"/>
  <c r="D128" i="5"/>
  <c r="R128" i="5"/>
  <c r="D133" i="5"/>
  <c r="AI133" i="5"/>
  <c r="Z133" i="5"/>
  <c r="R133" i="5"/>
  <c r="P133" i="5"/>
  <c r="Z113" i="5"/>
  <c r="F113" i="5"/>
  <c r="D113" i="5"/>
  <c r="AI113" i="5"/>
  <c r="R113" i="5"/>
  <c r="AI132" i="5"/>
  <c r="Z132" i="5"/>
  <c r="R132" i="5"/>
  <c r="D132" i="5"/>
  <c r="P132" i="5"/>
  <c r="P13" i="5" s="1"/>
  <c r="P14" i="5" s="1"/>
  <c r="F112" i="5"/>
  <c r="AI112" i="5"/>
  <c r="Z112" i="5"/>
  <c r="D112" i="5"/>
  <c r="R112" i="5"/>
  <c r="Z137" i="5"/>
  <c r="R137" i="5"/>
  <c r="AI137" i="5"/>
  <c r="D137" i="5"/>
  <c r="N137" i="5"/>
  <c r="N13" i="5" s="1"/>
  <c r="N14" i="5" s="1"/>
  <c r="D122" i="5"/>
  <c r="R122" i="5"/>
  <c r="F122" i="5"/>
  <c r="AI122" i="5"/>
  <c r="Z122" i="5"/>
  <c r="D126" i="5"/>
  <c r="Z126" i="5"/>
  <c r="R126" i="5"/>
  <c r="AI126" i="5"/>
  <c r="F126" i="5"/>
  <c r="Z129" i="5"/>
  <c r="Q129" i="5"/>
  <c r="D129" i="5"/>
  <c r="AI129" i="5"/>
  <c r="R129" i="5"/>
  <c r="Z114" i="5"/>
  <c r="R114" i="5"/>
  <c r="AI114" i="5"/>
  <c r="D114" i="5"/>
  <c r="F114" i="5"/>
  <c r="Z136" i="5"/>
  <c r="M136" i="5"/>
  <c r="D136" i="5"/>
  <c r="AI136" i="5"/>
  <c r="R136" i="5"/>
  <c r="D105" i="5"/>
  <c r="R105" i="5"/>
  <c r="F105" i="5"/>
  <c r="AI105" i="5"/>
  <c r="Z105" i="5"/>
  <c r="AI124" i="5"/>
  <c r="R124" i="5"/>
  <c r="F124" i="5"/>
  <c r="Z124" i="5"/>
  <c r="D124" i="5"/>
  <c r="M135" i="5"/>
  <c r="Z135" i="5"/>
  <c r="R135" i="5"/>
  <c r="D135" i="5"/>
  <c r="AI135" i="5"/>
  <c r="AI104" i="5"/>
  <c r="Z104" i="5"/>
  <c r="R104" i="5"/>
  <c r="D104" i="5"/>
  <c r="F104" i="5"/>
  <c r="AI121" i="5"/>
  <c r="Z121" i="5"/>
  <c r="R121" i="5"/>
  <c r="F121" i="5"/>
  <c r="D121" i="5"/>
  <c r="AI92" i="5"/>
  <c r="Z92" i="5"/>
  <c r="R92" i="5"/>
  <c r="D92" i="5"/>
  <c r="F92" i="5"/>
  <c r="R94" i="5"/>
  <c r="D94" i="5"/>
  <c r="AI94" i="5"/>
  <c r="F94" i="5"/>
  <c r="Z94" i="5"/>
  <c r="AI103" i="5"/>
  <c r="R103" i="5"/>
  <c r="F103" i="5"/>
  <c r="D103" i="5"/>
  <c r="Z103" i="5"/>
  <c r="AI125" i="5"/>
  <c r="Z125" i="5"/>
  <c r="R125" i="5"/>
  <c r="F125" i="5"/>
  <c r="D125" i="5"/>
  <c r="D93" i="5"/>
  <c r="Z93" i="5"/>
  <c r="AI93" i="5"/>
  <c r="R93" i="5"/>
  <c r="F93" i="5"/>
  <c r="F13" i="5" l="1"/>
  <c r="F14" i="5" s="1"/>
  <c r="F15" i="5" s="1"/>
  <c r="G15" i="5" s="1"/>
  <c r="H15" i="5" s="1"/>
  <c r="I15" i="5" s="1"/>
  <c r="J15" i="5" s="1"/>
  <c r="K15" i="5" s="1"/>
  <c r="L15" i="5" s="1"/>
  <c r="Q13" i="5"/>
  <c r="Q14" i="5" s="1"/>
  <c r="R13" i="5"/>
  <c r="R14" i="5" s="1"/>
  <c r="Z13" i="5"/>
  <c r="Z14" i="5" s="1"/>
  <c r="M13" i="5"/>
  <c r="M14" i="5" s="1"/>
  <c r="AI13" i="5"/>
  <c r="AI14" i="5" s="1"/>
  <c r="M15" i="5" l="1"/>
  <c r="N15" i="5" s="1"/>
  <c r="O15" i="5" s="1"/>
  <c r="P15" i="5" s="1"/>
  <c r="Q15" i="5" s="1"/>
  <c r="R15" i="5" s="1"/>
  <c r="S15" i="5" s="1"/>
  <c r="T15" i="5" s="1"/>
  <c r="U15" i="5" s="1"/>
  <c r="V15" i="5" s="1"/>
  <c r="W15" i="5" s="1"/>
  <c r="X15" i="5" s="1"/>
  <c r="Y15" i="5" s="1"/>
  <c r="Z15" i="5" s="1"/>
  <c r="AA15" i="5" s="1"/>
  <c r="AB15" i="5" s="1"/>
  <c r="AC15" i="5" s="1"/>
  <c r="AD15" i="5" s="1"/>
  <c r="AE15" i="5" s="1"/>
  <c r="AF15" i="5" s="1"/>
  <c r="AG15" i="5" s="1"/>
  <c r="AH15" i="5" s="1"/>
  <c r="AI15" i="5" s="1"/>
  <c r="S13" i="1" l="1"/>
  <c r="T13" i="1"/>
  <c r="U13" i="1"/>
  <c r="V13" i="1"/>
  <c r="W13" i="1"/>
  <c r="X13" i="1"/>
  <c r="Y13" i="1"/>
  <c r="AA13" i="1"/>
  <c r="AB13" i="1"/>
  <c r="AC13" i="1"/>
  <c r="AD13" i="1"/>
  <c r="AE13" i="1"/>
  <c r="AF13" i="1"/>
  <c r="AH13" i="1"/>
  <c r="C1" i="1" l="1"/>
  <c r="C70" i="1" l="1"/>
  <c r="D34" i="1"/>
  <c r="D30" i="1"/>
  <c r="D26" i="1"/>
  <c r="C72" i="1" l="1"/>
  <c r="C71" i="1"/>
  <c r="C67" i="1"/>
  <c r="R72" i="1" l="1"/>
  <c r="Z72" i="1"/>
  <c r="AI72" i="1"/>
  <c r="R71" i="1"/>
  <c r="Z71" i="1"/>
  <c r="AI71" i="1"/>
  <c r="D72" i="1"/>
  <c r="I72" i="1"/>
  <c r="C69" i="1"/>
  <c r="C68" i="1"/>
  <c r="D71" i="1"/>
  <c r="I71" i="1"/>
  <c r="C185" i="1"/>
  <c r="R68" i="1" l="1"/>
  <c r="Z68" i="1"/>
  <c r="AI68" i="1"/>
  <c r="R69" i="1"/>
  <c r="AI69" i="1"/>
  <c r="Z69" i="1"/>
  <c r="D68" i="1"/>
  <c r="I68" i="1"/>
  <c r="I69" i="1"/>
  <c r="D69" i="1"/>
  <c r="C188" i="1"/>
  <c r="C186" i="1"/>
  <c r="AI187" i="1" l="1"/>
  <c r="R187" i="1"/>
  <c r="AI189" i="1"/>
  <c r="R189" i="1"/>
  <c r="C187" i="1"/>
  <c r="D187" i="1" s="1"/>
  <c r="C189" i="1"/>
  <c r="D189" i="1" s="1"/>
  <c r="D186" i="1"/>
  <c r="D188" i="1"/>
  <c r="D185" i="1" l="1"/>
  <c r="C174" i="1"/>
  <c r="C183" i="1" l="1"/>
  <c r="C181" i="1"/>
  <c r="C182" i="1" s="1"/>
  <c r="C178" i="1"/>
  <c r="C175" i="1"/>
  <c r="C50" i="1"/>
  <c r="C51" i="1" s="1"/>
  <c r="D51" i="1" s="1"/>
  <c r="Z182" i="1" l="1"/>
  <c r="D182" i="1"/>
  <c r="R51" i="1"/>
  <c r="Z51" i="1"/>
  <c r="AI51" i="1"/>
  <c r="C184" i="1"/>
  <c r="D184" i="1" s="1"/>
  <c r="D183" i="1"/>
  <c r="AI182" i="1"/>
  <c r="C177" i="1"/>
  <c r="D177" i="1" s="1"/>
  <c r="C176" i="1"/>
  <c r="D176" i="1" s="1"/>
  <c r="C179" i="1"/>
  <c r="D179" i="1" s="1"/>
  <c r="C180" i="1"/>
  <c r="D180" i="1" s="1"/>
  <c r="D181" i="1"/>
  <c r="G51" i="1"/>
  <c r="D178" i="1"/>
  <c r="D175" i="1"/>
  <c r="D174" i="1" l="1"/>
  <c r="AI184" i="1"/>
  <c r="AG184" i="1"/>
  <c r="AG13" i="1" s="1"/>
  <c r="Z179" i="1"/>
  <c r="AI179" i="1"/>
  <c r="AI176" i="1"/>
  <c r="Z176" i="1"/>
  <c r="Z180" i="1"/>
  <c r="AI180" i="1"/>
  <c r="AI177" i="1"/>
  <c r="Z177" i="1"/>
  <c r="F177" i="1"/>
  <c r="R177" i="1"/>
  <c r="R180" i="1"/>
  <c r="R179" i="1"/>
  <c r="F176" i="1"/>
  <c r="R176" i="1"/>
  <c r="C60" i="1"/>
  <c r="C61" i="1" s="1"/>
  <c r="D61" i="1" s="1"/>
  <c r="Z61" i="1" l="1"/>
  <c r="AI61" i="1"/>
  <c r="H61" i="1"/>
  <c r="R61" i="1"/>
  <c r="C167" i="1"/>
  <c r="C171" i="1" l="1"/>
  <c r="C169" i="1"/>
  <c r="C172" i="1"/>
  <c r="C173" i="1"/>
  <c r="C73" i="1"/>
  <c r="C74" i="1" s="1"/>
  <c r="D74" i="1" s="1"/>
  <c r="C168" i="1" l="1"/>
  <c r="D168" i="1" s="1"/>
  <c r="C170" i="1"/>
  <c r="D170" i="1" s="1"/>
  <c r="AI173" i="1"/>
  <c r="Z173" i="1"/>
  <c r="Z74" i="1"/>
  <c r="AI74" i="1"/>
  <c r="AI172" i="1"/>
  <c r="Z172" i="1"/>
  <c r="R169" i="1"/>
  <c r="Z169" i="1"/>
  <c r="AI169" i="1"/>
  <c r="F169" i="1"/>
  <c r="Z171" i="1"/>
  <c r="AI171" i="1"/>
  <c r="P173" i="1"/>
  <c r="R173" i="1"/>
  <c r="P172" i="1"/>
  <c r="R172" i="1"/>
  <c r="I74" i="1"/>
  <c r="R74" i="1"/>
  <c r="P171" i="1"/>
  <c r="R171" i="1"/>
  <c r="C75" i="1"/>
  <c r="C76" i="1" s="1"/>
  <c r="D76" i="1" s="1"/>
  <c r="C77" i="1"/>
  <c r="D169" i="1" l="1"/>
  <c r="D172" i="1"/>
  <c r="D173" i="1"/>
  <c r="D171" i="1"/>
  <c r="AI76" i="1"/>
  <c r="Z76" i="1"/>
  <c r="I76" i="1"/>
  <c r="R76" i="1"/>
  <c r="C78" i="1"/>
  <c r="C79" i="1"/>
  <c r="C62" i="1"/>
  <c r="R79" i="1" l="1"/>
  <c r="AI79" i="1"/>
  <c r="Z79" i="1"/>
  <c r="R78" i="1"/>
  <c r="AI78" i="1"/>
  <c r="Z78" i="1"/>
  <c r="C66" i="1"/>
  <c r="C65" i="1"/>
  <c r="C64" i="1"/>
  <c r="C63" i="1"/>
  <c r="I79" i="1"/>
  <c r="D79" i="1"/>
  <c r="D78" i="1"/>
  <c r="I78" i="1"/>
  <c r="C52" i="1"/>
  <c r="C41" i="1"/>
  <c r="C17" i="1"/>
  <c r="C142" i="1"/>
  <c r="C156" i="1"/>
  <c r="C149" i="1"/>
  <c r="R65" i="1" l="1"/>
  <c r="AI65" i="1"/>
  <c r="Z65" i="1"/>
  <c r="R66" i="1"/>
  <c r="AI66" i="1"/>
  <c r="Z66" i="1"/>
  <c r="R63" i="1"/>
  <c r="Z63" i="1"/>
  <c r="AI63" i="1"/>
  <c r="R64" i="1"/>
  <c r="AI64" i="1"/>
  <c r="Z64" i="1"/>
  <c r="C56" i="1"/>
  <c r="D66" i="1"/>
  <c r="H66" i="1"/>
  <c r="D63" i="1"/>
  <c r="G63" i="1"/>
  <c r="C43" i="1"/>
  <c r="D43" i="1" s="1"/>
  <c r="C44" i="1"/>
  <c r="D44" i="1" s="1"/>
  <c r="C45" i="1"/>
  <c r="D45" i="1" s="1"/>
  <c r="C46" i="1"/>
  <c r="D46" i="1" s="1"/>
  <c r="C47" i="1"/>
  <c r="D47" i="1" s="1"/>
  <c r="C48" i="1"/>
  <c r="D48" i="1" s="1"/>
  <c r="C49" i="1"/>
  <c r="D49" i="1" s="1"/>
  <c r="C42" i="1"/>
  <c r="D42" i="1" s="1"/>
  <c r="H64" i="1"/>
  <c r="D64" i="1"/>
  <c r="H65" i="1"/>
  <c r="D65" i="1"/>
  <c r="C40" i="1"/>
  <c r="C39" i="1"/>
  <c r="C35" i="1"/>
  <c r="C33" i="1"/>
  <c r="C28" i="1"/>
  <c r="C38" i="1"/>
  <c r="C20" i="1"/>
  <c r="C37" i="1"/>
  <c r="C23" i="1"/>
  <c r="C34" i="1"/>
  <c r="C36" i="1"/>
  <c r="C22" i="1"/>
  <c r="C27" i="1"/>
  <c r="C32" i="1"/>
  <c r="C25" i="1"/>
  <c r="C30" i="1"/>
  <c r="C21" i="1"/>
  <c r="C29" i="1"/>
  <c r="C26" i="1"/>
  <c r="C24" i="1"/>
  <c r="C31" i="1"/>
  <c r="C150" i="1"/>
  <c r="C151" i="1" s="1"/>
  <c r="D151" i="1" s="1"/>
  <c r="C154" i="1"/>
  <c r="C155" i="1" s="1"/>
  <c r="D155" i="1" s="1"/>
  <c r="C152" i="1"/>
  <c r="C153" i="1" s="1"/>
  <c r="D153" i="1" s="1"/>
  <c r="C159" i="1"/>
  <c r="C157" i="1"/>
  <c r="C158" i="1" s="1"/>
  <c r="D158" i="1" s="1"/>
  <c r="C83" i="1"/>
  <c r="C147" i="1"/>
  <c r="C148" i="1" s="1"/>
  <c r="D148" i="1" s="1"/>
  <c r="C143" i="1"/>
  <c r="C144" i="1" s="1"/>
  <c r="D144" i="1" s="1"/>
  <c r="C145" i="1"/>
  <c r="C146" i="1" s="1"/>
  <c r="D146" i="1" s="1"/>
  <c r="C86" i="1"/>
  <c r="C81" i="1"/>
  <c r="C88" i="1"/>
  <c r="Z21" i="1" l="1"/>
  <c r="AI21" i="1"/>
  <c r="AI23" i="1"/>
  <c r="Z23" i="1"/>
  <c r="Z153" i="1"/>
  <c r="AI153" i="1"/>
  <c r="Z37" i="1"/>
  <c r="AI37" i="1"/>
  <c r="Z48" i="1"/>
  <c r="AI48" i="1"/>
  <c r="AI146" i="1"/>
  <c r="Z146" i="1"/>
  <c r="Z155" i="1"/>
  <c r="AI155" i="1"/>
  <c r="AI25" i="1"/>
  <c r="Z25" i="1"/>
  <c r="Z20" i="1"/>
  <c r="AI20" i="1"/>
  <c r="Z47" i="1"/>
  <c r="AI47" i="1"/>
  <c r="AI144" i="1"/>
  <c r="Z144" i="1"/>
  <c r="AI151" i="1"/>
  <c r="Z151" i="1"/>
  <c r="AI32" i="1"/>
  <c r="Z32" i="1"/>
  <c r="Z38" i="1"/>
  <c r="AI38" i="1"/>
  <c r="Z46" i="1"/>
  <c r="AI46" i="1"/>
  <c r="AI148" i="1"/>
  <c r="Z148" i="1"/>
  <c r="Z31" i="1"/>
  <c r="AI31" i="1"/>
  <c r="AI27" i="1"/>
  <c r="Z27" i="1"/>
  <c r="Z28" i="1"/>
  <c r="AI28" i="1"/>
  <c r="AI45" i="1"/>
  <c r="Z45" i="1"/>
  <c r="AI24" i="1"/>
  <c r="Z24" i="1"/>
  <c r="AI22" i="1"/>
  <c r="Z22" i="1"/>
  <c r="AI33" i="1"/>
  <c r="Z33" i="1"/>
  <c r="AI44" i="1"/>
  <c r="Z44" i="1"/>
  <c r="Z36" i="1"/>
  <c r="AI36" i="1"/>
  <c r="AI35" i="1"/>
  <c r="Z35" i="1"/>
  <c r="AI43" i="1"/>
  <c r="Z43" i="1"/>
  <c r="Z158" i="1"/>
  <c r="AI158" i="1"/>
  <c r="Z29" i="1"/>
  <c r="AI29" i="1"/>
  <c r="Z39" i="1"/>
  <c r="AI39" i="1"/>
  <c r="Z42" i="1"/>
  <c r="AI42" i="1"/>
  <c r="Z49" i="1"/>
  <c r="AI49" i="1"/>
  <c r="F44" i="1"/>
  <c r="R44" i="1"/>
  <c r="F42" i="1"/>
  <c r="R42" i="1"/>
  <c r="N153" i="1"/>
  <c r="R153" i="1"/>
  <c r="J37" i="1"/>
  <c r="R37" i="1"/>
  <c r="F49" i="1"/>
  <c r="R49" i="1"/>
  <c r="I36" i="1"/>
  <c r="R36" i="1"/>
  <c r="F158" i="1"/>
  <c r="R158" i="1"/>
  <c r="J39" i="1"/>
  <c r="R39" i="1"/>
  <c r="F43" i="1"/>
  <c r="R43" i="1"/>
  <c r="N146" i="1"/>
  <c r="R146" i="1"/>
  <c r="N155" i="1"/>
  <c r="R155" i="1"/>
  <c r="F48" i="1"/>
  <c r="R48" i="1"/>
  <c r="F144" i="1"/>
  <c r="R144" i="1"/>
  <c r="F151" i="1"/>
  <c r="R151" i="1"/>
  <c r="J38" i="1"/>
  <c r="R38" i="1"/>
  <c r="F47" i="1"/>
  <c r="R47" i="1"/>
  <c r="F45" i="1"/>
  <c r="R45" i="1"/>
  <c r="N148" i="1"/>
  <c r="R148" i="1"/>
  <c r="F46" i="1"/>
  <c r="R46" i="1"/>
  <c r="F24" i="1"/>
  <c r="R24" i="1"/>
  <c r="F22" i="1"/>
  <c r="R22" i="1"/>
  <c r="H33" i="1"/>
  <c r="R33" i="1"/>
  <c r="I35" i="1"/>
  <c r="R35" i="1"/>
  <c r="H29" i="1"/>
  <c r="R29" i="1"/>
  <c r="F21" i="1"/>
  <c r="R21" i="1"/>
  <c r="F23" i="1"/>
  <c r="R23" i="1"/>
  <c r="H32" i="1"/>
  <c r="R32" i="1"/>
  <c r="F25" i="1"/>
  <c r="R25" i="1"/>
  <c r="F20" i="1"/>
  <c r="R20" i="1"/>
  <c r="H31" i="1"/>
  <c r="R31" i="1"/>
  <c r="G27" i="1"/>
  <c r="R27" i="1"/>
  <c r="G28" i="1"/>
  <c r="R28" i="1"/>
  <c r="C59" i="1"/>
  <c r="D59" i="1" s="1"/>
  <c r="C58" i="1"/>
  <c r="D58" i="1" s="1"/>
  <c r="C57" i="1"/>
  <c r="D57" i="1" s="1"/>
  <c r="C54" i="1"/>
  <c r="D54" i="1" s="1"/>
  <c r="C53" i="1"/>
  <c r="D53" i="1" s="1"/>
  <c r="C55" i="1"/>
  <c r="D55" i="1" s="1"/>
  <c r="C163" i="1"/>
  <c r="D163" i="1" s="1"/>
  <c r="C166" i="1"/>
  <c r="D166" i="1" s="1"/>
  <c r="C160" i="1"/>
  <c r="D160" i="1" s="1"/>
  <c r="C162" i="1"/>
  <c r="D162" i="1" s="1"/>
  <c r="C164" i="1"/>
  <c r="D164" i="1" s="1"/>
  <c r="C165" i="1"/>
  <c r="D165" i="1" s="1"/>
  <c r="C161" i="1"/>
  <c r="D161" i="1" s="1"/>
  <c r="C89" i="1"/>
  <c r="D89" i="1" s="1"/>
  <c r="C82" i="1"/>
  <c r="D82" i="1" s="1"/>
  <c r="C87" i="1"/>
  <c r="D87" i="1" s="1"/>
  <c r="C85" i="1"/>
  <c r="D85" i="1" s="1"/>
  <c r="C84" i="1"/>
  <c r="D84" i="1" s="1"/>
  <c r="D147" i="1"/>
  <c r="D154" i="1"/>
  <c r="D41" i="1"/>
  <c r="D159" i="1"/>
  <c r="D152" i="1"/>
  <c r="D145" i="1"/>
  <c r="D150" i="1"/>
  <c r="D157" i="1"/>
  <c r="D143" i="1"/>
  <c r="D75" i="1"/>
  <c r="D77" i="1"/>
  <c r="D50" i="1"/>
  <c r="D70" i="1"/>
  <c r="D60" i="1"/>
  <c r="D73" i="1"/>
  <c r="D67" i="1"/>
  <c r="D62" i="1"/>
  <c r="D52" i="1"/>
  <c r="C80" i="1"/>
  <c r="G13" i="1" l="1"/>
  <c r="D40" i="1"/>
  <c r="D142" i="1"/>
  <c r="D156" i="1"/>
  <c r="D149" i="1"/>
  <c r="Z85" i="1"/>
  <c r="AI85" i="1"/>
  <c r="AI161" i="1"/>
  <c r="Z161" i="1"/>
  <c r="AI53" i="1"/>
  <c r="Z53" i="1"/>
  <c r="Z165" i="1"/>
  <c r="AI165" i="1"/>
  <c r="AI54" i="1"/>
  <c r="Z54" i="1"/>
  <c r="Z87" i="1"/>
  <c r="AI87" i="1"/>
  <c r="Z164" i="1"/>
  <c r="AI164" i="1"/>
  <c r="Z57" i="1"/>
  <c r="AI57" i="1"/>
  <c r="AI162" i="1"/>
  <c r="Z162" i="1"/>
  <c r="Z160" i="1"/>
  <c r="AI160" i="1"/>
  <c r="Z82" i="1"/>
  <c r="AI82" i="1"/>
  <c r="Z166" i="1"/>
  <c r="AI166" i="1"/>
  <c r="Z89" i="1"/>
  <c r="AI89" i="1"/>
  <c r="AI163" i="1"/>
  <c r="Z163" i="1"/>
  <c r="Z58" i="1"/>
  <c r="AI58" i="1"/>
  <c r="Z59" i="1"/>
  <c r="AI59" i="1"/>
  <c r="Z84" i="1"/>
  <c r="AI84" i="1"/>
  <c r="AI55" i="1"/>
  <c r="Z55" i="1"/>
  <c r="J85" i="1"/>
  <c r="R85" i="1"/>
  <c r="H53" i="1"/>
  <c r="H13" i="1" s="1"/>
  <c r="R53" i="1"/>
  <c r="O160" i="1"/>
  <c r="R160" i="1"/>
  <c r="J59" i="1"/>
  <c r="R59" i="1"/>
  <c r="F82" i="1"/>
  <c r="R82" i="1"/>
  <c r="P166" i="1"/>
  <c r="R166" i="1"/>
  <c r="K89" i="1"/>
  <c r="R89" i="1"/>
  <c r="O163" i="1"/>
  <c r="R163" i="1"/>
  <c r="J84" i="1"/>
  <c r="R84" i="1"/>
  <c r="I55" i="1"/>
  <c r="R55" i="1"/>
  <c r="O161" i="1"/>
  <c r="R161" i="1"/>
  <c r="P165" i="1"/>
  <c r="R165" i="1"/>
  <c r="I54" i="1"/>
  <c r="R54" i="1"/>
  <c r="K87" i="1"/>
  <c r="R87" i="1"/>
  <c r="P164" i="1"/>
  <c r="R164" i="1"/>
  <c r="J57" i="1"/>
  <c r="R57" i="1"/>
  <c r="O162" i="1"/>
  <c r="R162" i="1"/>
  <c r="J58" i="1"/>
  <c r="R58" i="1"/>
  <c r="D88" i="1"/>
  <c r="C2" i="1"/>
  <c r="D86" i="1"/>
  <c r="D81" i="1"/>
  <c r="D83" i="1"/>
  <c r="J13" i="1" l="1"/>
  <c r="K13" i="1"/>
  <c r="I13" i="1"/>
  <c r="D80" i="1"/>
  <c r="C119" i="1"/>
  <c r="C110" i="1"/>
  <c r="C101" i="1"/>
  <c r="C90" i="1"/>
  <c r="C127" i="1" l="1"/>
  <c r="C128" i="1" s="1"/>
  <c r="D128" i="1" s="1"/>
  <c r="C91" i="1"/>
  <c r="C93" i="1" s="1"/>
  <c r="C108" i="1"/>
  <c r="C109" i="1" s="1"/>
  <c r="C115" i="1"/>
  <c r="C116" i="1" s="1"/>
  <c r="C106" i="1"/>
  <c r="C107" i="1" s="1"/>
  <c r="D107" i="1" s="1"/>
  <c r="C95" i="1"/>
  <c r="C99" i="1"/>
  <c r="C134" i="1"/>
  <c r="C130" i="1"/>
  <c r="C97" i="1"/>
  <c r="C98" i="1" s="1"/>
  <c r="D98" i="1" s="1"/>
  <c r="C15" i="1"/>
  <c r="C140" i="1"/>
  <c r="C141" i="1" s="1"/>
  <c r="D141" i="1" s="1"/>
  <c r="C111" i="1"/>
  <c r="C117" i="1"/>
  <c r="C138" i="1"/>
  <c r="C120" i="1"/>
  <c r="C102" i="1"/>
  <c r="Y14" i="1" l="1"/>
  <c r="AH14" i="1"/>
  <c r="AC14" i="1"/>
  <c r="V14" i="1"/>
  <c r="AE14" i="1"/>
  <c r="X14" i="1"/>
  <c r="S14" i="1"/>
  <c r="AA14" i="1"/>
  <c r="T14" i="1"/>
  <c r="AB14" i="1"/>
  <c r="U14" i="1"/>
  <c r="AD14" i="1"/>
  <c r="W14" i="1"/>
  <c r="AF14" i="1"/>
  <c r="AG14" i="1"/>
  <c r="G14" i="1"/>
  <c r="H14" i="1"/>
  <c r="K14" i="1"/>
  <c r="I14" i="1"/>
  <c r="J14" i="1"/>
  <c r="C118" i="1"/>
  <c r="D118" i="1" s="1"/>
  <c r="D117" i="1"/>
  <c r="L116" i="1"/>
  <c r="D116" i="1"/>
  <c r="Z109" i="1"/>
  <c r="D109" i="1"/>
  <c r="D108" i="1"/>
  <c r="D91" i="1"/>
  <c r="C94" i="1"/>
  <c r="Z94" i="1" s="1"/>
  <c r="R109" i="1"/>
  <c r="AI109" i="1"/>
  <c r="C92" i="1"/>
  <c r="Z92" i="1" s="1"/>
  <c r="D115" i="1"/>
  <c r="D127" i="1"/>
  <c r="L109" i="1"/>
  <c r="C100" i="1"/>
  <c r="C129" i="1"/>
  <c r="AI116" i="1"/>
  <c r="Z116" i="1"/>
  <c r="R116" i="1"/>
  <c r="Z128" i="1"/>
  <c r="AI128" i="1"/>
  <c r="AI107" i="1"/>
  <c r="Z107" i="1"/>
  <c r="Z141" i="1"/>
  <c r="AI141" i="1"/>
  <c r="R93" i="1"/>
  <c r="AI93" i="1"/>
  <c r="Z93" i="1"/>
  <c r="Z98" i="1"/>
  <c r="AI98" i="1"/>
  <c r="L107" i="1"/>
  <c r="R107" i="1"/>
  <c r="L98" i="1"/>
  <c r="R98" i="1"/>
  <c r="N141" i="1"/>
  <c r="R141" i="1"/>
  <c r="C96" i="1"/>
  <c r="D96" i="1" s="1"/>
  <c r="Q128" i="1"/>
  <c r="R128" i="1"/>
  <c r="C122" i="1"/>
  <c r="D122" i="1" s="1"/>
  <c r="C123" i="1"/>
  <c r="D123" i="1" s="1"/>
  <c r="C125" i="1"/>
  <c r="D125" i="1" s="1"/>
  <c r="C124" i="1"/>
  <c r="D124" i="1" s="1"/>
  <c r="C126" i="1"/>
  <c r="D126" i="1" s="1"/>
  <c r="C121" i="1"/>
  <c r="D121" i="1" s="1"/>
  <c r="C103" i="1"/>
  <c r="C104" i="1"/>
  <c r="C105" i="1"/>
  <c r="C131" i="1"/>
  <c r="C132" i="1"/>
  <c r="C133" i="1"/>
  <c r="F93" i="1"/>
  <c r="D93" i="1"/>
  <c r="C136" i="1"/>
  <c r="C137" i="1"/>
  <c r="C135" i="1"/>
  <c r="C139" i="1"/>
  <c r="D139" i="1" s="1"/>
  <c r="C112" i="1"/>
  <c r="C114" i="1"/>
  <c r="C113" i="1"/>
  <c r="D138" i="1"/>
  <c r="D140" i="1"/>
  <c r="D99" i="1"/>
  <c r="D95" i="1"/>
  <c r="D106" i="1"/>
  <c r="D97" i="1"/>
  <c r="D130" i="1"/>
  <c r="D134" i="1"/>
  <c r="D111" i="1"/>
  <c r="D102" i="1"/>
  <c r="D120" i="1"/>
  <c r="R118" i="1" l="1"/>
  <c r="L118" i="1"/>
  <c r="D110" i="1"/>
  <c r="D90" i="1"/>
  <c r="AI118" i="1"/>
  <c r="Z118" i="1"/>
  <c r="Z100" i="1"/>
  <c r="D100" i="1"/>
  <c r="D119" i="1"/>
  <c r="D101" i="1"/>
  <c r="Q129" i="1"/>
  <c r="D129" i="1"/>
  <c r="AI94" i="1"/>
  <c r="L100" i="1"/>
  <c r="R94" i="1"/>
  <c r="F94" i="1"/>
  <c r="D94" i="1"/>
  <c r="R129" i="1"/>
  <c r="Z129" i="1"/>
  <c r="AI92" i="1"/>
  <c r="AI129" i="1"/>
  <c r="R92" i="1"/>
  <c r="F92" i="1"/>
  <c r="D92" i="1"/>
  <c r="R100" i="1"/>
  <c r="AI100" i="1"/>
  <c r="Z139" i="1"/>
  <c r="AI139" i="1"/>
  <c r="Z126" i="1"/>
  <c r="AI126" i="1"/>
  <c r="Z96" i="1"/>
  <c r="AI96" i="1"/>
  <c r="R135" i="1"/>
  <c r="Z135" i="1"/>
  <c r="AI135" i="1"/>
  <c r="R133" i="1"/>
  <c r="AI133" i="1"/>
  <c r="Z133" i="1"/>
  <c r="AI124" i="1"/>
  <c r="Z124" i="1"/>
  <c r="R114" i="1"/>
  <c r="Z114" i="1"/>
  <c r="AI114" i="1"/>
  <c r="R104" i="1"/>
  <c r="Z104" i="1"/>
  <c r="AI104" i="1"/>
  <c r="R103" i="1"/>
  <c r="Z103" i="1"/>
  <c r="AI103" i="1"/>
  <c r="R132" i="1"/>
  <c r="AI132" i="1"/>
  <c r="Z132" i="1"/>
  <c r="Z125" i="1"/>
  <c r="AI125" i="1"/>
  <c r="R136" i="1"/>
  <c r="Z136" i="1"/>
  <c r="AI136" i="1"/>
  <c r="R131" i="1"/>
  <c r="AI131" i="1"/>
  <c r="Z131" i="1"/>
  <c r="AI123" i="1"/>
  <c r="Z123" i="1"/>
  <c r="R112" i="1"/>
  <c r="Z112" i="1"/>
  <c r="AI112" i="1"/>
  <c r="AI121" i="1"/>
  <c r="Z121" i="1"/>
  <c r="R137" i="1"/>
  <c r="Z137" i="1"/>
  <c r="AI137" i="1"/>
  <c r="R113" i="1"/>
  <c r="Z113" i="1"/>
  <c r="AI113" i="1"/>
  <c r="R105" i="1"/>
  <c r="AI105" i="1"/>
  <c r="Z105" i="1"/>
  <c r="AI122" i="1"/>
  <c r="Z122" i="1"/>
  <c r="N139" i="1"/>
  <c r="R139" i="1"/>
  <c r="F121" i="1"/>
  <c r="R121" i="1"/>
  <c r="F126" i="1"/>
  <c r="R126" i="1"/>
  <c r="F124" i="1"/>
  <c r="R124" i="1"/>
  <c r="L96" i="1"/>
  <c r="R96" i="1"/>
  <c r="F125" i="1"/>
  <c r="R125" i="1"/>
  <c r="F123" i="1"/>
  <c r="R123" i="1"/>
  <c r="F122" i="1"/>
  <c r="R122" i="1"/>
  <c r="M135" i="1"/>
  <c r="D135" i="1"/>
  <c r="N137" i="1"/>
  <c r="D137" i="1"/>
  <c r="P133" i="1"/>
  <c r="D133" i="1"/>
  <c r="M136" i="1"/>
  <c r="D136" i="1"/>
  <c r="P132" i="1"/>
  <c r="D132" i="1"/>
  <c r="D131" i="1"/>
  <c r="O131" i="1"/>
  <c r="O13" i="1" s="1"/>
  <c r="O14" i="1" s="1"/>
  <c r="F114" i="1"/>
  <c r="D114" i="1"/>
  <c r="F105" i="1"/>
  <c r="D105" i="1"/>
  <c r="D112" i="1"/>
  <c r="F112" i="1"/>
  <c r="D104" i="1"/>
  <c r="F104" i="1"/>
  <c r="F113" i="1"/>
  <c r="D113" i="1"/>
  <c r="D103" i="1"/>
  <c r="F103" i="1"/>
  <c r="P13" i="1" l="1"/>
  <c r="P14" i="1" s="1"/>
  <c r="L13" i="1"/>
  <c r="L14" i="1" s="1"/>
  <c r="N13" i="1"/>
  <c r="N14" i="1" s="1"/>
  <c r="M13" i="1"/>
  <c r="M14" i="1" s="1"/>
  <c r="Q13" i="1"/>
  <c r="Q14" i="1" s="1"/>
  <c r="D18" i="1" l="1"/>
  <c r="C18" i="1" s="1"/>
  <c r="C19" i="1"/>
  <c r="Z19" i="1" s="1"/>
  <c r="Z13" i="1" s="1"/>
  <c r="Z14" i="1" s="1"/>
  <c r="AI19" i="1" l="1"/>
  <c r="F19" i="1"/>
  <c r="F13" i="1" s="1"/>
  <c r="R19" i="1"/>
  <c r="D17" i="1"/>
  <c r="R13" i="1" l="1"/>
  <c r="R14" i="1" s="1"/>
  <c r="AI13" i="1"/>
  <c r="AI14" i="1" s="1"/>
  <c r="F14" i="1"/>
  <c r="F15" i="1" s="1"/>
  <c r="G15" i="1" s="1"/>
  <c r="H15" i="1" s="1"/>
  <c r="I15" i="1" s="1"/>
  <c r="J15" i="1" s="1"/>
  <c r="K15" i="1" s="1"/>
  <c r="L15" i="1" s="1"/>
  <c r="M15" i="1" s="1"/>
  <c r="N15" i="1" s="1"/>
  <c r="O15" i="1" s="1"/>
  <c r="P15" i="1" s="1"/>
  <c r="Q15" i="1" s="1"/>
  <c r="R15" i="1" l="1"/>
  <c r="S15" i="1" s="1"/>
  <c r="T15" i="1" s="1"/>
  <c r="U15" i="1" s="1"/>
  <c r="V15" i="1" s="1"/>
  <c r="W15" i="1" s="1"/>
  <c r="X15" i="1" s="1"/>
  <c r="Y15" i="1" s="1"/>
  <c r="Z15" i="1" s="1"/>
  <c r="AA15" i="1" s="1"/>
  <c r="AB15" i="1" s="1"/>
  <c r="AC15" i="1" s="1"/>
  <c r="AD15" i="1" s="1"/>
  <c r="AE15" i="1" s="1"/>
  <c r="AF15" i="1" s="1"/>
  <c r="AG15" i="1" s="1"/>
  <c r="AH15" i="1" s="1"/>
  <c r="AI15" i="1" s="1"/>
</calcChain>
</file>

<file path=xl/sharedStrings.xml><?xml version="1.0" encoding="utf-8"?>
<sst xmlns="http://schemas.openxmlformats.org/spreadsheetml/2006/main" count="736" uniqueCount="207">
  <si>
    <t>Levantamento topográfico</t>
  </si>
  <si>
    <t>Cadastro Geral da Rodovia</t>
  </si>
  <si>
    <t>Vídeo registro</t>
  </si>
  <si>
    <t>Sistema de visualização + fotos e filme georreferenciados</t>
  </si>
  <si>
    <t>Item</t>
  </si>
  <si>
    <t>Levantamento de pavimentos</t>
  </si>
  <si>
    <t>Estudos de Tráfego</t>
  </si>
  <si>
    <t>Plano de Trabalho</t>
  </si>
  <si>
    <t>Estudos Ambientais</t>
  </si>
  <si>
    <t>Trabalhos Iniciais</t>
  </si>
  <si>
    <t>Modelo Operacional</t>
  </si>
  <si>
    <t>Relatório + banco de dados de Cadastro de passivos ambientais</t>
  </si>
  <si>
    <t>Relatório + banco de dados de Cadastro de passivos sociais</t>
  </si>
  <si>
    <t>Levantamentos de Campo</t>
  </si>
  <si>
    <t>Estudos Sócio-Ambientais</t>
  </si>
  <si>
    <t>Relatório de Estudos Sócio-ambientais</t>
  </si>
  <si>
    <t>Programa de Recuperação</t>
  </si>
  <si>
    <t>Manutenção Periódica e Conservação</t>
  </si>
  <si>
    <t>Ampliação de Capacidade e Melhorias</t>
  </si>
  <si>
    <t>Relatório de compilação de dados existentes por disciplina</t>
  </si>
  <si>
    <t>Projeto Funcional</t>
  </si>
  <si>
    <t>Geotecnia / Geologia</t>
  </si>
  <si>
    <t>Descrição</t>
  </si>
  <si>
    <t>Retigráfico situação projetada</t>
  </si>
  <si>
    <t>Plano de trabalho separado por disciplina</t>
  </si>
  <si>
    <t>Plano de trabalho separado por disciplina (demais disciplinas)</t>
  </si>
  <si>
    <t>Relatório de memória de quantidades</t>
  </si>
  <si>
    <t>Modelo Econômico-Financeiro</t>
  </si>
  <si>
    <t>Relatório Final Consolidado</t>
  </si>
  <si>
    <t>Planilha MEF</t>
  </si>
  <si>
    <t>Arquivos do HDM-4 montados com cadastro de segmentos homogêneo e respectivas características técnicas - pav. existente</t>
  </si>
  <si>
    <t>Arquivos do HDM-4 montados com cadastro de segmentos homogêneo e respectivas características técnicas - pav. Novos</t>
  </si>
  <si>
    <t>Programa de Manutenção de Pavimentos Existentes - relatórios de saída do HDM com pelo menos 2 cenários alternativos</t>
  </si>
  <si>
    <t>Programa de Manutenção de Pavimentos Novos - relatórios de saída do HDM com pelo menos 2 cenários alternativos</t>
  </si>
  <si>
    <t>Programa de Pavimentação</t>
  </si>
  <si>
    <t>Relatório de Estudo de Dimensionamento de Alternativas de Pavimento (rígido e flexível)</t>
  </si>
  <si>
    <t>iRap</t>
  </si>
  <si>
    <t>Quantificação das contramedidas previstas para as fases da Concessão (TI, Recuperação e Ampliação)</t>
  </si>
  <si>
    <t>Relatório de programação de sondagens</t>
  </si>
  <si>
    <t>Relatório de resultados de sondagens / ensaios</t>
  </si>
  <si>
    <t>Modelo BIM preliminar contendo as superfícies representativas das camadas inferidas para 1ª, 2ª e 3ª categorias com base nos dados coletados e de campo, e topografia do terreno</t>
  </si>
  <si>
    <t>Desenhos e pranchas em dgw, com filtros, padrões e layers aplicados, inclusive extração de quantidades de elementos existentes</t>
  </si>
  <si>
    <t>Planilhas de cadastro, inclusive resumo de quantidades de elementos existentes</t>
  </si>
  <si>
    <t>Relatório Consolidado de Geologia / Geotecnia contendo mapeamento consolidado</t>
  </si>
  <si>
    <t>Relatório de Levantamento Visual (IGG, LVC, PRO-07), IRI/QI e FWD + planilhas formato EPL</t>
  </si>
  <si>
    <t>Retigráfico situação existente com link automático aos bancos de dados de cadastros</t>
  </si>
  <si>
    <t>Retigráfico elementos existentes constantes no cadastro versus contramedidas propostas pelo software (link automático às planilçhas de saída do software)</t>
  </si>
  <si>
    <t>Desenhos e pranchas (planta e pefil) em dwg, com filtros, padrões e layers aplicados, inclusive extração de quantidades de elementos existentes com os dados consolidados do levantamento topográfico, vídeo-registro, contramedidas propostas pelo iRap</t>
  </si>
  <si>
    <t>Modelo BIM das ampliações propostas, inclusive extração de quantidades dos desenhos</t>
  </si>
  <si>
    <t>Modelo Digital do Terreno (MDT) para BIM, contendo a superfície do terreno existente e delimitação de bacias de contribuição de drenagem</t>
  </si>
  <si>
    <t>Dados brutos dos levantamentos de campo (nuvem de pontos e imagens aéreas)</t>
  </si>
  <si>
    <t>Projeto Funcional (planta, perfil e seção-tipo) das ampliações em dwg (pranchas) e pdf, inclusive extração de quantidades dos desenhos</t>
  </si>
  <si>
    <t>Gestão do Projeto</t>
  </si>
  <si>
    <t>Relatório de subsídios de respostas às contribuições da audiência pública</t>
  </si>
  <si>
    <t>Cadastro em planilha padrão e elaboração de kmz padrão com os pleitos da audiência pública</t>
  </si>
  <si>
    <t>Apoio à fase de Subísidos ao Órgão de Controle Externo</t>
  </si>
  <si>
    <t>Apoio à fase de Audiência Pública</t>
  </si>
  <si>
    <t>Relatório de subsídios a eventuais questionamentos órgão de controle externo</t>
  </si>
  <si>
    <t>Plano de trabalho (Outros)</t>
  </si>
  <si>
    <t>Orçamento</t>
  </si>
  <si>
    <t>Planilhas com cálculo do FIT,  DMT, Aquisição e Transporte de Material betuminoso</t>
  </si>
  <si>
    <t>Planilha MEF total com cálculo da Administração Local, canteiros, Mobilização e Desmobilização</t>
  </si>
  <si>
    <t>Planilhas com composições de custo unitário, BDI, quantitativos consolidados e Curva ABC</t>
  </si>
  <si>
    <t>Levantamentos Primários de Dados de Tráfego com arquivo kmz conforme determinado no Termo de Referência.</t>
  </si>
  <si>
    <t>Relatório de Tráfego - Situação Atual</t>
  </si>
  <si>
    <t>• Caracterização da Concessão e da Região de Inserção do Lote.
• Levantamento e processamento de dados primários e secundários.
• Determinação do Volume Diário Médio Anual no ano base.
• Arquivos conforme determinado no Termo de Referência.</t>
  </si>
  <si>
    <t>• Determinação do Custo de Viagem.
• Sistema de Transporte e Rede Georreferenciada.
• Zoneamento
• Localização das praças de pedágio
• Arquivos conforme determinado no Termo de Referência.</t>
  </si>
  <si>
    <t>• Alocação de viagens.
• Matriz Origem-Destino no ano base.
• Carregamento do sistema no ano base.
• Arquivos conforme determinado no Termo de Referência.</t>
  </si>
  <si>
    <t>Relatório de Tráfego - Tráfego ao longo da concessão</t>
  </si>
  <si>
    <t>• Modelo de Projeção.
• Arquivos conforme determinado no Termo de Referência.</t>
  </si>
  <si>
    <t>• Previsão de intervenções no sistema.
• Matrizes Origem-Destino futuras.
• Carregamento do sistema ao longo da concessão.
• Arquivos conforme determinado no Termo de Referência.</t>
  </si>
  <si>
    <t>• Consolidação da localização das praças de pedágio.
• Arquivos conforme determinado no Termo de Referência.</t>
  </si>
  <si>
    <t>Relatório de Tráfego - Dimensionamento de Infraestrutura</t>
  </si>
  <si>
    <t>• Avaliação do nível de serviço sem a realização de obras de melhorias e ampliação de capacidade de acordo com o HCM.
• Avaliação da necessidade de implantação de faixas adicionais em rampas ascedentes e descendentes.
• Arquivos conforme determinado no Termo de Referência.</t>
  </si>
  <si>
    <t>• Avaliação do nível de serviço com a realização de obras de melhorias e ampliação de capacidade de acordo com o HCM.
• Listagem de intervenções por segmento homogêneo e ano de implantação.
• Arquivos conforme determinado no Termo de Referência.</t>
  </si>
  <si>
    <t>• Posicionamento, identificação e dimensionamento de dispositivos e intersecções no sistema.
• Arquivos conforme determinado no Termo de Referência.</t>
  </si>
  <si>
    <t>• Dimensionamento das praças de pedágio.
• Arquivos conforme determinado no Termo de Referência.</t>
  </si>
  <si>
    <t>• Cálculos de apoio ao dimensionamento do pavimento.
• Arquivos conforme determinado no Termo de Referência.</t>
  </si>
  <si>
    <t>Plano de trabalho</t>
  </si>
  <si>
    <t>Relatório de Promoção</t>
  </si>
  <si>
    <t>Relatório de Promoção e Road Shows</t>
  </si>
  <si>
    <t>Frente de Promoção</t>
  </si>
  <si>
    <t>Tratamento, Análise e Consolidação dos Dados de Tráfego</t>
  </si>
  <si>
    <t>Montagem da Rede de Transportes e Base Georreferenciada</t>
  </si>
  <si>
    <t>Alocação de Tráfego e Modelo de Projeção de Tráfego</t>
  </si>
  <si>
    <t>Análise de obras de melhorias e ampliação de capacidade</t>
  </si>
  <si>
    <t>Dimensionamento da Praça de Pedágio</t>
  </si>
  <si>
    <t>Cálculos Auxiliares ao Dimensionamento do Pavimento</t>
  </si>
  <si>
    <t>Geologia / Geotecnia</t>
  </si>
  <si>
    <t>Pavimento</t>
  </si>
  <si>
    <t>Modelagem Jurídica</t>
  </si>
  <si>
    <t>Minuta de PER</t>
  </si>
  <si>
    <t>Minuta de Edital e Anexos</t>
  </si>
  <si>
    <t>Minuta de Contrato e Anexos</t>
  </si>
  <si>
    <t>Tradução de documentos</t>
  </si>
  <si>
    <t>Planilha resumo para ANTT</t>
  </si>
  <si>
    <t>Assessoria Jurídica</t>
  </si>
  <si>
    <t>Geometria / Terraplenagem</t>
  </si>
  <si>
    <t>Sinalização, Segurança e Iluminação</t>
  </si>
  <si>
    <t>OAEs</t>
  </si>
  <si>
    <t>Drenagem, Interferências e demais disciplinas</t>
  </si>
  <si>
    <t>Quantificação e orçamentação</t>
  </si>
  <si>
    <t xml:space="preserve">Orçamentação </t>
  </si>
  <si>
    <t>Compilação de dados gerais existentes</t>
  </si>
  <si>
    <t>Avaliação de Velocidades das Vias Existentes</t>
  </si>
  <si>
    <t>iRAP</t>
  </si>
  <si>
    <t>Avaliação de velocidade das vias existentes</t>
  </si>
  <si>
    <t>Velocidades admissíveis</t>
  </si>
  <si>
    <t>Inspeção de obras de arte especiais</t>
  </si>
  <si>
    <t>Relatório de Inspeção contendo fichas, croquis e fotos</t>
  </si>
  <si>
    <t xml:space="preserve">Cadastro de Interferências </t>
  </si>
  <si>
    <t>Relatório contendo fichas, croquis e fotos</t>
  </si>
  <si>
    <t>Cadastro de interferências</t>
  </si>
  <si>
    <t>Programa de manutenção de pavimentos</t>
  </si>
  <si>
    <t>1.1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</si>
  <si>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</si>
  <si>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</si>
  <si>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</si>
  <si>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</si>
  <si>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</si>
  <si>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</si>
  <si>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</si>
  <si>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</si>
  <si>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</si>
  <si>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</si>
  <si>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</si>
  <si>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</si>
  <si>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</si>
  <si>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</si>
  <si>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</si>
  <si>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</si>
  <si>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</si>
  <si>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</si>
  <si>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</si>
  <si>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</si>
  <si>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</si>
  <si>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</si>
  <si>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</si>
  <si>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</si>
  <si>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</si>
  <si>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</si>
  <si>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</si>
  <si>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</si>
  <si>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</si>
  <si>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</si>
  <si>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</si>
  <si>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7.5</t>
  </si>
  <si>
    <t>8.1</t>
  </si>
  <si>
    <t>8.2</t>
  </si>
  <si>
    <t>8.3</t>
  </si>
  <si>
    <t>9.1</t>
  </si>
  <si>
    <t>9.2</t>
  </si>
  <si>
    <t>9.3</t>
  </si>
  <si>
    <t>10.1</t>
  </si>
  <si>
    <t>10.2</t>
  </si>
  <si>
    <r>
      <rPr>
        <sz val="7"/>
        <rFont val="Calibri"/>
        <family val="2"/>
        <scheme val="minor"/>
      </rPr>
      <t xml:space="preserve"> </t>
    </r>
    <r>
      <rPr>
        <i/>
        <sz val="11"/>
        <rFont val="Calibri"/>
        <family val="2"/>
        <scheme val="minor"/>
      </rPr>
      <t>Due diligence</t>
    </r>
    <r>
      <rPr>
        <sz val="11"/>
        <rFont val="Calibri"/>
        <family val="2"/>
        <scheme val="minor"/>
      </rPr>
      <t xml:space="preserve"> jurídico-institucional</t>
    </r>
  </si>
  <si>
    <t>Valor do item
(R$)</t>
  </si>
  <si>
    <t>7.6</t>
  </si>
  <si>
    <t>12.1</t>
  </si>
  <si>
    <t>12.2</t>
  </si>
  <si>
    <t>12.3</t>
  </si>
  <si>
    <t>13.1</t>
  </si>
  <si>
    <t>13.2</t>
  </si>
  <si>
    <t>Entrega do modelo em formato aberto nativo AutoCAD Civil 3D 2021</t>
  </si>
  <si>
    <t>Entrega do modelo em formato aberto nativo Autodesk Infraworks 2021</t>
  </si>
  <si>
    <t>Entrega do modelo em formato aberto nativo Autodesk Navisworks Manage 2021</t>
  </si>
  <si>
    <t>TOTAL</t>
  </si>
  <si>
    <t>Revisão Pós-TCU</t>
  </si>
  <si>
    <t>TCU</t>
  </si>
  <si>
    <t>Audiência Pública</t>
  </si>
  <si>
    <t>Estudo Inicial</t>
  </si>
  <si>
    <t>11.1</t>
  </si>
  <si>
    <t>11.2</t>
  </si>
  <si>
    <t>Apoio à fase de Licitação</t>
  </si>
  <si>
    <t>Relatório de subsídios a eventuais questionamentos</t>
  </si>
  <si>
    <t>Leilão</t>
  </si>
  <si>
    <t>LEGENDA</t>
  </si>
  <si>
    <t>Revisão Pós Audiência</t>
  </si>
  <si>
    <t>A</t>
  </si>
  <si>
    <t>B</t>
  </si>
  <si>
    <t>C</t>
  </si>
  <si>
    <t>Publicação do Edital</t>
  </si>
  <si>
    <t>Processo Licitatório</t>
  </si>
  <si>
    <t>CRONOGRAMA FÍSICO</t>
  </si>
  <si>
    <t>Desenvolvimento do Estudo Inicial</t>
  </si>
  <si>
    <t>CRITÉRIO DE MEDIÇÃO</t>
  </si>
  <si>
    <t>Cronograma referencial (meses)</t>
  </si>
  <si>
    <t>CRITÉRIOS DE MEDIÇÃO</t>
  </si>
  <si>
    <t>Etapa / Marcos -&gt;</t>
  </si>
  <si>
    <t>Mês -&gt;</t>
  </si>
  <si>
    <t>Desembolso
total do
mês -&gt;</t>
  </si>
  <si>
    <t>Percentual de desembolso
mensal -&gt;</t>
  </si>
  <si>
    <t>Percentual de desembolso mensal
acumulado -&gt;</t>
  </si>
  <si>
    <t>Revisão Pós Audiência Pública</t>
  </si>
  <si>
    <t>50% na primeira entrega do material (protocolo); 50% no ato do leilão</t>
  </si>
  <si>
    <t>CRONOGRAMA FINANCEIRO</t>
  </si>
  <si>
    <t xml:space="preserve">Revisão pós TCU </t>
  </si>
  <si>
    <t>Procedimento Licitatório</t>
  </si>
  <si>
    <t>Porcentagens em relação ao produto principal</t>
  </si>
  <si>
    <t>30% na primeira entrega do material (protocolo); 30% na publicação do material de audiência pública; 30% no protocolo de envio ao TCU; 10% no ato do leilão</t>
  </si>
  <si>
    <t>30% na primeira entrega do material (protocolo); 35% no protocolo de envio ao TCU; 35% no ato do leilão</t>
  </si>
  <si>
    <t>Revisão e Desenvolvimento Fase Pré Audiência Pública</t>
  </si>
  <si>
    <t>ANEXO XI - Lista de Produtos, Cronograma e Valores Referenciais
(GRUPO A)</t>
  </si>
  <si>
    <t>Cronograma referencial (meses)*</t>
  </si>
  <si>
    <t>Modelagem Juríca</t>
  </si>
  <si>
    <r>
      <rPr>
        <sz val="7"/>
        <rFont val="Calibri"/>
        <family val="2"/>
      </rPr>
      <t xml:space="preserve"> </t>
    </r>
    <r>
      <rPr>
        <i/>
        <sz val="11"/>
        <rFont val="Calibri"/>
        <family val="2"/>
      </rPr>
      <t>Due diligence</t>
    </r>
    <r>
      <rPr>
        <sz val="11"/>
        <rFont val="Calibri"/>
        <family val="2"/>
      </rPr>
      <t xml:space="preserve"> jurídico-institucional</t>
    </r>
  </si>
  <si>
    <t>ANEXO XI - Lista de Produtos, Cronograma e Valores Referenciais
(Grupo 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</si>
</sst>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_-* #,##0.0_-;\-* #,##0.0_-;_-* &quot;-&quot;?_-;_-@_-"/>
    <numFmt numFmtId="165" formatCode="0.0%"/>
    <numFmt numFmtId="166" formatCode="_-* #,##0.00000_-;\-* #,##0.00000_-;_-* &quot;-&quot;?????_-;_-@_-"/>
    <numFmt numFmtId="167" formatCode="0.00000%"/>
    <numFmt numFmtId="168" formatCode="_-* #,##0.000000_-;\-* #,##0.000000_-;_-* &quot;-&quot;??????_-;_-@_-"/>
  </numFmts>
  <fonts count="2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sz val="7"/>
      <name val="Calibri"/>
      <family val="2"/>
      <scheme val="minor"/>
    </font>
    <font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3"/>
      <name val="Calibri"/>
      <family val="2"/>
      <scheme val="minor"/>
    </font>
    <font>
      <sz val="11"/>
      <color theme="1"/>
      <name val="Calibri"/>
      <family val="2"/>
    </font>
    <font>
      <sz val="11"/>
      <color rgb="FFFFFFFF"/>
      <name val="Calibri"/>
      <family val="2"/>
    </font>
    <font>
      <b/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name val="Calibri"/>
      <family val="2"/>
    </font>
    <font>
      <b/>
      <sz val="12"/>
      <name val="Calibri"/>
      <family val="2"/>
    </font>
    <font>
      <b/>
      <sz val="11"/>
      <name val="Calibri"/>
      <family val="2"/>
    </font>
    <font>
      <b/>
      <sz val="11"/>
      <color rgb="FFFFFFFF"/>
      <name val="Calibri"/>
      <family val="2"/>
    </font>
    <font>
      <b/>
      <u/>
      <sz val="20"/>
      <color rgb="FF000000"/>
      <name val="Calibri"/>
      <family val="2"/>
    </font>
    <font>
      <sz val="12"/>
      <name val="Calibri"/>
      <family val="2"/>
    </font>
    <font>
      <b/>
      <sz val="13"/>
      <name val="Calibri"/>
      <family val="2"/>
    </font>
    <font>
      <b/>
      <sz val="13"/>
      <color rgb="FF000000"/>
      <name val="Calibri"/>
      <family val="2"/>
    </font>
    <font>
      <sz val="7"/>
      <name val="Calibri"/>
      <family val="2"/>
    </font>
    <font>
      <i/>
      <sz val="11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4C8DF"/>
        <bgColor indexed="64"/>
      </patternFill>
    </fill>
    <fill>
      <patternFill patternType="solid">
        <fgColor rgb="FF89E0FF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6E0B4"/>
        <bgColor rgb="FF000000"/>
      </patternFill>
    </fill>
    <fill>
      <patternFill patternType="solid">
        <fgColor rgb="FFF8CBAD"/>
        <bgColor rgb="FF000000"/>
      </patternFill>
    </fill>
    <fill>
      <patternFill patternType="solid">
        <fgColor rgb="FFF4C8DF"/>
        <bgColor rgb="FF000000"/>
      </patternFill>
    </fill>
    <fill>
      <patternFill patternType="solid">
        <fgColor rgb="FFFFE699"/>
        <bgColor rgb="FF000000"/>
      </patternFill>
    </fill>
    <fill>
      <patternFill patternType="solid">
        <fgColor rgb="FF89E0FF"/>
        <bgColor rgb="FF000000"/>
      </patternFill>
    </fill>
    <fill>
      <patternFill patternType="solid">
        <fgColor rgb="FFFFF2CC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8EA9DB"/>
        <bgColor rgb="FF000000"/>
      </patternFill>
    </fill>
    <fill>
      <patternFill patternType="solid">
        <fgColor rgb="FFD9E1F2"/>
        <bgColor rgb="FF00000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Dashed">
        <color rgb="FFFF0000"/>
      </left>
      <right/>
      <top/>
      <bottom/>
      <diagonal/>
    </border>
    <border>
      <left style="mediumDashed">
        <color rgb="FFFF0000"/>
      </left>
      <right style="thin">
        <color indexed="64"/>
      </right>
      <top/>
      <bottom/>
      <diagonal/>
    </border>
    <border>
      <left style="mediumDashed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Dashed">
        <color rgb="FFFF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FF0000"/>
      </right>
      <top/>
      <bottom/>
      <diagonal/>
    </border>
    <border>
      <left style="mediumDashed">
        <color rgb="FFFF0000"/>
      </left>
      <right style="mediumDashed">
        <color rgb="FFFF0000"/>
      </right>
      <top/>
      <bottom/>
      <diagonal/>
    </border>
    <border>
      <left style="mediumDashed">
        <color rgb="FFFF0000"/>
      </left>
      <right style="mediumDashed">
        <color rgb="FFFF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Dashed">
        <color rgb="FFFF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Dashed">
        <color rgb="FFFF0000"/>
      </right>
      <top/>
      <bottom style="thin">
        <color indexed="64"/>
      </bottom>
      <diagonal/>
    </border>
    <border>
      <left style="mediumDashed">
        <color rgb="FFFF0000"/>
      </left>
      <right style="mediumDashed">
        <color rgb="FFFF0000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Dashed">
        <color rgb="FFFF0000"/>
      </left>
      <right style="mediumDashed">
        <color rgb="FFFF0000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Dashed">
        <color rgb="FFFF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rgb="FFFF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FF0000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Dashed">
        <color rgb="FFFF0000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Dashed">
        <color rgb="FFFF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Dashed">
        <color rgb="FFFF0000"/>
      </left>
      <right style="mediumDashed">
        <color rgb="FFFF000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Dashed">
        <color rgb="FFFF0000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Dashed">
        <color rgb="FFFF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Dashed">
        <color rgb="FFFF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rgb="FFFF0000"/>
      </left>
      <right style="mediumDashed">
        <color rgb="FFFF0000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Dashed">
        <color rgb="FFFF000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rgb="FFFF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rgb="FFFF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Dashed">
        <color rgb="FFFF0000"/>
      </left>
      <right style="medium">
        <color indexed="64"/>
      </right>
      <top/>
      <bottom/>
      <diagonal/>
    </border>
  </borders>
  <cellStyleXfs count="4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543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" fontId="1" fillId="3" borderId="6" xfId="0" applyNumberFormat="1" applyFont="1" applyFill="1" applyBorder="1" applyAlignment="1">
      <alignment horizontal="center" vertical="center"/>
    </xf>
    <xf numFmtId="43" fontId="1" fillId="4" borderId="6" xfId="0" applyNumberFormat="1" applyFont="1" applyFill="1" applyBorder="1" applyAlignment="1">
      <alignment horizontal="left" vertical="center"/>
    </xf>
    <xf numFmtId="43" fontId="6" fillId="4" borderId="6" xfId="0" applyNumberFormat="1" applyFont="1" applyFill="1" applyBorder="1" applyAlignment="1">
      <alignment horizontal="left" vertical="center"/>
    </xf>
    <xf numFmtId="4" fontId="6" fillId="3" borderId="6" xfId="0" applyNumberFormat="1" applyFont="1" applyFill="1" applyBorder="1" applyAlignment="1">
      <alignment horizontal="center" vertical="center"/>
    </xf>
    <xf numFmtId="165" fontId="1" fillId="3" borderId="5" xfId="2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1" fillId="4" borderId="6" xfId="0" applyNumberFormat="1" applyFont="1" applyFill="1" applyBorder="1" applyAlignment="1">
      <alignment horizontal="left" vertical="center"/>
    </xf>
    <xf numFmtId="0" fontId="0" fillId="0" borderId="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8" fillId="7" borderId="0" xfId="0" applyNumberFormat="1" applyFont="1" applyFill="1" applyAlignment="1">
      <alignment horizontal="center" vertical="center"/>
    </xf>
    <xf numFmtId="164" fontId="8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/>
    </xf>
    <xf numFmtId="0" fontId="1" fillId="5" borderId="1" xfId="0" applyFont="1" applyFill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164" fontId="6" fillId="0" borderId="2" xfId="1" applyNumberFormat="1" applyFont="1" applyBorder="1" applyAlignment="1">
      <alignment horizontal="center" vertical="center"/>
    </xf>
    <xf numFmtId="0" fontId="0" fillId="5" borderId="1" xfId="0" applyFill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0" fontId="1" fillId="0" borderId="11" xfId="0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7" xfId="0" applyFont="1" applyBorder="1" applyAlignment="1">
      <alignment vertical="center"/>
    </xf>
    <xf numFmtId="43" fontId="1" fillId="0" borderId="1" xfId="0" applyNumberFormat="1" applyFont="1" applyBorder="1" applyAlignment="1">
      <alignment vertical="center"/>
    </xf>
    <xf numFmtId="43" fontId="0" fillId="0" borderId="0" xfId="0" applyNumberFormat="1" applyAlignment="1">
      <alignment horizontal="center" vertical="center"/>
    </xf>
    <xf numFmtId="167" fontId="0" fillId="0" borderId="0" xfId="0" applyNumberFormat="1" applyFill="1" applyBorder="1" applyAlignment="1">
      <alignment horizontal="center" vertical="center"/>
    </xf>
    <xf numFmtId="43" fontId="0" fillId="0" borderId="0" xfId="0" applyNumberFormat="1" applyFill="1" applyBorder="1" applyAlignment="1">
      <alignment horizontal="center" vertical="center"/>
    </xf>
    <xf numFmtId="43" fontId="0" fillId="0" borderId="1" xfId="0" applyNumberFormat="1" applyFill="1" applyBorder="1" applyAlignment="1">
      <alignment vertical="center"/>
    </xf>
    <xf numFmtId="0" fontId="0" fillId="0" borderId="0" xfId="0" applyFill="1" applyAlignment="1">
      <alignment horizontal="center" vertical="center"/>
    </xf>
    <xf numFmtId="43" fontId="0" fillId="0" borderId="7" xfId="0" applyNumberFormat="1" applyFill="1" applyBorder="1" applyAlignment="1">
      <alignment vertical="center"/>
    </xf>
    <xf numFmtId="10" fontId="1" fillId="6" borderId="1" xfId="0" applyNumberFormat="1" applyFont="1" applyFill="1" applyBorder="1" applyAlignment="1">
      <alignment horizontal="center" vertical="center"/>
    </xf>
    <xf numFmtId="10" fontId="1" fillId="6" borderId="6" xfId="0" applyNumberFormat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16" xfId="0" applyFont="1" applyFill="1" applyBorder="1" applyAlignment="1">
      <alignment vertical="center"/>
    </xf>
    <xf numFmtId="0" fontId="0" fillId="2" borderId="1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0" fillId="2" borderId="11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7" xfId="0" applyFill="1" applyBorder="1" applyAlignment="1">
      <alignment vertical="center"/>
    </xf>
    <xf numFmtId="10" fontId="1" fillId="6" borderId="11" xfId="0" applyNumberFormat="1" applyFont="1" applyFill="1" applyBorder="1" applyAlignment="1">
      <alignment horizontal="center" vertical="center"/>
    </xf>
    <xf numFmtId="43" fontId="1" fillId="0" borderId="5" xfId="0" applyNumberFormat="1" applyFont="1" applyFill="1" applyBorder="1" applyAlignment="1">
      <alignment vertical="center"/>
    </xf>
    <xf numFmtId="166" fontId="1" fillId="0" borderId="5" xfId="0" applyNumberFormat="1" applyFont="1" applyFill="1" applyBorder="1" applyAlignment="1">
      <alignment vertical="center"/>
    </xf>
    <xf numFmtId="0" fontId="1" fillId="0" borderId="5" xfId="0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166" fontId="0" fillId="0" borderId="1" xfId="0" applyNumberFormat="1" applyFill="1" applyBorder="1" applyAlignment="1">
      <alignment vertical="center"/>
    </xf>
    <xf numFmtId="0" fontId="0" fillId="0" borderId="6" xfId="0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43" fontId="0" fillId="0" borderId="6" xfId="0" applyNumberFormat="1" applyFill="1" applyBorder="1" applyAlignment="1">
      <alignment vertical="center"/>
    </xf>
    <xf numFmtId="10" fontId="1" fillId="6" borderId="18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/>
    </xf>
    <xf numFmtId="0" fontId="0" fillId="2" borderId="18" xfId="0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0" fillId="2" borderId="18" xfId="0" applyFill="1" applyBorder="1" applyAlignment="1">
      <alignment vertical="center"/>
    </xf>
    <xf numFmtId="164" fontId="0" fillId="0" borderId="1" xfId="0" applyNumberFormat="1" applyFill="1" applyBorder="1" applyAlignment="1">
      <alignment vertical="center"/>
    </xf>
    <xf numFmtId="4" fontId="1" fillId="5" borderId="1" xfId="0" applyNumberFormat="1" applyFont="1" applyFill="1" applyBorder="1" applyAlignment="1">
      <alignment vertical="center"/>
    </xf>
    <xf numFmtId="164" fontId="0" fillId="0" borderId="6" xfId="0" applyNumberFormat="1" applyBorder="1" applyAlignment="1">
      <alignment horizontal="left" vertical="center"/>
    </xf>
    <xf numFmtId="43" fontId="3" fillId="0" borderId="6" xfId="0" applyNumberFormat="1" applyFont="1" applyBorder="1" applyAlignment="1">
      <alignment horizontal="left" vertical="center"/>
    </xf>
    <xf numFmtId="43" fontId="0" fillId="0" borderId="6" xfId="0" applyNumberFormat="1" applyBorder="1" applyAlignment="1">
      <alignment horizontal="left" vertical="center"/>
    </xf>
    <xf numFmtId="43" fontId="0" fillId="0" borderId="6" xfId="0" applyNumberFormat="1" applyBorder="1" applyAlignment="1">
      <alignment horizontal="left" vertical="center" wrapText="1"/>
    </xf>
    <xf numFmtId="164" fontId="0" fillId="0" borderId="6" xfId="0" applyNumberFormat="1" applyBorder="1" applyAlignment="1">
      <alignment horizontal="left" vertical="center" wrapText="1"/>
    </xf>
    <xf numFmtId="43" fontId="0" fillId="0" borderId="6" xfId="0" applyNumberForma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164" fontId="0" fillId="0" borderId="0" xfId="0" applyNumberFormat="1" applyBorder="1" applyAlignment="1">
      <alignment horizontal="center" vertical="center"/>
    </xf>
    <xf numFmtId="164" fontId="1" fillId="0" borderId="1" xfId="0" applyNumberFormat="1" applyFont="1" applyFill="1" applyBorder="1" applyAlignment="1">
      <alignment vertical="center"/>
    </xf>
    <xf numFmtId="0" fontId="6" fillId="4" borderId="1" xfId="0" applyFont="1" applyFill="1" applyBorder="1" applyAlignment="1">
      <alignment horizontal="left" vertical="center"/>
    </xf>
    <xf numFmtId="168" fontId="0" fillId="0" borderId="0" xfId="0" applyNumberFormat="1" applyAlignment="1">
      <alignment horizontal="center" vertical="center"/>
    </xf>
    <xf numFmtId="43" fontId="0" fillId="2" borderId="11" xfId="0" applyNumberFormat="1" applyFill="1" applyBorder="1" applyAlignment="1">
      <alignment horizontal="center" vertical="center"/>
    </xf>
    <xf numFmtId="0" fontId="9" fillId="6" borderId="21" xfId="0" applyFont="1" applyFill="1" applyBorder="1" applyAlignment="1">
      <alignment horizontal="center" vertical="center" wrapText="1"/>
    </xf>
    <xf numFmtId="43" fontId="1" fillId="2" borderId="11" xfId="0" applyNumberFormat="1" applyFont="1" applyFill="1" applyBorder="1" applyAlignment="1">
      <alignment vertical="center"/>
    </xf>
    <xf numFmtId="9" fontId="1" fillId="0" borderId="0" xfId="0" applyNumberFormat="1" applyFont="1" applyFill="1" applyBorder="1" applyAlignment="1">
      <alignment horizontal="center" vertical="center"/>
    </xf>
    <xf numFmtId="10" fontId="10" fillId="0" borderId="0" xfId="0" applyNumberFormat="1" applyFont="1" applyFill="1" applyBorder="1" applyAlignment="1">
      <alignment horizontal="center" vertical="center"/>
    </xf>
    <xf numFmtId="43" fontId="1" fillId="8" borderId="11" xfId="0" applyNumberFormat="1" applyFon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1" fillId="8" borderId="1" xfId="0" applyFont="1" applyFill="1" applyBorder="1" applyAlignment="1">
      <alignment horizontal="center" vertical="center"/>
    </xf>
    <xf numFmtId="0" fontId="0" fillId="8" borderId="1" xfId="0" applyFill="1" applyBorder="1" applyAlignment="1">
      <alignment vertical="center"/>
    </xf>
    <xf numFmtId="43" fontId="1" fillId="8" borderId="11" xfId="0" applyNumberFormat="1" applyFont="1" applyFill="1" applyBorder="1" applyAlignment="1">
      <alignment vertical="center"/>
    </xf>
    <xf numFmtId="43" fontId="0" fillId="8" borderId="1" xfId="0" applyNumberFormat="1" applyFill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0" fontId="1" fillId="6" borderId="24" xfId="0" applyNumberFormat="1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vertical="center"/>
    </xf>
    <xf numFmtId="0" fontId="0" fillId="2" borderId="24" xfId="0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0" fillId="2" borderId="24" xfId="0" applyFill="1" applyBorder="1" applyAlignment="1">
      <alignment vertical="center"/>
    </xf>
    <xf numFmtId="0" fontId="0" fillId="8" borderId="6" xfId="0" applyFill="1" applyBorder="1" applyAlignment="1">
      <alignment horizontal="center" vertical="center"/>
    </xf>
    <xf numFmtId="0" fontId="0" fillId="8" borderId="6" xfId="0" applyFill="1" applyBorder="1" applyAlignment="1">
      <alignment vertical="center"/>
    </xf>
    <xf numFmtId="0" fontId="0" fillId="10" borderId="7" xfId="0" applyFill="1" applyBorder="1" applyAlignment="1">
      <alignment horizontal="center" vertical="center"/>
    </xf>
    <xf numFmtId="43" fontId="1" fillId="10" borderId="11" xfId="0" applyNumberFormat="1" applyFont="1" applyFill="1" applyBorder="1" applyAlignment="1">
      <alignment horizontal="center" vertical="center"/>
    </xf>
    <xf numFmtId="0" fontId="1" fillId="10" borderId="7" xfId="0" applyFont="1" applyFill="1" applyBorder="1" applyAlignment="1">
      <alignment horizontal="center" vertical="center"/>
    </xf>
    <xf numFmtId="0" fontId="0" fillId="10" borderId="7" xfId="0" applyFill="1" applyBorder="1" applyAlignment="1">
      <alignment vertical="center"/>
    </xf>
    <xf numFmtId="43" fontId="1" fillId="10" borderId="11" xfId="0" applyNumberFormat="1" applyFont="1" applyFill="1" applyBorder="1" applyAlignment="1">
      <alignment vertical="center"/>
    </xf>
    <xf numFmtId="43" fontId="0" fillId="10" borderId="7" xfId="0" applyNumberFormat="1" applyFill="1" applyBorder="1" applyAlignment="1">
      <alignment vertical="center"/>
    </xf>
    <xf numFmtId="0" fontId="0" fillId="10" borderId="1" xfId="0" applyFill="1" applyBorder="1" applyAlignment="1">
      <alignment horizontal="center" vertical="center"/>
    </xf>
    <xf numFmtId="0" fontId="0" fillId="9" borderId="1" xfId="0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164" fontId="0" fillId="0" borderId="0" xfId="0" applyNumberFormat="1" applyFill="1" applyAlignment="1">
      <alignment horizontal="center" vertical="center"/>
    </xf>
    <xf numFmtId="0" fontId="1" fillId="0" borderId="0" xfId="0" applyFont="1" applyFill="1" applyBorder="1" applyAlignment="1">
      <alignment horizontal="left" vertical="center"/>
    </xf>
    <xf numFmtId="0" fontId="6" fillId="2" borderId="16" xfId="0" applyFont="1" applyFill="1" applyBorder="1" applyAlignment="1">
      <alignment horizontal="center" vertical="center"/>
    </xf>
    <xf numFmtId="10" fontId="1" fillId="6" borderId="7" xfId="0" applyNumberFormat="1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vertical="center"/>
    </xf>
    <xf numFmtId="0" fontId="1" fillId="2" borderId="27" xfId="0" applyFont="1" applyFill="1" applyBorder="1" applyAlignment="1">
      <alignment vertical="center"/>
    </xf>
    <xf numFmtId="0" fontId="1" fillId="2" borderId="17" xfId="0" applyFont="1" applyFill="1" applyBorder="1" applyAlignment="1">
      <alignment vertical="center"/>
    </xf>
    <xf numFmtId="0" fontId="1" fillId="0" borderId="26" xfId="0" applyFont="1" applyBorder="1" applyAlignment="1">
      <alignment vertical="center"/>
    </xf>
    <xf numFmtId="0" fontId="1" fillId="2" borderId="28" xfId="0" applyFont="1" applyFill="1" applyBorder="1" applyAlignment="1">
      <alignment vertical="center"/>
    </xf>
    <xf numFmtId="10" fontId="1" fillId="6" borderId="29" xfId="0" applyNumberFormat="1" applyFont="1" applyFill="1" applyBorder="1" applyAlignment="1">
      <alignment horizontal="center" vertical="center"/>
    </xf>
    <xf numFmtId="10" fontId="1" fillId="6" borderId="30" xfId="0" applyNumberFormat="1" applyFont="1" applyFill="1" applyBorder="1" applyAlignment="1">
      <alignment horizontal="center" vertical="center"/>
    </xf>
    <xf numFmtId="10" fontId="1" fillId="6" borderId="31" xfId="0" applyNumberFormat="1" applyFont="1" applyFill="1" applyBorder="1" applyAlignment="1">
      <alignment horizontal="center" vertical="center"/>
    </xf>
    <xf numFmtId="10" fontId="1" fillId="6" borderId="33" xfId="0" applyNumberFormat="1" applyFont="1" applyFill="1" applyBorder="1" applyAlignment="1">
      <alignment horizontal="center" vertical="center"/>
    </xf>
    <xf numFmtId="10" fontId="1" fillId="6" borderId="32" xfId="0" applyNumberFormat="1" applyFont="1" applyFill="1" applyBorder="1" applyAlignment="1">
      <alignment horizontal="center" vertical="center"/>
    </xf>
    <xf numFmtId="10" fontId="1" fillId="6" borderId="35" xfId="0" applyNumberFormat="1" applyFont="1" applyFill="1" applyBorder="1" applyAlignment="1">
      <alignment horizontal="center" vertical="center"/>
    </xf>
    <xf numFmtId="10" fontId="1" fillId="6" borderId="36" xfId="0" applyNumberFormat="1" applyFont="1" applyFill="1" applyBorder="1" applyAlignment="1">
      <alignment horizontal="center" vertical="center"/>
    </xf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/>
    </xf>
    <xf numFmtId="0" fontId="1" fillId="6" borderId="40" xfId="0" applyFont="1" applyFill="1" applyBorder="1" applyAlignment="1">
      <alignment horizontal="center" vertical="center"/>
    </xf>
    <xf numFmtId="0" fontId="1" fillId="6" borderId="41" xfId="0" applyFont="1" applyFill="1" applyBorder="1" applyAlignment="1">
      <alignment horizontal="center" vertical="center"/>
    </xf>
    <xf numFmtId="0" fontId="1" fillId="6" borderId="42" xfId="0" applyFont="1" applyFill="1" applyBorder="1" applyAlignment="1">
      <alignment horizontal="center" vertical="center"/>
    </xf>
    <xf numFmtId="0" fontId="1" fillId="6" borderId="13" xfId="0" applyFont="1" applyFill="1" applyBorder="1" applyAlignment="1">
      <alignment horizontal="center" vertical="center"/>
    </xf>
    <xf numFmtId="0" fontId="1" fillId="6" borderId="43" xfId="0" applyFont="1" applyFill="1" applyBorder="1" applyAlignment="1">
      <alignment horizontal="center" vertical="center"/>
    </xf>
    <xf numFmtId="0" fontId="1" fillId="6" borderId="3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3" fillId="5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3" fillId="8" borderId="1" xfId="0" applyFont="1" applyFill="1" applyBorder="1" applyAlignment="1">
      <alignment horizontal="center" vertical="center"/>
    </xf>
    <xf numFmtId="10" fontId="6" fillId="0" borderId="0" xfId="0" applyNumberFormat="1" applyFont="1" applyFill="1" applyBorder="1" applyAlignment="1">
      <alignment horizontal="center" vertical="center"/>
    </xf>
    <xf numFmtId="43" fontId="12" fillId="10" borderId="1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43" fontId="12" fillId="9" borderId="1" xfId="0" applyNumberFormat="1" applyFont="1" applyFill="1" applyBorder="1" applyAlignment="1">
      <alignment horizontal="center" vertical="center"/>
    </xf>
    <xf numFmtId="164" fontId="1" fillId="4" borderId="6" xfId="1" applyNumberFormat="1" applyFont="1" applyFill="1" applyBorder="1" applyAlignment="1">
      <alignment horizontal="left" vertical="center"/>
    </xf>
    <xf numFmtId="164" fontId="6" fillId="4" borderId="6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164" fontId="1" fillId="4" borderId="6" xfId="1" applyNumberFormat="1" applyFont="1" applyFill="1" applyBorder="1" applyAlignment="1">
      <alignment horizontal="right" vertical="center"/>
    </xf>
    <xf numFmtId="164" fontId="0" fillId="0" borderId="6" xfId="0" applyNumberFormat="1" applyBorder="1" applyAlignment="1">
      <alignment horizontal="right" vertical="center" wrapText="1"/>
    </xf>
    <xf numFmtId="164" fontId="1" fillId="4" borderId="6" xfId="0" applyNumberFormat="1" applyFont="1" applyFill="1" applyBorder="1" applyAlignment="1">
      <alignment horizontal="right" vertical="center"/>
    </xf>
    <xf numFmtId="164" fontId="3" fillId="0" borderId="6" xfId="0" applyNumberFormat="1" applyFont="1" applyBorder="1" applyAlignment="1">
      <alignment horizontal="justify" vertical="center"/>
    </xf>
    <xf numFmtId="164" fontId="3" fillId="0" borderId="6" xfId="0" applyNumberFormat="1" applyFont="1" applyBorder="1" applyAlignment="1">
      <alignment horizontal="right" vertical="center"/>
    </xf>
    <xf numFmtId="0" fontId="6" fillId="3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/>
    </xf>
    <xf numFmtId="0" fontId="3" fillId="0" borderId="8" xfId="0" applyFont="1" applyBorder="1"/>
    <xf numFmtId="0" fontId="2" fillId="0" borderId="0" xfId="0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9" fillId="6" borderId="1" xfId="0" applyFont="1" applyFill="1" applyBorder="1" applyAlignment="1">
      <alignment vertical="center"/>
    </xf>
    <xf numFmtId="165" fontId="11" fillId="6" borderId="1" xfId="2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43" fontId="12" fillId="11" borderId="1" xfId="0" applyNumberFormat="1" applyFont="1" applyFill="1" applyBorder="1" applyAlignment="1">
      <alignment horizontal="center" vertical="center"/>
    </xf>
    <xf numFmtId="0" fontId="12" fillId="0" borderId="19" xfId="0" applyFont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0" fontId="6" fillId="0" borderId="4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0" fillId="0" borderId="25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44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2" fillId="0" borderId="15" xfId="0" applyFont="1" applyBorder="1" applyAlignment="1">
      <alignment horizontal="left" vertical="center"/>
    </xf>
    <xf numFmtId="0" fontId="12" fillId="0" borderId="15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 wrapText="1"/>
    </xf>
    <xf numFmtId="10" fontId="1" fillId="0" borderId="4" xfId="0" applyNumberFormat="1" applyFont="1" applyFill="1" applyBorder="1" applyAlignment="1">
      <alignment horizontal="center" vertical="center"/>
    </xf>
    <xf numFmtId="10" fontId="1" fillId="0" borderId="0" xfId="0" applyNumberFormat="1" applyFont="1" applyFill="1" applyBorder="1" applyAlignment="1">
      <alignment horizontal="center" vertical="center"/>
    </xf>
    <xf numFmtId="10" fontId="1" fillId="0" borderId="10" xfId="0" applyNumberFormat="1" applyFont="1" applyFill="1" applyBorder="1" applyAlignment="1">
      <alignment horizontal="center" vertical="center"/>
    </xf>
    <xf numFmtId="165" fontId="11" fillId="6" borderId="20" xfId="2" applyNumberFormat="1" applyFont="1" applyFill="1" applyBorder="1" applyAlignment="1">
      <alignment horizontal="center" vertical="center" wrapText="1"/>
    </xf>
    <xf numFmtId="10" fontId="1" fillId="0" borderId="8" xfId="0" applyNumberFormat="1" applyFont="1" applyFill="1" applyBorder="1" applyAlignment="1">
      <alignment horizontal="center" vertical="center"/>
    </xf>
    <xf numFmtId="4" fontId="1" fillId="6" borderId="45" xfId="0" applyNumberFormat="1" applyFont="1" applyFill="1" applyBorder="1" applyAlignment="1">
      <alignment horizontal="center" vertical="center"/>
    </xf>
    <xf numFmtId="4" fontId="1" fillId="6" borderId="46" xfId="0" applyNumberFormat="1" applyFont="1" applyFill="1" applyBorder="1" applyAlignment="1">
      <alignment horizontal="center" vertical="center"/>
    </xf>
    <xf numFmtId="4" fontId="1" fillId="6" borderId="47" xfId="0" applyNumberFormat="1" applyFont="1" applyFill="1" applyBorder="1" applyAlignment="1">
      <alignment horizontal="center" vertical="center"/>
    </xf>
    <xf numFmtId="4" fontId="1" fillId="6" borderId="48" xfId="0" applyNumberFormat="1" applyFont="1" applyFill="1" applyBorder="1" applyAlignment="1">
      <alignment horizontal="center" vertical="center"/>
    </xf>
    <xf numFmtId="4" fontId="1" fillId="6" borderId="49" xfId="0" applyNumberFormat="1" applyFont="1" applyFill="1" applyBorder="1" applyAlignment="1">
      <alignment horizontal="center" vertical="center"/>
    </xf>
    <xf numFmtId="4" fontId="1" fillId="6" borderId="50" xfId="0" applyNumberFormat="1" applyFont="1" applyFill="1" applyBorder="1" applyAlignment="1">
      <alignment horizontal="center" vertical="center"/>
    </xf>
    <xf numFmtId="4" fontId="1" fillId="6" borderId="51" xfId="0" applyNumberFormat="1" applyFont="1" applyFill="1" applyBorder="1" applyAlignment="1">
      <alignment horizontal="center" vertical="center"/>
    </xf>
    <xf numFmtId="4" fontId="1" fillId="6" borderId="52" xfId="0" applyNumberFormat="1" applyFont="1" applyFill="1" applyBorder="1" applyAlignment="1">
      <alignment horizontal="center" vertical="center"/>
    </xf>
    <xf numFmtId="4" fontId="1" fillId="6" borderId="53" xfId="0" applyNumberFormat="1" applyFont="1" applyFill="1" applyBorder="1" applyAlignment="1">
      <alignment horizontal="center" vertical="center"/>
    </xf>
    <xf numFmtId="4" fontId="1" fillId="6" borderId="54" xfId="0" applyNumberFormat="1" applyFont="1" applyFill="1" applyBorder="1" applyAlignment="1">
      <alignment horizontal="center" vertical="center"/>
    </xf>
    <xf numFmtId="10" fontId="1" fillId="2" borderId="10" xfId="0" applyNumberFormat="1" applyFont="1" applyFill="1" applyBorder="1" applyAlignment="1">
      <alignment horizontal="center" vertical="center"/>
    </xf>
    <xf numFmtId="10" fontId="1" fillId="2" borderId="4" xfId="0" applyNumberFormat="1" applyFont="1" applyFill="1" applyBorder="1" applyAlignment="1">
      <alignment horizontal="center" vertical="center"/>
    </xf>
    <xf numFmtId="10" fontId="1" fillId="2" borderId="22" xfId="0" applyNumberFormat="1" applyFont="1" applyFill="1" applyBorder="1" applyAlignment="1">
      <alignment horizontal="center" vertical="center"/>
    </xf>
    <xf numFmtId="10" fontId="1" fillId="2" borderId="0" xfId="0" applyNumberFormat="1" applyFont="1" applyFill="1" applyBorder="1" applyAlignment="1">
      <alignment horizontal="center" vertical="center"/>
    </xf>
    <xf numFmtId="10" fontId="1" fillId="2" borderId="23" xfId="0" applyNumberFormat="1" applyFont="1" applyFill="1" applyBorder="1" applyAlignment="1">
      <alignment horizontal="center" vertical="center"/>
    </xf>
    <xf numFmtId="10" fontId="1" fillId="2" borderId="47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5" fontId="1" fillId="3" borderId="7" xfId="2" applyNumberFormat="1" applyFont="1" applyFill="1" applyBorder="1" applyAlignment="1">
      <alignment horizontal="center" vertical="center"/>
    </xf>
    <xf numFmtId="0" fontId="1" fillId="0" borderId="20" xfId="0" applyFont="1" applyFill="1" applyBorder="1" applyAlignment="1">
      <alignment horizontal="center" vertical="center" wrapText="1"/>
    </xf>
    <xf numFmtId="0" fontId="0" fillId="11" borderId="1" xfId="0" applyFill="1" applyBorder="1" applyAlignment="1">
      <alignment horizontal="center" vertical="center"/>
    </xf>
    <xf numFmtId="43" fontId="1" fillId="11" borderId="1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0" fillId="11" borderId="6" xfId="0" applyFill="1" applyBorder="1" applyAlignment="1">
      <alignment horizontal="center" vertical="center"/>
    </xf>
    <xf numFmtId="0" fontId="1" fillId="11" borderId="6" xfId="0" applyFont="1" applyFill="1" applyBorder="1" applyAlignment="1">
      <alignment horizontal="center" vertical="center"/>
    </xf>
    <xf numFmtId="0" fontId="0" fillId="11" borderId="6" xfId="0" applyFill="1" applyBorder="1" applyAlignment="1">
      <alignment vertical="center"/>
    </xf>
    <xf numFmtId="0" fontId="0" fillId="11" borderId="1" xfId="0" applyFill="1" applyBorder="1" applyAlignment="1">
      <alignment vertical="center"/>
    </xf>
    <xf numFmtId="0" fontId="1" fillId="11" borderId="1" xfId="0" applyFont="1" applyFill="1" applyBorder="1" applyAlignment="1">
      <alignment vertical="center"/>
    </xf>
    <xf numFmtId="43" fontId="1" fillId="11" borderId="11" xfId="0" applyNumberFormat="1" applyFont="1" applyFill="1" applyBorder="1" applyAlignment="1">
      <alignment vertical="center"/>
    </xf>
    <xf numFmtId="0" fontId="0" fillId="9" borderId="11" xfId="0" applyFill="1" applyBorder="1" applyAlignment="1">
      <alignment horizontal="center" vertical="center"/>
    </xf>
    <xf numFmtId="0" fontId="1" fillId="9" borderId="11" xfId="0" applyFont="1" applyFill="1" applyBorder="1" applyAlignment="1">
      <alignment horizontal="center" vertical="center"/>
    </xf>
    <xf numFmtId="0" fontId="0" fillId="9" borderId="7" xfId="0" applyFill="1" applyBorder="1" applyAlignment="1">
      <alignment horizontal="center" vertical="center"/>
    </xf>
    <xf numFmtId="0" fontId="0" fillId="9" borderId="11" xfId="0" applyFill="1" applyBorder="1" applyAlignment="1">
      <alignment vertical="center"/>
    </xf>
    <xf numFmtId="0" fontId="0" fillId="9" borderId="7" xfId="0" applyFill="1" applyBorder="1" applyAlignment="1">
      <alignment vertical="center"/>
    </xf>
    <xf numFmtId="0" fontId="0" fillId="8" borderId="7" xfId="0" applyFill="1" applyBorder="1" applyAlignment="1">
      <alignment horizontal="center" vertical="center"/>
    </xf>
    <xf numFmtId="0" fontId="1" fillId="8" borderId="17" xfId="0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0" fillId="8" borderId="7" xfId="0" applyFill="1" applyBorder="1" applyAlignment="1">
      <alignment vertical="center"/>
    </xf>
    <xf numFmtId="0" fontId="1" fillId="0" borderId="2" xfId="0" applyFont="1" applyBorder="1" applyAlignment="1">
      <alignment vertical="center"/>
    </xf>
    <xf numFmtId="4" fontId="9" fillId="2" borderId="5" xfId="0" applyNumberFormat="1" applyFont="1" applyFill="1" applyBorder="1" applyAlignment="1">
      <alignment horizontal="center" vertical="center" wrapText="1"/>
    </xf>
    <xf numFmtId="4" fontId="9" fillId="2" borderId="5" xfId="0" applyNumberFormat="1" applyFont="1" applyFill="1" applyBorder="1" applyAlignment="1">
      <alignment horizontal="right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0" fillId="10" borderId="6" xfId="0" applyFill="1" applyBorder="1" applyAlignment="1">
      <alignment horizontal="center" vertical="center"/>
    </xf>
    <xf numFmtId="0" fontId="1" fillId="10" borderId="6" xfId="0" applyFont="1" applyFill="1" applyBorder="1" applyAlignment="1">
      <alignment horizontal="center" vertical="center"/>
    </xf>
    <xf numFmtId="0" fontId="1" fillId="10" borderId="1" xfId="0" applyFont="1" applyFill="1" applyBorder="1" applyAlignment="1">
      <alignment horizontal="center" vertical="center"/>
    </xf>
    <xf numFmtId="0" fontId="0" fillId="10" borderId="6" xfId="0" applyFill="1" applyBorder="1" applyAlignment="1">
      <alignment vertical="center"/>
    </xf>
    <xf numFmtId="0" fontId="0" fillId="10" borderId="1" xfId="0" applyFill="1" applyBorder="1" applyAlignment="1">
      <alignment vertical="center"/>
    </xf>
    <xf numFmtId="0" fontId="1" fillId="8" borderId="7" xfId="0" applyFont="1" applyFill="1" applyBorder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12" borderId="1" xfId="0" applyFill="1" applyBorder="1" applyAlignment="1">
      <alignment vertical="center"/>
    </xf>
    <xf numFmtId="4" fontId="0" fillId="0" borderId="0" xfId="0" applyNumberFormat="1" applyFill="1" applyBorder="1" applyAlignment="1">
      <alignment horizontal="center" vertical="center"/>
    </xf>
    <xf numFmtId="4" fontId="1" fillId="6" borderId="55" xfId="0" applyNumberFormat="1" applyFont="1" applyFill="1" applyBorder="1" applyAlignment="1">
      <alignment horizontal="center" vertical="center"/>
    </xf>
    <xf numFmtId="10" fontId="1" fillId="6" borderId="56" xfId="0" applyNumberFormat="1" applyFont="1" applyFill="1" applyBorder="1" applyAlignment="1">
      <alignment horizontal="center" vertical="center"/>
    </xf>
    <xf numFmtId="10" fontId="1" fillId="6" borderId="57" xfId="0" applyNumberFormat="1" applyFont="1" applyFill="1" applyBorder="1" applyAlignment="1">
      <alignment horizontal="center" vertical="center"/>
    </xf>
    <xf numFmtId="9" fontId="6" fillId="0" borderId="0" xfId="0" applyNumberFormat="1" applyFont="1" applyFill="1" applyAlignment="1">
      <alignment horizontal="center" vertical="center"/>
    </xf>
    <xf numFmtId="9" fontId="1" fillId="0" borderId="0" xfId="0" applyNumberFormat="1" applyFont="1" applyFill="1" applyAlignment="1">
      <alignment horizontal="center" vertical="center"/>
    </xf>
    <xf numFmtId="10" fontId="1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8" borderId="18" xfId="0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16" fillId="13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left" vertical="center"/>
    </xf>
    <xf numFmtId="0" fontId="15" fillId="0" borderId="3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43" fontId="16" fillId="13" borderId="0" xfId="0" applyNumberFormat="1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left" vertical="center"/>
    </xf>
    <xf numFmtId="0" fontId="15" fillId="0" borderId="25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19" fillId="0" borderId="44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0" fillId="0" borderId="19" xfId="0" applyFont="1" applyFill="1" applyBorder="1" applyAlignment="1">
      <alignment horizontal="left" vertical="center"/>
    </xf>
    <xf numFmtId="0" fontId="15" fillId="0" borderId="44" xfId="0" applyFont="1" applyFill="1" applyBorder="1" applyAlignment="1">
      <alignment horizontal="center" vertical="center"/>
    </xf>
    <xf numFmtId="10" fontId="22" fillId="0" borderId="0" xfId="0" applyNumberFormat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/>
    </xf>
    <xf numFmtId="0" fontId="15" fillId="0" borderId="4" xfId="0" applyFont="1" applyFill="1" applyBorder="1" applyAlignment="1">
      <alignment horizontal="center" vertical="center"/>
    </xf>
    <xf numFmtId="43" fontId="15" fillId="0" borderId="0" xfId="0" applyNumberFormat="1" applyFont="1" applyFill="1" applyBorder="1" applyAlignment="1">
      <alignment horizontal="center" vertical="center"/>
    </xf>
    <xf numFmtId="0" fontId="24" fillId="14" borderId="1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10" fontId="21" fillId="0" borderId="4" xfId="0" applyNumberFormat="1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left" vertical="center"/>
    </xf>
    <xf numFmtId="0" fontId="24" fillId="0" borderId="0" xfId="0" applyFont="1" applyFill="1" applyBorder="1" applyAlignment="1">
      <alignment horizontal="center" vertical="center"/>
    </xf>
    <xf numFmtId="4" fontId="25" fillId="0" borderId="0" xfId="0" applyNumberFormat="1" applyFont="1" applyFill="1" applyBorder="1" applyAlignment="1">
      <alignment horizontal="center" vertical="center"/>
    </xf>
    <xf numFmtId="167" fontId="15" fillId="0" borderId="0" xfId="0" applyNumberFormat="1" applyFont="1" applyFill="1" applyBorder="1" applyAlignment="1">
      <alignment horizontal="center" vertical="center"/>
    </xf>
    <xf numFmtId="0" fontId="24" fillId="15" borderId="1" xfId="0" applyFont="1" applyFill="1" applyBorder="1" applyAlignment="1">
      <alignment horizontal="center" vertical="center"/>
    </xf>
    <xf numFmtId="10" fontId="21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43" fontId="20" fillId="16" borderId="1" xfId="0" applyNumberFormat="1" applyFont="1" applyFill="1" applyBorder="1" applyAlignment="1">
      <alignment horizontal="center" vertical="center"/>
    </xf>
    <xf numFmtId="4" fontId="15" fillId="0" borderId="0" xfId="0" applyNumberFormat="1" applyFont="1" applyFill="1" applyBorder="1" applyAlignment="1">
      <alignment horizontal="center" vertical="center"/>
    </xf>
    <xf numFmtId="43" fontId="20" fillId="17" borderId="1" xfId="0" applyNumberFormat="1" applyFont="1" applyFill="1" applyBorder="1" applyAlignment="1">
      <alignment horizontal="center" vertical="center"/>
    </xf>
    <xf numFmtId="43" fontId="20" fillId="18" borderId="1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/>
    </xf>
    <xf numFmtId="0" fontId="19" fillId="0" borderId="2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7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left" vertical="center"/>
    </xf>
    <xf numFmtId="164" fontId="21" fillId="0" borderId="0" xfId="1" applyNumberFormat="1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horizontal="right" vertical="center"/>
    </xf>
    <xf numFmtId="0" fontId="26" fillId="19" borderId="7" xfId="0" applyFont="1" applyFill="1" applyBorder="1" applyAlignment="1">
      <alignment vertical="center"/>
    </xf>
    <xf numFmtId="0" fontId="26" fillId="19" borderId="12" xfId="0" applyFont="1" applyFill="1" applyBorder="1" applyAlignment="1">
      <alignment horizontal="center" vertical="center" wrapText="1"/>
    </xf>
    <xf numFmtId="0" fontId="25" fillId="19" borderId="21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right" vertical="center"/>
    </xf>
    <xf numFmtId="165" fontId="18" fillId="19" borderId="7" xfId="2" applyNumberFormat="1" applyFont="1" applyFill="1" applyBorder="1" applyAlignment="1">
      <alignment horizontal="center" vertical="center" wrapText="1"/>
    </xf>
    <xf numFmtId="0" fontId="17" fillId="19" borderId="37" xfId="0" applyFont="1" applyFill="1" applyBorder="1" applyAlignment="1">
      <alignment horizontal="center" vertical="center"/>
    </xf>
    <xf numFmtId="0" fontId="17" fillId="19" borderId="38" xfId="0" applyFont="1" applyFill="1" applyBorder="1" applyAlignment="1">
      <alignment horizontal="center" vertical="center"/>
    </xf>
    <xf numFmtId="0" fontId="17" fillId="19" borderId="39" xfId="0" applyFont="1" applyFill="1" applyBorder="1" applyAlignment="1">
      <alignment horizontal="center" vertical="center"/>
    </xf>
    <xf numFmtId="0" fontId="17" fillId="19" borderId="40" xfId="0" applyFont="1" applyFill="1" applyBorder="1" applyAlignment="1">
      <alignment horizontal="center" vertical="center"/>
    </xf>
    <xf numFmtId="0" fontId="17" fillId="19" borderId="41" xfId="0" applyFont="1" applyFill="1" applyBorder="1" applyAlignment="1">
      <alignment horizontal="center" vertical="center"/>
    </xf>
    <xf numFmtId="0" fontId="17" fillId="19" borderId="42" xfId="0" applyFont="1" applyFill="1" applyBorder="1" applyAlignment="1">
      <alignment horizontal="center" vertical="center"/>
    </xf>
    <xf numFmtId="0" fontId="17" fillId="19" borderId="13" xfId="0" applyFont="1" applyFill="1" applyBorder="1" applyAlignment="1">
      <alignment horizontal="center" vertical="center"/>
    </xf>
    <xf numFmtId="0" fontId="17" fillId="19" borderId="43" xfId="0" applyFont="1" applyFill="1" applyBorder="1" applyAlignment="1">
      <alignment horizontal="center" vertical="center"/>
    </xf>
    <xf numFmtId="0" fontId="21" fillId="19" borderId="34" xfId="0" applyFont="1" applyFill="1" applyBorder="1" applyAlignment="1">
      <alignment horizontal="center" vertical="center"/>
    </xf>
    <xf numFmtId="4" fontId="17" fillId="19" borderId="58" xfId="0" applyNumberFormat="1" applyFont="1" applyFill="1" applyBorder="1" applyAlignment="1">
      <alignment horizontal="center" vertical="center"/>
    </xf>
    <xf numFmtId="4" fontId="17" fillId="19" borderId="4" xfId="0" applyNumberFormat="1" applyFont="1" applyFill="1" applyBorder="1" applyAlignment="1">
      <alignment horizontal="center" vertical="center"/>
    </xf>
    <xf numFmtId="4" fontId="17" fillId="19" borderId="10" xfId="0" applyNumberFormat="1" applyFont="1" applyFill="1" applyBorder="1" applyAlignment="1">
      <alignment horizontal="center" vertical="center"/>
    </xf>
    <xf numFmtId="4" fontId="17" fillId="19" borderId="22" xfId="0" applyNumberFormat="1" applyFont="1" applyFill="1" applyBorder="1" applyAlignment="1">
      <alignment horizontal="center" vertical="center"/>
    </xf>
    <xf numFmtId="4" fontId="17" fillId="19" borderId="8" xfId="0" applyNumberFormat="1" applyFont="1" applyFill="1" applyBorder="1" applyAlignment="1">
      <alignment horizontal="center" vertical="center"/>
    </xf>
    <xf numFmtId="4" fontId="17" fillId="19" borderId="9" xfId="0" applyNumberFormat="1" applyFont="1" applyFill="1" applyBorder="1" applyAlignment="1">
      <alignment horizontal="center" vertical="center"/>
    </xf>
    <xf numFmtId="4" fontId="17" fillId="19" borderId="16" xfId="0" applyNumberFormat="1" applyFont="1" applyFill="1" applyBorder="1" applyAlignment="1">
      <alignment horizontal="center" vertical="center"/>
    </xf>
    <xf numFmtId="4" fontId="17" fillId="19" borderId="23" xfId="0" applyNumberFormat="1" applyFont="1" applyFill="1" applyBorder="1" applyAlignment="1">
      <alignment horizontal="center" vertical="center"/>
    </xf>
    <xf numFmtId="4" fontId="17" fillId="19" borderId="5" xfId="0" applyNumberFormat="1" applyFont="1" applyFill="1" applyBorder="1" applyAlignment="1">
      <alignment horizontal="center" vertical="center"/>
    </xf>
    <xf numFmtId="4" fontId="17" fillId="19" borderId="17" xfId="0" applyNumberFormat="1" applyFont="1" applyFill="1" applyBorder="1" applyAlignment="1">
      <alignment horizontal="center" vertical="center"/>
    </xf>
    <xf numFmtId="4" fontId="21" fillId="19" borderId="59" xfId="0" applyNumberFormat="1" applyFont="1" applyFill="1" applyBorder="1" applyAlignment="1">
      <alignment horizontal="center" vertical="center"/>
    </xf>
    <xf numFmtId="10" fontId="17" fillId="19" borderId="29" xfId="0" applyNumberFormat="1" applyFont="1" applyFill="1" applyBorder="1" applyAlignment="1">
      <alignment horizontal="center" vertical="center"/>
    </xf>
    <xf numFmtId="10" fontId="17" fillId="19" borderId="1" xfId="0" applyNumberFormat="1" applyFont="1" applyFill="1" applyBorder="1" applyAlignment="1">
      <alignment horizontal="center" vertical="center"/>
    </xf>
    <xf numFmtId="10" fontId="17" fillId="19" borderId="11" xfId="0" applyNumberFormat="1" applyFont="1" applyFill="1" applyBorder="1" applyAlignment="1">
      <alignment horizontal="center" vertical="center"/>
    </xf>
    <xf numFmtId="10" fontId="17" fillId="19" borderId="18" xfId="0" applyNumberFormat="1" applyFont="1" applyFill="1" applyBorder="1" applyAlignment="1">
      <alignment horizontal="center" vertical="center"/>
    </xf>
    <xf numFmtId="10" fontId="17" fillId="19" borderId="6" xfId="0" applyNumberFormat="1" applyFont="1" applyFill="1" applyBorder="1" applyAlignment="1">
      <alignment horizontal="center" vertical="center"/>
    </xf>
    <xf numFmtId="10" fontId="17" fillId="19" borderId="24" xfId="0" applyNumberFormat="1" applyFont="1" applyFill="1" applyBorder="1" applyAlignment="1">
      <alignment horizontal="center" vertical="center"/>
    </xf>
    <xf numFmtId="10" fontId="17" fillId="19" borderId="7" xfId="0" applyNumberFormat="1" applyFont="1" applyFill="1" applyBorder="1" applyAlignment="1">
      <alignment horizontal="center" vertical="center"/>
    </xf>
    <xf numFmtId="10" fontId="21" fillId="19" borderId="56" xfId="0" applyNumberFormat="1" applyFont="1" applyFill="1" applyBorder="1" applyAlignment="1">
      <alignment horizontal="center" vertical="center"/>
    </xf>
    <xf numFmtId="0" fontId="21" fillId="20" borderId="16" xfId="0" applyFont="1" applyFill="1" applyBorder="1" applyAlignment="1">
      <alignment horizontal="center" vertical="center"/>
    </xf>
    <xf numFmtId="4" fontId="26" fillId="20" borderId="5" xfId="0" applyNumberFormat="1" applyFont="1" applyFill="1" applyBorder="1" applyAlignment="1">
      <alignment horizontal="right" vertical="center" wrapText="1"/>
    </xf>
    <xf numFmtId="4" fontId="26" fillId="20" borderId="1" xfId="0" applyNumberFormat="1" applyFont="1" applyFill="1" applyBorder="1" applyAlignment="1">
      <alignment vertical="center" wrapText="1"/>
    </xf>
    <xf numFmtId="10" fontId="17" fillId="19" borderId="30" xfId="0" applyNumberFormat="1" applyFont="1" applyFill="1" applyBorder="1" applyAlignment="1">
      <alignment horizontal="center" vertical="center"/>
    </xf>
    <xf numFmtId="10" fontId="17" fillId="19" borderId="31" xfId="0" applyNumberFormat="1" applyFont="1" applyFill="1" applyBorder="1" applyAlignment="1">
      <alignment horizontal="center" vertical="center"/>
    </xf>
    <xf numFmtId="10" fontId="17" fillId="19" borderId="33" xfId="0" applyNumberFormat="1" applyFont="1" applyFill="1" applyBorder="1" applyAlignment="1">
      <alignment horizontal="center" vertical="center"/>
    </xf>
    <xf numFmtId="10" fontId="17" fillId="19" borderId="35" xfId="0" applyNumberFormat="1" applyFont="1" applyFill="1" applyBorder="1" applyAlignment="1">
      <alignment horizontal="center" vertical="center"/>
    </xf>
    <xf numFmtId="10" fontId="17" fillId="19" borderId="36" xfId="0" applyNumberFormat="1" applyFont="1" applyFill="1" applyBorder="1" applyAlignment="1">
      <alignment horizontal="center" vertical="center"/>
    </xf>
    <xf numFmtId="10" fontId="17" fillId="19" borderId="32" xfId="0" applyNumberFormat="1" applyFont="1" applyFill="1" applyBorder="1" applyAlignment="1">
      <alignment horizontal="center" vertical="center"/>
    </xf>
    <xf numFmtId="10" fontId="21" fillId="19" borderId="57" xfId="0" applyNumberFormat="1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4" fontId="17" fillId="0" borderId="5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vertical="center" wrapText="1"/>
    </xf>
    <xf numFmtId="0" fontId="17" fillId="0" borderId="5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10" fontId="17" fillId="0" borderId="4" xfId="0" applyNumberFormat="1" applyFont="1" applyFill="1" applyBorder="1" applyAlignment="1">
      <alignment horizontal="center" vertical="center"/>
    </xf>
    <xf numFmtId="10" fontId="17" fillId="0" borderId="0" xfId="0" applyNumberFormat="1" applyFont="1" applyFill="1" applyBorder="1" applyAlignment="1">
      <alignment horizontal="center" vertical="center"/>
    </xf>
    <xf numFmtId="10" fontId="17" fillId="0" borderId="8" xfId="0" applyNumberFormat="1" applyFont="1" applyFill="1" applyBorder="1" applyAlignment="1">
      <alignment horizontal="center" vertical="center"/>
    </xf>
    <xf numFmtId="10" fontId="17" fillId="20" borderId="10" xfId="0" applyNumberFormat="1" applyFont="1" applyFill="1" applyBorder="1" applyAlignment="1">
      <alignment horizontal="center" vertical="center"/>
    </xf>
    <xf numFmtId="10" fontId="17" fillId="20" borderId="4" xfId="0" applyNumberFormat="1" applyFont="1" applyFill="1" applyBorder="1" applyAlignment="1">
      <alignment horizontal="center" vertical="center"/>
    </xf>
    <xf numFmtId="10" fontId="17" fillId="20" borderId="22" xfId="0" applyNumberFormat="1" applyFont="1" applyFill="1" applyBorder="1" applyAlignment="1">
      <alignment horizontal="center" vertical="center"/>
    </xf>
    <xf numFmtId="10" fontId="17" fillId="20" borderId="0" xfId="0" applyNumberFormat="1" applyFont="1" applyFill="1" applyBorder="1" applyAlignment="1">
      <alignment horizontal="center" vertical="center"/>
    </xf>
    <xf numFmtId="10" fontId="17" fillId="0" borderId="10" xfId="0" applyNumberFormat="1" applyFont="1" applyFill="1" applyBorder="1" applyAlignment="1">
      <alignment horizontal="center" vertical="center"/>
    </xf>
    <xf numFmtId="10" fontId="17" fillId="20" borderId="23" xfId="0" applyNumberFormat="1" applyFont="1" applyFill="1" applyBorder="1" applyAlignment="1">
      <alignment horizontal="center" vertical="center"/>
    </xf>
    <xf numFmtId="10" fontId="17" fillId="20" borderId="47" xfId="0" applyNumberFormat="1" applyFont="1" applyFill="1" applyBorder="1" applyAlignment="1">
      <alignment horizontal="center" vertical="center"/>
    </xf>
    <xf numFmtId="0" fontId="21" fillId="21" borderId="1" xfId="0" applyFont="1" applyFill="1" applyBorder="1" applyAlignment="1">
      <alignment horizontal="center" vertical="center"/>
    </xf>
    <xf numFmtId="0" fontId="21" fillId="21" borderId="1" xfId="0" applyFont="1" applyFill="1" applyBorder="1" applyAlignment="1">
      <alignment horizontal="left" vertical="center"/>
    </xf>
    <xf numFmtId="4" fontId="17" fillId="21" borderId="5" xfId="0" applyNumberFormat="1" applyFont="1" applyFill="1" applyBorder="1" applyAlignment="1">
      <alignment horizontal="center" vertical="center"/>
    </xf>
    <xf numFmtId="165" fontId="17" fillId="21" borderId="5" xfId="2" applyNumberFormat="1" applyFont="1" applyFill="1" applyBorder="1" applyAlignment="1">
      <alignment horizontal="center" vertical="center"/>
    </xf>
    <xf numFmtId="165" fontId="17" fillId="21" borderId="1" xfId="2" applyNumberFormat="1" applyFont="1" applyFill="1" applyBorder="1" applyAlignment="1">
      <alignment horizontal="center" vertical="center"/>
    </xf>
    <xf numFmtId="43" fontId="17" fillId="0" borderId="5" xfId="0" applyNumberFormat="1" applyFont="1" applyFill="1" applyBorder="1" applyAlignment="1">
      <alignment vertical="center"/>
    </xf>
    <xf numFmtId="166" fontId="17" fillId="0" borderId="5" xfId="0" applyNumberFormat="1" applyFont="1" applyFill="1" applyBorder="1" applyAlignment="1">
      <alignment vertical="center"/>
    </xf>
    <xf numFmtId="0" fontId="17" fillId="0" borderId="5" xfId="0" applyFont="1" applyFill="1" applyBorder="1" applyAlignment="1">
      <alignment vertical="center"/>
    </xf>
    <xf numFmtId="0" fontId="17" fillId="0" borderId="16" xfId="0" applyFont="1" applyFill="1" applyBorder="1" applyAlignment="1">
      <alignment vertical="center"/>
    </xf>
    <xf numFmtId="0" fontId="17" fillId="0" borderId="17" xfId="0" applyFont="1" applyFill="1" applyBorder="1" applyAlignment="1">
      <alignment vertical="center"/>
    </xf>
    <xf numFmtId="0" fontId="17" fillId="0" borderId="2" xfId="0" applyFont="1" applyFill="1" applyBorder="1" applyAlignment="1">
      <alignment vertical="center"/>
    </xf>
    <xf numFmtId="0" fontId="17" fillId="20" borderId="26" xfId="0" applyFont="1" applyFill="1" applyBorder="1" applyAlignment="1">
      <alignment vertical="center"/>
    </xf>
    <xf numFmtId="0" fontId="17" fillId="20" borderId="16" xfId="0" applyFont="1" applyFill="1" applyBorder="1" applyAlignment="1">
      <alignment vertical="center"/>
    </xf>
    <xf numFmtId="0" fontId="17" fillId="20" borderId="27" xfId="0" applyFont="1" applyFill="1" applyBorder="1" applyAlignment="1">
      <alignment vertical="center"/>
    </xf>
    <xf numFmtId="0" fontId="17" fillId="20" borderId="17" xfId="0" applyFont="1" applyFill="1" applyBorder="1" applyAlignment="1">
      <alignment vertical="center"/>
    </xf>
    <xf numFmtId="0" fontId="17" fillId="0" borderId="26" xfId="0" applyFont="1" applyFill="1" applyBorder="1" applyAlignment="1">
      <alignment vertical="center"/>
    </xf>
    <xf numFmtId="0" fontId="17" fillId="20" borderId="28" xfId="0" applyFont="1" applyFill="1" applyBorder="1" applyAlignment="1">
      <alignment vertical="center"/>
    </xf>
    <xf numFmtId="0" fontId="21" fillId="22" borderId="1" xfId="0" applyFont="1" applyFill="1" applyBorder="1" applyAlignment="1">
      <alignment horizontal="center" vertical="center"/>
    </xf>
    <xf numFmtId="0" fontId="21" fillId="22" borderId="1" xfId="0" applyFont="1" applyFill="1" applyBorder="1" applyAlignment="1">
      <alignment horizontal="left" vertical="center"/>
    </xf>
    <xf numFmtId="4" fontId="17" fillId="22" borderId="1" xfId="0" applyNumberFormat="1" applyFont="1" applyFill="1" applyBorder="1" applyAlignment="1">
      <alignment horizontal="right" vertical="center"/>
    </xf>
    <xf numFmtId="165" fontId="17" fillId="22" borderId="1" xfId="0" applyNumberFormat="1" applyFont="1" applyFill="1" applyBorder="1" applyAlignment="1">
      <alignment horizontal="center" vertical="center"/>
    </xf>
    <xf numFmtId="43" fontId="17" fillId="0" borderId="1" xfId="0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vertical="center"/>
    </xf>
    <xf numFmtId="0" fontId="17" fillId="0" borderId="7" xfId="0" applyFont="1" applyFill="1" applyBorder="1" applyAlignment="1">
      <alignment vertical="center"/>
    </xf>
    <xf numFmtId="0" fontId="17" fillId="20" borderId="11" xfId="0" applyFont="1" applyFill="1" applyBorder="1" applyAlignment="1">
      <alignment vertical="center"/>
    </xf>
    <xf numFmtId="0" fontId="17" fillId="20" borderId="1" xfId="0" applyFont="1" applyFill="1" applyBorder="1" applyAlignment="1">
      <alignment vertical="center"/>
    </xf>
    <xf numFmtId="0" fontId="17" fillId="20" borderId="18" xfId="0" applyFont="1" applyFill="1" applyBorder="1" applyAlignment="1">
      <alignment vertical="center"/>
    </xf>
    <xf numFmtId="0" fontId="17" fillId="0" borderId="6" xfId="0" applyFont="1" applyFill="1" applyBorder="1" applyAlignment="1">
      <alignment vertical="center"/>
    </xf>
    <xf numFmtId="0" fontId="17" fillId="20" borderId="7" xfId="0" applyFont="1" applyFill="1" applyBorder="1" applyAlignment="1">
      <alignment vertical="center"/>
    </xf>
    <xf numFmtId="0" fontId="17" fillId="0" borderId="11" xfId="0" applyFont="1" applyFill="1" applyBorder="1" applyAlignment="1">
      <alignment vertical="center"/>
    </xf>
    <xf numFmtId="0" fontId="17" fillId="20" borderId="24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right" vertical="center" wrapText="1"/>
    </xf>
    <xf numFmtId="10" fontId="15" fillId="0" borderId="1" xfId="0" applyNumberFormat="1" applyFont="1" applyFill="1" applyBorder="1" applyAlignment="1">
      <alignment horizontal="center" vertical="center"/>
    </xf>
    <xf numFmtId="10" fontId="17" fillId="0" borderId="1" xfId="0" applyNumberFormat="1" applyFont="1" applyFill="1" applyBorder="1" applyAlignment="1">
      <alignment horizontal="center" vertical="center"/>
    </xf>
    <xf numFmtId="4" fontId="17" fillId="14" borderId="6" xfId="0" applyNumberFormat="1" applyFont="1" applyFill="1" applyBorder="1" applyAlignment="1">
      <alignment vertical="center"/>
    </xf>
    <xf numFmtId="0" fontId="15" fillId="15" borderId="1" xfId="0" applyFont="1" applyFill="1" applyBorder="1" applyAlignment="1">
      <alignment horizontal="center" vertical="center"/>
    </xf>
    <xf numFmtId="0" fontId="15" fillId="15" borderId="7" xfId="0" applyFont="1" applyFill="1" applyBorder="1" applyAlignment="1">
      <alignment horizontal="center" vertical="center"/>
    </xf>
    <xf numFmtId="0" fontId="17" fillId="15" borderId="17" xfId="0" applyFont="1" applyFill="1" applyBorder="1" applyAlignment="1">
      <alignment vertical="center"/>
    </xf>
    <xf numFmtId="0" fontId="17" fillId="15" borderId="1" xfId="0" applyFont="1" applyFill="1" applyBorder="1" applyAlignment="1">
      <alignment vertical="center"/>
    </xf>
    <xf numFmtId="43" fontId="17" fillId="15" borderId="11" xfId="0" applyNumberFormat="1" applyFont="1" applyFill="1" applyBorder="1" applyAlignment="1">
      <alignment horizontal="center" vertical="center"/>
    </xf>
    <xf numFmtId="0" fontId="15" fillId="20" borderId="1" xfId="0" applyFont="1" applyFill="1" applyBorder="1" applyAlignment="1">
      <alignment horizontal="center" vertical="center"/>
    </xf>
    <xf numFmtId="0" fontId="15" fillId="20" borderId="18" xfId="0" applyFont="1" applyFill="1" applyBorder="1" applyAlignment="1">
      <alignment horizontal="center" vertical="center"/>
    </xf>
    <xf numFmtId="0" fontId="15" fillId="16" borderId="1" xfId="0" applyFont="1" applyFill="1" applyBorder="1" applyAlignment="1">
      <alignment horizontal="center" vertical="center"/>
    </xf>
    <xf numFmtId="0" fontId="15" fillId="16" borderId="7" xfId="0" applyFont="1" applyFill="1" applyBorder="1" applyAlignment="1">
      <alignment horizontal="center" vertical="center"/>
    </xf>
    <xf numFmtId="43" fontId="17" fillId="16" borderId="11" xfId="0" applyNumberFormat="1" applyFont="1" applyFill="1" applyBorder="1" applyAlignment="1">
      <alignment horizontal="center" vertical="center"/>
    </xf>
    <xf numFmtId="0" fontId="15" fillId="20" borderId="7" xfId="0" applyFont="1" applyFill="1" applyBorder="1" applyAlignment="1">
      <alignment horizontal="center" vertical="center"/>
    </xf>
    <xf numFmtId="0" fontId="15" fillId="17" borderId="11" xfId="0" applyFont="1" applyFill="1" applyBorder="1" applyAlignment="1">
      <alignment horizontal="center" vertical="center"/>
    </xf>
    <xf numFmtId="0" fontId="15" fillId="17" borderId="1" xfId="0" applyFont="1" applyFill="1" applyBorder="1" applyAlignment="1">
      <alignment horizontal="center" vertical="center"/>
    </xf>
    <xf numFmtId="0" fontId="15" fillId="20" borderId="24" xfId="0" applyFont="1" applyFill="1" applyBorder="1" applyAlignment="1">
      <alignment horizontal="center" vertical="center"/>
    </xf>
    <xf numFmtId="0" fontId="15" fillId="18" borderId="6" xfId="0" applyFont="1" applyFill="1" applyBorder="1" applyAlignment="1">
      <alignment horizontal="center" vertical="center"/>
    </xf>
    <xf numFmtId="0" fontId="15" fillId="18" borderId="1" xfId="0" applyFont="1" applyFill="1" applyBorder="1" applyAlignment="1">
      <alignment horizontal="center" vertical="center"/>
    </xf>
    <xf numFmtId="43" fontId="17" fillId="18" borderId="11" xfId="0" applyNumberFormat="1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left" vertical="center"/>
    </xf>
    <xf numFmtId="4" fontId="17" fillId="14" borderId="1" xfId="0" applyNumberFormat="1" applyFont="1" applyFill="1" applyBorder="1" applyAlignment="1">
      <alignment vertical="center"/>
    </xf>
    <xf numFmtId="0" fontId="17" fillId="15" borderId="1" xfId="0" applyFont="1" applyFill="1" applyBorder="1" applyAlignment="1">
      <alignment horizontal="center" vertical="center"/>
    </xf>
    <xf numFmtId="0" fontId="17" fillId="15" borderId="7" xfId="0" applyFont="1" applyFill="1" applyBorder="1" applyAlignment="1">
      <alignment horizontal="center" vertical="center"/>
    </xf>
    <xf numFmtId="0" fontId="17" fillId="20" borderId="1" xfId="0" applyFont="1" applyFill="1" applyBorder="1" applyAlignment="1">
      <alignment horizontal="center" vertical="center"/>
    </xf>
    <xf numFmtId="0" fontId="17" fillId="20" borderId="18" xfId="0" applyFont="1" applyFill="1" applyBorder="1" applyAlignment="1">
      <alignment horizontal="center" vertical="center"/>
    </xf>
    <xf numFmtId="0" fontId="17" fillId="16" borderId="7" xfId="0" applyFont="1" applyFill="1" applyBorder="1" applyAlignment="1">
      <alignment horizontal="center" vertical="center"/>
    </xf>
    <xf numFmtId="0" fontId="17" fillId="20" borderId="7" xfId="0" applyFont="1" applyFill="1" applyBorder="1" applyAlignment="1">
      <alignment horizontal="center" vertical="center"/>
    </xf>
    <xf numFmtId="0" fontId="17" fillId="17" borderId="11" xfId="0" applyFont="1" applyFill="1" applyBorder="1" applyAlignment="1">
      <alignment horizontal="center" vertical="center"/>
    </xf>
    <xf numFmtId="0" fontId="17" fillId="17" borderId="1" xfId="0" applyFont="1" applyFill="1" applyBorder="1" applyAlignment="1">
      <alignment horizontal="center" vertical="center"/>
    </xf>
    <xf numFmtId="0" fontId="17" fillId="20" borderId="24" xfId="0" applyFont="1" applyFill="1" applyBorder="1" applyAlignment="1">
      <alignment horizontal="center" vertical="center"/>
    </xf>
    <xf numFmtId="0" fontId="17" fillId="18" borderId="6" xfId="0" applyFont="1" applyFill="1" applyBorder="1" applyAlignment="1">
      <alignment horizontal="center" vertical="center"/>
    </xf>
    <xf numFmtId="0" fontId="17" fillId="18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vertical="center"/>
    </xf>
    <xf numFmtId="0" fontId="15" fillId="0" borderId="7" xfId="0" applyFont="1" applyFill="1" applyBorder="1" applyAlignment="1">
      <alignment vertical="center"/>
    </xf>
    <xf numFmtId="43" fontId="15" fillId="0" borderId="1" xfId="0" applyNumberFormat="1" applyFont="1" applyFill="1" applyBorder="1" applyAlignment="1">
      <alignment vertical="center"/>
    </xf>
    <xf numFmtId="0" fontId="15" fillId="20" borderId="11" xfId="0" applyFont="1" applyFill="1" applyBorder="1" applyAlignment="1">
      <alignment vertical="center"/>
    </xf>
    <xf numFmtId="0" fontId="15" fillId="20" borderId="1" xfId="0" applyFont="1" applyFill="1" applyBorder="1" applyAlignment="1">
      <alignment vertical="center"/>
    </xf>
    <xf numFmtId="0" fontId="15" fillId="20" borderId="18" xfId="0" applyFont="1" applyFill="1" applyBorder="1" applyAlignment="1">
      <alignment vertical="center"/>
    </xf>
    <xf numFmtId="0" fontId="15" fillId="0" borderId="6" xfId="0" applyFont="1" applyFill="1" applyBorder="1" applyAlignment="1">
      <alignment vertical="center"/>
    </xf>
    <xf numFmtId="0" fontId="15" fillId="20" borderId="7" xfId="0" applyFont="1" applyFill="1" applyBorder="1" applyAlignment="1">
      <alignment vertical="center"/>
    </xf>
    <xf numFmtId="0" fontId="15" fillId="0" borderId="11" xfId="0" applyFont="1" applyFill="1" applyBorder="1" applyAlignment="1">
      <alignment vertical="center"/>
    </xf>
    <xf numFmtId="0" fontId="15" fillId="20" borderId="24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justify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center" vertical="center"/>
    </xf>
    <xf numFmtId="0" fontId="17" fillId="14" borderId="1" xfId="0" applyFont="1" applyFill="1" applyBorder="1" applyAlignment="1">
      <alignment vertical="center"/>
    </xf>
    <xf numFmtId="0" fontId="15" fillId="15" borderId="7" xfId="0" applyFont="1" applyFill="1" applyBorder="1" applyAlignment="1">
      <alignment vertical="center"/>
    </xf>
    <xf numFmtId="0" fontId="15" fillId="17" borderId="7" xfId="0" applyFont="1" applyFill="1" applyBorder="1" applyAlignment="1">
      <alignment horizontal="center" vertical="center"/>
    </xf>
    <xf numFmtId="0" fontId="15" fillId="15" borderId="1" xfId="0" applyFont="1" applyFill="1" applyBorder="1" applyAlignment="1">
      <alignment vertical="center"/>
    </xf>
    <xf numFmtId="0" fontId="15" fillId="0" borderId="7" xfId="0" applyFont="1" applyFill="1" applyBorder="1" applyAlignment="1">
      <alignment horizontal="center" vertical="center"/>
    </xf>
    <xf numFmtId="4" fontId="17" fillId="21" borderId="6" xfId="0" applyNumberFormat="1" applyFont="1" applyFill="1" applyBorder="1" applyAlignment="1">
      <alignment horizontal="center" vertical="center"/>
    </xf>
    <xf numFmtId="165" fontId="17" fillId="21" borderId="6" xfId="2" applyNumberFormat="1" applyFont="1" applyFill="1" applyBorder="1" applyAlignment="1">
      <alignment horizontal="center" vertical="center"/>
    </xf>
    <xf numFmtId="166" fontId="15" fillId="0" borderId="1" xfId="0" applyNumberFormat="1" applyFont="1" applyFill="1" applyBorder="1" applyAlignment="1">
      <alignment vertical="center"/>
    </xf>
    <xf numFmtId="43" fontId="17" fillId="22" borderId="6" xfId="0" applyNumberFormat="1" applyFont="1" applyFill="1" applyBorder="1" applyAlignment="1">
      <alignment horizontal="left" vertical="center"/>
    </xf>
    <xf numFmtId="164" fontId="15" fillId="0" borderId="6" xfId="0" applyNumberFormat="1" applyFont="1" applyFill="1" applyBorder="1" applyAlignment="1">
      <alignment horizontal="left" vertical="center"/>
    </xf>
    <xf numFmtId="0" fontId="15" fillId="16" borderId="7" xfId="0" applyFont="1" applyFill="1" applyBorder="1" applyAlignment="1">
      <alignment vertical="center"/>
    </xf>
    <xf numFmtId="0" fontId="15" fillId="17" borderId="11" xfId="0" applyFont="1" applyFill="1" applyBorder="1" applyAlignment="1">
      <alignment vertical="center"/>
    </xf>
    <xf numFmtId="0" fontId="15" fillId="17" borderId="1" xfId="0" applyFont="1" applyFill="1" applyBorder="1" applyAlignment="1">
      <alignment vertical="center"/>
    </xf>
    <xf numFmtId="0" fontId="15" fillId="17" borderId="7" xfId="0" applyFont="1" applyFill="1" applyBorder="1" applyAlignment="1">
      <alignment vertical="center"/>
    </xf>
    <xf numFmtId="0" fontId="15" fillId="18" borderId="6" xfId="0" applyFont="1" applyFill="1" applyBorder="1" applyAlignment="1">
      <alignment vertical="center"/>
    </xf>
    <xf numFmtId="0" fontId="15" fillId="18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/>
    </xf>
    <xf numFmtId="0" fontId="15" fillId="14" borderId="1" xfId="0" applyFont="1" applyFill="1" applyBorder="1" applyAlignment="1">
      <alignment vertical="center"/>
    </xf>
    <xf numFmtId="43" fontId="17" fillId="15" borderId="11" xfId="0" applyNumberFormat="1" applyFont="1" applyFill="1" applyBorder="1" applyAlignment="1">
      <alignment vertical="center"/>
    </xf>
    <xf numFmtId="43" fontId="17" fillId="16" borderId="11" xfId="0" applyNumberFormat="1" applyFont="1" applyFill="1" applyBorder="1" applyAlignment="1">
      <alignment vertical="center"/>
    </xf>
    <xf numFmtId="0" fontId="17" fillId="18" borderId="1" xfId="0" applyFont="1" applyFill="1" applyBorder="1" applyAlignment="1">
      <alignment vertical="center"/>
    </xf>
    <xf numFmtId="43" fontId="17" fillId="18" borderId="11" xfId="0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vertical="center"/>
    </xf>
    <xf numFmtId="164" fontId="17" fillId="22" borderId="6" xfId="1" applyNumberFormat="1" applyFont="1" applyFill="1" applyBorder="1" applyAlignment="1">
      <alignment horizontal="left" vertical="center"/>
    </xf>
    <xf numFmtId="43" fontId="15" fillId="0" borderId="6" xfId="0" applyNumberFormat="1" applyFont="1" applyFill="1" applyBorder="1" applyAlignment="1">
      <alignment horizontal="left" vertical="center"/>
    </xf>
    <xf numFmtId="43" fontId="15" fillId="15" borderId="1" xfId="0" applyNumberFormat="1" applyFont="1" applyFill="1" applyBorder="1" applyAlignment="1">
      <alignment vertical="center"/>
    </xf>
    <xf numFmtId="0" fontId="15" fillId="15" borderId="0" xfId="0" applyFont="1" applyFill="1" applyBorder="1" applyAlignment="1">
      <alignment horizontal="center" vertical="center"/>
    </xf>
    <xf numFmtId="43" fontId="15" fillId="0" borderId="6" xfId="0" applyNumberFormat="1" applyFont="1" applyFill="1" applyBorder="1" applyAlignment="1">
      <alignment horizontal="left" vertical="center" wrapText="1"/>
    </xf>
    <xf numFmtId="164" fontId="15" fillId="0" borderId="6" xfId="0" applyNumberFormat="1" applyFont="1" applyFill="1" applyBorder="1" applyAlignment="1">
      <alignment horizontal="left" vertical="center" wrapText="1"/>
    </xf>
    <xf numFmtId="43" fontId="21" fillId="22" borderId="6" xfId="0" applyNumberFormat="1" applyFont="1" applyFill="1" applyBorder="1" applyAlignment="1">
      <alignment horizontal="left" vertical="center"/>
    </xf>
    <xf numFmtId="43" fontId="17" fillId="22" borderId="1" xfId="1" applyFont="1" applyFill="1" applyBorder="1" applyAlignment="1">
      <alignment horizontal="left" vertical="center"/>
    </xf>
    <xf numFmtId="165" fontId="17" fillId="22" borderId="6" xfId="2" applyNumberFormat="1" applyFont="1" applyFill="1" applyBorder="1" applyAlignment="1">
      <alignment horizontal="center" vertical="center"/>
    </xf>
    <xf numFmtId="43" fontId="15" fillId="20" borderId="11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15" borderId="6" xfId="0" applyFont="1" applyFill="1" applyBorder="1" applyAlignment="1">
      <alignment horizontal="center" vertical="center"/>
    </xf>
    <xf numFmtId="43" fontId="15" fillId="0" borderId="6" xfId="0" applyNumberFormat="1" applyFont="1" applyFill="1" applyBorder="1" applyAlignment="1">
      <alignment vertical="center"/>
    </xf>
    <xf numFmtId="0" fontId="15" fillId="15" borderId="6" xfId="0" applyFont="1" applyFill="1" applyBorder="1" applyAlignment="1">
      <alignment vertical="center"/>
    </xf>
    <xf numFmtId="43" fontId="15" fillId="0" borderId="7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horizontal="justify" vertical="center"/>
    </xf>
    <xf numFmtId="164" fontId="19" fillId="0" borderId="6" xfId="0" applyNumberFormat="1" applyFont="1" applyFill="1" applyBorder="1" applyAlignment="1">
      <alignment horizontal="justify" vertical="center"/>
    </xf>
    <xf numFmtId="0" fontId="19" fillId="0" borderId="0" xfId="0" applyFont="1" applyFill="1" applyBorder="1"/>
    <xf numFmtId="164" fontId="19" fillId="0" borderId="6" xfId="0" applyNumberFormat="1" applyFont="1" applyFill="1" applyBorder="1" applyAlignment="1">
      <alignment horizontal="right" vertical="center"/>
    </xf>
    <xf numFmtId="43" fontId="15" fillId="16" borderId="7" xfId="0" applyNumberFormat="1" applyFont="1" applyFill="1" applyBorder="1" applyAlignment="1">
      <alignment vertical="center"/>
    </xf>
    <xf numFmtId="4" fontId="17" fillId="21" borderId="25" xfId="0" applyNumberFormat="1" applyFont="1" applyFill="1" applyBorder="1" applyAlignment="1">
      <alignment horizontal="center" vertical="center"/>
    </xf>
    <xf numFmtId="165" fontId="17" fillId="21" borderId="25" xfId="2" applyNumberFormat="1" applyFont="1" applyFill="1" applyBorder="1" applyAlignment="1">
      <alignment horizontal="center" vertical="center"/>
    </xf>
    <xf numFmtId="0" fontId="15" fillId="20" borderId="11" xfId="0" applyFont="1" applyFill="1" applyBorder="1" applyAlignment="1">
      <alignment horizontal="center" vertical="center"/>
    </xf>
    <xf numFmtId="43" fontId="15" fillId="0" borderId="6" xfId="0" applyNumberFormat="1" applyFont="1" applyFill="1" applyBorder="1" applyAlignment="1">
      <alignment horizontal="center" vertical="center"/>
    </xf>
    <xf numFmtId="165" fontId="15" fillId="0" borderId="6" xfId="2" applyNumberFormat="1" applyFont="1" applyFill="1" applyBorder="1" applyAlignment="1">
      <alignment horizontal="center" vertical="center"/>
    </xf>
    <xf numFmtId="165" fontId="17" fillId="0" borderId="6" xfId="2" applyNumberFormat="1" applyFont="1" applyFill="1" applyBorder="1" applyAlignment="1">
      <alignment horizontal="center" vertical="center"/>
    </xf>
    <xf numFmtId="0" fontId="15" fillId="15" borderId="18" xfId="0" applyFont="1" applyFill="1" applyBorder="1" applyAlignment="1">
      <alignment vertical="center"/>
    </xf>
    <xf numFmtId="43" fontId="17" fillId="20" borderId="11" xfId="0" applyNumberFormat="1" applyFont="1" applyFill="1" applyBorder="1" applyAlignment="1">
      <alignment vertical="center"/>
    </xf>
    <xf numFmtId="43" fontId="15" fillId="0" borderId="44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/>
    </xf>
    <xf numFmtId="0" fontId="9" fillId="6" borderId="13" xfId="0" applyFont="1" applyFill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9" fillId="6" borderId="14" xfId="0" applyFont="1" applyFill="1" applyBorder="1" applyAlignment="1">
      <alignment horizontal="center" vertical="center" wrapText="1"/>
    </xf>
    <xf numFmtId="0" fontId="9" fillId="6" borderId="13" xfId="0" applyFont="1" applyFill="1" applyBorder="1" applyAlignment="1">
      <alignment horizontal="center" vertical="center" wrapText="1"/>
    </xf>
    <xf numFmtId="0" fontId="26" fillId="19" borderId="12" xfId="0" applyFont="1" applyFill="1" applyBorder="1" applyAlignment="1">
      <alignment horizontal="center" vertical="center"/>
    </xf>
    <xf numFmtId="0" fontId="26" fillId="19" borderId="13" xfId="0" applyFont="1" applyFill="1" applyBorder="1" applyAlignment="1">
      <alignment horizontal="center" vertical="center"/>
    </xf>
    <xf numFmtId="0" fontId="26" fillId="19" borderId="14" xfId="0" applyFont="1" applyFill="1" applyBorder="1" applyAlignment="1">
      <alignment horizontal="center" vertical="center"/>
    </xf>
    <xf numFmtId="0" fontId="26" fillId="19" borderId="12" xfId="0" applyFont="1" applyFill="1" applyBorder="1" applyAlignment="1">
      <alignment horizontal="center" vertical="center" wrapText="1"/>
    </xf>
    <xf numFmtId="0" fontId="26" fillId="19" borderId="13" xfId="0" applyFont="1" applyFill="1" applyBorder="1" applyAlignment="1">
      <alignment horizontal="center" vertical="center" wrapText="1"/>
    </xf>
    <xf numFmtId="0" fontId="26" fillId="19" borderId="14" xfId="0" applyFont="1" applyFill="1" applyBorder="1" applyAlignment="1">
      <alignment horizontal="center" vertical="center" wrapText="1"/>
    </xf>
    <xf numFmtId="0" fontId="21" fillId="20" borderId="1" xfId="0" applyFont="1" applyFill="1" applyBorder="1" applyAlignment="1">
      <alignment horizontal="center" vertical="center" wrapText="1"/>
    </xf>
    <xf numFmtId="0" fontId="21" fillId="20" borderId="1" xfId="0" applyFont="1" applyFill="1" applyBorder="1" applyAlignment="1">
      <alignment horizontal="center" vertical="center"/>
    </xf>
    <xf numFmtId="0" fontId="17" fillId="20" borderId="1" xfId="0" applyFont="1" applyFill="1" applyBorder="1" applyAlignment="1">
      <alignment horizontal="center" vertical="center" wrapText="1"/>
    </xf>
    <xf numFmtId="0" fontId="17" fillId="20" borderId="20" xfId="0" applyFont="1" applyFill="1" applyBorder="1" applyAlignment="1">
      <alignment horizontal="center" vertical="center" wrapText="1"/>
    </xf>
    <xf numFmtId="0" fontId="17" fillId="20" borderId="8" xfId="0" applyFont="1" applyFill="1" applyBorder="1" applyAlignment="1">
      <alignment horizontal="center" vertical="center" wrapText="1"/>
    </xf>
    <xf numFmtId="0" fontId="17" fillId="20" borderId="16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 wrapText="1"/>
    </xf>
  </cellXfs>
  <cellStyles count="4">
    <cellStyle name="Normal" xfId="0" builtinId="0"/>
    <cellStyle name="Porcentagem" xfId="2" builtinId="5"/>
    <cellStyle name="Vírgula" xfId="1" builtinId="3"/>
    <cellStyle name="Vírgula 2" xfId="3"/>
  </cellStyles>
  <dxfs count="0"/>
  <tableStyles count="0" defaultTableStyle="TableStyleMedium2" defaultPivotStyle="PivotStyleLight16"/>
  <colors>
    <mruColors>
      <color rgb="FF89E0FF"/>
      <color rgb="FFF4C8DF"/>
      <color rgb="FF33CCFF"/>
      <color rgb="FF9966FF"/>
      <color rgb="FFCC99FF"/>
      <color rgb="FFEEAA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EINF\_RODOVIAS\TR_LOTES%20NOVOS\OR&#199;AMENTO%20FINAL\Anexo1_Or&#231;amento_Grupo%20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GEINF\_RODOVIAS\TR_LOTES%20NOVOS\OR&#199;AMENTO%20FINAL\Anexo1_Or&#231;amento_Grupo%20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Referência"/>
      <sheetName val="Comunicação"/>
      <sheetName val="EVTEA"/>
      <sheetName val="Parte A"/>
      <sheetName val="Parte B"/>
      <sheetName val="DIÁRIAS E PASSAGENS "/>
      <sheetName val="TPU 06_20"/>
      <sheetName val="Passagens"/>
      <sheetName val="Plan4"/>
      <sheetName val="TPU VersãoA MAR 2020-D"/>
    </sheetNames>
    <sheetDataSet>
      <sheetData sheetId="0" refreshError="1">
        <row r="10">
          <cell r="E10">
            <v>25925981.131428804</v>
          </cell>
        </row>
      </sheetData>
      <sheetData sheetId="1" refreshError="1"/>
      <sheetData sheetId="2" refreshError="1">
        <row r="11">
          <cell r="B11">
            <v>600000</v>
          </cell>
        </row>
      </sheetData>
      <sheetData sheetId="3" refreshError="1"/>
      <sheetData sheetId="4" refreshError="1">
        <row r="5">
          <cell r="F5">
            <v>1000440</v>
          </cell>
        </row>
        <row r="10">
          <cell r="F10">
            <v>8960956.0624782965</v>
          </cell>
        </row>
        <row r="14">
          <cell r="F14">
            <v>1354819.0889999999</v>
          </cell>
        </row>
        <row r="22">
          <cell r="F22">
            <v>1850776.7359111113</v>
          </cell>
        </row>
        <row r="36">
          <cell r="F36">
            <v>355591.75199999998</v>
          </cell>
        </row>
        <row r="37">
          <cell r="F37">
            <v>501179.7240000001</v>
          </cell>
        </row>
        <row r="38">
          <cell r="F38">
            <v>28688.822</v>
          </cell>
        </row>
        <row r="39">
          <cell r="F39">
            <v>267777.35083149432</v>
          </cell>
        </row>
      </sheetData>
      <sheetData sheetId="5" refreshError="1">
        <row r="5">
          <cell r="G5">
            <v>2330710.6545402175</v>
          </cell>
        </row>
        <row r="37">
          <cell r="G37">
            <v>83273.943009701063</v>
          </cell>
        </row>
        <row r="56">
          <cell r="G56">
            <v>268200.85287999589</v>
          </cell>
        </row>
        <row r="72">
          <cell r="G72">
            <v>947511.31828615977</v>
          </cell>
        </row>
        <row r="85">
          <cell r="G85">
            <v>121863.10529333337</v>
          </cell>
        </row>
        <row r="110">
          <cell r="G110">
            <v>330952.48258716421</v>
          </cell>
        </row>
        <row r="126">
          <cell r="G126">
            <v>354590.37569638347</v>
          </cell>
        </row>
        <row r="152">
          <cell r="G152">
            <v>1181827.9593017334</v>
          </cell>
        </row>
        <row r="160">
          <cell r="G160">
            <v>164281.63477749706</v>
          </cell>
        </row>
        <row r="164">
          <cell r="G164">
            <v>771323.94065004145</v>
          </cell>
        </row>
        <row r="171">
          <cell r="G171">
            <v>955994.32436814345</v>
          </cell>
        </row>
        <row r="179">
          <cell r="G179">
            <v>838876.51954124798</v>
          </cell>
        </row>
        <row r="187">
          <cell r="G187">
            <v>440476.93555695692</v>
          </cell>
        </row>
        <row r="192">
          <cell r="G192">
            <v>112991.529614959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"/>
      <sheetName val="Referência"/>
      <sheetName val="Comunicação"/>
      <sheetName val="EVTEA"/>
      <sheetName val="Parte A"/>
      <sheetName val="Parte B"/>
      <sheetName val="DIÁRIAS E PASSAGENS "/>
      <sheetName val="TPU 06_20"/>
      <sheetName val="Passagens"/>
      <sheetName val="Plan4"/>
      <sheetName val="TPU VersãoA MAR 2020-D"/>
    </sheetNames>
    <sheetDataSet>
      <sheetData sheetId="0" refreshError="1">
        <row r="10">
          <cell r="E10">
            <v>21258222.689126469</v>
          </cell>
        </row>
      </sheetData>
      <sheetData sheetId="1" refreshError="1"/>
      <sheetData sheetId="2" refreshError="1">
        <row r="11">
          <cell r="B11">
            <v>600000</v>
          </cell>
        </row>
      </sheetData>
      <sheetData sheetId="3" refreshError="1"/>
      <sheetData sheetId="4" refreshError="1">
        <row r="5">
          <cell r="F5">
            <v>1000420</v>
          </cell>
        </row>
        <row r="10">
          <cell r="F10">
            <v>7719047.3553283336</v>
          </cell>
        </row>
        <row r="14">
          <cell r="F14">
            <v>1328469.2849999999</v>
          </cell>
        </row>
        <row r="21">
          <cell r="F21">
            <v>708676.60151037038</v>
          </cell>
        </row>
        <row r="35">
          <cell r="F35">
            <v>291689.71999999997</v>
          </cell>
        </row>
        <row r="36">
          <cell r="F36">
            <v>415676.04999999993</v>
          </cell>
        </row>
        <row r="37">
          <cell r="F37">
            <v>21495.31</v>
          </cell>
        </row>
        <row r="38">
          <cell r="F38">
            <v>213224.22084159299</v>
          </cell>
        </row>
      </sheetData>
      <sheetData sheetId="5" refreshError="1">
        <row r="5">
          <cell r="G5">
            <v>1754860.8656343154</v>
          </cell>
        </row>
        <row r="30">
          <cell r="G30">
            <v>82341.493009701066</v>
          </cell>
        </row>
        <row r="46">
          <cell r="G46">
            <v>219080.38829712648</v>
          </cell>
        </row>
        <row r="58">
          <cell r="G58">
            <v>735598.36228364496</v>
          </cell>
        </row>
        <row r="68">
          <cell r="G68">
            <v>74206.830309876575</v>
          </cell>
        </row>
        <row r="124">
          <cell r="G124">
            <v>811207.02574750676</v>
          </cell>
        </row>
        <row r="131">
          <cell r="G131">
            <v>164281.63477749706</v>
          </cell>
        </row>
        <row r="135">
          <cell r="G135">
            <v>771323.94065004145</v>
          </cell>
        </row>
        <row r="142">
          <cell r="G142">
            <v>874295.58267384511</v>
          </cell>
        </row>
        <row r="150">
          <cell r="G150">
            <v>838876.51954124798</v>
          </cell>
        </row>
        <row r="158">
          <cell r="G158">
            <v>392791.4753108304</v>
          </cell>
        </row>
        <row r="163">
          <cell r="G163">
            <v>112991.529614959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77"/>
  <sheetViews>
    <sheetView showGridLines="0" tabSelected="1" view="pageBreakPreview" zoomScale="85" zoomScaleNormal="85" zoomScaleSheetLayoutView="85" workbookViewId="0">
      <pane xSplit="5" ySplit="15" topLeftCell="F16" activePane="bottomRight" state="frozen"/>
      <selection pane="topRight"/>
      <selection pane="bottomLeft"/>
      <selection pane="bottomRight" activeCell="A2" sqref="A2"/>
    </sheetView>
  </sheetViews>
  <sheetFormatPr defaultRowHeight="15" outlineLevelRow="2" outlineLevelCol="1" x14ac:dyDescent="0.25"/>
  <cols>
    <col min="1" max="1" width="10.28515625" style="6" customWidth="1"/>
    <col min="2" max="2" width="105.7109375" style="11" customWidth="1"/>
    <col min="3" max="3" width="22.7109375" style="13" customWidth="1"/>
    <col min="4" max="4" width="19.28515625" style="13" customWidth="1"/>
    <col min="5" max="5" width="31.85546875" style="274" customWidth="1"/>
    <col min="6" max="6" width="19.7109375" style="1" customWidth="1" outlineLevel="1"/>
    <col min="7" max="7" width="16.42578125" style="1" customWidth="1" outlineLevel="1"/>
    <col min="8" max="8" width="22.85546875" style="1" customWidth="1" outlineLevel="1"/>
    <col min="9" max="9" width="18.5703125" style="1" customWidth="1" outlineLevel="1"/>
    <col min="10" max="11" width="18.28515625" style="1" customWidth="1" outlineLevel="1"/>
    <col min="12" max="12" width="18.5703125" style="1" customWidth="1" outlineLevel="1"/>
    <col min="13" max="13" width="16.28515625" style="38" customWidth="1" outlineLevel="1"/>
    <col min="14" max="14" width="17.7109375" style="1" customWidth="1" outlineLevel="1"/>
    <col min="15" max="15" width="22" style="1" bestFit="1" customWidth="1" outlineLevel="1"/>
    <col min="16" max="16" width="17.5703125" style="38" customWidth="1" outlineLevel="1"/>
    <col min="17" max="17" width="22" style="1" bestFit="1" customWidth="1" outlineLevel="1"/>
    <col min="18" max="18" width="22.28515625" style="1" customWidth="1" outlineLevel="1"/>
    <col min="19" max="19" width="17.28515625" style="1" bestFit="1" customWidth="1" outlineLevel="1"/>
    <col min="20" max="20" width="16.28515625" style="1" customWidth="1" outlineLevel="1"/>
    <col min="21" max="21" width="19.7109375" style="1" customWidth="1" outlineLevel="1"/>
    <col min="22" max="22" width="20.28515625" style="1" customWidth="1" outlineLevel="1"/>
    <col min="23" max="23" width="18.7109375" style="1" customWidth="1" outlineLevel="1"/>
    <col min="24" max="24" width="17" style="1" customWidth="1" outlineLevel="1"/>
    <col min="25" max="25" width="18.28515625" style="1" customWidth="1" outlineLevel="1"/>
    <col min="26" max="26" width="18.140625" style="38" customWidth="1" outlineLevel="1"/>
    <col min="27" max="27" width="13.7109375" style="1" customWidth="1" outlineLevel="1"/>
    <col min="28" max="28" width="15.5703125" style="1" customWidth="1" outlineLevel="1"/>
    <col min="29" max="29" width="14.85546875" style="38" customWidth="1" outlineLevel="1"/>
    <col min="30" max="31" width="14.85546875" style="1" bestFit="1" customWidth="1" outlineLevel="1"/>
    <col min="32" max="32" width="21.140625" style="38" customWidth="1" outlineLevel="1"/>
    <col min="33" max="33" width="17.28515625" style="1" customWidth="1" outlineLevel="1"/>
    <col min="34" max="34" width="18" style="1" customWidth="1" outlineLevel="1"/>
    <col min="35" max="35" width="17.7109375" style="1" customWidth="1" outlineLevel="1"/>
    <col min="36" max="36" width="4.85546875" style="1" customWidth="1"/>
    <col min="37" max="16384" width="9.140625" style="1"/>
  </cols>
  <sheetData>
    <row r="1" spans="1:35" x14ac:dyDescent="0.25">
      <c r="C1" s="27">
        <f>[1]Resumo!$E$10</f>
        <v>25925981.131428804</v>
      </c>
      <c r="E1" s="273"/>
      <c r="I1" s="97"/>
      <c r="J1" s="97"/>
      <c r="M1" s="97"/>
      <c r="N1" s="6"/>
      <c r="O1" s="160"/>
      <c r="P1" s="160"/>
      <c r="Q1" s="160"/>
      <c r="R1" s="160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</row>
    <row r="2" spans="1:35" ht="15.75" x14ac:dyDescent="0.25">
      <c r="C2" s="26">
        <f>C1-(C17+C40+C80+C142+C149+C156+C167+C174+C185)</f>
        <v>3457695.1081043705</v>
      </c>
      <c r="E2" s="273"/>
      <c r="F2" s="202" t="s">
        <v>183</v>
      </c>
      <c r="G2" s="203"/>
      <c r="H2" s="3"/>
      <c r="I2" s="192"/>
      <c r="J2" s="193"/>
      <c r="L2" s="191" t="s">
        <v>195</v>
      </c>
      <c r="M2" s="160"/>
      <c r="N2" s="160"/>
      <c r="O2" s="3"/>
      <c r="P2" s="205"/>
      <c r="Q2" s="205"/>
      <c r="R2" s="205"/>
      <c r="S2" s="206"/>
      <c r="T2" s="206"/>
      <c r="U2" s="206"/>
      <c r="V2" s="206"/>
      <c r="W2" s="207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107">
        <v>0.3</v>
      </c>
    </row>
    <row r="3" spans="1:35" ht="15" customHeight="1" x14ac:dyDescent="0.25">
      <c r="A3" s="517" t="s">
        <v>202</v>
      </c>
      <c r="B3" s="517"/>
      <c r="E3" s="273"/>
      <c r="F3" s="194" t="s">
        <v>176</v>
      </c>
      <c r="G3" s="4"/>
      <c r="H3" s="97"/>
      <c r="I3" s="4"/>
      <c r="J3" s="195"/>
      <c r="L3" s="208"/>
      <c r="M3" s="3"/>
      <c r="N3" s="3"/>
      <c r="O3" s="4"/>
      <c r="P3" s="163"/>
      <c r="Q3" s="163"/>
      <c r="R3" s="163"/>
      <c r="S3" s="5"/>
      <c r="T3" s="5"/>
      <c r="U3" s="5"/>
      <c r="V3" s="5"/>
      <c r="W3" s="209"/>
      <c r="X3" s="5"/>
      <c r="Y3" s="5"/>
      <c r="Z3" s="5"/>
      <c r="AA3" s="5"/>
      <c r="AB3" s="5"/>
      <c r="AC3" s="5"/>
      <c r="AD3" s="5"/>
      <c r="AE3" s="55"/>
      <c r="AF3" s="5"/>
      <c r="AG3" s="5"/>
      <c r="AH3" s="5"/>
      <c r="AI3" s="107">
        <v>0.1</v>
      </c>
    </row>
    <row r="4" spans="1:35" ht="17.25" customHeight="1" x14ac:dyDescent="0.25">
      <c r="A4" s="517"/>
      <c r="B4" s="517"/>
      <c r="D4" s="102"/>
      <c r="E4" s="273"/>
      <c r="F4" s="161"/>
      <c r="G4" s="189" t="s">
        <v>184</v>
      </c>
      <c r="H4" s="162"/>
      <c r="I4" s="4"/>
      <c r="J4" s="196"/>
      <c r="L4" s="210" t="s">
        <v>187</v>
      </c>
      <c r="M4" s="186"/>
      <c r="N4" s="97"/>
      <c r="O4" s="168"/>
      <c r="P4" s="97"/>
      <c r="Q4" s="97"/>
      <c r="R4" s="97"/>
      <c r="S4" s="4"/>
      <c r="T4" s="5"/>
      <c r="U4" s="5"/>
      <c r="V4" s="5"/>
      <c r="W4" s="209"/>
      <c r="X4" s="5"/>
      <c r="Y4" s="5"/>
      <c r="Z4" s="5"/>
      <c r="AA4" s="5"/>
      <c r="AB4" s="5"/>
      <c r="AC4" s="54"/>
      <c r="AD4" s="5"/>
      <c r="AE4" s="5"/>
      <c r="AF4" s="5"/>
      <c r="AG4" s="5"/>
      <c r="AH4" s="5"/>
      <c r="AI4" s="5"/>
    </row>
    <row r="5" spans="1:35" ht="17.25" customHeight="1" x14ac:dyDescent="0.25">
      <c r="A5" s="517"/>
      <c r="B5" s="517"/>
      <c r="D5" s="102"/>
      <c r="E5" s="273"/>
      <c r="F5" s="164"/>
      <c r="G5" s="189" t="s">
        <v>201</v>
      </c>
      <c r="H5" s="165"/>
      <c r="I5" s="165"/>
      <c r="J5" s="196"/>
      <c r="K5" s="6"/>
      <c r="L5" s="211" t="s">
        <v>178</v>
      </c>
      <c r="M5" s="201" t="s">
        <v>199</v>
      </c>
      <c r="N5" s="167"/>
      <c r="O5" s="163"/>
      <c r="P5" s="167"/>
      <c r="Q5" s="168"/>
      <c r="R5" s="97"/>
      <c r="S5" s="4"/>
      <c r="T5" s="5"/>
      <c r="U5" s="5"/>
      <c r="V5" s="5"/>
      <c r="W5" s="209"/>
      <c r="X5" s="5"/>
      <c r="Y5" s="5"/>
      <c r="Z5" s="5"/>
      <c r="AA5" s="5"/>
      <c r="AB5" s="5"/>
      <c r="AC5" s="54"/>
      <c r="AD5" s="5"/>
      <c r="AE5" s="5"/>
      <c r="AF5" s="5"/>
      <c r="AG5" s="5"/>
      <c r="AH5" s="5"/>
      <c r="AI5" s="5"/>
    </row>
    <row r="6" spans="1:35" ht="17.25" customHeight="1" x14ac:dyDescent="0.25">
      <c r="A6" s="185"/>
      <c r="B6" s="185"/>
      <c r="D6" s="102"/>
      <c r="E6" s="273"/>
      <c r="F6" s="166"/>
      <c r="G6" s="189" t="s">
        <v>193</v>
      </c>
      <c r="H6" s="163"/>
      <c r="I6" s="165"/>
      <c r="J6" s="196"/>
      <c r="K6" s="6"/>
      <c r="L6" s="211" t="s">
        <v>179</v>
      </c>
      <c r="M6" s="201" t="s">
        <v>200</v>
      </c>
      <c r="N6" s="162"/>
      <c r="O6" s="163"/>
      <c r="P6" s="167"/>
      <c r="Q6" s="168"/>
      <c r="R6" s="97"/>
      <c r="S6" s="4"/>
      <c r="T6" s="5"/>
      <c r="U6" s="5"/>
      <c r="V6" s="5"/>
      <c r="W6" s="209"/>
      <c r="X6" s="5"/>
      <c r="Y6" s="5"/>
      <c r="Z6" s="5"/>
      <c r="AA6" s="5"/>
      <c r="AB6" s="5"/>
      <c r="AC6" s="54"/>
      <c r="AD6" s="5"/>
      <c r="AE6" s="5"/>
      <c r="AF6" s="5"/>
      <c r="AG6" s="5"/>
      <c r="AH6" s="5"/>
      <c r="AI6" s="5"/>
    </row>
    <row r="7" spans="1:35" ht="17.25" customHeight="1" x14ac:dyDescent="0.25">
      <c r="A7" s="185"/>
      <c r="B7" s="185"/>
      <c r="D7" s="102"/>
      <c r="E7" s="273"/>
      <c r="F7" s="169"/>
      <c r="G7" s="189" t="s">
        <v>196</v>
      </c>
      <c r="H7" s="163"/>
      <c r="I7" s="165"/>
      <c r="J7" s="196"/>
      <c r="K7" s="6"/>
      <c r="L7" s="211" t="s">
        <v>180</v>
      </c>
      <c r="M7" s="201" t="s">
        <v>194</v>
      </c>
      <c r="N7" s="162"/>
      <c r="O7" s="163"/>
      <c r="P7" s="167"/>
      <c r="Q7" s="168"/>
      <c r="R7" s="97"/>
      <c r="S7" s="4"/>
      <c r="T7" s="5"/>
      <c r="U7" s="5"/>
      <c r="V7" s="5"/>
      <c r="W7" s="209"/>
      <c r="X7" s="5"/>
      <c r="Y7" s="5"/>
      <c r="Z7" s="5"/>
      <c r="AA7" s="5"/>
      <c r="AB7" s="5"/>
      <c r="AC7" s="54"/>
      <c r="AD7" s="5"/>
      <c r="AE7" s="5"/>
      <c r="AF7" s="5"/>
      <c r="AG7" s="5"/>
      <c r="AH7" s="269"/>
      <c r="AI7" s="5"/>
    </row>
    <row r="8" spans="1:35" ht="15.75" x14ac:dyDescent="0.25">
      <c r="F8" s="190"/>
      <c r="G8" s="197" t="s">
        <v>197</v>
      </c>
      <c r="H8" s="198"/>
      <c r="I8" s="199"/>
      <c r="J8" s="200"/>
      <c r="L8" s="212"/>
      <c r="M8" s="199"/>
      <c r="N8" s="199"/>
      <c r="O8" s="204"/>
      <c r="P8" s="199"/>
      <c r="Q8" s="199"/>
      <c r="R8" s="199"/>
      <c r="S8" s="199"/>
      <c r="T8" s="199"/>
      <c r="U8" s="199"/>
      <c r="V8" s="199"/>
      <c r="W8" s="200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</row>
    <row r="9" spans="1:35" s="57" customFormat="1" ht="15.75" thickBot="1" x14ac:dyDescent="0.3">
      <c r="A9" s="133"/>
      <c r="B9" s="134"/>
      <c r="C9" s="135"/>
      <c r="D9" s="135"/>
      <c r="E9" s="274"/>
      <c r="F9" s="5"/>
      <c r="G9" s="136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</row>
    <row r="10" spans="1:35" ht="30.75" customHeight="1" thickBot="1" x14ac:dyDescent="0.3">
      <c r="C10" s="135"/>
      <c r="D10" s="12"/>
      <c r="F10" s="518" t="s">
        <v>186</v>
      </c>
      <c r="G10" s="519"/>
      <c r="H10" s="519"/>
      <c r="I10" s="519"/>
      <c r="J10" s="519"/>
      <c r="K10" s="519"/>
      <c r="L10" s="519"/>
      <c r="M10" s="519"/>
      <c r="N10" s="519"/>
      <c r="O10" s="519"/>
      <c r="P10" s="519"/>
      <c r="Q10" s="519"/>
      <c r="R10" s="519"/>
      <c r="S10" s="519"/>
      <c r="T10" s="519"/>
      <c r="U10" s="519"/>
      <c r="V10" s="519"/>
      <c r="W10" s="519"/>
      <c r="X10" s="519"/>
      <c r="Y10" s="519"/>
      <c r="Z10" s="519"/>
      <c r="AA10" s="519"/>
      <c r="AB10" s="519"/>
      <c r="AC10" s="519"/>
      <c r="AD10" s="519"/>
      <c r="AE10" s="519"/>
      <c r="AF10" s="519"/>
      <c r="AG10" s="519"/>
      <c r="AH10" s="519"/>
      <c r="AI10" s="520"/>
    </row>
    <row r="11" spans="1:35" s="2" customFormat="1" ht="42.75" customHeight="1" thickBot="1" x14ac:dyDescent="0.3">
      <c r="A11" s="7"/>
      <c r="D11" s="33"/>
      <c r="E11" s="187" t="s">
        <v>188</v>
      </c>
      <c r="F11" s="518" t="s">
        <v>170</v>
      </c>
      <c r="G11" s="519"/>
      <c r="H11" s="519"/>
      <c r="I11" s="519"/>
      <c r="J11" s="519"/>
      <c r="K11" s="519"/>
      <c r="L11" s="519"/>
      <c r="M11" s="519"/>
      <c r="N11" s="519"/>
      <c r="O11" s="519"/>
      <c r="P11" s="519"/>
      <c r="Q11" s="520"/>
      <c r="R11" s="527" t="s">
        <v>169</v>
      </c>
      <c r="S11" s="529"/>
      <c r="T11" s="528"/>
      <c r="U11" s="518" t="s">
        <v>177</v>
      </c>
      <c r="V11" s="519"/>
      <c r="W11" s="519"/>
      <c r="X11" s="519"/>
      <c r="Y11" s="520"/>
      <c r="Z11" s="527" t="s">
        <v>168</v>
      </c>
      <c r="AA11" s="529"/>
      <c r="AB11" s="528"/>
      <c r="AC11" s="527" t="s">
        <v>167</v>
      </c>
      <c r="AD11" s="529"/>
      <c r="AE11" s="528"/>
      <c r="AF11" s="260" t="s">
        <v>181</v>
      </c>
      <c r="AG11" s="527" t="s">
        <v>182</v>
      </c>
      <c r="AH11" s="528"/>
      <c r="AI11" s="104" t="s">
        <v>175</v>
      </c>
    </row>
    <row r="12" spans="1:35" ht="30" customHeight="1" thickBot="1" x14ac:dyDescent="0.3">
      <c r="A12" s="521" t="s">
        <v>4</v>
      </c>
      <c r="B12" s="521" t="s">
        <v>22</v>
      </c>
      <c r="C12" s="524" t="s">
        <v>156</v>
      </c>
      <c r="D12" s="524" t="s">
        <v>198</v>
      </c>
      <c r="E12" s="188" t="s">
        <v>189</v>
      </c>
      <c r="F12" s="151">
        <v>1</v>
      </c>
      <c r="G12" s="152">
        <v>2</v>
      </c>
      <c r="H12" s="152">
        <v>3</v>
      </c>
      <c r="I12" s="152">
        <v>4</v>
      </c>
      <c r="J12" s="152">
        <v>5</v>
      </c>
      <c r="K12" s="153">
        <v>6</v>
      </c>
      <c r="L12" s="153">
        <v>7</v>
      </c>
      <c r="M12" s="153">
        <v>8</v>
      </c>
      <c r="N12" s="153">
        <v>9</v>
      </c>
      <c r="O12" s="153">
        <v>10</v>
      </c>
      <c r="P12" s="153">
        <v>11</v>
      </c>
      <c r="Q12" s="152">
        <v>12</v>
      </c>
      <c r="R12" s="154">
        <v>13</v>
      </c>
      <c r="S12" s="152">
        <v>14</v>
      </c>
      <c r="T12" s="155">
        <v>15</v>
      </c>
      <c r="U12" s="153">
        <v>16</v>
      </c>
      <c r="V12" s="152">
        <v>17</v>
      </c>
      <c r="W12" s="152">
        <v>18</v>
      </c>
      <c r="X12" s="152">
        <v>19</v>
      </c>
      <c r="Y12" s="156">
        <v>20</v>
      </c>
      <c r="Z12" s="154">
        <v>21</v>
      </c>
      <c r="AA12" s="152">
        <v>22</v>
      </c>
      <c r="AB12" s="156">
        <v>23</v>
      </c>
      <c r="AC12" s="154">
        <v>24</v>
      </c>
      <c r="AD12" s="152">
        <v>25</v>
      </c>
      <c r="AE12" s="157">
        <v>26</v>
      </c>
      <c r="AF12" s="158">
        <v>27</v>
      </c>
      <c r="AG12" s="153">
        <v>28</v>
      </c>
      <c r="AH12" s="156">
        <v>29</v>
      </c>
      <c r="AI12" s="159">
        <v>30</v>
      </c>
    </row>
    <row r="13" spans="1:35" ht="58.5" customHeight="1" x14ac:dyDescent="0.25">
      <c r="A13" s="522"/>
      <c r="B13" s="522"/>
      <c r="C13" s="525"/>
      <c r="D13" s="525"/>
      <c r="E13" s="188" t="s">
        <v>190</v>
      </c>
      <c r="F13" s="220">
        <f>SUM(F17:F189)</f>
        <v>249738.87913586968</v>
      </c>
      <c r="G13" s="221">
        <f t="shared" ref="G13:AI13" si="0">SUM(G17:G189)</f>
        <v>477824.07612859912</v>
      </c>
      <c r="H13" s="221">
        <f t="shared" si="0"/>
        <v>1213761.5933695068</v>
      </c>
      <c r="I13" s="221">
        <f t="shared" si="0"/>
        <v>2215241.9967318512</v>
      </c>
      <c r="J13" s="221">
        <f t="shared" si="0"/>
        <v>971767.16598217981</v>
      </c>
      <c r="K13" s="221">
        <f t="shared" si="0"/>
        <v>241615.38616297074</v>
      </c>
      <c r="L13" s="221">
        <f t="shared" si="0"/>
        <v>287334.46348347317</v>
      </c>
      <c r="M13" s="221">
        <f t="shared" si="0"/>
        <v>87133.916724230134</v>
      </c>
      <c r="N13" s="221">
        <f t="shared" si="0"/>
        <v>836918.91398962692</v>
      </c>
      <c r="O13" s="221">
        <f t="shared" si="0"/>
        <v>233432.49620935417</v>
      </c>
      <c r="P13" s="221">
        <f t="shared" si="0"/>
        <v>504351.16491617972</v>
      </c>
      <c r="Q13" s="221">
        <f t="shared" si="0"/>
        <v>159745.5139944219</v>
      </c>
      <c r="R13" s="222">
        <f t="shared" si="0"/>
        <v>7818508.491028388</v>
      </c>
      <c r="S13" s="221">
        <f t="shared" si="0"/>
        <v>0</v>
      </c>
      <c r="T13" s="223">
        <f t="shared" si="0"/>
        <v>0</v>
      </c>
      <c r="U13" s="221">
        <f t="shared" si="0"/>
        <v>0</v>
      </c>
      <c r="V13" s="221">
        <f t="shared" si="0"/>
        <v>0</v>
      </c>
      <c r="W13" s="221">
        <f t="shared" si="0"/>
        <v>0</v>
      </c>
      <c r="X13" s="224">
        <f t="shared" si="0"/>
        <v>0</v>
      </c>
      <c r="Y13" s="221">
        <f t="shared" si="0"/>
        <v>0</v>
      </c>
      <c r="Z13" s="225">
        <f t="shared" si="0"/>
        <v>7591187.1853952855</v>
      </c>
      <c r="AA13" s="226">
        <f t="shared" si="0"/>
        <v>0</v>
      </c>
      <c r="AB13" s="221">
        <f t="shared" si="0"/>
        <v>0</v>
      </c>
      <c r="AC13" s="225">
        <f t="shared" si="0"/>
        <v>0</v>
      </c>
      <c r="AD13" s="224">
        <f t="shared" si="0"/>
        <v>0</v>
      </c>
      <c r="AE13" s="221">
        <f t="shared" si="0"/>
        <v>0</v>
      </c>
      <c r="AF13" s="227">
        <f t="shared" si="0"/>
        <v>0</v>
      </c>
      <c r="AG13" s="228">
        <f t="shared" si="0"/>
        <v>66071.54033354354</v>
      </c>
      <c r="AH13" s="229">
        <f t="shared" si="0"/>
        <v>0</v>
      </c>
      <c r="AI13" s="270">
        <f t="shared" si="0"/>
        <v>2971348.3478433215</v>
      </c>
    </row>
    <row r="14" spans="1:35" ht="57" customHeight="1" x14ac:dyDescent="0.25">
      <c r="A14" s="523"/>
      <c r="B14" s="523"/>
      <c r="C14" s="526"/>
      <c r="D14" s="525"/>
      <c r="E14" s="188" t="s">
        <v>191</v>
      </c>
      <c r="F14" s="144">
        <f t="shared" ref="F14:AI14" si="1">F13/$C$15</f>
        <v>9.6327648265208121E-3</v>
      </c>
      <c r="G14" s="59">
        <f t="shared" si="1"/>
        <v>1.8430317977411324E-2</v>
      </c>
      <c r="H14" s="59">
        <f t="shared" si="1"/>
        <v>4.6816418912614365E-2</v>
      </c>
      <c r="I14" s="59">
        <f t="shared" si="1"/>
        <v>8.5444866502908196E-2</v>
      </c>
      <c r="J14" s="59">
        <f t="shared" si="1"/>
        <v>3.7482368017469306E-2</v>
      </c>
      <c r="K14" s="59">
        <f t="shared" si="1"/>
        <v>9.3194307647656242E-3</v>
      </c>
      <c r="L14" s="59">
        <f t="shared" si="1"/>
        <v>1.1082877134981463E-2</v>
      </c>
      <c r="M14" s="59">
        <f t="shared" si="1"/>
        <v>3.3608724885864365E-3</v>
      </c>
      <c r="N14" s="59">
        <f t="shared" si="1"/>
        <v>3.2281089373125814E-2</v>
      </c>
      <c r="O14" s="59">
        <f t="shared" si="1"/>
        <v>9.0038056814897276E-3</v>
      </c>
      <c r="P14" s="59">
        <f t="shared" si="1"/>
        <v>1.945350350906409E-2</v>
      </c>
      <c r="Q14" s="59">
        <f t="shared" si="1"/>
        <v>6.1615995624084664E-3</v>
      </c>
      <c r="R14" s="73">
        <f t="shared" si="1"/>
        <v>0.30157039964633742</v>
      </c>
      <c r="S14" s="59">
        <f t="shared" si="1"/>
        <v>0</v>
      </c>
      <c r="T14" s="83">
        <f t="shared" si="1"/>
        <v>0</v>
      </c>
      <c r="U14" s="60">
        <f t="shared" si="1"/>
        <v>0</v>
      </c>
      <c r="V14" s="59">
        <f t="shared" si="1"/>
        <v>0</v>
      </c>
      <c r="W14" s="59">
        <f t="shared" si="1"/>
        <v>0</v>
      </c>
      <c r="X14" s="59">
        <f t="shared" si="1"/>
        <v>0</v>
      </c>
      <c r="Y14" s="59">
        <f t="shared" si="1"/>
        <v>0</v>
      </c>
      <c r="Z14" s="73">
        <f t="shared" si="1"/>
        <v>0.29280231081372105</v>
      </c>
      <c r="AA14" s="59">
        <f t="shared" si="1"/>
        <v>0</v>
      </c>
      <c r="AB14" s="59">
        <f t="shared" si="1"/>
        <v>0</v>
      </c>
      <c r="AC14" s="73">
        <f t="shared" si="1"/>
        <v>0</v>
      </c>
      <c r="AD14" s="59">
        <f t="shared" si="1"/>
        <v>0</v>
      </c>
      <c r="AE14" s="59">
        <f t="shared" si="1"/>
        <v>0</v>
      </c>
      <c r="AF14" s="118">
        <f t="shared" si="1"/>
        <v>0</v>
      </c>
      <c r="AG14" s="60">
        <f t="shared" si="1"/>
        <v>2.5484682719855959E-3</v>
      </c>
      <c r="AH14" s="138">
        <f t="shared" si="1"/>
        <v>0</v>
      </c>
      <c r="AI14" s="271">
        <f t="shared" si="1"/>
        <v>0.1146089065166101</v>
      </c>
    </row>
    <row r="15" spans="1:35" ht="66.75" customHeight="1" thickBot="1" x14ac:dyDescent="0.3">
      <c r="A15" s="137"/>
      <c r="B15" s="259" t="s">
        <v>166</v>
      </c>
      <c r="C15" s="258">
        <f>C17+C40+C80+C90+C101+C110+C119+C142+C149+C156+C167+C174+C185</f>
        <v>25925981.131428808</v>
      </c>
      <c r="D15" s="526"/>
      <c r="E15" s="218" t="s">
        <v>192</v>
      </c>
      <c r="F15" s="145">
        <f>F14</f>
        <v>9.6327648265208121E-3</v>
      </c>
      <c r="G15" s="146">
        <f>F15+G14</f>
        <v>2.8063082803932136E-2</v>
      </c>
      <c r="H15" s="146">
        <f t="shared" ref="H15:AI15" si="2">G15+H14</f>
        <v>7.4879501716546504E-2</v>
      </c>
      <c r="I15" s="146">
        <f t="shared" si="2"/>
        <v>0.1603243682194547</v>
      </c>
      <c r="J15" s="146">
        <f t="shared" si="2"/>
        <v>0.19780673623692402</v>
      </c>
      <c r="K15" s="146">
        <f t="shared" si="2"/>
        <v>0.20712616700168965</v>
      </c>
      <c r="L15" s="146">
        <f t="shared" si="2"/>
        <v>0.21820904413667111</v>
      </c>
      <c r="M15" s="146">
        <f t="shared" si="2"/>
        <v>0.22156991662525755</v>
      </c>
      <c r="N15" s="146">
        <f t="shared" si="2"/>
        <v>0.25385100599838334</v>
      </c>
      <c r="O15" s="146">
        <f t="shared" si="2"/>
        <v>0.26285481167987307</v>
      </c>
      <c r="P15" s="146">
        <f t="shared" si="2"/>
        <v>0.28230831518893718</v>
      </c>
      <c r="Q15" s="147">
        <f t="shared" si="2"/>
        <v>0.28846991475134565</v>
      </c>
      <c r="R15" s="149">
        <f t="shared" si="2"/>
        <v>0.59004031439768312</v>
      </c>
      <c r="S15" s="146">
        <f t="shared" si="2"/>
        <v>0.59004031439768312</v>
      </c>
      <c r="T15" s="150">
        <f t="shared" si="2"/>
        <v>0.59004031439768312</v>
      </c>
      <c r="U15" s="146">
        <f t="shared" si="2"/>
        <v>0.59004031439768312</v>
      </c>
      <c r="V15" s="146">
        <f t="shared" si="2"/>
        <v>0.59004031439768312</v>
      </c>
      <c r="W15" s="146">
        <f t="shared" si="2"/>
        <v>0.59004031439768312</v>
      </c>
      <c r="X15" s="146">
        <f t="shared" si="2"/>
        <v>0.59004031439768312</v>
      </c>
      <c r="Y15" s="147">
        <f t="shared" si="2"/>
        <v>0.59004031439768312</v>
      </c>
      <c r="Z15" s="149">
        <f t="shared" si="2"/>
        <v>0.88284262521140411</v>
      </c>
      <c r="AA15" s="146">
        <f t="shared" si="2"/>
        <v>0.88284262521140411</v>
      </c>
      <c r="AB15" s="146">
        <f t="shared" si="2"/>
        <v>0.88284262521140411</v>
      </c>
      <c r="AC15" s="149">
        <f t="shared" si="2"/>
        <v>0.88284262521140411</v>
      </c>
      <c r="AD15" s="146">
        <f t="shared" si="2"/>
        <v>0.88284262521140411</v>
      </c>
      <c r="AE15" s="147">
        <f t="shared" si="2"/>
        <v>0.88284262521140411</v>
      </c>
      <c r="AF15" s="148">
        <f t="shared" si="2"/>
        <v>0.88284262521140411</v>
      </c>
      <c r="AG15" s="146">
        <f t="shared" si="2"/>
        <v>0.88539109348338974</v>
      </c>
      <c r="AH15" s="147">
        <f t="shared" si="2"/>
        <v>0.88539109348338974</v>
      </c>
      <c r="AI15" s="272">
        <f t="shared" si="2"/>
        <v>0.99999999999999978</v>
      </c>
    </row>
    <row r="16" spans="1:35" s="57" customFormat="1" ht="28.5" customHeight="1" x14ac:dyDescent="0.25">
      <c r="A16" s="213"/>
      <c r="B16" s="214"/>
      <c r="C16" s="214"/>
      <c r="D16" s="236"/>
      <c r="E16" s="238" t="s">
        <v>185</v>
      </c>
      <c r="F16" s="215"/>
      <c r="G16" s="215"/>
      <c r="H16" s="215"/>
      <c r="I16" s="215"/>
      <c r="J16" s="215"/>
      <c r="K16" s="215"/>
      <c r="L16" s="216"/>
      <c r="M16" s="219"/>
      <c r="N16" s="216"/>
      <c r="O16" s="219"/>
      <c r="P16" s="215"/>
      <c r="Q16" s="216"/>
      <c r="R16" s="230"/>
      <c r="S16" s="231"/>
      <c r="T16" s="232"/>
      <c r="U16" s="215"/>
      <c r="V16" s="215"/>
      <c r="W16" s="215"/>
      <c r="X16" s="215"/>
      <c r="Y16" s="216"/>
      <c r="Z16" s="230"/>
      <c r="AA16" s="231"/>
      <c r="AB16" s="233"/>
      <c r="AC16" s="217"/>
      <c r="AD16" s="215"/>
      <c r="AE16" s="216"/>
      <c r="AF16" s="234"/>
      <c r="AG16" s="215"/>
      <c r="AH16" s="216"/>
      <c r="AI16" s="235"/>
    </row>
    <row r="17" spans="1:35" s="2" customFormat="1" x14ac:dyDescent="0.25">
      <c r="A17" s="8">
        <v>1</v>
      </c>
      <c r="B17" s="180" t="s">
        <v>6</v>
      </c>
      <c r="C17" s="15">
        <f>'[1]Parte A'!$F$5+'[1]Parte B'!$G$5</f>
        <v>3331150.6545402175</v>
      </c>
      <c r="D17" s="237">
        <f>D18+D26+D30+D34</f>
        <v>1</v>
      </c>
      <c r="E17" s="237"/>
      <c r="F17" s="74"/>
      <c r="G17" s="75"/>
      <c r="H17" s="76"/>
      <c r="I17" s="77"/>
      <c r="J17" s="50"/>
      <c r="K17" s="50"/>
      <c r="L17" s="51"/>
      <c r="M17" s="50"/>
      <c r="N17" s="257"/>
      <c r="O17" s="50"/>
      <c r="P17" s="77"/>
      <c r="Q17" s="77"/>
      <c r="R17" s="139"/>
      <c r="S17" s="64"/>
      <c r="T17" s="140"/>
      <c r="U17" s="76"/>
      <c r="V17" s="77"/>
      <c r="W17" s="77"/>
      <c r="X17" s="77"/>
      <c r="Y17" s="96"/>
      <c r="Z17" s="139"/>
      <c r="AA17" s="64"/>
      <c r="AB17" s="141"/>
      <c r="AC17" s="142"/>
      <c r="AD17" s="50"/>
      <c r="AE17" s="51"/>
      <c r="AF17" s="143"/>
      <c r="AG17" s="116"/>
      <c r="AH17" s="50"/>
      <c r="AI17" s="139"/>
    </row>
    <row r="18" spans="1:35" s="2" customFormat="1" x14ac:dyDescent="0.25">
      <c r="A18" s="9" t="s">
        <v>114</v>
      </c>
      <c r="B18" s="101" t="s">
        <v>7</v>
      </c>
      <c r="C18" s="175">
        <f>$C$17*D18</f>
        <v>116590.27290890762</v>
      </c>
      <c r="D18" s="20">
        <f>SUM(D19:D25)</f>
        <v>3.5000000000000003E-2</v>
      </c>
      <c r="E18" s="20"/>
      <c r="F18" s="74"/>
      <c r="G18" s="52"/>
      <c r="H18" s="28"/>
      <c r="I18" s="28"/>
      <c r="J18" s="28"/>
      <c r="K18" s="28"/>
      <c r="L18" s="35"/>
      <c r="M18" s="51"/>
      <c r="N18" s="51"/>
      <c r="O18" s="28"/>
      <c r="P18" s="47"/>
      <c r="Q18" s="47"/>
      <c r="R18" s="61"/>
      <c r="S18" s="62"/>
      <c r="T18" s="84"/>
      <c r="U18" s="81"/>
      <c r="V18" s="47"/>
      <c r="W18" s="47"/>
      <c r="X18" s="47"/>
      <c r="Y18" s="48"/>
      <c r="Z18" s="61"/>
      <c r="AA18" s="62"/>
      <c r="AB18" s="63"/>
      <c r="AC18" s="39"/>
      <c r="AD18" s="28"/>
      <c r="AE18" s="35"/>
      <c r="AF18" s="119"/>
      <c r="AG18" s="117"/>
      <c r="AH18" s="28"/>
      <c r="AI18" s="61"/>
    </row>
    <row r="19" spans="1:35" outlineLevel="1" x14ac:dyDescent="0.25">
      <c r="A19" s="10"/>
      <c r="B19" s="174" t="s">
        <v>63</v>
      </c>
      <c r="C19" s="176">
        <f t="shared" ref="C19:C39" si="3">$C$17*D19</f>
        <v>16655.753272701088</v>
      </c>
      <c r="D19" s="21">
        <v>5.0000000000000001E-3</v>
      </c>
      <c r="E19" s="275" t="s">
        <v>178</v>
      </c>
      <c r="F19" s="89">
        <f t="shared" ref="F19:F25" si="4">C19*$AI$2</f>
        <v>4996.7259818103257</v>
      </c>
      <c r="G19" s="111"/>
      <c r="H19" s="111"/>
      <c r="I19" s="111"/>
      <c r="J19" s="111"/>
      <c r="K19" s="111"/>
      <c r="L19" s="253"/>
      <c r="M19" s="254"/>
      <c r="N19" s="254"/>
      <c r="O19" s="255"/>
      <c r="P19" s="255"/>
      <c r="Q19" s="111"/>
      <c r="R19" s="108">
        <f t="shared" ref="R19:R25" si="5">C19*$AI$2</f>
        <v>4996.7259818103257</v>
      </c>
      <c r="S19" s="66"/>
      <c r="T19" s="85"/>
      <c r="U19" s="261"/>
      <c r="V19" s="131"/>
      <c r="W19" s="131"/>
      <c r="X19" s="131"/>
      <c r="Y19" s="125"/>
      <c r="Z19" s="126">
        <f t="shared" ref="Z19:Z25" si="6">C19*$AI$2</f>
        <v>4996.7259818103257</v>
      </c>
      <c r="AA19" s="66"/>
      <c r="AB19" s="67"/>
      <c r="AC19" s="248"/>
      <c r="AD19" s="109"/>
      <c r="AE19" s="109"/>
      <c r="AF19" s="120"/>
      <c r="AG19" s="242"/>
      <c r="AH19" s="239"/>
      <c r="AI19" s="240">
        <f t="shared" ref="AI19:AI25" si="7">C19*$AI$3</f>
        <v>1665.5753272701088</v>
      </c>
    </row>
    <row r="20" spans="1:35" outlineLevel="1" x14ac:dyDescent="0.25">
      <c r="A20" s="10"/>
      <c r="B20" s="14" t="s">
        <v>82</v>
      </c>
      <c r="C20" s="176">
        <f t="shared" si="3"/>
        <v>16655.753272701088</v>
      </c>
      <c r="D20" s="21">
        <v>5.0000000000000001E-3</v>
      </c>
      <c r="E20" s="275" t="s">
        <v>178</v>
      </c>
      <c r="F20" s="89">
        <f t="shared" si="4"/>
        <v>4996.7259818103257</v>
      </c>
      <c r="G20" s="111"/>
      <c r="H20" s="111"/>
      <c r="I20" s="111"/>
      <c r="J20" s="111"/>
      <c r="K20" s="111"/>
      <c r="L20" s="253"/>
      <c r="M20" s="254"/>
      <c r="N20" s="254"/>
      <c r="O20" s="255"/>
      <c r="P20" s="255"/>
      <c r="Q20" s="111"/>
      <c r="R20" s="108">
        <f t="shared" si="5"/>
        <v>4996.7259818103257</v>
      </c>
      <c r="S20" s="66"/>
      <c r="T20" s="85"/>
      <c r="U20" s="261"/>
      <c r="V20" s="131"/>
      <c r="W20" s="131"/>
      <c r="X20" s="131"/>
      <c r="Y20" s="125"/>
      <c r="Z20" s="126">
        <f t="shared" si="6"/>
        <v>4996.7259818103257</v>
      </c>
      <c r="AA20" s="66"/>
      <c r="AB20" s="67"/>
      <c r="AC20" s="248"/>
      <c r="AD20" s="109"/>
      <c r="AE20" s="109"/>
      <c r="AF20" s="120"/>
      <c r="AG20" s="242"/>
      <c r="AH20" s="239"/>
      <c r="AI20" s="240">
        <f t="shared" si="7"/>
        <v>1665.5753272701088</v>
      </c>
    </row>
    <row r="21" spans="1:35" outlineLevel="1" x14ac:dyDescent="0.25">
      <c r="A21" s="10"/>
      <c r="B21" s="14" t="s">
        <v>83</v>
      </c>
      <c r="C21" s="176">
        <f t="shared" si="3"/>
        <v>16655.753272701088</v>
      </c>
      <c r="D21" s="21">
        <v>5.0000000000000001E-3</v>
      </c>
      <c r="E21" s="275" t="s">
        <v>178</v>
      </c>
      <c r="F21" s="89">
        <f t="shared" si="4"/>
        <v>4996.7259818103257</v>
      </c>
      <c r="G21" s="111"/>
      <c r="H21" s="111"/>
      <c r="I21" s="111"/>
      <c r="J21" s="111"/>
      <c r="K21" s="111"/>
      <c r="L21" s="253"/>
      <c r="M21" s="254"/>
      <c r="N21" s="254"/>
      <c r="O21" s="255"/>
      <c r="P21" s="255"/>
      <c r="Q21" s="111"/>
      <c r="R21" s="108">
        <f t="shared" si="5"/>
        <v>4996.7259818103257</v>
      </c>
      <c r="S21" s="66"/>
      <c r="T21" s="85"/>
      <c r="U21" s="261"/>
      <c r="V21" s="131"/>
      <c r="W21" s="131"/>
      <c r="X21" s="131"/>
      <c r="Y21" s="125"/>
      <c r="Z21" s="126">
        <f t="shared" si="6"/>
        <v>4996.7259818103257</v>
      </c>
      <c r="AA21" s="66"/>
      <c r="AB21" s="67"/>
      <c r="AC21" s="248"/>
      <c r="AD21" s="109"/>
      <c r="AE21" s="109"/>
      <c r="AF21" s="120"/>
      <c r="AG21" s="242"/>
      <c r="AH21" s="239"/>
      <c r="AI21" s="240">
        <f t="shared" si="7"/>
        <v>1665.5753272701088</v>
      </c>
    </row>
    <row r="22" spans="1:35" outlineLevel="1" x14ac:dyDescent="0.25">
      <c r="A22" s="10"/>
      <c r="B22" s="14" t="s">
        <v>84</v>
      </c>
      <c r="C22" s="176">
        <f t="shared" si="3"/>
        <v>16655.753272701088</v>
      </c>
      <c r="D22" s="21">
        <v>5.0000000000000001E-3</v>
      </c>
      <c r="E22" s="275" t="s">
        <v>178</v>
      </c>
      <c r="F22" s="89">
        <f t="shared" si="4"/>
        <v>4996.7259818103257</v>
      </c>
      <c r="G22" s="111"/>
      <c r="H22" s="111"/>
      <c r="I22" s="111"/>
      <c r="J22" s="111"/>
      <c r="K22" s="111"/>
      <c r="L22" s="253"/>
      <c r="M22" s="254"/>
      <c r="N22" s="254"/>
      <c r="O22" s="255"/>
      <c r="P22" s="255"/>
      <c r="Q22" s="111"/>
      <c r="R22" s="108">
        <f t="shared" si="5"/>
        <v>4996.7259818103257</v>
      </c>
      <c r="S22" s="66"/>
      <c r="T22" s="85"/>
      <c r="U22" s="261"/>
      <c r="V22" s="131"/>
      <c r="W22" s="131"/>
      <c r="X22" s="131"/>
      <c r="Y22" s="125"/>
      <c r="Z22" s="126">
        <f t="shared" si="6"/>
        <v>4996.7259818103257</v>
      </c>
      <c r="AA22" s="66"/>
      <c r="AB22" s="67"/>
      <c r="AC22" s="248"/>
      <c r="AD22" s="109"/>
      <c r="AE22" s="109"/>
      <c r="AF22" s="120"/>
      <c r="AG22" s="242"/>
      <c r="AH22" s="239"/>
      <c r="AI22" s="240">
        <f t="shared" si="7"/>
        <v>1665.5753272701088</v>
      </c>
    </row>
    <row r="23" spans="1:35" s="2" customFormat="1" outlineLevel="1" x14ac:dyDescent="0.25">
      <c r="A23" s="10"/>
      <c r="B23" s="14" t="s">
        <v>85</v>
      </c>
      <c r="C23" s="176">
        <f t="shared" si="3"/>
        <v>16655.753272701088</v>
      </c>
      <c r="D23" s="21">
        <v>5.0000000000000001E-3</v>
      </c>
      <c r="E23" s="275" t="s">
        <v>178</v>
      </c>
      <c r="F23" s="89">
        <f t="shared" si="4"/>
        <v>4996.7259818103257</v>
      </c>
      <c r="G23" s="112"/>
      <c r="H23" s="112"/>
      <c r="I23" s="112"/>
      <c r="J23" s="112"/>
      <c r="K23" s="112"/>
      <c r="L23" s="266"/>
      <c r="M23" s="254"/>
      <c r="N23" s="254"/>
      <c r="O23" s="255"/>
      <c r="P23" s="255"/>
      <c r="Q23" s="112"/>
      <c r="R23" s="108">
        <f t="shared" si="5"/>
        <v>4996.7259818103257</v>
      </c>
      <c r="S23" s="68"/>
      <c r="T23" s="86"/>
      <c r="U23" s="262"/>
      <c r="V23" s="263"/>
      <c r="W23" s="263"/>
      <c r="X23" s="263"/>
      <c r="Y23" s="127"/>
      <c r="Z23" s="126">
        <f t="shared" si="6"/>
        <v>4996.7259818103257</v>
      </c>
      <c r="AA23" s="68"/>
      <c r="AB23" s="69"/>
      <c r="AC23" s="249"/>
      <c r="AD23" s="110"/>
      <c r="AE23" s="109"/>
      <c r="AF23" s="121"/>
      <c r="AG23" s="243"/>
      <c r="AH23" s="241"/>
      <c r="AI23" s="240">
        <f t="shared" si="7"/>
        <v>1665.5753272701088</v>
      </c>
    </row>
    <row r="24" spans="1:35" outlineLevel="1" x14ac:dyDescent="0.25">
      <c r="A24" s="10"/>
      <c r="B24" s="14" t="s">
        <v>86</v>
      </c>
      <c r="C24" s="176">
        <f t="shared" si="3"/>
        <v>16655.753272701088</v>
      </c>
      <c r="D24" s="21">
        <v>5.0000000000000001E-3</v>
      </c>
      <c r="E24" s="275" t="s">
        <v>178</v>
      </c>
      <c r="F24" s="89">
        <f t="shared" si="4"/>
        <v>4996.7259818103257</v>
      </c>
      <c r="G24" s="111"/>
      <c r="H24" s="111"/>
      <c r="I24" s="111"/>
      <c r="J24" s="111"/>
      <c r="K24" s="111"/>
      <c r="L24" s="253"/>
      <c r="M24" s="254"/>
      <c r="N24" s="254"/>
      <c r="O24" s="255"/>
      <c r="P24" s="255"/>
      <c r="Q24" s="111"/>
      <c r="R24" s="108">
        <f t="shared" si="5"/>
        <v>4996.7259818103257</v>
      </c>
      <c r="S24" s="66"/>
      <c r="T24" s="85"/>
      <c r="U24" s="261"/>
      <c r="V24" s="131"/>
      <c r="W24" s="131"/>
      <c r="X24" s="131"/>
      <c r="Y24" s="125"/>
      <c r="Z24" s="126">
        <f t="shared" si="6"/>
        <v>4996.7259818103257</v>
      </c>
      <c r="AA24" s="66"/>
      <c r="AB24" s="67"/>
      <c r="AC24" s="248"/>
      <c r="AD24" s="109"/>
      <c r="AE24" s="109"/>
      <c r="AF24" s="120"/>
      <c r="AG24" s="242"/>
      <c r="AH24" s="239"/>
      <c r="AI24" s="240">
        <f t="shared" si="7"/>
        <v>1665.5753272701088</v>
      </c>
    </row>
    <row r="25" spans="1:35" outlineLevel="1" x14ac:dyDescent="0.25">
      <c r="A25" s="10"/>
      <c r="B25" s="14" t="s">
        <v>87</v>
      </c>
      <c r="C25" s="176">
        <f t="shared" si="3"/>
        <v>16655.753272701088</v>
      </c>
      <c r="D25" s="21">
        <v>5.0000000000000001E-3</v>
      </c>
      <c r="E25" s="275" t="s">
        <v>178</v>
      </c>
      <c r="F25" s="89">
        <f t="shared" si="4"/>
        <v>4996.7259818103257</v>
      </c>
      <c r="G25" s="111"/>
      <c r="H25" s="111"/>
      <c r="I25" s="111"/>
      <c r="J25" s="111"/>
      <c r="K25" s="111"/>
      <c r="L25" s="253"/>
      <c r="M25" s="254"/>
      <c r="N25" s="254"/>
      <c r="O25" s="255"/>
      <c r="P25" s="255"/>
      <c r="Q25" s="111"/>
      <c r="R25" s="108">
        <f t="shared" si="5"/>
        <v>4996.7259818103257</v>
      </c>
      <c r="S25" s="66"/>
      <c r="T25" s="85"/>
      <c r="U25" s="261"/>
      <c r="V25" s="131"/>
      <c r="W25" s="131"/>
      <c r="X25" s="131"/>
      <c r="Y25" s="125"/>
      <c r="Z25" s="126">
        <f t="shared" si="6"/>
        <v>4996.7259818103257</v>
      </c>
      <c r="AA25" s="66"/>
      <c r="AB25" s="67"/>
      <c r="AC25" s="248"/>
      <c r="AD25" s="109"/>
      <c r="AE25" s="109"/>
      <c r="AF25" s="120"/>
      <c r="AG25" s="242"/>
      <c r="AH25" s="239"/>
      <c r="AI25" s="240">
        <f t="shared" si="7"/>
        <v>1665.5753272701088</v>
      </c>
    </row>
    <row r="26" spans="1:35" x14ac:dyDescent="0.25">
      <c r="A26" s="9" t="s">
        <v>115</v>
      </c>
      <c r="B26" s="101" t="s">
        <v>64</v>
      </c>
      <c r="C26" s="177">
        <f t="shared" si="3"/>
        <v>1565640.8076339024</v>
      </c>
      <c r="D26" s="20">
        <f>SUM(D27:D29)</f>
        <v>0.47000000000000003</v>
      </c>
      <c r="E26" s="20"/>
      <c r="F26" s="74"/>
      <c r="G26" s="88"/>
      <c r="H26" s="53"/>
      <c r="I26" s="30"/>
      <c r="J26" s="30"/>
      <c r="K26" s="30"/>
      <c r="L26" s="37"/>
      <c r="M26" s="51"/>
      <c r="N26" s="51"/>
      <c r="O26" s="28"/>
      <c r="P26" s="47"/>
      <c r="Q26" s="56"/>
      <c r="R26" s="70"/>
      <c r="S26" s="71"/>
      <c r="T26" s="87"/>
      <c r="U26" s="80"/>
      <c r="V26" s="41"/>
      <c r="W26" s="41"/>
      <c r="X26" s="41"/>
      <c r="Y26" s="42"/>
      <c r="Z26" s="70"/>
      <c r="AA26" s="71"/>
      <c r="AB26" s="72"/>
      <c r="AC26" s="40"/>
      <c r="AD26" s="30"/>
      <c r="AE26" s="37"/>
      <c r="AF26" s="122"/>
      <c r="AG26" s="29"/>
      <c r="AH26" s="30"/>
      <c r="AI26" s="70"/>
    </row>
    <row r="27" spans="1:35" ht="60" customHeight="1" outlineLevel="1" x14ac:dyDescent="0.25">
      <c r="A27" s="10"/>
      <c r="B27" s="181" t="s">
        <v>65</v>
      </c>
      <c r="C27" s="176">
        <f t="shared" si="3"/>
        <v>1032656.7029074674</v>
      </c>
      <c r="D27" s="22">
        <v>0.31</v>
      </c>
      <c r="E27" s="276" t="s">
        <v>178</v>
      </c>
      <c r="F27" s="31"/>
      <c r="G27" s="89">
        <f>C27*$AI$2</f>
        <v>309797.01087224018</v>
      </c>
      <c r="H27" s="112"/>
      <c r="I27" s="111"/>
      <c r="J27" s="111"/>
      <c r="K27" s="111"/>
      <c r="L27" s="256"/>
      <c r="M27" s="254"/>
      <c r="N27" s="254"/>
      <c r="O27" s="255"/>
      <c r="P27" s="255"/>
      <c r="Q27" s="111"/>
      <c r="R27" s="108">
        <f>C27*$AI$2</f>
        <v>309797.01087224018</v>
      </c>
      <c r="S27" s="66"/>
      <c r="T27" s="85"/>
      <c r="U27" s="261"/>
      <c r="V27" s="131"/>
      <c r="W27" s="131"/>
      <c r="X27" s="131"/>
      <c r="Y27" s="125"/>
      <c r="Z27" s="126">
        <f>C27*$AI$2</f>
        <v>309797.01087224018</v>
      </c>
      <c r="AA27" s="66"/>
      <c r="AB27" s="67"/>
      <c r="AC27" s="248"/>
      <c r="AD27" s="109"/>
      <c r="AE27" s="250"/>
      <c r="AF27" s="120"/>
      <c r="AG27" s="242"/>
      <c r="AH27" s="239"/>
      <c r="AI27" s="240">
        <f>C27*$AI$3</f>
        <v>103265.67029074674</v>
      </c>
    </row>
    <row r="28" spans="1:35" ht="75" customHeight="1" outlineLevel="1" x14ac:dyDescent="0.25">
      <c r="A28" s="10"/>
      <c r="B28" s="181" t="s">
        <v>66</v>
      </c>
      <c r="C28" s="176">
        <f t="shared" si="3"/>
        <v>266492.0523632174</v>
      </c>
      <c r="D28" s="22">
        <v>0.08</v>
      </c>
      <c r="E28" s="276" t="s">
        <v>178</v>
      </c>
      <c r="F28" s="31"/>
      <c r="G28" s="89">
        <f>C28*$AI$2</f>
        <v>79947.615708965212</v>
      </c>
      <c r="H28" s="112"/>
      <c r="I28" s="111"/>
      <c r="J28" s="111"/>
      <c r="K28" s="111"/>
      <c r="L28" s="256"/>
      <c r="M28" s="254"/>
      <c r="N28" s="254"/>
      <c r="O28" s="255"/>
      <c r="P28" s="255"/>
      <c r="Q28" s="111"/>
      <c r="R28" s="108">
        <f>C28*$AI$2</f>
        <v>79947.615708965212</v>
      </c>
      <c r="S28" s="66"/>
      <c r="T28" s="85"/>
      <c r="U28" s="261"/>
      <c r="V28" s="131"/>
      <c r="W28" s="131"/>
      <c r="X28" s="131"/>
      <c r="Y28" s="125"/>
      <c r="Z28" s="126">
        <f>C28*$AI$2</f>
        <v>79947.615708965212</v>
      </c>
      <c r="AA28" s="66"/>
      <c r="AB28" s="67"/>
      <c r="AC28" s="248"/>
      <c r="AD28" s="109"/>
      <c r="AE28" s="250"/>
      <c r="AF28" s="120"/>
      <c r="AG28" s="242"/>
      <c r="AH28" s="239"/>
      <c r="AI28" s="240">
        <f>C28*$AI$3</f>
        <v>26649.205236321741</v>
      </c>
    </row>
    <row r="29" spans="1:35" ht="60" customHeight="1" outlineLevel="1" x14ac:dyDescent="0.25">
      <c r="A29" s="10"/>
      <c r="B29" s="181" t="s">
        <v>67</v>
      </c>
      <c r="C29" s="176">
        <f t="shared" si="3"/>
        <v>266492.0523632174</v>
      </c>
      <c r="D29" s="22">
        <v>0.08</v>
      </c>
      <c r="E29" s="276" t="s">
        <v>178</v>
      </c>
      <c r="F29" s="31"/>
      <c r="G29" s="31"/>
      <c r="H29" s="89">
        <f>C29*$AI$2</f>
        <v>79947.615708965212</v>
      </c>
      <c r="I29" s="111"/>
      <c r="J29" s="111"/>
      <c r="K29" s="111"/>
      <c r="L29" s="256"/>
      <c r="M29" s="254"/>
      <c r="N29" s="254"/>
      <c r="O29" s="255"/>
      <c r="P29" s="255"/>
      <c r="Q29" s="111"/>
      <c r="R29" s="108">
        <f>C29*$AI$2</f>
        <v>79947.615708965212</v>
      </c>
      <c r="S29" s="66"/>
      <c r="T29" s="85"/>
      <c r="U29" s="261"/>
      <c r="V29" s="131"/>
      <c r="W29" s="131"/>
      <c r="X29" s="131"/>
      <c r="Y29" s="125"/>
      <c r="Z29" s="126">
        <f>C29*$AI$2</f>
        <v>79947.615708965212</v>
      </c>
      <c r="AA29" s="66"/>
      <c r="AB29" s="67"/>
      <c r="AC29" s="248"/>
      <c r="AD29" s="109"/>
      <c r="AE29" s="250"/>
      <c r="AF29" s="120"/>
      <c r="AG29" s="242"/>
      <c r="AH29" s="239"/>
      <c r="AI29" s="240">
        <f>C29*$AI$3</f>
        <v>26649.205236321741</v>
      </c>
    </row>
    <row r="30" spans="1:35" x14ac:dyDescent="0.25">
      <c r="A30" s="9" t="s">
        <v>116</v>
      </c>
      <c r="B30" s="101" t="s">
        <v>68</v>
      </c>
      <c r="C30" s="177">
        <f t="shared" si="3"/>
        <v>786151.55447149137</v>
      </c>
      <c r="D30" s="20">
        <f>D31+D32+D33</f>
        <v>0.23600000000000002</v>
      </c>
      <c r="E30" s="20"/>
      <c r="F30" s="28"/>
      <c r="G30" s="28"/>
      <c r="H30" s="28"/>
      <c r="I30" s="28"/>
      <c r="J30" s="30"/>
      <c r="K30" s="30"/>
      <c r="L30" s="37"/>
      <c r="M30" s="51"/>
      <c r="N30" s="51"/>
      <c r="O30" s="28"/>
      <c r="P30" s="28"/>
      <c r="Q30" s="41"/>
      <c r="R30" s="71"/>
      <c r="S30" s="71"/>
      <c r="T30" s="87"/>
      <c r="U30" s="80"/>
      <c r="V30" s="41"/>
      <c r="W30" s="41"/>
      <c r="X30" s="41"/>
      <c r="Y30" s="42"/>
      <c r="Z30" s="71"/>
      <c r="AA30" s="71"/>
      <c r="AB30" s="72"/>
      <c r="AC30" s="40"/>
      <c r="AD30" s="30"/>
      <c r="AE30" s="37"/>
      <c r="AF30" s="122"/>
      <c r="AG30" s="29"/>
      <c r="AH30" s="30"/>
      <c r="AI30" s="71"/>
    </row>
    <row r="31" spans="1:35" ht="30" customHeight="1" outlineLevel="1" x14ac:dyDescent="0.25">
      <c r="A31" s="10"/>
      <c r="B31" s="182" t="s">
        <v>69</v>
      </c>
      <c r="C31" s="176">
        <f t="shared" si="3"/>
        <v>333115.06545402179</v>
      </c>
      <c r="D31" s="22">
        <v>0.1</v>
      </c>
      <c r="E31" s="276" t="s">
        <v>178</v>
      </c>
      <c r="F31" s="31"/>
      <c r="G31" s="31"/>
      <c r="H31" s="89">
        <f>C31*$AI$2</f>
        <v>99934.519636206533</v>
      </c>
      <c r="I31" s="111"/>
      <c r="J31" s="113"/>
      <c r="K31" s="113"/>
      <c r="L31" s="253"/>
      <c r="M31" s="254"/>
      <c r="N31" s="254"/>
      <c r="O31" s="255"/>
      <c r="P31" s="255"/>
      <c r="Q31" s="113"/>
      <c r="R31" s="108">
        <f>C31*$AI$2</f>
        <v>99934.519636206533</v>
      </c>
      <c r="S31" s="71"/>
      <c r="T31" s="87"/>
      <c r="U31" s="261"/>
      <c r="V31" s="131"/>
      <c r="W31" s="131"/>
      <c r="X31" s="131"/>
      <c r="Y31" s="125"/>
      <c r="Z31" s="126">
        <f>C31*$AI$2</f>
        <v>99934.519636206533</v>
      </c>
      <c r="AA31" s="66"/>
      <c r="AB31" s="67"/>
      <c r="AC31" s="248"/>
      <c r="AD31" s="109"/>
      <c r="AE31" s="250"/>
      <c r="AF31" s="120"/>
      <c r="AG31" s="242"/>
      <c r="AH31" s="239"/>
      <c r="AI31" s="240">
        <f>C31*$AI$3</f>
        <v>33311.506545402182</v>
      </c>
    </row>
    <row r="32" spans="1:35" ht="60" customHeight="1" outlineLevel="1" x14ac:dyDescent="0.25">
      <c r="A32" s="10"/>
      <c r="B32" s="182" t="s">
        <v>70</v>
      </c>
      <c r="C32" s="176">
        <f t="shared" si="3"/>
        <v>233180.54581781523</v>
      </c>
      <c r="D32" s="22">
        <v>7.0000000000000007E-2</v>
      </c>
      <c r="E32" s="276" t="s">
        <v>178</v>
      </c>
      <c r="F32" s="31"/>
      <c r="G32" s="31"/>
      <c r="H32" s="89">
        <f>C32*$AI$2</f>
        <v>69954.163745344573</v>
      </c>
      <c r="I32" s="111"/>
      <c r="J32" s="113"/>
      <c r="K32" s="113"/>
      <c r="L32" s="253"/>
      <c r="M32" s="254"/>
      <c r="N32" s="254"/>
      <c r="O32" s="255"/>
      <c r="P32" s="255"/>
      <c r="Q32" s="113"/>
      <c r="R32" s="108">
        <f>C32*$AI$2</f>
        <v>69954.163745344573</v>
      </c>
      <c r="S32" s="71"/>
      <c r="T32" s="87"/>
      <c r="U32" s="261"/>
      <c r="V32" s="131"/>
      <c r="W32" s="131"/>
      <c r="X32" s="131"/>
      <c r="Y32" s="125"/>
      <c r="Z32" s="126">
        <f>C32*$AI$2</f>
        <v>69954.163745344573</v>
      </c>
      <c r="AA32" s="66"/>
      <c r="AB32" s="67"/>
      <c r="AC32" s="248"/>
      <c r="AD32" s="109"/>
      <c r="AE32" s="250"/>
      <c r="AF32" s="120"/>
      <c r="AG32" s="242"/>
      <c r="AH32" s="239"/>
      <c r="AI32" s="240">
        <f>C32*$AI$3</f>
        <v>23318.054581781525</v>
      </c>
    </row>
    <row r="33" spans="1:35" ht="30" customHeight="1" outlineLevel="1" x14ac:dyDescent="0.25">
      <c r="A33" s="10"/>
      <c r="B33" s="182" t="s">
        <v>71</v>
      </c>
      <c r="C33" s="176">
        <f t="shared" si="3"/>
        <v>219855.94319965437</v>
      </c>
      <c r="D33" s="22">
        <v>6.6000000000000003E-2</v>
      </c>
      <c r="E33" s="276" t="s">
        <v>178</v>
      </c>
      <c r="F33" s="31"/>
      <c r="G33" s="31"/>
      <c r="H33" s="89">
        <f>C33*$AI$2</f>
        <v>65956.782959896314</v>
      </c>
      <c r="I33" s="111"/>
      <c r="J33" s="113"/>
      <c r="K33" s="113"/>
      <c r="L33" s="253"/>
      <c r="M33" s="254"/>
      <c r="N33" s="254"/>
      <c r="O33" s="255"/>
      <c r="P33" s="255"/>
      <c r="Q33" s="113"/>
      <c r="R33" s="108">
        <f>C33*$AI$2</f>
        <v>65956.782959896314</v>
      </c>
      <c r="S33" s="71"/>
      <c r="T33" s="87"/>
      <c r="U33" s="261"/>
      <c r="V33" s="131"/>
      <c r="W33" s="131"/>
      <c r="X33" s="131"/>
      <c r="Y33" s="125"/>
      <c r="Z33" s="126">
        <f>C33*$AI$2</f>
        <v>65956.782959896314</v>
      </c>
      <c r="AA33" s="66"/>
      <c r="AB33" s="67"/>
      <c r="AC33" s="248"/>
      <c r="AD33" s="109"/>
      <c r="AE33" s="250"/>
      <c r="AF33" s="120"/>
      <c r="AG33" s="242"/>
      <c r="AH33" s="239"/>
      <c r="AI33" s="240">
        <f>C33*$AI$3</f>
        <v>21985.594319965439</v>
      </c>
    </row>
    <row r="34" spans="1:35" x14ac:dyDescent="0.25">
      <c r="A34" s="9" t="s">
        <v>117</v>
      </c>
      <c r="B34" s="101" t="s">
        <v>72</v>
      </c>
      <c r="C34" s="177">
        <f t="shared" si="3"/>
        <v>862768.01952591632</v>
      </c>
      <c r="D34" s="20">
        <f>D35+D36+D37+D38+D39</f>
        <v>0.25900000000000001</v>
      </c>
      <c r="E34" s="20"/>
      <c r="F34" s="28"/>
      <c r="G34" s="28"/>
      <c r="H34" s="28"/>
      <c r="I34" s="28"/>
      <c r="J34" s="28"/>
      <c r="K34" s="30"/>
      <c r="L34" s="36"/>
      <c r="M34" s="51"/>
      <c r="N34" s="51"/>
      <c r="O34" s="28"/>
      <c r="P34" s="28"/>
      <c r="Q34" s="41"/>
      <c r="R34" s="70"/>
      <c r="S34" s="71"/>
      <c r="T34" s="87"/>
      <c r="U34" s="80"/>
      <c r="V34" s="41"/>
      <c r="W34" s="41"/>
      <c r="X34" s="41"/>
      <c r="Y34" s="42"/>
      <c r="Z34" s="70"/>
      <c r="AA34" s="71"/>
      <c r="AB34" s="72"/>
      <c r="AC34" s="43"/>
      <c r="AD34" s="41"/>
      <c r="AE34" s="42"/>
      <c r="AF34" s="122"/>
      <c r="AG34" s="80"/>
      <c r="AH34" s="41"/>
      <c r="AI34" s="70"/>
    </row>
    <row r="35" spans="1:35" ht="60" customHeight="1" outlineLevel="1" x14ac:dyDescent="0.25">
      <c r="A35" s="10"/>
      <c r="B35" s="182" t="s">
        <v>73</v>
      </c>
      <c r="C35" s="176">
        <f t="shared" si="3"/>
        <v>249836.29909051629</v>
      </c>
      <c r="D35" s="21">
        <v>7.4999999999999997E-2</v>
      </c>
      <c r="E35" s="275" t="s">
        <v>178</v>
      </c>
      <c r="F35" s="31"/>
      <c r="G35" s="31"/>
      <c r="H35" s="89"/>
      <c r="I35" s="89">
        <f>C35*$AI$2</f>
        <v>74950.889727154878</v>
      </c>
      <c r="J35" s="111"/>
      <c r="K35" s="111"/>
      <c r="L35" s="253"/>
      <c r="M35" s="254"/>
      <c r="N35" s="254"/>
      <c r="O35" s="255"/>
      <c r="P35" s="255"/>
      <c r="Q35" s="111"/>
      <c r="R35" s="108">
        <f>C35*$AI$2</f>
        <v>74950.889727154878</v>
      </c>
      <c r="S35" s="66"/>
      <c r="T35" s="85"/>
      <c r="U35" s="261"/>
      <c r="V35" s="131"/>
      <c r="W35" s="131"/>
      <c r="X35" s="131"/>
      <c r="Y35" s="125"/>
      <c r="Z35" s="126">
        <f>C35*$AI$2</f>
        <v>74950.889727154878</v>
      </c>
      <c r="AA35" s="66"/>
      <c r="AB35" s="67"/>
      <c r="AC35" s="248"/>
      <c r="AD35" s="109"/>
      <c r="AE35" s="250"/>
      <c r="AF35" s="120"/>
      <c r="AG35" s="242"/>
      <c r="AH35" s="239"/>
      <c r="AI35" s="240">
        <f>C35*$AI$3</f>
        <v>24983.62990905163</v>
      </c>
    </row>
    <row r="36" spans="1:35" ht="60" customHeight="1" outlineLevel="1" x14ac:dyDescent="0.25">
      <c r="A36" s="10"/>
      <c r="B36" s="182" t="s">
        <v>74</v>
      </c>
      <c r="C36" s="176">
        <f t="shared" si="3"/>
        <v>249836.29909051629</v>
      </c>
      <c r="D36" s="21">
        <v>7.4999999999999997E-2</v>
      </c>
      <c r="E36" s="275" t="s">
        <v>178</v>
      </c>
      <c r="F36" s="31"/>
      <c r="G36" s="31"/>
      <c r="H36" s="89"/>
      <c r="I36" s="89">
        <f>C36*$AI$2</f>
        <v>74950.889727154878</v>
      </c>
      <c r="J36" s="111"/>
      <c r="K36" s="111"/>
      <c r="L36" s="253"/>
      <c r="M36" s="254"/>
      <c r="N36" s="254"/>
      <c r="O36" s="255"/>
      <c r="P36" s="255"/>
      <c r="Q36" s="111"/>
      <c r="R36" s="108">
        <f>C36*$AI$2</f>
        <v>74950.889727154878</v>
      </c>
      <c r="S36" s="66"/>
      <c r="T36" s="85"/>
      <c r="U36" s="261"/>
      <c r="V36" s="131"/>
      <c r="W36" s="131"/>
      <c r="X36" s="131"/>
      <c r="Y36" s="125"/>
      <c r="Z36" s="126">
        <f>C36*$AI$2</f>
        <v>74950.889727154878</v>
      </c>
      <c r="AA36" s="66"/>
      <c r="AB36" s="67"/>
      <c r="AC36" s="248"/>
      <c r="AD36" s="109"/>
      <c r="AE36" s="250"/>
      <c r="AF36" s="120"/>
      <c r="AG36" s="242"/>
      <c r="AH36" s="239"/>
      <c r="AI36" s="240">
        <f>C36*$AI$3</f>
        <v>24983.62990905163</v>
      </c>
    </row>
    <row r="37" spans="1:35" ht="30" customHeight="1" outlineLevel="1" x14ac:dyDescent="0.25">
      <c r="A37" s="10"/>
      <c r="B37" s="182" t="s">
        <v>75</v>
      </c>
      <c r="C37" s="176">
        <f t="shared" si="3"/>
        <v>166557.5327270109</v>
      </c>
      <c r="D37" s="21">
        <v>0.05</v>
      </c>
      <c r="E37" s="275" t="s">
        <v>178</v>
      </c>
      <c r="F37" s="31"/>
      <c r="G37" s="31"/>
      <c r="H37" s="31"/>
      <c r="I37" s="89"/>
      <c r="J37" s="89">
        <f>C37*$AI$2</f>
        <v>49967.259818103266</v>
      </c>
      <c r="K37" s="111"/>
      <c r="L37" s="253"/>
      <c r="M37" s="254"/>
      <c r="N37" s="254"/>
      <c r="O37" s="255"/>
      <c r="P37" s="255"/>
      <c r="Q37" s="111"/>
      <c r="R37" s="108">
        <f>C37*$AI$2</f>
        <v>49967.259818103266</v>
      </c>
      <c r="S37" s="66"/>
      <c r="T37" s="85"/>
      <c r="U37" s="261"/>
      <c r="V37" s="131"/>
      <c r="W37" s="131"/>
      <c r="X37" s="131"/>
      <c r="Y37" s="125"/>
      <c r="Z37" s="126">
        <f>C37*$AI$2</f>
        <v>49967.259818103266</v>
      </c>
      <c r="AA37" s="66"/>
      <c r="AB37" s="67"/>
      <c r="AC37" s="248"/>
      <c r="AD37" s="109"/>
      <c r="AE37" s="250"/>
      <c r="AF37" s="120"/>
      <c r="AG37" s="242"/>
      <c r="AH37" s="239"/>
      <c r="AI37" s="240">
        <f>C37*$AI$3</f>
        <v>16655.753272701091</v>
      </c>
    </row>
    <row r="38" spans="1:35" ht="30" customHeight="1" outlineLevel="1" x14ac:dyDescent="0.25">
      <c r="A38" s="10"/>
      <c r="B38" s="182" t="s">
        <v>76</v>
      </c>
      <c r="C38" s="176">
        <f t="shared" si="3"/>
        <v>99934.519636206518</v>
      </c>
      <c r="D38" s="21">
        <v>0.03</v>
      </c>
      <c r="E38" s="275" t="s">
        <v>178</v>
      </c>
      <c r="F38" s="31"/>
      <c r="G38" s="31"/>
      <c r="H38" s="31"/>
      <c r="I38" s="89"/>
      <c r="J38" s="89">
        <f>C38*$AI$2</f>
        <v>29980.355890861953</v>
      </c>
      <c r="K38" s="111"/>
      <c r="L38" s="253"/>
      <c r="M38" s="254"/>
      <c r="N38" s="254"/>
      <c r="O38" s="255"/>
      <c r="P38" s="255"/>
      <c r="Q38" s="111"/>
      <c r="R38" s="108">
        <f>C38*$AI$2</f>
        <v>29980.355890861953</v>
      </c>
      <c r="S38" s="66"/>
      <c r="T38" s="85"/>
      <c r="U38" s="261"/>
      <c r="V38" s="131"/>
      <c r="W38" s="131"/>
      <c r="X38" s="131"/>
      <c r="Y38" s="125"/>
      <c r="Z38" s="126">
        <f>C38*$AI$2</f>
        <v>29980.355890861953</v>
      </c>
      <c r="AA38" s="66"/>
      <c r="AB38" s="67"/>
      <c r="AC38" s="248"/>
      <c r="AD38" s="109"/>
      <c r="AE38" s="250"/>
      <c r="AF38" s="120"/>
      <c r="AG38" s="242"/>
      <c r="AH38" s="239"/>
      <c r="AI38" s="240">
        <f>C38*$AI$3</f>
        <v>9993.4519636206533</v>
      </c>
    </row>
    <row r="39" spans="1:35" ht="30" customHeight="1" outlineLevel="1" x14ac:dyDescent="0.25">
      <c r="A39" s="10"/>
      <c r="B39" s="182" t="s">
        <v>77</v>
      </c>
      <c r="C39" s="176">
        <f t="shared" si="3"/>
        <v>96603.36898166631</v>
      </c>
      <c r="D39" s="21">
        <v>2.9000000000000001E-2</v>
      </c>
      <c r="E39" s="275" t="s">
        <v>178</v>
      </c>
      <c r="F39" s="31"/>
      <c r="G39" s="31"/>
      <c r="H39" s="31"/>
      <c r="I39" s="89"/>
      <c r="J39" s="89">
        <f>C39*$AI$2</f>
        <v>28981.010694499892</v>
      </c>
      <c r="K39" s="111"/>
      <c r="L39" s="253"/>
      <c r="M39" s="254"/>
      <c r="N39" s="254"/>
      <c r="O39" s="255"/>
      <c r="P39" s="255"/>
      <c r="Q39" s="111"/>
      <c r="R39" s="108">
        <f>C39*$AI$2</f>
        <v>28981.010694499892</v>
      </c>
      <c r="S39" s="66"/>
      <c r="T39" s="85"/>
      <c r="U39" s="261"/>
      <c r="V39" s="131"/>
      <c r="W39" s="131"/>
      <c r="X39" s="131"/>
      <c r="Y39" s="125"/>
      <c r="Z39" s="126">
        <f>C39*$AI$2</f>
        <v>28981.010694499892</v>
      </c>
      <c r="AA39" s="66"/>
      <c r="AB39" s="67"/>
      <c r="AC39" s="248"/>
      <c r="AD39" s="109"/>
      <c r="AE39" s="250"/>
      <c r="AF39" s="120"/>
      <c r="AG39" s="242"/>
      <c r="AH39" s="239"/>
      <c r="AI39" s="240">
        <f>C39*$AI$3</f>
        <v>9660.3368981666317</v>
      </c>
    </row>
    <row r="40" spans="1:35" s="2" customFormat="1" x14ac:dyDescent="0.25">
      <c r="A40" s="8">
        <v>2</v>
      </c>
      <c r="B40" s="180" t="s">
        <v>1</v>
      </c>
      <c r="C40" s="18">
        <f>C41+C50+C52+C60+C62+C67+C70+C73+C75+C77</f>
        <v>12968641.883422444</v>
      </c>
      <c r="D40" s="19">
        <f>D41+D50+D52+D60+D62+D67+D70+D73+D75+D77</f>
        <v>0.99999999999999989</v>
      </c>
      <c r="E40" s="19"/>
      <c r="F40" s="74"/>
      <c r="G40" s="79"/>
      <c r="H40" s="41"/>
      <c r="I40" s="47"/>
      <c r="J40" s="28"/>
      <c r="K40" s="28"/>
      <c r="L40" s="35"/>
      <c r="M40" s="51"/>
      <c r="N40" s="51"/>
      <c r="O40" s="28"/>
      <c r="P40" s="28"/>
      <c r="Q40" s="47"/>
      <c r="R40" s="61"/>
      <c r="S40" s="62"/>
      <c r="T40" s="84"/>
      <c r="U40" s="81"/>
      <c r="V40" s="47"/>
      <c r="W40" s="47"/>
      <c r="X40" s="47"/>
      <c r="Y40" s="48"/>
      <c r="Z40" s="61"/>
      <c r="AA40" s="62"/>
      <c r="AB40" s="63"/>
      <c r="AC40" s="49"/>
      <c r="AD40" s="47"/>
      <c r="AE40" s="48"/>
      <c r="AF40" s="119"/>
      <c r="AG40" s="81"/>
      <c r="AH40" s="47"/>
      <c r="AI40" s="61"/>
    </row>
    <row r="41" spans="1:35" x14ac:dyDescent="0.25">
      <c r="A41" s="9" t="s">
        <v>118</v>
      </c>
      <c r="B41" s="101" t="s">
        <v>7</v>
      </c>
      <c r="C41" s="170">
        <f>('[1]Parte B'!$G$192*0.015)+(('[1]Parte A'!$F$10-C60)*0.015)+('[1]Parte A'!$F$22*0.015)+(SUM('[1]Parte A'!$F$36:$F$38)*0.015)+('[1]Parte A'!$F$39*0.015)+('[1]Parte B'!$G$126*0.015)+('[1]Parte B'!$G$110*0.015)</f>
        <v>189420.34389329114</v>
      </c>
      <c r="D41" s="20">
        <f>C41/C40</f>
        <v>1.460602780121667E-2</v>
      </c>
      <c r="E41" s="20"/>
      <c r="F41" s="30"/>
      <c r="G41" s="30"/>
      <c r="H41" s="30"/>
      <c r="I41" s="30"/>
      <c r="J41" s="30"/>
      <c r="K41" s="30"/>
      <c r="L41" s="37"/>
      <c r="M41" s="51"/>
      <c r="N41" s="51"/>
      <c r="O41" s="28"/>
      <c r="P41" s="28"/>
      <c r="Q41" s="41"/>
      <c r="R41" s="70"/>
      <c r="S41" s="71"/>
      <c r="T41" s="87"/>
      <c r="U41" s="80"/>
      <c r="V41" s="41"/>
      <c r="W41" s="41"/>
      <c r="X41" s="41"/>
      <c r="Y41" s="42"/>
      <c r="Z41" s="70"/>
      <c r="AA41" s="71"/>
      <c r="AB41" s="72"/>
      <c r="AC41" s="43"/>
      <c r="AD41" s="41"/>
      <c r="AE41" s="42"/>
      <c r="AF41" s="122"/>
      <c r="AG41" s="80"/>
      <c r="AH41" s="41"/>
      <c r="AI41" s="70"/>
    </row>
    <row r="42" spans="1:35" ht="15" customHeight="1" outlineLevel="1" x14ac:dyDescent="0.25">
      <c r="A42" s="10"/>
      <c r="B42" s="14" t="s">
        <v>103</v>
      </c>
      <c r="C42" s="90">
        <f>$C$41/8</f>
        <v>23677.542986661392</v>
      </c>
      <c r="D42" s="21">
        <f>C42/$C$41</f>
        <v>0.125</v>
      </c>
      <c r="E42" s="275" t="s">
        <v>178</v>
      </c>
      <c r="F42" s="89">
        <f t="shared" ref="F42:F49" si="8">C42*$AI$2</f>
        <v>7103.2628959984177</v>
      </c>
      <c r="G42" s="113"/>
      <c r="H42" s="113"/>
      <c r="I42" s="113"/>
      <c r="J42" s="113"/>
      <c r="K42" s="113"/>
      <c r="L42" s="256"/>
      <c r="M42" s="254"/>
      <c r="N42" s="254"/>
      <c r="O42" s="255"/>
      <c r="P42" s="255"/>
      <c r="Q42" s="113"/>
      <c r="R42" s="108">
        <f t="shared" ref="R42:R49" si="9">C42*$AI$2</f>
        <v>7103.2628959984177</v>
      </c>
      <c r="S42" s="71"/>
      <c r="T42" s="87"/>
      <c r="U42" s="264"/>
      <c r="V42" s="265"/>
      <c r="W42" s="265"/>
      <c r="X42" s="265"/>
      <c r="Y42" s="128"/>
      <c r="Z42" s="126">
        <f t="shared" ref="Z42:Z49" si="10">C42*$AI$2</f>
        <v>7103.2628959984177</v>
      </c>
      <c r="AA42" s="71"/>
      <c r="AB42" s="72"/>
      <c r="AC42" s="251"/>
      <c r="AD42" s="132"/>
      <c r="AE42" s="252"/>
      <c r="AF42" s="122"/>
      <c r="AG42" s="244"/>
      <c r="AH42" s="245"/>
      <c r="AI42" s="240">
        <f t="shared" ref="AI42:AI49" si="11">C42*$AI$3</f>
        <v>2367.7542986661392</v>
      </c>
    </row>
    <row r="43" spans="1:35" ht="15" customHeight="1" outlineLevel="1" x14ac:dyDescent="0.25">
      <c r="A43" s="10"/>
      <c r="B43" s="14" t="s">
        <v>0</v>
      </c>
      <c r="C43" s="90">
        <f t="shared" ref="C43:C49" si="12">$C$41/8</f>
        <v>23677.542986661392</v>
      </c>
      <c r="D43" s="21">
        <f t="shared" ref="D43:D49" si="13">C43/$C$41</f>
        <v>0.125</v>
      </c>
      <c r="E43" s="275" t="s">
        <v>178</v>
      </c>
      <c r="F43" s="89">
        <f t="shared" si="8"/>
        <v>7103.2628959984177</v>
      </c>
      <c r="G43" s="113"/>
      <c r="H43" s="113"/>
      <c r="I43" s="113"/>
      <c r="J43" s="113"/>
      <c r="K43" s="113"/>
      <c r="L43" s="256"/>
      <c r="M43" s="254"/>
      <c r="N43" s="254"/>
      <c r="O43" s="255"/>
      <c r="P43" s="255"/>
      <c r="Q43" s="113"/>
      <c r="R43" s="108">
        <f t="shared" si="9"/>
        <v>7103.2628959984177</v>
      </c>
      <c r="S43" s="71"/>
      <c r="T43" s="87"/>
      <c r="U43" s="264"/>
      <c r="V43" s="265"/>
      <c r="W43" s="265"/>
      <c r="X43" s="265"/>
      <c r="Y43" s="128"/>
      <c r="Z43" s="126">
        <f t="shared" si="10"/>
        <v>7103.2628959984177</v>
      </c>
      <c r="AA43" s="71"/>
      <c r="AB43" s="72"/>
      <c r="AC43" s="251"/>
      <c r="AD43" s="132"/>
      <c r="AE43" s="252"/>
      <c r="AF43" s="122"/>
      <c r="AG43" s="244"/>
      <c r="AH43" s="245"/>
      <c r="AI43" s="240">
        <f t="shared" si="11"/>
        <v>2367.7542986661392</v>
      </c>
    </row>
    <row r="44" spans="1:35" ht="15" customHeight="1" outlineLevel="1" x14ac:dyDescent="0.25">
      <c r="A44" s="10"/>
      <c r="B44" s="14" t="s">
        <v>104</v>
      </c>
      <c r="C44" s="90">
        <f t="shared" si="12"/>
        <v>23677.542986661392</v>
      </c>
      <c r="D44" s="21">
        <f t="shared" si="13"/>
        <v>0.125</v>
      </c>
      <c r="E44" s="275" t="s">
        <v>178</v>
      </c>
      <c r="F44" s="89">
        <f t="shared" si="8"/>
        <v>7103.2628959984177</v>
      </c>
      <c r="G44" s="113"/>
      <c r="H44" s="113"/>
      <c r="I44" s="113"/>
      <c r="J44" s="113"/>
      <c r="K44" s="113"/>
      <c r="L44" s="256"/>
      <c r="M44" s="254"/>
      <c r="N44" s="254"/>
      <c r="O44" s="255"/>
      <c r="P44" s="255"/>
      <c r="Q44" s="113"/>
      <c r="R44" s="108">
        <f t="shared" si="9"/>
        <v>7103.2628959984177</v>
      </c>
      <c r="S44" s="71"/>
      <c r="T44" s="87"/>
      <c r="U44" s="264"/>
      <c r="V44" s="265"/>
      <c r="W44" s="265"/>
      <c r="X44" s="265"/>
      <c r="Y44" s="128"/>
      <c r="Z44" s="126">
        <f t="shared" si="10"/>
        <v>7103.2628959984177</v>
      </c>
      <c r="AA44" s="71"/>
      <c r="AB44" s="72"/>
      <c r="AC44" s="251"/>
      <c r="AD44" s="132"/>
      <c r="AE44" s="252"/>
      <c r="AF44" s="122"/>
      <c r="AG44" s="244"/>
      <c r="AH44" s="245"/>
      <c r="AI44" s="240">
        <f t="shared" si="11"/>
        <v>2367.7542986661392</v>
      </c>
    </row>
    <row r="45" spans="1:35" ht="15" customHeight="1" outlineLevel="1" x14ac:dyDescent="0.25">
      <c r="A45" s="10"/>
      <c r="B45" s="14" t="s">
        <v>88</v>
      </c>
      <c r="C45" s="90">
        <f t="shared" si="12"/>
        <v>23677.542986661392</v>
      </c>
      <c r="D45" s="21">
        <f t="shared" si="13"/>
        <v>0.125</v>
      </c>
      <c r="E45" s="275" t="s">
        <v>178</v>
      </c>
      <c r="F45" s="89">
        <f t="shared" si="8"/>
        <v>7103.2628959984177</v>
      </c>
      <c r="G45" s="113"/>
      <c r="H45" s="113"/>
      <c r="I45" s="113"/>
      <c r="J45" s="113"/>
      <c r="K45" s="113"/>
      <c r="L45" s="256"/>
      <c r="M45" s="254"/>
      <c r="N45" s="254"/>
      <c r="O45" s="255"/>
      <c r="P45" s="255"/>
      <c r="Q45" s="113"/>
      <c r="R45" s="108">
        <f t="shared" si="9"/>
        <v>7103.2628959984177</v>
      </c>
      <c r="S45" s="71"/>
      <c r="T45" s="87"/>
      <c r="U45" s="264"/>
      <c r="V45" s="265"/>
      <c r="W45" s="265"/>
      <c r="X45" s="265"/>
      <c r="Y45" s="128"/>
      <c r="Z45" s="126">
        <f t="shared" si="10"/>
        <v>7103.2628959984177</v>
      </c>
      <c r="AA45" s="71"/>
      <c r="AB45" s="72"/>
      <c r="AC45" s="251"/>
      <c r="AD45" s="132"/>
      <c r="AE45" s="252"/>
      <c r="AF45" s="122"/>
      <c r="AG45" s="244"/>
      <c r="AH45" s="245"/>
      <c r="AI45" s="240">
        <f t="shared" si="11"/>
        <v>2367.7542986661392</v>
      </c>
    </row>
    <row r="46" spans="1:35" ht="15" customHeight="1" outlineLevel="1" x14ac:dyDescent="0.25">
      <c r="A46" s="10"/>
      <c r="B46" s="14" t="s">
        <v>5</v>
      </c>
      <c r="C46" s="90">
        <f t="shared" si="12"/>
        <v>23677.542986661392</v>
      </c>
      <c r="D46" s="21">
        <f t="shared" si="13"/>
        <v>0.125</v>
      </c>
      <c r="E46" s="275" t="s">
        <v>178</v>
      </c>
      <c r="F46" s="89">
        <f t="shared" si="8"/>
        <v>7103.2628959984177</v>
      </c>
      <c r="G46" s="113"/>
      <c r="H46" s="113"/>
      <c r="I46" s="113"/>
      <c r="J46" s="113"/>
      <c r="K46" s="113"/>
      <c r="L46" s="256"/>
      <c r="M46" s="254"/>
      <c r="N46" s="254"/>
      <c r="O46" s="255"/>
      <c r="P46" s="255"/>
      <c r="Q46" s="113"/>
      <c r="R46" s="108">
        <f t="shared" si="9"/>
        <v>7103.2628959984177</v>
      </c>
      <c r="S46" s="71"/>
      <c r="T46" s="87"/>
      <c r="U46" s="264"/>
      <c r="V46" s="265"/>
      <c r="W46" s="265"/>
      <c r="X46" s="265"/>
      <c r="Y46" s="128"/>
      <c r="Z46" s="126">
        <f t="shared" si="10"/>
        <v>7103.2628959984177</v>
      </c>
      <c r="AA46" s="71"/>
      <c r="AB46" s="72"/>
      <c r="AC46" s="251"/>
      <c r="AD46" s="132"/>
      <c r="AE46" s="252"/>
      <c r="AF46" s="122"/>
      <c r="AG46" s="244"/>
      <c r="AH46" s="245"/>
      <c r="AI46" s="240">
        <f t="shared" si="11"/>
        <v>2367.7542986661392</v>
      </c>
    </row>
    <row r="47" spans="1:35" ht="15" customHeight="1" outlineLevel="1" x14ac:dyDescent="0.25">
      <c r="A47" s="10"/>
      <c r="B47" s="14" t="s">
        <v>105</v>
      </c>
      <c r="C47" s="90">
        <f t="shared" si="12"/>
        <v>23677.542986661392</v>
      </c>
      <c r="D47" s="21">
        <f t="shared" si="13"/>
        <v>0.125</v>
      </c>
      <c r="E47" s="275" t="s">
        <v>178</v>
      </c>
      <c r="F47" s="89">
        <f t="shared" si="8"/>
        <v>7103.2628959984177</v>
      </c>
      <c r="G47" s="113"/>
      <c r="H47" s="113"/>
      <c r="I47" s="113"/>
      <c r="J47" s="113"/>
      <c r="K47" s="113"/>
      <c r="L47" s="256"/>
      <c r="M47" s="254"/>
      <c r="N47" s="254"/>
      <c r="O47" s="255"/>
      <c r="P47" s="255"/>
      <c r="Q47" s="113"/>
      <c r="R47" s="108">
        <f t="shared" si="9"/>
        <v>7103.2628959984177</v>
      </c>
      <c r="S47" s="71"/>
      <c r="T47" s="87"/>
      <c r="U47" s="264"/>
      <c r="V47" s="265"/>
      <c r="W47" s="265"/>
      <c r="X47" s="265"/>
      <c r="Y47" s="128"/>
      <c r="Z47" s="126">
        <f t="shared" si="10"/>
        <v>7103.2628959984177</v>
      </c>
      <c r="AA47" s="71"/>
      <c r="AB47" s="72"/>
      <c r="AC47" s="251"/>
      <c r="AD47" s="132"/>
      <c r="AE47" s="252"/>
      <c r="AF47" s="122"/>
      <c r="AG47" s="244"/>
      <c r="AH47" s="245"/>
      <c r="AI47" s="240">
        <f t="shared" si="11"/>
        <v>2367.7542986661392</v>
      </c>
    </row>
    <row r="48" spans="1:35" ht="15" customHeight="1" outlineLevel="1" x14ac:dyDescent="0.25">
      <c r="A48" s="10"/>
      <c r="B48" s="14" t="s">
        <v>108</v>
      </c>
      <c r="C48" s="90">
        <f t="shared" si="12"/>
        <v>23677.542986661392</v>
      </c>
      <c r="D48" s="21">
        <f t="shared" si="13"/>
        <v>0.125</v>
      </c>
      <c r="E48" s="275" t="s">
        <v>178</v>
      </c>
      <c r="F48" s="89">
        <f t="shared" si="8"/>
        <v>7103.2628959984177</v>
      </c>
      <c r="G48" s="113"/>
      <c r="H48" s="113"/>
      <c r="I48" s="113"/>
      <c r="J48" s="113"/>
      <c r="K48" s="113"/>
      <c r="L48" s="256"/>
      <c r="M48" s="254"/>
      <c r="N48" s="254"/>
      <c r="O48" s="255"/>
      <c r="P48" s="255"/>
      <c r="Q48" s="113"/>
      <c r="R48" s="108">
        <f t="shared" si="9"/>
        <v>7103.2628959984177</v>
      </c>
      <c r="S48" s="71"/>
      <c r="T48" s="87"/>
      <c r="U48" s="264"/>
      <c r="V48" s="265"/>
      <c r="W48" s="265"/>
      <c r="X48" s="265"/>
      <c r="Y48" s="128"/>
      <c r="Z48" s="126">
        <f t="shared" si="10"/>
        <v>7103.2628959984177</v>
      </c>
      <c r="AA48" s="71"/>
      <c r="AB48" s="72"/>
      <c r="AC48" s="251"/>
      <c r="AD48" s="132"/>
      <c r="AE48" s="252"/>
      <c r="AF48" s="122"/>
      <c r="AG48" s="244"/>
      <c r="AH48" s="245"/>
      <c r="AI48" s="240">
        <f t="shared" si="11"/>
        <v>2367.7542986661392</v>
      </c>
    </row>
    <row r="49" spans="1:35" ht="15" customHeight="1" outlineLevel="1" x14ac:dyDescent="0.25">
      <c r="A49" s="10"/>
      <c r="B49" s="14" t="s">
        <v>112</v>
      </c>
      <c r="C49" s="90">
        <f t="shared" si="12"/>
        <v>23677.542986661392</v>
      </c>
      <c r="D49" s="21">
        <f t="shared" si="13"/>
        <v>0.125</v>
      </c>
      <c r="E49" s="275" t="s">
        <v>178</v>
      </c>
      <c r="F49" s="89">
        <f t="shared" si="8"/>
        <v>7103.2628959984177</v>
      </c>
      <c r="G49" s="113"/>
      <c r="H49" s="113"/>
      <c r="I49" s="113"/>
      <c r="J49" s="113"/>
      <c r="K49" s="113"/>
      <c r="L49" s="256"/>
      <c r="M49" s="254"/>
      <c r="N49" s="254"/>
      <c r="O49" s="255"/>
      <c r="P49" s="255"/>
      <c r="Q49" s="113"/>
      <c r="R49" s="108">
        <f t="shared" si="9"/>
        <v>7103.2628959984177</v>
      </c>
      <c r="S49" s="71"/>
      <c r="T49" s="87"/>
      <c r="U49" s="264"/>
      <c r="V49" s="265"/>
      <c r="W49" s="265"/>
      <c r="X49" s="265"/>
      <c r="Y49" s="128"/>
      <c r="Z49" s="126">
        <f t="shared" si="10"/>
        <v>7103.2628959984177</v>
      </c>
      <c r="AA49" s="71"/>
      <c r="AB49" s="72"/>
      <c r="AC49" s="251"/>
      <c r="AD49" s="132"/>
      <c r="AE49" s="252"/>
      <c r="AF49" s="122"/>
      <c r="AG49" s="244"/>
      <c r="AH49" s="245"/>
      <c r="AI49" s="240">
        <f t="shared" si="11"/>
        <v>2367.7542986661392</v>
      </c>
    </row>
    <row r="50" spans="1:35" x14ac:dyDescent="0.25">
      <c r="A50" s="9" t="s">
        <v>119</v>
      </c>
      <c r="B50" s="101" t="s">
        <v>103</v>
      </c>
      <c r="C50" s="170">
        <f>'[1]Parte B'!$G$192*0.985</f>
        <v>111296.65667073461</v>
      </c>
      <c r="D50" s="20">
        <f>C50/C40</f>
        <v>8.5819824212281549E-3</v>
      </c>
      <c r="E50" s="20"/>
      <c r="F50" s="25"/>
      <c r="G50" s="25"/>
      <c r="H50" s="30"/>
      <c r="I50" s="30"/>
      <c r="J50" s="30"/>
      <c r="K50" s="30"/>
      <c r="L50" s="37"/>
      <c r="M50" s="51"/>
      <c r="N50" s="51"/>
      <c r="O50" s="28"/>
      <c r="P50" s="28"/>
      <c r="Q50" s="41"/>
      <c r="R50" s="70"/>
      <c r="S50" s="71"/>
      <c r="T50" s="87"/>
      <c r="U50" s="80"/>
      <c r="V50" s="41"/>
      <c r="W50" s="41"/>
      <c r="X50" s="41"/>
      <c r="Y50" s="42"/>
      <c r="Z50" s="70"/>
      <c r="AA50" s="71"/>
      <c r="AB50" s="72"/>
      <c r="AC50" s="40"/>
      <c r="AD50" s="30"/>
      <c r="AE50" s="37"/>
      <c r="AF50" s="122"/>
      <c r="AG50" s="29"/>
      <c r="AH50" s="30"/>
      <c r="AI50" s="70"/>
    </row>
    <row r="51" spans="1:35" ht="23.25" customHeight="1" outlineLevel="2" x14ac:dyDescent="0.25">
      <c r="A51" s="10"/>
      <c r="B51" s="14" t="s">
        <v>19</v>
      </c>
      <c r="C51" s="90">
        <f>C50</f>
        <v>111296.65667073461</v>
      </c>
      <c r="D51" s="21">
        <f>C51/C50</f>
        <v>1</v>
      </c>
      <c r="E51" s="275" t="s">
        <v>178</v>
      </c>
      <c r="F51" s="34"/>
      <c r="G51" s="89">
        <f>C50*$AI$2</f>
        <v>33388.997001220378</v>
      </c>
      <c r="H51" s="113"/>
      <c r="I51" s="113"/>
      <c r="J51" s="113"/>
      <c r="K51" s="113"/>
      <c r="L51" s="256"/>
      <c r="M51" s="254"/>
      <c r="N51" s="254"/>
      <c r="O51" s="255"/>
      <c r="P51" s="255"/>
      <c r="Q51" s="113"/>
      <c r="R51" s="114">
        <f>C51*$AI$2</f>
        <v>33388.997001220378</v>
      </c>
      <c r="S51" s="71"/>
      <c r="T51" s="87"/>
      <c r="U51" s="264"/>
      <c r="V51" s="265"/>
      <c r="W51" s="265"/>
      <c r="X51" s="265"/>
      <c r="Y51" s="128"/>
      <c r="Z51" s="129">
        <f>C51*$AI$2</f>
        <v>33388.997001220378</v>
      </c>
      <c r="AA51" s="71"/>
      <c r="AB51" s="72"/>
      <c r="AC51" s="251"/>
      <c r="AD51" s="132"/>
      <c r="AE51" s="252"/>
      <c r="AF51" s="122"/>
      <c r="AG51" s="244"/>
      <c r="AH51" s="246"/>
      <c r="AI51" s="247">
        <f>C51*$AI$3</f>
        <v>11129.665667073461</v>
      </c>
    </row>
    <row r="52" spans="1:35" s="2" customFormat="1" x14ac:dyDescent="0.25">
      <c r="A52" s="9" t="s">
        <v>120</v>
      </c>
      <c r="B52" s="101" t="s">
        <v>0</v>
      </c>
      <c r="C52" s="170">
        <f>('[1]Parte A'!$F$10-C60)*0.985</f>
        <v>8693092.0412746221</v>
      </c>
      <c r="D52" s="20">
        <f>C52/C40</f>
        <v>0.67031629984222385</v>
      </c>
      <c r="E52" s="20"/>
      <c r="F52" s="47"/>
      <c r="G52" s="47"/>
      <c r="H52" s="47"/>
      <c r="I52" s="100"/>
      <c r="J52" s="47"/>
      <c r="K52" s="47"/>
      <c r="L52" s="47"/>
      <c r="M52" s="47"/>
      <c r="N52" s="47"/>
      <c r="O52" s="28"/>
      <c r="P52" s="28"/>
      <c r="Q52" s="41"/>
      <c r="R52" s="70"/>
      <c r="S52" s="71"/>
      <c r="T52" s="87"/>
      <c r="U52" s="80"/>
      <c r="V52" s="56"/>
      <c r="W52" s="41"/>
      <c r="X52" s="41"/>
      <c r="Y52" s="42"/>
      <c r="Z52" s="70"/>
      <c r="AA52" s="71"/>
      <c r="AB52" s="72"/>
      <c r="AC52" s="40"/>
      <c r="AD52" s="30"/>
      <c r="AE52" s="37"/>
      <c r="AF52" s="122"/>
      <c r="AG52" s="29"/>
      <c r="AH52" s="30"/>
      <c r="AI52" s="70"/>
    </row>
    <row r="53" spans="1:35" ht="25.5" customHeight="1" outlineLevel="1" x14ac:dyDescent="0.25">
      <c r="A53" s="10"/>
      <c r="B53" s="172" t="s">
        <v>50</v>
      </c>
      <c r="C53" s="90">
        <f>(C52-C56)*0.2</f>
        <v>1217032.8857784474</v>
      </c>
      <c r="D53" s="21">
        <f>C53/($C$52-$C$56)</f>
        <v>0.2</v>
      </c>
      <c r="E53" s="275" t="s">
        <v>178</v>
      </c>
      <c r="F53" s="34"/>
      <c r="G53" s="34"/>
      <c r="H53" s="89">
        <f>C53*$AI$2</f>
        <v>365109.86573353421</v>
      </c>
      <c r="I53" s="111"/>
      <c r="J53" s="111"/>
      <c r="K53" s="113"/>
      <c r="L53" s="253"/>
      <c r="M53" s="254"/>
      <c r="N53" s="254"/>
      <c r="O53" s="255"/>
      <c r="P53" s="255"/>
      <c r="Q53" s="113"/>
      <c r="R53" s="108">
        <f>C53*$AI$2</f>
        <v>365109.86573353421</v>
      </c>
      <c r="S53" s="71"/>
      <c r="T53" s="87"/>
      <c r="U53" s="261"/>
      <c r="V53" s="131"/>
      <c r="W53" s="131"/>
      <c r="X53" s="131"/>
      <c r="Y53" s="125"/>
      <c r="Z53" s="126">
        <f>C53*$AI$2</f>
        <v>365109.86573353421</v>
      </c>
      <c r="AA53" s="66"/>
      <c r="AB53" s="67"/>
      <c r="AC53" s="251"/>
      <c r="AD53" s="132"/>
      <c r="AE53" s="252"/>
      <c r="AF53" s="122"/>
      <c r="AG53" s="244"/>
      <c r="AH53" s="245"/>
      <c r="AI53" s="240">
        <f>C53*$AI$3</f>
        <v>121703.28857784474</v>
      </c>
    </row>
    <row r="54" spans="1:35" ht="30" customHeight="1" outlineLevel="1" x14ac:dyDescent="0.25">
      <c r="A54" s="10"/>
      <c r="B54" s="173" t="s">
        <v>41</v>
      </c>
      <c r="C54" s="90">
        <f>(C52-C56)*0.2</f>
        <v>1217032.8857784474</v>
      </c>
      <c r="D54" s="21">
        <f t="shared" ref="D54:D55" si="14">C54/($C$52-$C$56)</f>
        <v>0.2</v>
      </c>
      <c r="E54" s="275" t="s">
        <v>178</v>
      </c>
      <c r="F54" s="34"/>
      <c r="G54" s="34"/>
      <c r="H54" s="34"/>
      <c r="I54" s="89">
        <f>C54*$AI$2</f>
        <v>365109.86573353421</v>
      </c>
      <c r="J54" s="111"/>
      <c r="K54" s="113"/>
      <c r="L54" s="253"/>
      <c r="M54" s="254"/>
      <c r="N54" s="254"/>
      <c r="O54" s="255"/>
      <c r="P54" s="255"/>
      <c r="Q54" s="113"/>
      <c r="R54" s="108">
        <f>C54*$AI$2</f>
        <v>365109.86573353421</v>
      </c>
      <c r="S54" s="71"/>
      <c r="T54" s="87"/>
      <c r="U54" s="261"/>
      <c r="V54" s="131"/>
      <c r="W54" s="131"/>
      <c r="X54" s="131"/>
      <c r="Y54" s="125"/>
      <c r="Z54" s="126">
        <f>C54*$AI$2</f>
        <v>365109.86573353421</v>
      </c>
      <c r="AA54" s="66"/>
      <c r="AB54" s="67"/>
      <c r="AC54" s="251"/>
      <c r="AD54" s="132"/>
      <c r="AE54" s="252"/>
      <c r="AF54" s="122"/>
      <c r="AG54" s="244"/>
      <c r="AH54" s="245"/>
      <c r="AI54" s="240">
        <f>C54*$AI$3</f>
        <v>121703.28857784474</v>
      </c>
    </row>
    <row r="55" spans="1:35" ht="30" customHeight="1" outlineLevel="1" x14ac:dyDescent="0.25">
      <c r="A55" s="10"/>
      <c r="B55" s="173" t="s">
        <v>49</v>
      </c>
      <c r="C55" s="90">
        <f>(C52-C56)*0.6</f>
        <v>3651098.6573353414</v>
      </c>
      <c r="D55" s="21">
        <f t="shared" si="14"/>
        <v>0.6</v>
      </c>
      <c r="E55" s="275" t="s">
        <v>178</v>
      </c>
      <c r="F55" s="34"/>
      <c r="G55" s="34"/>
      <c r="H55" s="34"/>
      <c r="I55" s="89">
        <f>C55*$AI$2</f>
        <v>1095329.5972006023</v>
      </c>
      <c r="J55" s="111"/>
      <c r="K55" s="113"/>
      <c r="L55" s="253"/>
      <c r="M55" s="254"/>
      <c r="N55" s="254"/>
      <c r="O55" s="255"/>
      <c r="P55" s="255"/>
      <c r="Q55" s="113"/>
      <c r="R55" s="108">
        <f>C55*$AI$2</f>
        <v>1095329.5972006023</v>
      </c>
      <c r="S55" s="71"/>
      <c r="T55" s="87"/>
      <c r="U55" s="261"/>
      <c r="V55" s="131"/>
      <c r="W55" s="131"/>
      <c r="X55" s="131"/>
      <c r="Y55" s="125"/>
      <c r="Z55" s="126">
        <f>C55*$AI$2</f>
        <v>1095329.5972006023</v>
      </c>
      <c r="AA55" s="66"/>
      <c r="AB55" s="67"/>
      <c r="AC55" s="251"/>
      <c r="AD55" s="132"/>
      <c r="AE55" s="252"/>
      <c r="AF55" s="122"/>
      <c r="AG55" s="244"/>
      <c r="AH55" s="245"/>
      <c r="AI55" s="240">
        <f>C55*$AI$3</f>
        <v>365109.86573353416</v>
      </c>
    </row>
    <row r="56" spans="1:35" s="2" customFormat="1" ht="15" customHeight="1" outlineLevel="1" x14ac:dyDescent="0.25">
      <c r="A56" s="9"/>
      <c r="B56" s="101" t="s">
        <v>2</v>
      </c>
      <c r="C56" s="170">
        <f>C52*0.3</f>
        <v>2607927.6123823863</v>
      </c>
      <c r="D56" s="20"/>
      <c r="E56" s="20"/>
      <c r="F56" s="41"/>
      <c r="G56" s="41"/>
      <c r="H56" s="41"/>
      <c r="I56" s="41"/>
      <c r="J56" s="30"/>
      <c r="K56" s="30"/>
      <c r="L56" s="37"/>
      <c r="M56" s="51"/>
      <c r="N56" s="51"/>
      <c r="O56" s="28"/>
      <c r="P56" s="28"/>
      <c r="Q56" s="41"/>
      <c r="R56" s="70"/>
      <c r="S56" s="71"/>
      <c r="T56" s="87"/>
      <c r="U56" s="80"/>
      <c r="V56" s="41"/>
      <c r="W56" s="41"/>
      <c r="X56" s="41"/>
      <c r="Y56" s="42"/>
      <c r="Z56" s="70"/>
      <c r="AA56" s="71"/>
      <c r="AB56" s="72"/>
      <c r="AC56" s="40"/>
      <c r="AD56" s="30"/>
      <c r="AE56" s="37"/>
      <c r="AF56" s="122"/>
      <c r="AG56" s="29"/>
      <c r="AH56" s="30"/>
      <c r="AI56" s="70"/>
    </row>
    <row r="57" spans="1:35" ht="22.5" customHeight="1" outlineLevel="1" x14ac:dyDescent="0.25">
      <c r="A57" s="10"/>
      <c r="B57" s="172" t="s">
        <v>3</v>
      </c>
      <c r="C57" s="90">
        <f>C56*0.5</f>
        <v>1303963.8061911932</v>
      </c>
      <c r="D57" s="21">
        <f>C57/$C$56</f>
        <v>0.5</v>
      </c>
      <c r="E57" s="275" t="s">
        <v>178</v>
      </c>
      <c r="F57" s="34"/>
      <c r="G57" s="34"/>
      <c r="H57" s="34"/>
      <c r="I57" s="34"/>
      <c r="J57" s="89">
        <f>C57*$AI$2</f>
        <v>391189.14185735793</v>
      </c>
      <c r="K57" s="113"/>
      <c r="L57" s="253"/>
      <c r="M57" s="254"/>
      <c r="N57" s="254"/>
      <c r="O57" s="255"/>
      <c r="P57" s="255"/>
      <c r="Q57" s="113"/>
      <c r="R57" s="108">
        <f>C57*$AI$2</f>
        <v>391189.14185735793</v>
      </c>
      <c r="S57" s="71"/>
      <c r="T57" s="87"/>
      <c r="U57" s="261"/>
      <c r="V57" s="131"/>
      <c r="W57" s="131"/>
      <c r="X57" s="131"/>
      <c r="Y57" s="125"/>
      <c r="Z57" s="126">
        <f>C57*$AI$2</f>
        <v>391189.14185735793</v>
      </c>
      <c r="AA57" s="66"/>
      <c r="AB57" s="67"/>
      <c r="AC57" s="251"/>
      <c r="AD57" s="132"/>
      <c r="AE57" s="252"/>
      <c r="AF57" s="122"/>
      <c r="AG57" s="244"/>
      <c r="AH57" s="245"/>
      <c r="AI57" s="240">
        <f>C57*$AI$3</f>
        <v>130396.38061911933</v>
      </c>
    </row>
    <row r="58" spans="1:35" ht="22.5" customHeight="1" outlineLevel="1" x14ac:dyDescent="0.25">
      <c r="A58" s="10"/>
      <c r="B58" s="172" t="s">
        <v>42</v>
      </c>
      <c r="C58" s="90">
        <f>C56*0.3</f>
        <v>782378.28371471586</v>
      </c>
      <c r="D58" s="21">
        <f t="shared" ref="D58:D59" si="15">C58/$C$56</f>
        <v>0.3</v>
      </c>
      <c r="E58" s="275" t="s">
        <v>178</v>
      </c>
      <c r="F58" s="34"/>
      <c r="G58" s="34"/>
      <c r="H58" s="34"/>
      <c r="I58" s="34"/>
      <c r="J58" s="89">
        <f>C58*$AI$2</f>
        <v>234713.48511441474</v>
      </c>
      <c r="K58" s="113"/>
      <c r="L58" s="253"/>
      <c r="M58" s="254"/>
      <c r="N58" s="254"/>
      <c r="O58" s="255"/>
      <c r="P58" s="255"/>
      <c r="Q58" s="113"/>
      <c r="R58" s="108">
        <f>C58*$AI$2</f>
        <v>234713.48511441474</v>
      </c>
      <c r="S58" s="71"/>
      <c r="T58" s="87"/>
      <c r="U58" s="261"/>
      <c r="V58" s="131"/>
      <c r="W58" s="131"/>
      <c r="X58" s="131"/>
      <c r="Y58" s="125"/>
      <c r="Z58" s="126">
        <f>C58*$AI$2</f>
        <v>234713.48511441474</v>
      </c>
      <c r="AA58" s="66"/>
      <c r="AB58" s="67"/>
      <c r="AC58" s="251"/>
      <c r="AD58" s="132"/>
      <c r="AE58" s="252"/>
      <c r="AF58" s="122"/>
      <c r="AG58" s="244"/>
      <c r="AH58" s="245"/>
      <c r="AI58" s="240">
        <f>C58*$AI$3</f>
        <v>78237.828371471594</v>
      </c>
    </row>
    <row r="59" spans="1:35" ht="22.5" customHeight="1" outlineLevel="1" x14ac:dyDescent="0.25">
      <c r="A59" s="10"/>
      <c r="B59" s="172" t="s">
        <v>45</v>
      </c>
      <c r="C59" s="90">
        <f>C56*0.2</f>
        <v>521585.52247647732</v>
      </c>
      <c r="D59" s="21">
        <f t="shared" si="15"/>
        <v>0.2</v>
      </c>
      <c r="E59" s="275" t="s">
        <v>178</v>
      </c>
      <c r="F59" s="34"/>
      <c r="G59" s="34"/>
      <c r="H59" s="34"/>
      <c r="I59" s="34"/>
      <c r="J59" s="89">
        <f>C59*$AI$2</f>
        <v>156475.65674294319</v>
      </c>
      <c r="K59" s="113"/>
      <c r="L59" s="253"/>
      <c r="M59" s="254"/>
      <c r="N59" s="254"/>
      <c r="O59" s="255"/>
      <c r="P59" s="255"/>
      <c r="Q59" s="113"/>
      <c r="R59" s="108">
        <f>C59*$AI$2</f>
        <v>156475.65674294319</v>
      </c>
      <c r="S59" s="71"/>
      <c r="T59" s="87"/>
      <c r="U59" s="261"/>
      <c r="V59" s="131"/>
      <c r="W59" s="131"/>
      <c r="X59" s="131"/>
      <c r="Y59" s="125"/>
      <c r="Z59" s="126">
        <f>C59*$AI$2</f>
        <v>156475.65674294319</v>
      </c>
      <c r="AA59" s="66"/>
      <c r="AB59" s="67"/>
      <c r="AC59" s="251"/>
      <c r="AD59" s="132"/>
      <c r="AE59" s="252"/>
      <c r="AF59" s="122"/>
      <c r="AG59" s="244"/>
      <c r="AH59" s="245"/>
      <c r="AI59" s="240">
        <f>C59*$AI$3</f>
        <v>52158.552247647734</v>
      </c>
    </row>
    <row r="60" spans="1:35" x14ac:dyDescent="0.25">
      <c r="A60" s="9" t="s">
        <v>121</v>
      </c>
      <c r="B60" s="101" t="s">
        <v>106</v>
      </c>
      <c r="C60" s="17">
        <f>'[1]Parte A'!$F$14*0.1</f>
        <v>135481.90890000001</v>
      </c>
      <c r="D60" s="20">
        <f>C60/C40</f>
        <v>1.0446884887243577E-2</v>
      </c>
      <c r="E60" s="20"/>
      <c r="F60" s="25"/>
      <c r="G60" s="25"/>
      <c r="H60" s="25"/>
      <c r="I60" s="25"/>
      <c r="J60" s="30"/>
      <c r="K60" s="30"/>
      <c r="L60" s="37"/>
      <c r="M60" s="51"/>
      <c r="N60" s="51"/>
      <c r="O60" s="28"/>
      <c r="P60" s="28"/>
      <c r="Q60" s="56"/>
      <c r="R60" s="70"/>
      <c r="S60" s="71"/>
      <c r="T60" s="87"/>
      <c r="U60" s="80"/>
      <c r="V60" s="41"/>
      <c r="W60" s="41"/>
      <c r="X60" s="41"/>
      <c r="Y60" s="42"/>
      <c r="Z60" s="70"/>
      <c r="AA60" s="71"/>
      <c r="AB60" s="72"/>
      <c r="AC60" s="40"/>
      <c r="AD60" s="30"/>
      <c r="AE60" s="37"/>
      <c r="AF60" s="122"/>
      <c r="AG60" s="29"/>
      <c r="AH60" s="30"/>
      <c r="AI60" s="70"/>
    </row>
    <row r="61" spans="1:35" ht="24.75" customHeight="1" outlineLevel="1" x14ac:dyDescent="0.25">
      <c r="A61" s="10"/>
      <c r="B61" s="14" t="s">
        <v>107</v>
      </c>
      <c r="C61" s="91">
        <f>C60</f>
        <v>135481.90890000001</v>
      </c>
      <c r="D61" s="21">
        <f>C61/C60</f>
        <v>1</v>
      </c>
      <c r="E61" s="275" t="s">
        <v>178</v>
      </c>
      <c r="F61" s="34"/>
      <c r="G61" s="34"/>
      <c r="H61" s="89">
        <f>C61*$AI$2</f>
        <v>40644.572670000001</v>
      </c>
      <c r="I61" s="113"/>
      <c r="J61" s="111"/>
      <c r="K61" s="113"/>
      <c r="L61" s="253"/>
      <c r="M61" s="254"/>
      <c r="N61" s="254"/>
      <c r="O61" s="255"/>
      <c r="P61" s="255"/>
      <c r="Q61" s="113"/>
      <c r="R61" s="108">
        <f>C61*$AI$2</f>
        <v>40644.572670000001</v>
      </c>
      <c r="S61" s="71"/>
      <c r="T61" s="87"/>
      <c r="U61" s="261"/>
      <c r="V61" s="131"/>
      <c r="W61" s="131"/>
      <c r="X61" s="131"/>
      <c r="Y61" s="125"/>
      <c r="Z61" s="126">
        <f>C61*$AI$2</f>
        <v>40644.572670000001</v>
      </c>
      <c r="AA61" s="66"/>
      <c r="AB61" s="67"/>
      <c r="AC61" s="251"/>
      <c r="AD61" s="132"/>
      <c r="AE61" s="252"/>
      <c r="AF61" s="122"/>
      <c r="AG61" s="244"/>
      <c r="AH61" s="245"/>
      <c r="AI61" s="240">
        <f>C61*$AI$3</f>
        <v>13548.190890000002</v>
      </c>
    </row>
    <row r="62" spans="1:35" x14ac:dyDescent="0.25">
      <c r="A62" s="9" t="s">
        <v>122</v>
      </c>
      <c r="B62" s="101" t="s">
        <v>21</v>
      </c>
      <c r="C62" s="170">
        <f>'[1]Parte A'!$F$22*0.985</f>
        <v>1823015.0848724446</v>
      </c>
      <c r="D62" s="20">
        <f>C62/C40</f>
        <v>0.14057100976801346</v>
      </c>
      <c r="E62" s="20"/>
      <c r="F62" s="30"/>
      <c r="G62" s="30"/>
      <c r="H62" s="30"/>
      <c r="I62" s="30"/>
      <c r="J62" s="30"/>
      <c r="K62" s="30"/>
      <c r="L62" s="37"/>
      <c r="M62" s="51"/>
      <c r="N62" s="51"/>
      <c r="O62" s="28"/>
      <c r="P62" s="28"/>
      <c r="Q62" s="56"/>
      <c r="R62" s="70"/>
      <c r="S62" s="71"/>
      <c r="T62" s="87"/>
      <c r="U62" s="80"/>
      <c r="V62" s="41"/>
      <c r="W62" s="41"/>
      <c r="X62" s="41"/>
      <c r="Y62" s="42"/>
      <c r="Z62" s="70"/>
      <c r="AA62" s="71"/>
      <c r="AB62" s="72"/>
      <c r="AC62" s="40"/>
      <c r="AD62" s="30"/>
      <c r="AE62" s="37"/>
      <c r="AF62" s="122"/>
      <c r="AG62" s="29"/>
      <c r="AH62" s="30"/>
      <c r="AI62" s="70"/>
    </row>
    <row r="63" spans="1:35" ht="20.25" customHeight="1" outlineLevel="1" x14ac:dyDescent="0.25">
      <c r="A63" s="10"/>
      <c r="B63" s="14" t="s">
        <v>38</v>
      </c>
      <c r="C63" s="90">
        <f>$C$62*0.1</f>
        <v>182301.50848724449</v>
      </c>
      <c r="D63" s="22">
        <f>C63/$C$62</f>
        <v>0.10000000000000002</v>
      </c>
      <c r="E63" s="276" t="s">
        <v>178</v>
      </c>
      <c r="F63" s="34"/>
      <c r="G63" s="89">
        <f>C63*$AI$2</f>
        <v>54690.452546173343</v>
      </c>
      <c r="H63" s="113"/>
      <c r="I63" s="115"/>
      <c r="J63" s="111"/>
      <c r="K63" s="111"/>
      <c r="L63" s="253"/>
      <c r="M63" s="254"/>
      <c r="N63" s="254"/>
      <c r="O63" s="255"/>
      <c r="P63" s="255"/>
      <c r="Q63" s="255"/>
      <c r="R63" s="108">
        <f>C63*$AI$2</f>
        <v>54690.452546173343</v>
      </c>
      <c r="S63" s="66"/>
      <c r="T63" s="85"/>
      <c r="U63" s="261"/>
      <c r="V63" s="131"/>
      <c r="W63" s="131"/>
      <c r="X63" s="131"/>
      <c r="Y63" s="125"/>
      <c r="Z63" s="126">
        <f>C63*$AI$2</f>
        <v>54690.452546173343</v>
      </c>
      <c r="AA63" s="66"/>
      <c r="AB63" s="67"/>
      <c r="AC63" s="251"/>
      <c r="AD63" s="132"/>
      <c r="AE63" s="252"/>
      <c r="AF63" s="120"/>
      <c r="AG63" s="242"/>
      <c r="AH63" s="245"/>
      <c r="AI63" s="240">
        <f>C63*$AI$3</f>
        <v>18230.15084872445</v>
      </c>
    </row>
    <row r="64" spans="1:35" ht="20.25" customHeight="1" outlineLevel="1" x14ac:dyDescent="0.25">
      <c r="A64" s="10"/>
      <c r="B64" s="14" t="s">
        <v>39</v>
      </c>
      <c r="C64" s="90">
        <f>$C$62*0.2</f>
        <v>364603.01697448897</v>
      </c>
      <c r="D64" s="22">
        <f t="shared" ref="D64:D66" si="16">C64/$C$62</f>
        <v>0.20000000000000004</v>
      </c>
      <c r="E64" s="276" t="s">
        <v>178</v>
      </c>
      <c r="F64" s="34"/>
      <c r="G64" s="34"/>
      <c r="H64" s="89">
        <f>C64*$AI$2</f>
        <v>109380.90509234669</v>
      </c>
      <c r="I64" s="267"/>
      <c r="J64" s="111"/>
      <c r="K64" s="111"/>
      <c r="L64" s="253"/>
      <c r="M64" s="254"/>
      <c r="N64" s="254"/>
      <c r="O64" s="255"/>
      <c r="P64" s="255"/>
      <c r="Q64" s="115"/>
      <c r="R64" s="108">
        <f>C64*$AI$2</f>
        <v>109380.90509234669</v>
      </c>
      <c r="S64" s="66"/>
      <c r="T64" s="85"/>
      <c r="U64" s="261"/>
      <c r="V64" s="131"/>
      <c r="W64" s="131"/>
      <c r="X64" s="131"/>
      <c r="Y64" s="125"/>
      <c r="Z64" s="126">
        <f>C64*$AI$2</f>
        <v>109380.90509234669</v>
      </c>
      <c r="AA64" s="66"/>
      <c r="AB64" s="67"/>
      <c r="AC64" s="251"/>
      <c r="AD64" s="132"/>
      <c r="AE64" s="252"/>
      <c r="AF64" s="120"/>
      <c r="AG64" s="242"/>
      <c r="AH64" s="245"/>
      <c r="AI64" s="240">
        <f>C64*$AI$3</f>
        <v>36460.3016974489</v>
      </c>
    </row>
    <row r="65" spans="1:35" ht="30" outlineLevel="1" x14ac:dyDescent="0.25">
      <c r="A65" s="10"/>
      <c r="B65" s="174" t="s">
        <v>40</v>
      </c>
      <c r="C65" s="90">
        <f>$C$62*0.4</f>
        <v>729206.03394897794</v>
      </c>
      <c r="D65" s="22">
        <f t="shared" si="16"/>
        <v>0.40000000000000008</v>
      </c>
      <c r="E65" s="276" t="s">
        <v>178</v>
      </c>
      <c r="F65" s="34"/>
      <c r="G65" s="34"/>
      <c r="H65" s="89">
        <f>C65*$AI$2</f>
        <v>218761.81018469337</v>
      </c>
      <c r="I65" s="115"/>
      <c r="J65" s="111"/>
      <c r="K65" s="111"/>
      <c r="L65" s="253"/>
      <c r="M65" s="254"/>
      <c r="N65" s="254"/>
      <c r="O65" s="255"/>
      <c r="P65" s="255"/>
      <c r="Q65" s="115"/>
      <c r="R65" s="108">
        <f>C65*$AI$2</f>
        <v>218761.81018469337</v>
      </c>
      <c r="S65" s="66"/>
      <c r="T65" s="85"/>
      <c r="U65" s="261"/>
      <c r="V65" s="131"/>
      <c r="W65" s="131"/>
      <c r="X65" s="131"/>
      <c r="Y65" s="125"/>
      <c r="Z65" s="126">
        <f>C65*$AI$2</f>
        <v>218761.81018469337</v>
      </c>
      <c r="AA65" s="66"/>
      <c r="AB65" s="67"/>
      <c r="AC65" s="251"/>
      <c r="AD65" s="132"/>
      <c r="AE65" s="252"/>
      <c r="AF65" s="120"/>
      <c r="AG65" s="242"/>
      <c r="AH65" s="245"/>
      <c r="AI65" s="240">
        <f>C65*$AI$3</f>
        <v>72920.6033948978</v>
      </c>
    </row>
    <row r="66" spans="1:35" ht="22.5" customHeight="1" outlineLevel="1" x14ac:dyDescent="0.25">
      <c r="A66" s="10"/>
      <c r="B66" s="14" t="s">
        <v>43</v>
      </c>
      <c r="C66" s="90">
        <f>$C$62*0.3</f>
        <v>546904.52546173334</v>
      </c>
      <c r="D66" s="22">
        <f t="shared" si="16"/>
        <v>0.3</v>
      </c>
      <c r="E66" s="276" t="s">
        <v>178</v>
      </c>
      <c r="F66" s="34"/>
      <c r="G66" s="34"/>
      <c r="H66" s="89">
        <f>C66*$AI$2</f>
        <v>164071.35763851998</v>
      </c>
      <c r="I66" s="111"/>
      <c r="J66" s="111"/>
      <c r="K66" s="111"/>
      <c r="L66" s="253"/>
      <c r="M66" s="254"/>
      <c r="N66" s="254"/>
      <c r="O66" s="255"/>
      <c r="P66" s="255"/>
      <c r="Q66" s="115"/>
      <c r="R66" s="108">
        <f>C66*$AI$2</f>
        <v>164071.35763851998</v>
      </c>
      <c r="S66" s="66"/>
      <c r="T66" s="85"/>
      <c r="U66" s="261"/>
      <c r="V66" s="131"/>
      <c r="W66" s="131"/>
      <c r="X66" s="131"/>
      <c r="Y66" s="125"/>
      <c r="Z66" s="126">
        <f>C66*$AI$2</f>
        <v>164071.35763851998</v>
      </c>
      <c r="AA66" s="66"/>
      <c r="AB66" s="67"/>
      <c r="AC66" s="251"/>
      <c r="AD66" s="132"/>
      <c r="AE66" s="252"/>
      <c r="AF66" s="120"/>
      <c r="AG66" s="242"/>
      <c r="AH66" s="245"/>
      <c r="AI66" s="240">
        <f>C66*$AI$3</f>
        <v>54690.452546173336</v>
      </c>
    </row>
    <row r="67" spans="1:35" x14ac:dyDescent="0.25">
      <c r="A67" s="9" t="s">
        <v>123</v>
      </c>
      <c r="B67" s="101" t="s">
        <v>5</v>
      </c>
      <c r="C67" s="16">
        <f>SUM('[1]Parte A'!$F$36:$F$38)*0.985</f>
        <v>872178.39353</v>
      </c>
      <c r="D67" s="20">
        <f>C67/C40</f>
        <v>6.7252870529557016E-2</v>
      </c>
      <c r="E67" s="20"/>
      <c r="F67" s="30"/>
      <c r="G67" s="30"/>
      <c r="H67" s="30"/>
      <c r="I67" s="30"/>
      <c r="J67" s="30"/>
      <c r="K67" s="30"/>
      <c r="L67" s="37"/>
      <c r="M67" s="51"/>
      <c r="N67" s="51"/>
      <c r="O67" s="28"/>
      <c r="P67" s="28"/>
      <c r="Q67" s="56"/>
      <c r="R67" s="70"/>
      <c r="S67" s="71"/>
      <c r="T67" s="87"/>
      <c r="U67" s="80"/>
      <c r="V67" s="41"/>
      <c r="W67" s="41"/>
      <c r="X67" s="41"/>
      <c r="Y67" s="42"/>
      <c r="Z67" s="70"/>
      <c r="AA67" s="71"/>
      <c r="AB67" s="72"/>
      <c r="AC67" s="40"/>
      <c r="AD67" s="30"/>
      <c r="AE67" s="37"/>
      <c r="AF67" s="122"/>
      <c r="AG67" s="29"/>
      <c r="AH67" s="30"/>
      <c r="AI67" s="70"/>
    </row>
    <row r="68" spans="1:35" ht="18" customHeight="1" outlineLevel="1" x14ac:dyDescent="0.25">
      <c r="A68" s="10"/>
      <c r="B68" s="14" t="s">
        <v>44</v>
      </c>
      <c r="C68" s="92">
        <f>$C$67*0.6</f>
        <v>523307.03611799999</v>
      </c>
      <c r="D68" s="22">
        <f>C68/$C$67</f>
        <v>0.6</v>
      </c>
      <c r="E68" s="276" t="s">
        <v>178</v>
      </c>
      <c r="F68" s="34"/>
      <c r="G68" s="34"/>
      <c r="H68" s="34"/>
      <c r="I68" s="89">
        <f>C68*$AI$2</f>
        <v>156992.1108354</v>
      </c>
      <c r="J68" s="111"/>
      <c r="K68" s="111"/>
      <c r="L68" s="253"/>
      <c r="M68" s="254"/>
      <c r="N68" s="254"/>
      <c r="O68" s="255"/>
      <c r="P68" s="255"/>
      <c r="Q68" s="111"/>
      <c r="R68" s="108">
        <f>C68*$AI$2</f>
        <v>156992.1108354</v>
      </c>
      <c r="S68" s="66"/>
      <c r="T68" s="85"/>
      <c r="U68" s="261"/>
      <c r="V68" s="131"/>
      <c r="W68" s="131"/>
      <c r="X68" s="131"/>
      <c r="Y68" s="125"/>
      <c r="Z68" s="126">
        <f>C68*$AI$2</f>
        <v>156992.1108354</v>
      </c>
      <c r="AA68" s="66"/>
      <c r="AB68" s="67"/>
      <c r="AC68" s="248"/>
      <c r="AD68" s="109"/>
      <c r="AE68" s="250"/>
      <c r="AF68" s="120"/>
      <c r="AG68" s="242"/>
      <c r="AH68" s="239"/>
      <c r="AI68" s="240">
        <f>C68*$AI$3</f>
        <v>52330.703611800003</v>
      </c>
    </row>
    <row r="69" spans="1:35" ht="30" customHeight="1" outlineLevel="1" x14ac:dyDescent="0.25">
      <c r="A69" s="10"/>
      <c r="B69" s="174" t="s">
        <v>30</v>
      </c>
      <c r="C69" s="93">
        <f>$C$67*0.4</f>
        <v>348871.35741200001</v>
      </c>
      <c r="D69" s="22">
        <f>C69/$C$67</f>
        <v>0.4</v>
      </c>
      <c r="E69" s="276" t="s">
        <v>178</v>
      </c>
      <c r="F69" s="34"/>
      <c r="G69" s="34"/>
      <c r="H69" s="34"/>
      <c r="I69" s="89">
        <f>C69*$AI$2</f>
        <v>104661.40722360001</v>
      </c>
      <c r="J69" s="111"/>
      <c r="K69" s="111"/>
      <c r="L69" s="253"/>
      <c r="M69" s="254"/>
      <c r="N69" s="254"/>
      <c r="O69" s="255"/>
      <c r="P69" s="255"/>
      <c r="Q69" s="111"/>
      <c r="R69" s="108">
        <f>C69*$AI$2</f>
        <v>104661.40722360001</v>
      </c>
      <c r="S69" s="66"/>
      <c r="T69" s="85"/>
      <c r="U69" s="261"/>
      <c r="V69" s="131"/>
      <c r="W69" s="131"/>
      <c r="X69" s="131"/>
      <c r="Y69" s="125"/>
      <c r="Z69" s="126">
        <f>C69*$AI$2</f>
        <v>104661.40722360001</v>
      </c>
      <c r="AA69" s="66"/>
      <c r="AB69" s="67"/>
      <c r="AC69" s="248"/>
      <c r="AD69" s="109"/>
      <c r="AE69" s="250"/>
      <c r="AF69" s="120"/>
      <c r="AG69" s="242"/>
      <c r="AH69" s="239"/>
      <c r="AI69" s="240">
        <f>C69*$AI$3</f>
        <v>34887.1357412</v>
      </c>
    </row>
    <row r="70" spans="1:35" x14ac:dyDescent="0.25">
      <c r="A70" s="9" t="s">
        <v>124</v>
      </c>
      <c r="B70" s="101" t="s">
        <v>36</v>
      </c>
      <c r="C70" s="171">
        <f>'[1]Parte A'!$F$39*0.985</f>
        <v>263760.69056902191</v>
      </c>
      <c r="D70" s="20">
        <f>C70/C40</f>
        <v>2.033834328528895E-2</v>
      </c>
      <c r="E70" s="20"/>
      <c r="F70" s="30"/>
      <c r="G70" s="30"/>
      <c r="H70" s="30"/>
      <c r="I70" s="30"/>
      <c r="J70" s="30"/>
      <c r="K70" s="30"/>
      <c r="L70" s="37"/>
      <c r="M70" s="51"/>
      <c r="N70" s="51"/>
      <c r="O70" s="28"/>
      <c r="P70" s="28"/>
      <c r="Q70" s="80"/>
      <c r="R70" s="70"/>
      <c r="S70" s="71"/>
      <c r="T70" s="87"/>
      <c r="U70" s="80"/>
      <c r="V70" s="41"/>
      <c r="W70" s="41"/>
      <c r="X70" s="41"/>
      <c r="Y70" s="42"/>
      <c r="Z70" s="70"/>
      <c r="AA70" s="71"/>
      <c r="AB70" s="72"/>
      <c r="AC70" s="40"/>
      <c r="AD70" s="30"/>
      <c r="AE70" s="37"/>
      <c r="AF70" s="122"/>
      <c r="AG70" s="29"/>
      <c r="AH70" s="30"/>
      <c r="AI70" s="70"/>
    </row>
    <row r="71" spans="1:35" ht="30" customHeight="1" outlineLevel="1" x14ac:dyDescent="0.25">
      <c r="A71" s="10"/>
      <c r="B71" s="174" t="s">
        <v>46</v>
      </c>
      <c r="C71" s="94">
        <f>C70*0.3</f>
        <v>79128.207170706577</v>
      </c>
      <c r="D71" s="22">
        <f>C71/C70</f>
        <v>0.3</v>
      </c>
      <c r="E71" s="276" t="s">
        <v>178</v>
      </c>
      <c r="F71" s="34"/>
      <c r="G71" s="34"/>
      <c r="H71" s="34"/>
      <c r="I71" s="89">
        <f>C71*$AI$2</f>
        <v>23738.462151211974</v>
      </c>
      <c r="J71" s="111"/>
      <c r="K71" s="111"/>
      <c r="L71" s="253"/>
      <c r="M71" s="254"/>
      <c r="N71" s="254"/>
      <c r="O71" s="255"/>
      <c r="P71" s="255"/>
      <c r="Q71" s="111"/>
      <c r="R71" s="108">
        <f>C71*$AI$2</f>
        <v>23738.462151211974</v>
      </c>
      <c r="S71" s="66"/>
      <c r="T71" s="85"/>
      <c r="U71" s="261"/>
      <c r="V71" s="131"/>
      <c r="W71" s="131"/>
      <c r="X71" s="131"/>
      <c r="Y71" s="125"/>
      <c r="Z71" s="126">
        <f>C71*$AI$2</f>
        <v>23738.462151211974</v>
      </c>
      <c r="AA71" s="66"/>
      <c r="AB71" s="67"/>
      <c r="AC71" s="248"/>
      <c r="AD71" s="109"/>
      <c r="AE71" s="250"/>
      <c r="AF71" s="120"/>
      <c r="AG71" s="242"/>
      <c r="AH71" s="239"/>
      <c r="AI71" s="240">
        <f>C71*$AI$3</f>
        <v>7912.8207170706582</v>
      </c>
    </row>
    <row r="72" spans="1:35" ht="15" customHeight="1" outlineLevel="1" x14ac:dyDescent="0.25">
      <c r="A72" s="10"/>
      <c r="B72" s="14" t="s">
        <v>37</v>
      </c>
      <c r="C72" s="90">
        <f>C70*0.7</f>
        <v>184632.48339831532</v>
      </c>
      <c r="D72" s="22">
        <f>C72/C70</f>
        <v>0.7</v>
      </c>
      <c r="E72" s="276" t="s">
        <v>178</v>
      </c>
      <c r="F72" s="34"/>
      <c r="G72" s="34"/>
      <c r="H72" s="34"/>
      <c r="I72" s="89">
        <f>C72*$AI$2</f>
        <v>55389.745019494592</v>
      </c>
      <c r="J72" s="111"/>
      <c r="K72" s="111"/>
      <c r="L72" s="253"/>
      <c r="M72" s="254"/>
      <c r="N72" s="254"/>
      <c r="O72" s="255"/>
      <c r="P72" s="255"/>
      <c r="Q72" s="111"/>
      <c r="R72" s="108">
        <f>C72*$AI$2</f>
        <v>55389.745019494592</v>
      </c>
      <c r="S72" s="66"/>
      <c r="T72" s="85"/>
      <c r="U72" s="261"/>
      <c r="V72" s="131"/>
      <c r="W72" s="131"/>
      <c r="X72" s="131"/>
      <c r="Y72" s="125"/>
      <c r="Z72" s="126">
        <f>C72*$AI$2</f>
        <v>55389.745019494592</v>
      </c>
      <c r="AA72" s="66"/>
      <c r="AB72" s="67"/>
      <c r="AC72" s="248"/>
      <c r="AD72" s="109"/>
      <c r="AE72" s="250"/>
      <c r="AF72" s="120"/>
      <c r="AG72" s="242"/>
      <c r="AH72" s="239"/>
      <c r="AI72" s="240">
        <f>C72*$AI$3</f>
        <v>18463.248339831534</v>
      </c>
    </row>
    <row r="73" spans="1:35" s="2" customFormat="1" x14ac:dyDescent="0.25">
      <c r="A73" s="9" t="s">
        <v>125</v>
      </c>
      <c r="B73" s="101" t="s">
        <v>108</v>
      </c>
      <c r="C73" s="17">
        <f>'[1]Parte B'!$G$126*0.835</f>
        <v>296082.96370648016</v>
      </c>
      <c r="D73" s="20">
        <f>C73/$C$40</f>
        <v>2.2830683919567329E-2</v>
      </c>
      <c r="E73" s="20"/>
      <c r="F73" s="41"/>
      <c r="G73" s="56"/>
      <c r="H73" s="30"/>
      <c r="I73" s="30"/>
      <c r="J73" s="30"/>
      <c r="K73" s="30"/>
      <c r="L73" s="37"/>
      <c r="M73" s="51"/>
      <c r="N73" s="51"/>
      <c r="O73" s="28"/>
      <c r="P73" s="28"/>
      <c r="Q73" s="41"/>
      <c r="R73" s="70"/>
      <c r="S73" s="71"/>
      <c r="T73" s="87"/>
      <c r="U73" s="80"/>
      <c r="V73" s="41"/>
      <c r="W73" s="41"/>
      <c r="X73" s="41"/>
      <c r="Y73" s="42"/>
      <c r="Z73" s="70"/>
      <c r="AA73" s="71"/>
      <c r="AB73" s="72"/>
      <c r="AC73" s="40"/>
      <c r="AD73" s="30"/>
      <c r="AE73" s="37"/>
      <c r="AF73" s="122"/>
      <c r="AG73" s="29"/>
      <c r="AH73" s="30"/>
      <c r="AI73" s="70"/>
    </row>
    <row r="74" spans="1:35" ht="15" customHeight="1" outlineLevel="1" x14ac:dyDescent="0.25">
      <c r="A74" s="10"/>
      <c r="B74" s="14" t="s">
        <v>109</v>
      </c>
      <c r="C74" s="91">
        <f>C73</f>
        <v>296082.96370648016</v>
      </c>
      <c r="D74" s="22">
        <f>C74/C73</f>
        <v>1</v>
      </c>
      <c r="E74" s="276" t="s">
        <v>178</v>
      </c>
      <c r="F74" s="34"/>
      <c r="G74" s="34"/>
      <c r="H74" s="34"/>
      <c r="I74" s="89">
        <f>C74*$AI$2</f>
        <v>88824.889111944052</v>
      </c>
      <c r="J74" s="111"/>
      <c r="K74" s="111"/>
      <c r="L74" s="253"/>
      <c r="M74" s="254"/>
      <c r="N74" s="254"/>
      <c r="O74" s="255"/>
      <c r="P74" s="255"/>
      <c r="Q74" s="111"/>
      <c r="R74" s="108">
        <f>C74*$AI$2</f>
        <v>88824.889111944052</v>
      </c>
      <c r="S74" s="66"/>
      <c r="T74" s="85"/>
      <c r="U74" s="261"/>
      <c r="V74" s="131"/>
      <c r="W74" s="131"/>
      <c r="X74" s="131"/>
      <c r="Y74" s="125"/>
      <c r="Z74" s="126">
        <f>C74*$AI$2</f>
        <v>88824.889111944052</v>
      </c>
      <c r="AA74" s="66"/>
      <c r="AB74" s="67"/>
      <c r="AC74" s="248"/>
      <c r="AD74" s="109"/>
      <c r="AE74" s="250"/>
      <c r="AF74" s="120"/>
      <c r="AG74" s="242"/>
      <c r="AH74" s="239"/>
      <c r="AI74" s="240">
        <f>C74*$AI$3</f>
        <v>29608.296370648019</v>
      </c>
    </row>
    <row r="75" spans="1:35" x14ac:dyDescent="0.25">
      <c r="A75" s="9" t="s">
        <v>126</v>
      </c>
      <c r="B75" s="101" t="s">
        <v>110</v>
      </c>
      <c r="C75" s="17">
        <f>'[1]Parte B'!$G$110*0.835</f>
        <v>276345.32296028209</v>
      </c>
      <c r="D75" s="20">
        <f>C75/$C$40</f>
        <v>2.1308732667954137E-2</v>
      </c>
      <c r="E75" s="20"/>
      <c r="F75" s="41"/>
      <c r="G75" s="56"/>
      <c r="H75" s="30"/>
      <c r="I75" s="30"/>
      <c r="J75" s="30"/>
      <c r="K75" s="30"/>
      <c r="L75" s="37"/>
      <c r="M75" s="51"/>
      <c r="N75" s="51"/>
      <c r="O75" s="28"/>
      <c r="P75" s="28"/>
      <c r="Q75" s="41"/>
      <c r="R75" s="70"/>
      <c r="S75" s="71"/>
      <c r="T75" s="87"/>
      <c r="U75" s="80"/>
      <c r="V75" s="41"/>
      <c r="W75" s="41"/>
      <c r="X75" s="41"/>
      <c r="Y75" s="42"/>
      <c r="Z75" s="70"/>
      <c r="AA75" s="71"/>
      <c r="AB75" s="72"/>
      <c r="AC75" s="40"/>
      <c r="AD75" s="30"/>
      <c r="AE75" s="37"/>
      <c r="AF75" s="122"/>
      <c r="AG75" s="29"/>
      <c r="AH75" s="30"/>
      <c r="AI75" s="70"/>
    </row>
    <row r="76" spans="1:35" ht="15" customHeight="1" outlineLevel="1" x14ac:dyDescent="0.25">
      <c r="A76" s="10"/>
      <c r="B76" s="14" t="s">
        <v>111</v>
      </c>
      <c r="C76" s="91">
        <f>C75</f>
        <v>276345.32296028209</v>
      </c>
      <c r="D76" s="22">
        <f>C76/C75</f>
        <v>1</v>
      </c>
      <c r="E76" s="276" t="s">
        <v>178</v>
      </c>
      <c r="F76" s="34"/>
      <c r="G76" s="34"/>
      <c r="H76" s="34"/>
      <c r="I76" s="89">
        <f>C76*$AI$2</f>
        <v>82903.596888084619</v>
      </c>
      <c r="J76" s="111"/>
      <c r="K76" s="111"/>
      <c r="L76" s="253"/>
      <c r="M76" s="254"/>
      <c r="N76" s="254"/>
      <c r="O76" s="255"/>
      <c r="P76" s="255"/>
      <c r="Q76" s="111"/>
      <c r="R76" s="108">
        <f>C76*$AI$2</f>
        <v>82903.596888084619</v>
      </c>
      <c r="S76" s="66"/>
      <c r="T76" s="85"/>
      <c r="U76" s="261"/>
      <c r="V76" s="131"/>
      <c r="W76" s="131"/>
      <c r="X76" s="131"/>
      <c r="Y76" s="125"/>
      <c r="Z76" s="126">
        <f>C76*$AI$2</f>
        <v>82903.596888084619</v>
      </c>
      <c r="AA76" s="66"/>
      <c r="AB76" s="67"/>
      <c r="AC76" s="248"/>
      <c r="AD76" s="109"/>
      <c r="AE76" s="250"/>
      <c r="AF76" s="120"/>
      <c r="AG76" s="242"/>
      <c r="AH76" s="239"/>
      <c r="AI76" s="240">
        <f>C76*$AI$3</f>
        <v>27634.53229602821</v>
      </c>
    </row>
    <row r="77" spans="1:35" x14ac:dyDescent="0.25">
      <c r="A77" s="9" t="s">
        <v>127</v>
      </c>
      <c r="B77" s="101" t="s">
        <v>28</v>
      </c>
      <c r="C77" s="16">
        <f>('[1]Parte B'!$G$37+'[1]Parte B'!$G$85)+('[1]Parte B'!$G$126*0.15)+('[1]Parte B'!$G$110*0.15)</f>
        <v>307968.4770455666</v>
      </c>
      <c r="D77" s="20">
        <f>C77/$C$40</f>
        <v>2.3747164877706783E-2</v>
      </c>
      <c r="E77" s="20"/>
      <c r="F77" s="30"/>
      <c r="G77" s="30"/>
      <c r="H77" s="30"/>
      <c r="I77" s="30"/>
      <c r="J77" s="30"/>
      <c r="K77" s="30"/>
      <c r="L77" s="37"/>
      <c r="M77" s="51"/>
      <c r="N77" s="51"/>
      <c r="O77" s="28"/>
      <c r="P77" s="28"/>
      <c r="Q77" s="41"/>
      <c r="R77" s="70"/>
      <c r="S77" s="71"/>
      <c r="T77" s="87"/>
      <c r="U77" s="80"/>
      <c r="V77" s="41"/>
      <c r="W77" s="41"/>
      <c r="X77" s="41"/>
      <c r="Y77" s="42"/>
      <c r="Z77" s="70"/>
      <c r="AA77" s="71"/>
      <c r="AB77" s="72"/>
      <c r="AC77" s="40"/>
      <c r="AD77" s="30"/>
      <c r="AE77" s="37"/>
      <c r="AF77" s="122"/>
      <c r="AG77" s="29"/>
      <c r="AH77" s="30"/>
      <c r="AI77" s="70"/>
    </row>
    <row r="78" spans="1:35" ht="45" customHeight="1" outlineLevel="1" x14ac:dyDescent="0.25">
      <c r="A78" s="10"/>
      <c r="B78" s="174" t="s">
        <v>47</v>
      </c>
      <c r="C78" s="93">
        <f>$C$77*0.6</f>
        <v>184781.08622733995</v>
      </c>
      <c r="D78" s="22">
        <f>C78/C77</f>
        <v>0.6</v>
      </c>
      <c r="E78" s="276" t="s">
        <v>178</v>
      </c>
      <c r="F78" s="34"/>
      <c r="G78" s="34"/>
      <c r="H78" s="34"/>
      <c r="I78" s="89">
        <f>C78*$AI$2</f>
        <v>55434.325868201988</v>
      </c>
      <c r="J78" s="111"/>
      <c r="K78" s="111"/>
      <c r="L78" s="253"/>
      <c r="M78" s="254"/>
      <c r="N78" s="254"/>
      <c r="O78" s="255"/>
      <c r="P78" s="255"/>
      <c r="Q78" s="111"/>
      <c r="R78" s="108">
        <f>C78*$AI$2</f>
        <v>55434.325868201988</v>
      </c>
      <c r="S78" s="66"/>
      <c r="T78" s="85"/>
      <c r="U78" s="261"/>
      <c r="V78" s="131"/>
      <c r="W78" s="131"/>
      <c r="X78" s="131"/>
      <c r="Y78" s="125"/>
      <c r="Z78" s="126">
        <f>C78*$AI$2</f>
        <v>55434.325868201988</v>
      </c>
      <c r="AA78" s="66"/>
      <c r="AB78" s="67"/>
      <c r="AC78" s="248"/>
      <c r="AD78" s="109"/>
      <c r="AE78" s="250"/>
      <c r="AF78" s="120"/>
      <c r="AG78" s="242"/>
      <c r="AH78" s="239"/>
      <c r="AI78" s="240">
        <f>C78*$AI$3</f>
        <v>18478.108622733995</v>
      </c>
    </row>
    <row r="79" spans="1:35" ht="15" customHeight="1" outlineLevel="1" x14ac:dyDescent="0.25">
      <c r="A79" s="10"/>
      <c r="B79" s="14" t="s">
        <v>28</v>
      </c>
      <c r="C79" s="93">
        <f>$C$77*0.4</f>
        <v>123187.39081822665</v>
      </c>
      <c r="D79" s="22">
        <f>C79/C77</f>
        <v>0.4</v>
      </c>
      <c r="E79" s="276" t="s">
        <v>178</v>
      </c>
      <c r="F79" s="34"/>
      <c r="G79" s="34"/>
      <c r="H79" s="34"/>
      <c r="I79" s="89">
        <f>C79*$AI$2</f>
        <v>36956.217245467989</v>
      </c>
      <c r="J79" s="111"/>
      <c r="K79" s="111"/>
      <c r="L79" s="253"/>
      <c r="M79" s="254"/>
      <c r="N79" s="254"/>
      <c r="O79" s="255"/>
      <c r="P79" s="255"/>
      <c r="Q79" s="111"/>
      <c r="R79" s="108">
        <f>C79*$AI$2</f>
        <v>36956.217245467989</v>
      </c>
      <c r="S79" s="66"/>
      <c r="T79" s="85"/>
      <c r="U79" s="261"/>
      <c r="V79" s="131"/>
      <c r="W79" s="131"/>
      <c r="X79" s="131"/>
      <c r="Y79" s="125"/>
      <c r="Z79" s="126">
        <f>C79*$AI$2</f>
        <v>36956.217245467989</v>
      </c>
      <c r="AA79" s="66"/>
      <c r="AB79" s="67"/>
      <c r="AC79" s="248"/>
      <c r="AD79" s="109"/>
      <c r="AE79" s="250"/>
      <c r="AF79" s="120"/>
      <c r="AG79" s="242"/>
      <c r="AH79" s="239"/>
      <c r="AI79" s="240">
        <f>C79*$AI$3</f>
        <v>12318.739081822665</v>
      </c>
    </row>
    <row r="80" spans="1:35" x14ac:dyDescent="0.25">
      <c r="A80" s="8">
        <v>3</v>
      </c>
      <c r="B80" s="180" t="s">
        <v>8</v>
      </c>
      <c r="C80" s="15">
        <f>C81+C83+C86+C88</f>
        <v>1215712.1711661555</v>
      </c>
      <c r="D80" s="19">
        <f>D81+D83+D86+D88</f>
        <v>1.0000000000000002</v>
      </c>
      <c r="E80" s="19"/>
      <c r="F80" s="30"/>
      <c r="G80" s="80"/>
      <c r="H80" s="41"/>
      <c r="I80" s="41"/>
      <c r="J80" s="41"/>
      <c r="K80" s="30"/>
      <c r="L80" s="37"/>
      <c r="M80" s="51"/>
      <c r="N80" s="51"/>
      <c r="O80" s="28"/>
      <c r="P80" s="28"/>
      <c r="Q80" s="41"/>
      <c r="R80" s="70"/>
      <c r="S80" s="71"/>
      <c r="T80" s="87"/>
      <c r="U80" s="80"/>
      <c r="V80" s="41"/>
      <c r="W80" s="41"/>
      <c r="X80" s="41"/>
      <c r="Y80" s="42"/>
      <c r="Z80" s="70"/>
      <c r="AA80" s="71"/>
      <c r="AB80" s="72"/>
      <c r="AC80" s="40"/>
      <c r="AD80" s="30"/>
      <c r="AE80" s="37"/>
      <c r="AF80" s="122"/>
      <c r="AG80" s="29"/>
      <c r="AH80" s="30"/>
      <c r="AI80" s="70"/>
    </row>
    <row r="81" spans="1:35" x14ac:dyDescent="0.25">
      <c r="A81" s="9" t="s">
        <v>128</v>
      </c>
      <c r="B81" s="101" t="s">
        <v>7</v>
      </c>
      <c r="C81" s="16">
        <f>'[1]Parte B'!$G$72*0.15</f>
        <v>142126.69774292395</v>
      </c>
      <c r="D81" s="20">
        <f>C81/$C$80</f>
        <v>0.11690818033563885</v>
      </c>
      <c r="E81" s="20"/>
      <c r="F81" s="30"/>
      <c r="G81" s="30"/>
      <c r="H81" s="30"/>
      <c r="I81" s="30"/>
      <c r="J81" s="30"/>
      <c r="K81" s="30"/>
      <c r="L81" s="37"/>
      <c r="M81" s="51"/>
      <c r="N81" s="51"/>
      <c r="O81" s="28"/>
      <c r="P81" s="28"/>
      <c r="Q81" s="41"/>
      <c r="R81" s="70"/>
      <c r="S81" s="71"/>
      <c r="T81" s="87"/>
      <c r="U81" s="80"/>
      <c r="V81" s="41"/>
      <c r="W81" s="41"/>
      <c r="X81" s="41"/>
      <c r="Y81" s="42"/>
      <c r="Z81" s="70"/>
      <c r="AA81" s="71"/>
      <c r="AB81" s="72"/>
      <c r="AC81" s="40"/>
      <c r="AD81" s="30"/>
      <c r="AE81" s="37"/>
      <c r="AF81" s="122"/>
      <c r="AG81" s="29"/>
      <c r="AH81" s="30"/>
      <c r="AI81" s="70"/>
    </row>
    <row r="82" spans="1:35" ht="15" customHeight="1" outlineLevel="1" x14ac:dyDescent="0.25">
      <c r="A82" s="10"/>
      <c r="B82" s="14" t="s">
        <v>24</v>
      </c>
      <c r="C82" s="92">
        <f>C81</f>
        <v>142126.69774292395</v>
      </c>
      <c r="D82" s="22">
        <f>C82/C81</f>
        <v>1</v>
      </c>
      <c r="E82" s="276" t="s">
        <v>178</v>
      </c>
      <c r="F82" s="89">
        <f>C82*$AI$2</f>
        <v>42638.00932287718</v>
      </c>
      <c r="G82" s="267"/>
      <c r="H82" s="111"/>
      <c r="I82" s="111"/>
      <c r="J82" s="111"/>
      <c r="K82" s="111"/>
      <c r="L82" s="111"/>
      <c r="M82" s="111"/>
      <c r="N82" s="111"/>
      <c r="O82" s="255"/>
      <c r="P82" s="255"/>
      <c r="Q82" s="111"/>
      <c r="R82" s="108">
        <f>C82*$AI$2</f>
        <v>42638.00932287718</v>
      </c>
      <c r="S82" s="66"/>
      <c r="T82" s="85"/>
      <c r="U82" s="261"/>
      <c r="V82" s="131"/>
      <c r="W82" s="131"/>
      <c r="X82" s="131"/>
      <c r="Y82" s="125"/>
      <c r="Z82" s="126">
        <f>C82*$AI$2</f>
        <v>42638.00932287718</v>
      </c>
      <c r="AA82" s="66"/>
      <c r="AB82" s="67"/>
      <c r="AC82" s="248"/>
      <c r="AD82" s="109"/>
      <c r="AE82" s="250"/>
      <c r="AF82" s="120"/>
      <c r="AG82" s="242"/>
      <c r="AH82" s="239"/>
      <c r="AI82" s="240">
        <f>C82*$AI$3</f>
        <v>14212.669774292395</v>
      </c>
    </row>
    <row r="83" spans="1:35" x14ac:dyDescent="0.25">
      <c r="A83" s="9" t="s">
        <v>129</v>
      </c>
      <c r="B83" s="101" t="s">
        <v>13</v>
      </c>
      <c r="C83" s="16">
        <f>'[1]Parte B'!$G$56</f>
        <v>268200.85287999589</v>
      </c>
      <c r="D83" s="20">
        <f>C83/$C$80</f>
        <v>0.22061213109574107</v>
      </c>
      <c r="E83" s="20"/>
      <c r="F83" s="30"/>
      <c r="G83" s="30"/>
      <c r="H83" s="30"/>
      <c r="I83" s="30"/>
      <c r="J83" s="30"/>
      <c r="K83" s="30"/>
      <c r="L83" s="30"/>
      <c r="M83" s="51"/>
      <c r="N83" s="51"/>
      <c r="O83" s="28"/>
      <c r="P83" s="28"/>
      <c r="Q83" s="41"/>
      <c r="R83" s="70"/>
      <c r="S83" s="71"/>
      <c r="T83" s="87"/>
      <c r="U83" s="80"/>
      <c r="V83" s="41"/>
      <c r="W83" s="41"/>
      <c r="X83" s="41"/>
      <c r="Y83" s="42"/>
      <c r="Z83" s="70"/>
      <c r="AA83" s="71"/>
      <c r="AB83" s="72"/>
      <c r="AC83" s="43"/>
      <c r="AD83" s="41"/>
      <c r="AE83" s="42"/>
      <c r="AF83" s="122"/>
      <c r="AG83" s="80"/>
      <c r="AH83" s="41"/>
      <c r="AI83" s="70"/>
    </row>
    <row r="84" spans="1:35" ht="15" customHeight="1" outlineLevel="1" x14ac:dyDescent="0.25">
      <c r="A84" s="10"/>
      <c r="B84" s="14" t="s">
        <v>11</v>
      </c>
      <c r="C84" s="92">
        <f>$C$83*0.5</f>
        <v>134100.42643999794</v>
      </c>
      <c r="D84" s="22">
        <f>C84/$C$83</f>
        <v>0.5</v>
      </c>
      <c r="E84" s="276" t="s">
        <v>178</v>
      </c>
      <c r="F84" s="34"/>
      <c r="G84" s="34"/>
      <c r="H84" s="34"/>
      <c r="I84" s="34"/>
      <c r="J84" s="89">
        <f>C84*$AI$2</f>
        <v>40230.127931999385</v>
      </c>
      <c r="K84" s="111"/>
      <c r="L84" s="253"/>
      <c r="M84" s="254"/>
      <c r="N84" s="254"/>
      <c r="O84" s="255"/>
      <c r="P84" s="255"/>
      <c r="Q84" s="111"/>
      <c r="R84" s="108">
        <f>C84*$AI$2</f>
        <v>40230.127931999385</v>
      </c>
      <c r="S84" s="66"/>
      <c r="T84" s="85"/>
      <c r="U84" s="261"/>
      <c r="V84" s="131"/>
      <c r="W84" s="131"/>
      <c r="X84" s="131"/>
      <c r="Y84" s="125"/>
      <c r="Z84" s="126">
        <f>C84*$AI$2</f>
        <v>40230.127931999385</v>
      </c>
      <c r="AA84" s="66"/>
      <c r="AB84" s="67"/>
      <c r="AC84" s="248"/>
      <c r="AD84" s="109"/>
      <c r="AE84" s="250"/>
      <c r="AF84" s="120"/>
      <c r="AG84" s="242"/>
      <c r="AH84" s="239"/>
      <c r="AI84" s="240">
        <f>C84*$AI$3</f>
        <v>13410.042643999795</v>
      </c>
    </row>
    <row r="85" spans="1:35" ht="15" customHeight="1" outlineLevel="1" x14ac:dyDescent="0.25">
      <c r="A85" s="10"/>
      <c r="B85" s="14" t="s">
        <v>12</v>
      </c>
      <c r="C85" s="92">
        <f>$C$83*0.5</f>
        <v>134100.42643999794</v>
      </c>
      <c r="D85" s="22">
        <f>C85/$C$83</f>
        <v>0.5</v>
      </c>
      <c r="E85" s="276" t="s">
        <v>178</v>
      </c>
      <c r="F85" s="34"/>
      <c r="G85" s="34"/>
      <c r="H85" s="34"/>
      <c r="I85" s="34"/>
      <c r="J85" s="89">
        <f>C85*$AI$2</f>
        <v>40230.127931999385</v>
      </c>
      <c r="K85" s="111"/>
      <c r="L85" s="253"/>
      <c r="M85" s="254"/>
      <c r="N85" s="254"/>
      <c r="O85" s="255"/>
      <c r="P85" s="255"/>
      <c r="Q85" s="111"/>
      <c r="R85" s="108">
        <f>C85*$AI$2</f>
        <v>40230.127931999385</v>
      </c>
      <c r="S85" s="66"/>
      <c r="T85" s="85"/>
      <c r="U85" s="261"/>
      <c r="V85" s="131"/>
      <c r="W85" s="131"/>
      <c r="X85" s="131"/>
      <c r="Y85" s="125"/>
      <c r="Z85" s="126">
        <f>C85*$AI$2</f>
        <v>40230.127931999385</v>
      </c>
      <c r="AA85" s="66"/>
      <c r="AB85" s="67"/>
      <c r="AC85" s="248"/>
      <c r="AD85" s="109"/>
      <c r="AE85" s="250"/>
      <c r="AF85" s="120"/>
      <c r="AG85" s="242"/>
      <c r="AH85" s="239"/>
      <c r="AI85" s="240">
        <f>C85*$AI$3</f>
        <v>13410.042643999795</v>
      </c>
    </row>
    <row r="86" spans="1:35" x14ac:dyDescent="0.25">
      <c r="A86" s="9" t="s">
        <v>130</v>
      </c>
      <c r="B86" s="101" t="s">
        <v>14</v>
      </c>
      <c r="C86" s="16">
        <f>'[1]Parte B'!$G$72*0.4</f>
        <v>379004.52731446392</v>
      </c>
      <c r="D86" s="20">
        <f>C86/$C$80</f>
        <v>0.31175514756170364</v>
      </c>
      <c r="E86" s="20"/>
      <c r="F86" s="29"/>
      <c r="G86" s="30"/>
      <c r="H86" s="41"/>
      <c r="I86" s="30"/>
      <c r="J86" s="30"/>
      <c r="K86" s="30"/>
      <c r="L86" s="37"/>
      <c r="M86" s="51"/>
      <c r="N86" s="51"/>
      <c r="O86" s="28"/>
      <c r="P86" s="28"/>
      <c r="Q86" s="41"/>
      <c r="R86" s="70"/>
      <c r="S86" s="71"/>
      <c r="T86" s="87"/>
      <c r="U86" s="80"/>
      <c r="V86" s="41"/>
      <c r="W86" s="41"/>
      <c r="X86" s="41"/>
      <c r="Y86" s="42"/>
      <c r="Z86" s="70"/>
      <c r="AA86" s="71"/>
      <c r="AB86" s="72"/>
      <c r="AC86" s="43"/>
      <c r="AD86" s="41"/>
      <c r="AE86" s="42"/>
      <c r="AF86" s="122"/>
      <c r="AG86" s="80"/>
      <c r="AH86" s="41"/>
      <c r="AI86" s="70"/>
    </row>
    <row r="87" spans="1:35" ht="15" customHeight="1" outlineLevel="1" x14ac:dyDescent="0.25">
      <c r="A87" s="10"/>
      <c r="B87" s="14" t="s">
        <v>15</v>
      </c>
      <c r="C87" s="92">
        <f>C86</f>
        <v>379004.52731446392</v>
      </c>
      <c r="D87" s="22">
        <f>C87/C86</f>
        <v>1</v>
      </c>
      <c r="E87" s="276" t="s">
        <v>178</v>
      </c>
      <c r="F87" s="34"/>
      <c r="G87" s="34"/>
      <c r="H87" s="34"/>
      <c r="I87" s="34"/>
      <c r="J87" s="34"/>
      <c r="K87" s="89">
        <f>C87*$AI$2</f>
        <v>113701.35819433918</v>
      </c>
      <c r="L87" s="253"/>
      <c r="M87" s="254"/>
      <c r="N87" s="254"/>
      <c r="O87" s="255"/>
      <c r="P87" s="255"/>
      <c r="Q87" s="111"/>
      <c r="R87" s="108">
        <f>C87*$AI$2</f>
        <v>113701.35819433918</v>
      </c>
      <c r="S87" s="66"/>
      <c r="T87" s="85"/>
      <c r="U87" s="261"/>
      <c r="V87" s="131"/>
      <c r="W87" s="131"/>
      <c r="X87" s="131"/>
      <c r="Y87" s="125"/>
      <c r="Z87" s="126">
        <f>C87*$AI$2</f>
        <v>113701.35819433918</v>
      </c>
      <c r="AA87" s="66"/>
      <c r="AB87" s="67"/>
      <c r="AC87" s="248"/>
      <c r="AD87" s="109"/>
      <c r="AE87" s="250"/>
      <c r="AF87" s="120"/>
      <c r="AG87" s="242"/>
      <c r="AH87" s="239"/>
      <c r="AI87" s="240">
        <f>C87*$AI$3</f>
        <v>37900.452731446392</v>
      </c>
    </row>
    <row r="88" spans="1:35" x14ac:dyDescent="0.25">
      <c r="A88" s="9" t="s">
        <v>131</v>
      </c>
      <c r="B88" s="101" t="s">
        <v>28</v>
      </c>
      <c r="C88" s="16">
        <f>'[1]Parte B'!$G$72*0.45</f>
        <v>426380.09322877193</v>
      </c>
      <c r="D88" s="20">
        <f>C88/$C$80</f>
        <v>0.35072454100691663</v>
      </c>
      <c r="E88" s="20"/>
      <c r="F88" s="29"/>
      <c r="G88" s="30"/>
      <c r="H88" s="30"/>
      <c r="I88" s="30"/>
      <c r="K88" s="30"/>
      <c r="L88" s="37"/>
      <c r="M88" s="51"/>
      <c r="N88" s="51"/>
      <c r="O88" s="28"/>
      <c r="P88" s="28"/>
      <c r="Q88" s="41"/>
      <c r="R88" s="70"/>
      <c r="S88" s="71"/>
      <c r="T88" s="87"/>
      <c r="U88" s="80"/>
      <c r="V88" s="41"/>
      <c r="W88" s="41"/>
      <c r="X88" s="41"/>
      <c r="Y88" s="42"/>
      <c r="Z88" s="70"/>
      <c r="AA88" s="71"/>
      <c r="AB88" s="72"/>
      <c r="AC88" s="43"/>
      <c r="AD88" s="41"/>
      <c r="AE88" s="42"/>
      <c r="AF88" s="122"/>
      <c r="AG88" s="80"/>
      <c r="AH88" s="41"/>
      <c r="AI88" s="70"/>
    </row>
    <row r="89" spans="1:35" ht="15" customHeight="1" outlineLevel="1" x14ac:dyDescent="0.25">
      <c r="A89" s="10"/>
      <c r="B89" s="14" t="s">
        <v>28</v>
      </c>
      <c r="C89" s="92">
        <f>C88</f>
        <v>426380.09322877193</v>
      </c>
      <c r="D89" s="22">
        <f>C89/C88</f>
        <v>1</v>
      </c>
      <c r="E89" s="276" t="s">
        <v>178</v>
      </c>
      <c r="F89" s="34"/>
      <c r="G89" s="34"/>
      <c r="H89" s="34"/>
      <c r="I89" s="34"/>
      <c r="J89" s="34"/>
      <c r="K89" s="89">
        <f>C89*$AI$2</f>
        <v>127914.02796863158</v>
      </c>
      <c r="L89" s="253"/>
      <c r="M89" s="254"/>
      <c r="N89" s="254"/>
      <c r="O89" s="255"/>
      <c r="P89" s="255"/>
      <c r="Q89" s="111"/>
      <c r="R89" s="108">
        <f>C89*$AI$2</f>
        <v>127914.02796863158</v>
      </c>
      <c r="S89" s="66"/>
      <c r="T89" s="85"/>
      <c r="U89" s="261"/>
      <c r="V89" s="131"/>
      <c r="W89" s="131"/>
      <c r="X89" s="131"/>
      <c r="Y89" s="125"/>
      <c r="Z89" s="126">
        <f>C89*$AI$2</f>
        <v>127914.02796863158</v>
      </c>
      <c r="AA89" s="66"/>
      <c r="AB89" s="67"/>
      <c r="AC89" s="248"/>
      <c r="AD89" s="109"/>
      <c r="AE89" s="250"/>
      <c r="AF89" s="120"/>
      <c r="AG89" s="242"/>
      <c r="AH89" s="239"/>
      <c r="AI89" s="240">
        <f>C89*$AI$3</f>
        <v>42638.009322877195</v>
      </c>
    </row>
    <row r="90" spans="1:35" x14ac:dyDescent="0.25">
      <c r="A90" s="8">
        <v>4</v>
      </c>
      <c r="B90" s="180" t="s">
        <v>9</v>
      </c>
      <c r="C90" s="15">
        <f>C2*0.1</f>
        <v>345769.51081043709</v>
      </c>
      <c r="D90" s="19">
        <f>D91+D95+D97+D99</f>
        <v>1</v>
      </c>
      <c r="E90" s="19"/>
      <c r="F90" s="29"/>
      <c r="G90" s="41"/>
      <c r="H90" s="41"/>
      <c r="I90" s="41"/>
      <c r="J90" s="41"/>
      <c r="K90" s="41"/>
      <c r="L90" s="42"/>
      <c r="M90" s="51"/>
      <c r="N90" s="51"/>
      <c r="O90" s="28"/>
      <c r="P90" s="28"/>
      <c r="Q90" s="41"/>
      <c r="R90" s="70"/>
      <c r="S90" s="71"/>
      <c r="T90" s="87"/>
      <c r="U90" s="80"/>
      <c r="V90" s="41"/>
      <c r="W90" s="41"/>
      <c r="X90" s="41"/>
      <c r="Y90" s="42"/>
      <c r="Z90" s="70"/>
      <c r="AA90" s="71"/>
      <c r="AB90" s="72"/>
      <c r="AC90" s="43"/>
      <c r="AD90" s="41"/>
      <c r="AE90" s="42"/>
      <c r="AF90" s="122"/>
      <c r="AG90" s="80"/>
      <c r="AH90" s="41"/>
      <c r="AI90" s="70"/>
    </row>
    <row r="91" spans="1:35" x14ac:dyDescent="0.25">
      <c r="A91" s="9" t="s">
        <v>132</v>
      </c>
      <c r="B91" s="101" t="s">
        <v>7</v>
      </c>
      <c r="C91" s="16">
        <f>C90*0.03</f>
        <v>10373.085324313111</v>
      </c>
      <c r="D91" s="20">
        <f>C91/$C$90</f>
        <v>2.9999999999999995E-2</v>
      </c>
      <c r="E91" s="20"/>
      <c r="F91" s="29"/>
      <c r="G91" s="88"/>
      <c r="H91" s="41"/>
      <c r="I91" s="41"/>
      <c r="J91" s="41"/>
      <c r="K91" s="41"/>
      <c r="L91" s="42"/>
      <c r="M91" s="51"/>
      <c r="N91" s="51"/>
      <c r="O91" s="28"/>
      <c r="P91" s="28"/>
      <c r="Q91" s="41"/>
      <c r="R91" s="70"/>
      <c r="S91" s="71"/>
      <c r="T91" s="87"/>
      <c r="U91" s="80"/>
      <c r="V91" s="41"/>
      <c r="W91" s="41"/>
      <c r="X91" s="41"/>
      <c r="Y91" s="42"/>
      <c r="Z91" s="70"/>
      <c r="AA91" s="71"/>
      <c r="AB91" s="72"/>
      <c r="AC91" s="43"/>
      <c r="AD91" s="41"/>
      <c r="AE91" s="42"/>
      <c r="AF91" s="122"/>
      <c r="AG91" s="80"/>
      <c r="AH91" s="41"/>
      <c r="AI91" s="70"/>
    </row>
    <row r="92" spans="1:35" ht="15" customHeight="1" outlineLevel="1" x14ac:dyDescent="0.25">
      <c r="A92" s="10"/>
      <c r="B92" s="14" t="s">
        <v>89</v>
      </c>
      <c r="C92" s="92">
        <f>$C$91/3</f>
        <v>3457.6951081043703</v>
      </c>
      <c r="D92" s="22">
        <f>C92/$C$91</f>
        <v>0.33333333333333331</v>
      </c>
      <c r="E92" s="276" t="s">
        <v>178</v>
      </c>
      <c r="F92" s="89">
        <f>C92*$AI$2</f>
        <v>1037.3085324313111</v>
      </c>
      <c r="G92" s="111"/>
      <c r="H92" s="111"/>
      <c r="I92" s="111"/>
      <c r="J92" s="111"/>
      <c r="K92" s="111"/>
      <c r="L92" s="253"/>
      <c r="M92" s="254"/>
      <c r="N92" s="254"/>
      <c r="O92" s="255"/>
      <c r="P92" s="255"/>
      <c r="Q92" s="111"/>
      <c r="R92" s="108">
        <f>C92*$AI$2</f>
        <v>1037.3085324313111</v>
      </c>
      <c r="S92" s="66"/>
      <c r="T92" s="85"/>
      <c r="U92" s="261"/>
      <c r="V92" s="131"/>
      <c r="W92" s="131"/>
      <c r="X92" s="131"/>
      <c r="Y92" s="125"/>
      <c r="Z92" s="126">
        <f>C92*$AI$2</f>
        <v>1037.3085324313111</v>
      </c>
      <c r="AA92" s="66"/>
      <c r="AB92" s="67"/>
      <c r="AC92" s="248"/>
      <c r="AD92" s="109"/>
      <c r="AE92" s="250"/>
      <c r="AF92" s="120"/>
      <c r="AG92" s="242"/>
      <c r="AH92" s="239"/>
      <c r="AI92" s="240">
        <f>C92*$AI$3</f>
        <v>345.76951081043705</v>
      </c>
    </row>
    <row r="93" spans="1:35" ht="15" customHeight="1" outlineLevel="1" x14ac:dyDescent="0.25">
      <c r="A93" s="10"/>
      <c r="B93" s="14" t="s">
        <v>101</v>
      </c>
      <c r="C93" s="92">
        <f t="shared" ref="C93:C94" si="17">$C$91/3</f>
        <v>3457.6951081043703</v>
      </c>
      <c r="D93" s="22">
        <f t="shared" ref="D93:D94" si="18">C93/$C$91</f>
        <v>0.33333333333333331</v>
      </c>
      <c r="E93" s="276" t="s">
        <v>178</v>
      </c>
      <c r="F93" s="89">
        <f>C93*$AI$2</f>
        <v>1037.3085324313111</v>
      </c>
      <c r="G93" s="111"/>
      <c r="H93" s="111"/>
      <c r="I93" s="111"/>
      <c r="J93" s="111"/>
      <c r="K93" s="111"/>
      <c r="L93" s="253"/>
      <c r="M93" s="254"/>
      <c r="N93" s="254"/>
      <c r="O93" s="255"/>
      <c r="P93" s="255"/>
      <c r="Q93" s="111"/>
      <c r="R93" s="108">
        <f>C93*$AI$2</f>
        <v>1037.3085324313111</v>
      </c>
      <c r="S93" s="66"/>
      <c r="T93" s="85"/>
      <c r="U93" s="261"/>
      <c r="V93" s="131"/>
      <c r="W93" s="131"/>
      <c r="X93" s="131"/>
      <c r="Y93" s="125"/>
      <c r="Z93" s="126">
        <f>C93*$AI$2</f>
        <v>1037.3085324313111</v>
      </c>
      <c r="AA93" s="66"/>
      <c r="AB93" s="67"/>
      <c r="AC93" s="248"/>
      <c r="AD93" s="109"/>
      <c r="AE93" s="250"/>
      <c r="AF93" s="120"/>
      <c r="AG93" s="242"/>
      <c r="AH93" s="239"/>
      <c r="AI93" s="240">
        <f>C93*$AI$3</f>
        <v>345.76951081043705</v>
      </c>
    </row>
    <row r="94" spans="1:35" ht="15" customHeight="1" outlineLevel="1" x14ac:dyDescent="0.25">
      <c r="A94" s="10"/>
      <c r="B94" s="14" t="s">
        <v>25</v>
      </c>
      <c r="C94" s="92">
        <f t="shared" si="17"/>
        <v>3457.6951081043703</v>
      </c>
      <c r="D94" s="22">
        <f t="shared" si="18"/>
        <v>0.33333333333333331</v>
      </c>
      <c r="E94" s="276" t="s">
        <v>178</v>
      </c>
      <c r="F94" s="89">
        <f>C94*$AI$2</f>
        <v>1037.3085324313111</v>
      </c>
      <c r="G94" s="111"/>
      <c r="H94" s="111"/>
      <c r="I94" s="111"/>
      <c r="J94" s="111"/>
      <c r="K94" s="111"/>
      <c r="L94" s="253"/>
      <c r="M94" s="254"/>
      <c r="N94" s="254"/>
      <c r="O94" s="255"/>
      <c r="P94" s="255"/>
      <c r="Q94" s="111"/>
      <c r="R94" s="108">
        <f>C94*$AI$2</f>
        <v>1037.3085324313111</v>
      </c>
      <c r="S94" s="66"/>
      <c r="T94" s="85"/>
      <c r="U94" s="261"/>
      <c r="V94" s="131"/>
      <c r="W94" s="131"/>
      <c r="X94" s="131"/>
      <c r="Y94" s="125"/>
      <c r="Z94" s="126">
        <f>C94*$AI$2</f>
        <v>1037.3085324313111</v>
      </c>
      <c r="AA94" s="66"/>
      <c r="AB94" s="67"/>
      <c r="AC94" s="248"/>
      <c r="AD94" s="109"/>
      <c r="AE94" s="250"/>
      <c r="AF94" s="120"/>
      <c r="AG94" s="242"/>
      <c r="AH94" s="239"/>
      <c r="AI94" s="240">
        <f>C94*$AI$3</f>
        <v>345.76951081043705</v>
      </c>
    </row>
    <row r="95" spans="1:35" x14ac:dyDescent="0.25">
      <c r="A95" s="9" t="s">
        <v>133</v>
      </c>
      <c r="B95" s="101" t="s">
        <v>113</v>
      </c>
      <c r="C95" s="23">
        <f>C90*0.6</f>
        <v>207461.70648626224</v>
      </c>
      <c r="D95" s="20">
        <f>C95/$C$90</f>
        <v>0.6</v>
      </c>
      <c r="E95" s="20"/>
      <c r="F95" s="29"/>
      <c r="G95" s="41"/>
      <c r="H95" s="56"/>
      <c r="I95" s="41"/>
      <c r="J95" s="41"/>
      <c r="K95" s="41"/>
      <c r="L95" s="42"/>
      <c r="M95" s="51"/>
      <c r="N95" s="51"/>
      <c r="O95" s="28"/>
      <c r="P95" s="28"/>
      <c r="Q95" s="41"/>
      <c r="R95" s="103"/>
      <c r="S95" s="71"/>
      <c r="T95" s="87"/>
      <c r="U95" s="80"/>
      <c r="V95" s="41"/>
      <c r="W95" s="41"/>
      <c r="X95" s="41"/>
      <c r="Y95" s="42"/>
      <c r="Z95" s="103"/>
      <c r="AA95" s="71"/>
      <c r="AB95" s="72"/>
      <c r="AC95" s="43"/>
      <c r="AD95" s="41"/>
      <c r="AE95" s="42"/>
      <c r="AF95" s="122"/>
      <c r="AG95" s="80"/>
      <c r="AH95" s="41"/>
      <c r="AI95" s="103"/>
    </row>
    <row r="96" spans="1:35" ht="30" customHeight="1" outlineLevel="1" x14ac:dyDescent="0.25">
      <c r="A96" s="10"/>
      <c r="B96" s="174" t="s">
        <v>32</v>
      </c>
      <c r="C96" s="94">
        <f>C95</f>
        <v>207461.70648626224</v>
      </c>
      <c r="D96" s="22">
        <f>C96/C95</f>
        <v>1</v>
      </c>
      <c r="E96" s="276" t="s">
        <v>178</v>
      </c>
      <c r="F96" s="24"/>
      <c r="G96" s="44"/>
      <c r="H96" s="56"/>
      <c r="I96" s="34"/>
      <c r="J96" s="34"/>
      <c r="K96" s="34"/>
      <c r="L96" s="89">
        <f>C96*$AI$2</f>
        <v>62238.511945878665</v>
      </c>
      <c r="M96" s="254"/>
      <c r="N96" s="254"/>
      <c r="O96" s="255"/>
      <c r="P96" s="255"/>
      <c r="Q96" s="111"/>
      <c r="R96" s="108">
        <f>C96*$AI$2</f>
        <v>62238.511945878665</v>
      </c>
      <c r="S96" s="66"/>
      <c r="T96" s="85"/>
      <c r="U96" s="261"/>
      <c r="V96" s="131"/>
      <c r="W96" s="131"/>
      <c r="X96" s="131"/>
      <c r="Y96" s="125"/>
      <c r="Z96" s="126">
        <f>C96*$AI$2</f>
        <v>62238.511945878665</v>
      </c>
      <c r="AA96" s="66"/>
      <c r="AB96" s="67"/>
      <c r="AC96" s="248"/>
      <c r="AD96" s="109"/>
      <c r="AE96" s="250"/>
      <c r="AF96" s="120"/>
      <c r="AG96" s="242"/>
      <c r="AH96" s="239"/>
      <c r="AI96" s="240">
        <f>C96*$AI$3</f>
        <v>20746.170648626226</v>
      </c>
    </row>
    <row r="97" spans="1:35" x14ac:dyDescent="0.25">
      <c r="A97" s="9" t="s">
        <v>134</v>
      </c>
      <c r="B97" s="101" t="s">
        <v>26</v>
      </c>
      <c r="C97" s="23">
        <f>C90*0.3</f>
        <v>103730.85324313112</v>
      </c>
      <c r="D97" s="20">
        <f>C97/$C$90</f>
        <v>0.3</v>
      </c>
      <c r="E97" s="20"/>
      <c r="F97" s="29"/>
      <c r="G97" s="41"/>
      <c r="H97" s="56"/>
      <c r="I97" s="41"/>
      <c r="J97" s="41"/>
      <c r="K97" s="41"/>
      <c r="L97" s="42"/>
      <c r="M97" s="51"/>
      <c r="N97" s="51"/>
      <c r="O97" s="28"/>
      <c r="P97" s="28"/>
      <c r="Q97" s="41"/>
      <c r="R97" s="70"/>
      <c r="S97" s="71"/>
      <c r="T97" s="87"/>
      <c r="U97" s="80"/>
      <c r="V97" s="41"/>
      <c r="W97" s="41"/>
      <c r="X97" s="41"/>
      <c r="Y97" s="42"/>
      <c r="Z97" s="70"/>
      <c r="AA97" s="71"/>
      <c r="AB97" s="72"/>
      <c r="AC97" s="43"/>
      <c r="AD97" s="41"/>
      <c r="AE97" s="42"/>
      <c r="AF97" s="122"/>
      <c r="AG97" s="80"/>
      <c r="AH97" s="41"/>
      <c r="AI97" s="70"/>
    </row>
    <row r="98" spans="1:35" ht="15" customHeight="1" outlineLevel="1" x14ac:dyDescent="0.25">
      <c r="A98" s="10"/>
      <c r="B98" s="14" t="s">
        <v>26</v>
      </c>
      <c r="C98" s="90">
        <f>C97</f>
        <v>103730.85324313112</v>
      </c>
      <c r="D98" s="22">
        <f>C98/C97</f>
        <v>1</v>
      </c>
      <c r="E98" s="276" t="s">
        <v>178</v>
      </c>
      <c r="F98" s="24"/>
      <c r="G98" s="44"/>
      <c r="H98" s="44"/>
      <c r="I98" s="34"/>
      <c r="J98" s="34"/>
      <c r="K98" s="34"/>
      <c r="L98" s="89">
        <f>C98*$AI$2</f>
        <v>31119.255972939332</v>
      </c>
      <c r="M98" s="254"/>
      <c r="N98" s="254"/>
      <c r="O98" s="255"/>
      <c r="P98" s="255"/>
      <c r="Q98" s="111"/>
      <c r="R98" s="108">
        <f>C98*$AI$2</f>
        <v>31119.255972939332</v>
      </c>
      <c r="S98" s="66"/>
      <c r="T98" s="85"/>
      <c r="U98" s="261"/>
      <c r="V98" s="131"/>
      <c r="W98" s="131"/>
      <c r="X98" s="131"/>
      <c r="Y98" s="125"/>
      <c r="Z98" s="126">
        <f>C98*$AI$2</f>
        <v>31119.255972939332</v>
      </c>
      <c r="AA98" s="66"/>
      <c r="AB98" s="67"/>
      <c r="AC98" s="248"/>
      <c r="AD98" s="109"/>
      <c r="AE98" s="250"/>
      <c r="AF98" s="120"/>
      <c r="AG98" s="242"/>
      <c r="AH98" s="239"/>
      <c r="AI98" s="240">
        <f>C98*$AI$3</f>
        <v>10373.085324313113</v>
      </c>
    </row>
    <row r="99" spans="1:35" x14ac:dyDescent="0.25">
      <c r="A99" s="9" t="s">
        <v>135</v>
      </c>
      <c r="B99" s="101" t="s">
        <v>28</v>
      </c>
      <c r="C99" s="16">
        <f>C90*0.07</f>
        <v>24203.8657567306</v>
      </c>
      <c r="D99" s="20">
        <f>C99/$C$90</f>
        <v>7.0000000000000007E-2</v>
      </c>
      <c r="E99" s="20"/>
      <c r="F99" s="80"/>
      <c r="G99" s="41"/>
      <c r="H99" s="41"/>
      <c r="I99" s="41"/>
      <c r="J99" s="41"/>
      <c r="K99" s="41"/>
      <c r="L99" s="42"/>
      <c r="M99" s="51"/>
      <c r="N99" s="51"/>
      <c r="O99" s="28"/>
      <c r="P99" s="28"/>
      <c r="Q99" s="41"/>
      <c r="R99" s="70"/>
      <c r="S99" s="71"/>
      <c r="T99" s="87"/>
      <c r="U99" s="80"/>
      <c r="V99" s="41"/>
      <c r="W99" s="41"/>
      <c r="X99" s="41"/>
      <c r="Y99" s="42"/>
      <c r="Z99" s="70"/>
      <c r="AA99" s="71"/>
      <c r="AB99" s="72"/>
      <c r="AC99" s="46"/>
      <c r="AD99" s="41"/>
      <c r="AE99" s="42"/>
      <c r="AF99" s="122"/>
      <c r="AG99" s="80"/>
      <c r="AH99" s="41"/>
      <c r="AI99" s="70"/>
    </row>
    <row r="100" spans="1:35" ht="15" customHeight="1" outlineLevel="1" x14ac:dyDescent="0.25">
      <c r="A100" s="10"/>
      <c r="B100" s="14" t="s">
        <v>28</v>
      </c>
      <c r="C100" s="92">
        <f>C99</f>
        <v>24203.8657567306</v>
      </c>
      <c r="D100" s="22">
        <f>C100/C99</f>
        <v>1</v>
      </c>
      <c r="E100" s="276" t="s">
        <v>178</v>
      </c>
      <c r="F100" s="78"/>
      <c r="G100" s="44"/>
      <c r="H100" s="44"/>
      <c r="I100" s="34"/>
      <c r="J100" s="34"/>
      <c r="K100" s="34"/>
      <c r="L100" s="89">
        <f>C100*$AI$2</f>
        <v>7261.1597270191796</v>
      </c>
      <c r="M100" s="254"/>
      <c r="N100" s="254"/>
      <c r="O100" s="255"/>
      <c r="P100" s="255"/>
      <c r="Q100" s="111"/>
      <c r="R100" s="108">
        <f>C100*$AI$2</f>
        <v>7261.1597270191796</v>
      </c>
      <c r="S100" s="66"/>
      <c r="T100" s="85"/>
      <c r="U100" s="261"/>
      <c r="V100" s="131"/>
      <c r="W100" s="131"/>
      <c r="X100" s="131"/>
      <c r="Y100" s="125"/>
      <c r="Z100" s="126">
        <f>C100*$AI$2</f>
        <v>7261.1597270191796</v>
      </c>
      <c r="AA100" s="66"/>
      <c r="AB100" s="67"/>
      <c r="AC100" s="248"/>
      <c r="AD100" s="109"/>
      <c r="AE100" s="250"/>
      <c r="AF100" s="120"/>
      <c r="AG100" s="242"/>
      <c r="AH100" s="239"/>
      <c r="AI100" s="240">
        <f>C100*$AI$3</f>
        <v>2420.3865756730602</v>
      </c>
    </row>
    <row r="101" spans="1:35" x14ac:dyDescent="0.25">
      <c r="A101" s="8">
        <v>5</v>
      </c>
      <c r="B101" s="180" t="s">
        <v>16</v>
      </c>
      <c r="C101" s="15">
        <f>C2*0.1</f>
        <v>345769.51081043709</v>
      </c>
      <c r="D101" s="19">
        <f>D102+D106+D108</f>
        <v>1</v>
      </c>
      <c r="E101" s="19"/>
      <c r="F101" s="80"/>
      <c r="G101" s="80"/>
      <c r="H101" s="41"/>
      <c r="I101" s="41"/>
      <c r="J101" s="41"/>
      <c r="K101" s="41"/>
      <c r="L101" s="42"/>
      <c r="M101" s="51"/>
      <c r="N101" s="51"/>
      <c r="O101" s="28"/>
      <c r="P101" s="28"/>
      <c r="Q101" s="41"/>
      <c r="R101" s="70"/>
      <c r="S101" s="71"/>
      <c r="T101" s="87"/>
      <c r="U101" s="80"/>
      <c r="V101" s="41"/>
      <c r="W101" s="41"/>
      <c r="X101" s="41"/>
      <c r="Y101" s="42"/>
      <c r="Z101" s="70"/>
      <c r="AA101" s="71"/>
      <c r="AB101" s="72"/>
      <c r="AC101" s="43"/>
      <c r="AD101" s="41"/>
      <c r="AE101" s="42"/>
      <c r="AF101" s="122"/>
      <c r="AG101" s="80"/>
      <c r="AH101" s="41"/>
      <c r="AI101" s="70"/>
    </row>
    <row r="102" spans="1:35" x14ac:dyDescent="0.25">
      <c r="A102" s="9" t="s">
        <v>136</v>
      </c>
      <c r="B102" s="101" t="s">
        <v>7</v>
      </c>
      <c r="C102" s="16">
        <f>C101*0.1</f>
        <v>34576.951081043713</v>
      </c>
      <c r="D102" s="20">
        <f>C102/$C$101</f>
        <v>0.10000000000000002</v>
      </c>
      <c r="E102" s="20"/>
      <c r="F102" s="80"/>
      <c r="G102" s="80"/>
      <c r="H102" s="88"/>
      <c r="I102" s="41"/>
      <c r="J102" s="41"/>
      <c r="K102" s="41"/>
      <c r="L102" s="42"/>
      <c r="M102" s="51"/>
      <c r="N102" s="51"/>
      <c r="O102" s="28"/>
      <c r="P102" s="28"/>
      <c r="Q102" s="41"/>
      <c r="R102" s="70"/>
      <c r="S102" s="71"/>
      <c r="T102" s="87"/>
      <c r="U102" s="80"/>
      <c r="V102" s="41"/>
      <c r="W102" s="41"/>
      <c r="X102" s="41"/>
      <c r="Y102" s="42"/>
      <c r="Z102" s="70"/>
      <c r="AA102" s="71"/>
      <c r="AB102" s="72"/>
      <c r="AC102" s="43"/>
      <c r="AD102" s="41"/>
      <c r="AE102" s="42"/>
      <c r="AF102" s="122"/>
      <c r="AG102" s="80"/>
      <c r="AH102" s="41"/>
      <c r="AI102" s="70"/>
    </row>
    <row r="103" spans="1:35" ht="15" customHeight="1" outlineLevel="1" x14ac:dyDescent="0.25">
      <c r="A103" s="10"/>
      <c r="B103" s="14" t="s">
        <v>89</v>
      </c>
      <c r="C103" s="92">
        <f>$C$102/3</f>
        <v>11525.650360347905</v>
      </c>
      <c r="D103" s="22">
        <f>C103/$C$102</f>
        <v>0.33333333333333337</v>
      </c>
      <c r="E103" s="276" t="s">
        <v>178</v>
      </c>
      <c r="F103" s="89">
        <f>C103*$AI$2</f>
        <v>3457.6951081043712</v>
      </c>
      <c r="G103" s="123"/>
      <c r="H103" s="111"/>
      <c r="I103" s="111"/>
      <c r="J103" s="111"/>
      <c r="K103" s="111"/>
      <c r="L103" s="253"/>
      <c r="M103" s="254"/>
      <c r="N103" s="254"/>
      <c r="O103" s="255"/>
      <c r="P103" s="255"/>
      <c r="Q103" s="111"/>
      <c r="R103" s="108">
        <f>C103*$AI$2</f>
        <v>3457.6951081043712</v>
      </c>
      <c r="S103" s="66"/>
      <c r="T103" s="85"/>
      <c r="U103" s="261"/>
      <c r="V103" s="131"/>
      <c r="W103" s="131"/>
      <c r="X103" s="131"/>
      <c r="Y103" s="125"/>
      <c r="Z103" s="126">
        <f>C103*$AI$2</f>
        <v>3457.6951081043712</v>
      </c>
      <c r="AA103" s="66"/>
      <c r="AB103" s="67"/>
      <c r="AC103" s="248"/>
      <c r="AD103" s="109"/>
      <c r="AE103" s="250"/>
      <c r="AF103" s="120"/>
      <c r="AG103" s="242"/>
      <c r="AH103" s="239"/>
      <c r="AI103" s="240">
        <f>C103*$AI$3</f>
        <v>1152.5650360347906</v>
      </c>
    </row>
    <row r="104" spans="1:35" ht="15" customHeight="1" outlineLevel="1" x14ac:dyDescent="0.25">
      <c r="A104" s="10"/>
      <c r="B104" s="14" t="s">
        <v>101</v>
      </c>
      <c r="C104" s="92">
        <f t="shared" ref="C104:C105" si="19">$C$102/3</f>
        <v>11525.650360347905</v>
      </c>
      <c r="D104" s="22">
        <f t="shared" ref="D104:D105" si="20">C104/$C$102</f>
        <v>0.33333333333333337</v>
      </c>
      <c r="E104" s="276" t="s">
        <v>178</v>
      </c>
      <c r="F104" s="89">
        <f>C104*$AI$2</f>
        <v>3457.6951081043712</v>
      </c>
      <c r="G104" s="123"/>
      <c r="H104" s="111"/>
      <c r="I104" s="111"/>
      <c r="J104" s="111"/>
      <c r="K104" s="111"/>
      <c r="L104" s="253"/>
      <c r="M104" s="254"/>
      <c r="N104" s="254"/>
      <c r="O104" s="255"/>
      <c r="P104" s="255"/>
      <c r="Q104" s="111"/>
      <c r="R104" s="108">
        <f>C104*$AI$2</f>
        <v>3457.6951081043712</v>
      </c>
      <c r="S104" s="66"/>
      <c r="T104" s="85"/>
      <c r="U104" s="261"/>
      <c r="V104" s="131"/>
      <c r="W104" s="131"/>
      <c r="X104" s="131"/>
      <c r="Y104" s="125"/>
      <c r="Z104" s="126">
        <f>C104*$AI$2</f>
        <v>3457.6951081043712</v>
      </c>
      <c r="AA104" s="66"/>
      <c r="AB104" s="67"/>
      <c r="AC104" s="248"/>
      <c r="AD104" s="109"/>
      <c r="AE104" s="250"/>
      <c r="AF104" s="120"/>
      <c r="AG104" s="242"/>
      <c r="AH104" s="239"/>
      <c r="AI104" s="240">
        <f>C104*$AI$3</f>
        <v>1152.5650360347906</v>
      </c>
    </row>
    <row r="105" spans="1:35" ht="15" customHeight="1" outlineLevel="1" x14ac:dyDescent="0.25">
      <c r="A105" s="10"/>
      <c r="B105" s="14" t="s">
        <v>25</v>
      </c>
      <c r="C105" s="92">
        <f t="shared" si="19"/>
        <v>11525.650360347905</v>
      </c>
      <c r="D105" s="22">
        <f t="shared" si="20"/>
        <v>0.33333333333333337</v>
      </c>
      <c r="E105" s="276" t="s">
        <v>178</v>
      </c>
      <c r="F105" s="89">
        <f>C105*$AI$2</f>
        <v>3457.6951081043712</v>
      </c>
      <c r="G105" s="123"/>
      <c r="H105" s="111"/>
      <c r="I105" s="111"/>
      <c r="J105" s="111"/>
      <c r="K105" s="111"/>
      <c r="L105" s="253"/>
      <c r="M105" s="254"/>
      <c r="N105" s="254"/>
      <c r="O105" s="255"/>
      <c r="P105" s="255"/>
      <c r="Q105" s="111"/>
      <c r="R105" s="108">
        <f>C105*$AI$2</f>
        <v>3457.6951081043712</v>
      </c>
      <c r="S105" s="66"/>
      <c r="T105" s="85"/>
      <c r="U105" s="261"/>
      <c r="V105" s="131"/>
      <c r="W105" s="131"/>
      <c r="X105" s="131"/>
      <c r="Y105" s="125"/>
      <c r="Z105" s="126">
        <f>C105*$AI$2</f>
        <v>3457.6951081043712</v>
      </c>
      <c r="AA105" s="66"/>
      <c r="AB105" s="67"/>
      <c r="AC105" s="248"/>
      <c r="AD105" s="109"/>
      <c r="AE105" s="250"/>
      <c r="AF105" s="120"/>
      <c r="AG105" s="242"/>
      <c r="AH105" s="239"/>
      <c r="AI105" s="240">
        <f>C105*$AI$3</f>
        <v>1152.5650360347906</v>
      </c>
    </row>
    <row r="106" spans="1:35" x14ac:dyDescent="0.25">
      <c r="A106" s="9" t="s">
        <v>137</v>
      </c>
      <c r="B106" s="101" t="s">
        <v>26</v>
      </c>
      <c r="C106" s="23">
        <f>C101*0.7</f>
        <v>242038.65756730596</v>
      </c>
      <c r="D106" s="20">
        <f>C106/$C$101</f>
        <v>0.7</v>
      </c>
      <c r="E106" s="20"/>
      <c r="F106" s="80"/>
      <c r="G106" s="80"/>
      <c r="H106" s="41"/>
      <c r="I106" s="56"/>
      <c r="J106" s="41"/>
      <c r="K106" s="41"/>
      <c r="L106" s="42"/>
      <c r="M106" s="51"/>
      <c r="N106" s="51"/>
      <c r="O106" s="28"/>
      <c r="P106" s="28"/>
      <c r="Q106" s="41"/>
      <c r="R106" s="70"/>
      <c r="S106" s="71"/>
      <c r="T106" s="87"/>
      <c r="U106" s="80"/>
      <c r="V106" s="41"/>
      <c r="W106" s="41"/>
      <c r="X106" s="41"/>
      <c r="Y106" s="42"/>
      <c r="Z106" s="70"/>
      <c r="AA106" s="71"/>
      <c r="AB106" s="72"/>
      <c r="AC106" s="43"/>
      <c r="AD106" s="41"/>
      <c r="AE106" s="42"/>
      <c r="AF106" s="122"/>
      <c r="AG106" s="80"/>
      <c r="AH106" s="41"/>
      <c r="AI106" s="70"/>
    </row>
    <row r="107" spans="1:35" ht="15" customHeight="1" outlineLevel="1" x14ac:dyDescent="0.25">
      <c r="A107" s="10"/>
      <c r="B107" s="14" t="s">
        <v>26</v>
      </c>
      <c r="C107" s="90">
        <f>C106</f>
        <v>242038.65756730596</v>
      </c>
      <c r="D107" s="22">
        <f>C107/C106</f>
        <v>1</v>
      </c>
      <c r="E107" s="276" t="s">
        <v>178</v>
      </c>
      <c r="F107" s="78"/>
      <c r="G107" s="44"/>
      <c r="H107" s="44"/>
      <c r="I107" s="34"/>
      <c r="J107" s="34"/>
      <c r="K107" s="34"/>
      <c r="L107" s="89">
        <f>C107*$AI$2</f>
        <v>72611.597270191778</v>
      </c>
      <c r="M107" s="254"/>
      <c r="N107" s="254"/>
      <c r="O107" s="255"/>
      <c r="P107" s="255"/>
      <c r="Q107" s="111"/>
      <c r="R107" s="108">
        <f>C107*$AI$2</f>
        <v>72611.597270191778</v>
      </c>
      <c r="S107" s="66"/>
      <c r="T107" s="85"/>
      <c r="U107" s="261"/>
      <c r="V107" s="131"/>
      <c r="W107" s="131"/>
      <c r="X107" s="131"/>
      <c r="Y107" s="125"/>
      <c r="Z107" s="126">
        <f>C107*$AI$2</f>
        <v>72611.597270191778</v>
      </c>
      <c r="AA107" s="66"/>
      <c r="AB107" s="67"/>
      <c r="AC107" s="248"/>
      <c r="AD107" s="109"/>
      <c r="AE107" s="250"/>
      <c r="AF107" s="120"/>
      <c r="AG107" s="242"/>
      <c r="AH107" s="239"/>
      <c r="AI107" s="240">
        <f>C107*$AI$3</f>
        <v>24203.865756730596</v>
      </c>
    </row>
    <row r="108" spans="1:35" x14ac:dyDescent="0.25">
      <c r="A108" s="9" t="s">
        <v>138</v>
      </c>
      <c r="B108" s="101" t="s">
        <v>28</v>
      </c>
      <c r="C108" s="16">
        <f>C101*0.2</f>
        <v>69153.902162087426</v>
      </c>
      <c r="D108" s="20">
        <f>C108/$C$101</f>
        <v>0.20000000000000004</v>
      </c>
      <c r="E108" s="20"/>
      <c r="F108" s="80"/>
      <c r="G108" s="41"/>
      <c r="H108" s="41"/>
      <c r="I108" s="41"/>
      <c r="J108" s="41"/>
      <c r="K108" s="41"/>
      <c r="L108" s="42"/>
      <c r="M108" s="51"/>
      <c r="N108" s="51"/>
      <c r="O108" s="28"/>
      <c r="P108" s="28"/>
      <c r="Q108" s="57"/>
      <c r="R108" s="70"/>
      <c r="S108" s="71"/>
      <c r="T108" s="87"/>
      <c r="U108" s="80"/>
      <c r="V108" s="41"/>
      <c r="W108" s="41"/>
      <c r="X108" s="41"/>
      <c r="Y108" s="42"/>
      <c r="Z108" s="70"/>
      <c r="AA108" s="71"/>
      <c r="AB108" s="72"/>
      <c r="AC108" s="46"/>
      <c r="AD108" s="41"/>
      <c r="AE108" s="42"/>
      <c r="AF108" s="122"/>
      <c r="AG108" s="80"/>
      <c r="AH108" s="41"/>
      <c r="AI108" s="70"/>
    </row>
    <row r="109" spans="1:35" ht="15" customHeight="1" outlineLevel="1" x14ac:dyDescent="0.25">
      <c r="A109" s="10"/>
      <c r="B109" s="14" t="s">
        <v>28</v>
      </c>
      <c r="C109" s="92">
        <f>C108</f>
        <v>69153.902162087426</v>
      </c>
      <c r="D109" s="22">
        <f>C109/C108</f>
        <v>1</v>
      </c>
      <c r="E109" s="276" t="s">
        <v>178</v>
      </c>
      <c r="F109" s="78"/>
      <c r="G109" s="44"/>
      <c r="H109" s="44"/>
      <c r="I109" s="34"/>
      <c r="J109" s="34"/>
      <c r="K109" s="34"/>
      <c r="L109" s="89">
        <f>C109*$AI$2</f>
        <v>20746.170648626226</v>
      </c>
      <c r="M109" s="254"/>
      <c r="N109" s="254"/>
      <c r="O109" s="255"/>
      <c r="P109" s="255"/>
      <c r="Q109" s="111"/>
      <c r="R109" s="108">
        <f>C109*$AI$2</f>
        <v>20746.170648626226</v>
      </c>
      <c r="S109" s="66"/>
      <c r="T109" s="85"/>
      <c r="U109" s="261"/>
      <c r="V109" s="131"/>
      <c r="W109" s="131"/>
      <c r="X109" s="131"/>
      <c r="Y109" s="125"/>
      <c r="Z109" s="126">
        <f>C109*$AI$2</f>
        <v>20746.170648626226</v>
      </c>
      <c r="AA109" s="66"/>
      <c r="AB109" s="67"/>
      <c r="AC109" s="248"/>
      <c r="AD109" s="109"/>
      <c r="AE109" s="250"/>
      <c r="AF109" s="120"/>
      <c r="AG109" s="242"/>
      <c r="AH109" s="239"/>
      <c r="AI109" s="240">
        <f>C109*$AI$3</f>
        <v>6915.3902162087434</v>
      </c>
    </row>
    <row r="110" spans="1:35" x14ac:dyDescent="0.25">
      <c r="A110" s="8">
        <v>6</v>
      </c>
      <c r="B110" s="180" t="s">
        <v>17</v>
      </c>
      <c r="C110" s="15">
        <f>C2*0.1</f>
        <v>345769.51081043709</v>
      </c>
      <c r="D110" s="19">
        <f>D111+D115+D117</f>
        <v>1</v>
      </c>
      <c r="E110" s="19"/>
      <c r="F110" s="80"/>
      <c r="G110" s="41"/>
      <c r="H110" s="41"/>
      <c r="I110" s="41"/>
      <c r="J110" s="41"/>
      <c r="K110" s="41"/>
      <c r="L110" s="42"/>
      <c r="M110" s="51"/>
      <c r="N110" s="51"/>
      <c r="O110" s="28"/>
      <c r="P110" s="28"/>
      <c r="Q110" s="44"/>
      <c r="R110" s="70"/>
      <c r="S110" s="71"/>
      <c r="T110" s="87"/>
      <c r="U110" s="80"/>
      <c r="V110" s="41"/>
      <c r="W110" s="41"/>
      <c r="X110" s="41"/>
      <c r="Y110" s="42"/>
      <c r="Z110" s="70"/>
      <c r="AA110" s="71"/>
      <c r="AB110" s="72"/>
      <c r="AC110" s="46"/>
      <c r="AD110" s="41"/>
      <c r="AE110" s="42"/>
      <c r="AF110" s="122"/>
      <c r="AG110" s="80"/>
      <c r="AH110" s="41"/>
      <c r="AI110" s="70"/>
    </row>
    <row r="111" spans="1:35" x14ac:dyDescent="0.25">
      <c r="A111" s="9" t="s">
        <v>139</v>
      </c>
      <c r="B111" s="101" t="s">
        <v>7</v>
      </c>
      <c r="C111" s="16">
        <f>C110*0.1</f>
        <v>34576.951081043713</v>
      </c>
      <c r="D111" s="20">
        <f>C111/$C$101</f>
        <v>0.10000000000000002</v>
      </c>
      <c r="E111" s="20"/>
      <c r="F111" s="80"/>
      <c r="G111" s="41"/>
      <c r="H111" s="88"/>
      <c r="I111" s="41"/>
      <c r="J111" s="41"/>
      <c r="K111" s="41"/>
      <c r="L111" s="42"/>
      <c r="M111" s="51"/>
      <c r="N111" s="51"/>
      <c r="O111" s="28"/>
      <c r="P111" s="28"/>
      <c r="Q111" s="44"/>
      <c r="R111" s="70"/>
      <c r="S111" s="71"/>
      <c r="T111" s="87"/>
      <c r="U111" s="80"/>
      <c r="V111" s="41"/>
      <c r="W111" s="41"/>
      <c r="X111" s="41"/>
      <c r="Y111" s="42"/>
      <c r="Z111" s="70"/>
      <c r="AA111" s="71"/>
      <c r="AB111" s="72"/>
      <c r="AC111" s="46"/>
      <c r="AD111" s="41"/>
      <c r="AE111" s="42"/>
      <c r="AF111" s="122"/>
      <c r="AG111" s="80"/>
      <c r="AH111" s="41"/>
      <c r="AI111" s="70"/>
    </row>
    <row r="112" spans="1:35" ht="15" customHeight="1" outlineLevel="1" x14ac:dyDescent="0.25">
      <c r="A112" s="10"/>
      <c r="B112" s="14" t="s">
        <v>89</v>
      </c>
      <c r="C112" s="92">
        <f>$C$111/3</f>
        <v>11525.650360347905</v>
      </c>
      <c r="D112" s="22">
        <f>C112/$C$111</f>
        <v>0.33333333333333337</v>
      </c>
      <c r="E112" s="276" t="s">
        <v>178</v>
      </c>
      <c r="F112" s="89">
        <f>C112*$AI$2</f>
        <v>3457.6951081043712</v>
      </c>
      <c r="G112" s="111"/>
      <c r="H112" s="111"/>
      <c r="I112" s="111"/>
      <c r="J112" s="111"/>
      <c r="K112" s="111"/>
      <c r="L112" s="253"/>
      <c r="M112" s="254"/>
      <c r="N112" s="254"/>
      <c r="O112" s="255"/>
      <c r="P112" s="255"/>
      <c r="Q112" s="111"/>
      <c r="R112" s="108">
        <f>C112*$AI$2</f>
        <v>3457.6951081043712</v>
      </c>
      <c r="S112" s="66"/>
      <c r="T112" s="85"/>
      <c r="U112" s="261"/>
      <c r="V112" s="131"/>
      <c r="W112" s="131"/>
      <c r="X112" s="131"/>
      <c r="Y112" s="125"/>
      <c r="Z112" s="126">
        <f>C112*$AI$2</f>
        <v>3457.6951081043712</v>
      </c>
      <c r="AA112" s="66"/>
      <c r="AB112" s="67"/>
      <c r="AC112" s="248"/>
      <c r="AD112" s="109"/>
      <c r="AE112" s="250"/>
      <c r="AF112" s="120"/>
      <c r="AG112" s="242"/>
      <c r="AH112" s="239"/>
      <c r="AI112" s="240">
        <f>C112*$AI$3</f>
        <v>1152.5650360347906</v>
      </c>
    </row>
    <row r="113" spans="1:35" ht="15" customHeight="1" outlineLevel="1" x14ac:dyDescent="0.25">
      <c r="A113" s="10"/>
      <c r="B113" s="14" t="s">
        <v>101</v>
      </c>
      <c r="C113" s="92">
        <f t="shared" ref="C113:C114" si="21">$C$111/3</f>
        <v>11525.650360347905</v>
      </c>
      <c r="D113" s="22">
        <f t="shared" ref="D113:D114" si="22">C113/$C$111</f>
        <v>0.33333333333333337</v>
      </c>
      <c r="E113" s="276" t="s">
        <v>178</v>
      </c>
      <c r="F113" s="89">
        <f>C113*$AI$2</f>
        <v>3457.6951081043712</v>
      </c>
      <c r="G113" s="111"/>
      <c r="H113" s="111"/>
      <c r="I113" s="111"/>
      <c r="J113" s="111"/>
      <c r="K113" s="111"/>
      <c r="L113" s="253"/>
      <c r="M113" s="254"/>
      <c r="N113" s="254"/>
      <c r="O113" s="255"/>
      <c r="P113" s="255"/>
      <c r="Q113" s="111"/>
      <c r="R113" s="108">
        <f>C113*$AI$2</f>
        <v>3457.6951081043712</v>
      </c>
      <c r="S113" s="66"/>
      <c r="T113" s="85"/>
      <c r="U113" s="261"/>
      <c r="V113" s="131"/>
      <c r="W113" s="131"/>
      <c r="X113" s="131"/>
      <c r="Y113" s="125"/>
      <c r="Z113" s="126">
        <f>C113*$AI$2</f>
        <v>3457.6951081043712</v>
      </c>
      <c r="AA113" s="66"/>
      <c r="AB113" s="67"/>
      <c r="AC113" s="248"/>
      <c r="AD113" s="109"/>
      <c r="AE113" s="250"/>
      <c r="AF113" s="120"/>
      <c r="AG113" s="242"/>
      <c r="AH113" s="239"/>
      <c r="AI113" s="240">
        <f>C113*$AI$3</f>
        <v>1152.5650360347906</v>
      </c>
    </row>
    <row r="114" spans="1:35" ht="15" customHeight="1" outlineLevel="1" x14ac:dyDescent="0.25">
      <c r="A114" s="10"/>
      <c r="B114" s="14" t="s">
        <v>25</v>
      </c>
      <c r="C114" s="92">
        <f t="shared" si="21"/>
        <v>11525.650360347905</v>
      </c>
      <c r="D114" s="22">
        <f t="shared" si="22"/>
        <v>0.33333333333333337</v>
      </c>
      <c r="E114" s="276" t="s">
        <v>178</v>
      </c>
      <c r="F114" s="89">
        <f>C114*$AI$2</f>
        <v>3457.6951081043712</v>
      </c>
      <c r="G114" s="111"/>
      <c r="H114" s="111"/>
      <c r="I114" s="111"/>
      <c r="J114" s="111"/>
      <c r="K114" s="111"/>
      <c r="L114" s="253"/>
      <c r="M114" s="254"/>
      <c r="N114" s="254"/>
      <c r="O114" s="255"/>
      <c r="P114" s="255"/>
      <c r="Q114" s="111"/>
      <c r="R114" s="108">
        <f>C114*$AI$2</f>
        <v>3457.6951081043712</v>
      </c>
      <c r="S114" s="66"/>
      <c r="T114" s="85"/>
      <c r="U114" s="261"/>
      <c r="V114" s="131"/>
      <c r="W114" s="131"/>
      <c r="X114" s="131"/>
      <c r="Y114" s="125"/>
      <c r="Z114" s="126">
        <f>C114*$AI$2</f>
        <v>3457.6951081043712</v>
      </c>
      <c r="AA114" s="66"/>
      <c r="AB114" s="67"/>
      <c r="AC114" s="248"/>
      <c r="AD114" s="109"/>
      <c r="AE114" s="250"/>
      <c r="AF114" s="120"/>
      <c r="AG114" s="242"/>
      <c r="AH114" s="239"/>
      <c r="AI114" s="240">
        <f>C114*$AI$3</f>
        <v>1152.5650360347906</v>
      </c>
    </row>
    <row r="115" spans="1:35" x14ac:dyDescent="0.25">
      <c r="A115" s="9" t="s">
        <v>140</v>
      </c>
      <c r="B115" s="101" t="s">
        <v>26</v>
      </c>
      <c r="C115" s="23">
        <f>C110*0.7</f>
        <v>242038.65756730596</v>
      </c>
      <c r="D115" s="20">
        <f>C115/$C$101</f>
        <v>0.7</v>
      </c>
      <c r="E115" s="20"/>
      <c r="F115" s="80"/>
      <c r="G115" s="41"/>
      <c r="H115" s="41"/>
      <c r="I115" s="56"/>
      <c r="J115" s="41"/>
      <c r="K115" s="41"/>
      <c r="L115" s="42"/>
      <c r="M115" s="51"/>
      <c r="N115" s="51"/>
      <c r="O115" s="28"/>
      <c r="P115" s="28"/>
      <c r="Q115" s="44"/>
      <c r="R115" s="70"/>
      <c r="S115" s="71"/>
      <c r="T115" s="87"/>
      <c r="U115" s="80"/>
      <c r="V115" s="41"/>
      <c r="W115" s="41"/>
      <c r="X115" s="41"/>
      <c r="Y115" s="42"/>
      <c r="Z115" s="70"/>
      <c r="AA115" s="71"/>
      <c r="AB115" s="72"/>
      <c r="AC115" s="46"/>
      <c r="AD115" s="41"/>
      <c r="AE115" s="42"/>
      <c r="AF115" s="122"/>
      <c r="AG115" s="80"/>
      <c r="AH115" s="41"/>
      <c r="AI115" s="70"/>
    </row>
    <row r="116" spans="1:35" ht="15" customHeight="1" outlineLevel="1" x14ac:dyDescent="0.25">
      <c r="A116" s="10"/>
      <c r="B116" s="14" t="s">
        <v>26</v>
      </c>
      <c r="C116" s="90">
        <f>C115</f>
        <v>242038.65756730596</v>
      </c>
      <c r="D116" s="22">
        <f>C116/C115</f>
        <v>1</v>
      </c>
      <c r="E116" s="276" t="s">
        <v>178</v>
      </c>
      <c r="F116" s="78"/>
      <c r="G116" s="44"/>
      <c r="H116" s="44"/>
      <c r="I116" s="34"/>
      <c r="J116" s="34"/>
      <c r="K116" s="34"/>
      <c r="L116" s="89">
        <f>C116*$AI$2</f>
        <v>72611.597270191778</v>
      </c>
      <c r="M116" s="254"/>
      <c r="N116" s="254"/>
      <c r="O116" s="255"/>
      <c r="P116" s="255"/>
      <c r="Q116" s="111"/>
      <c r="R116" s="108">
        <f>C116*$AI$2</f>
        <v>72611.597270191778</v>
      </c>
      <c r="S116" s="66"/>
      <c r="T116" s="85"/>
      <c r="U116" s="261"/>
      <c r="V116" s="131"/>
      <c r="W116" s="131"/>
      <c r="X116" s="131"/>
      <c r="Y116" s="125"/>
      <c r="Z116" s="126">
        <f>C116*$AI$2</f>
        <v>72611.597270191778</v>
      </c>
      <c r="AA116" s="66"/>
      <c r="AB116" s="67"/>
      <c r="AC116" s="248"/>
      <c r="AD116" s="109"/>
      <c r="AE116" s="250"/>
      <c r="AF116" s="120"/>
      <c r="AG116" s="242"/>
      <c r="AH116" s="239"/>
      <c r="AI116" s="240">
        <f>C116*$AI$3</f>
        <v>24203.865756730596</v>
      </c>
    </row>
    <row r="117" spans="1:35" x14ac:dyDescent="0.25">
      <c r="A117" s="9" t="s">
        <v>141</v>
      </c>
      <c r="B117" s="101" t="s">
        <v>28</v>
      </c>
      <c r="C117" s="16">
        <f>C110*0.2</f>
        <v>69153.902162087426</v>
      </c>
      <c r="D117" s="20">
        <f>C117/$C$110</f>
        <v>0.20000000000000004</v>
      </c>
      <c r="E117" s="20"/>
      <c r="F117" s="80"/>
      <c r="G117" s="41"/>
      <c r="H117" s="41"/>
      <c r="I117" s="41"/>
      <c r="J117" s="41"/>
      <c r="K117" s="41"/>
      <c r="L117" s="42"/>
      <c r="M117" s="51"/>
      <c r="N117" s="51"/>
      <c r="O117" s="28"/>
      <c r="P117" s="28"/>
      <c r="Q117" s="44"/>
      <c r="R117" s="70"/>
      <c r="S117" s="71"/>
      <c r="T117" s="87"/>
      <c r="U117" s="80"/>
      <c r="V117" s="41"/>
      <c r="W117" s="41"/>
      <c r="X117" s="41"/>
      <c r="Y117" s="42"/>
      <c r="Z117" s="70"/>
      <c r="AA117" s="71"/>
      <c r="AB117" s="72"/>
      <c r="AC117" s="46"/>
      <c r="AD117" s="41"/>
      <c r="AE117" s="42"/>
      <c r="AF117" s="122"/>
      <c r="AG117" s="80"/>
      <c r="AH117" s="41"/>
      <c r="AI117" s="70"/>
    </row>
    <row r="118" spans="1:35" ht="13.5" customHeight="1" outlineLevel="1" x14ac:dyDescent="0.25">
      <c r="A118" s="10"/>
      <c r="B118" s="14" t="s">
        <v>28</v>
      </c>
      <c r="C118" s="92">
        <f>C117</f>
        <v>69153.902162087426</v>
      </c>
      <c r="D118" s="22">
        <f>C118/C117</f>
        <v>1</v>
      </c>
      <c r="E118" s="276" t="s">
        <v>178</v>
      </c>
      <c r="F118" s="24"/>
      <c r="G118" s="44"/>
      <c r="H118" s="44"/>
      <c r="I118" s="34"/>
      <c r="J118" s="34"/>
      <c r="K118" s="34"/>
      <c r="L118" s="89">
        <f>C118*$AI$2</f>
        <v>20746.170648626226</v>
      </c>
      <c r="M118" s="254"/>
      <c r="N118" s="254"/>
      <c r="O118" s="255"/>
      <c r="P118" s="255"/>
      <c r="Q118" s="111"/>
      <c r="R118" s="108">
        <f>C118*$AI$2</f>
        <v>20746.170648626226</v>
      </c>
      <c r="S118" s="66"/>
      <c r="T118" s="85"/>
      <c r="U118" s="261"/>
      <c r="V118" s="131"/>
      <c r="W118" s="131"/>
      <c r="X118" s="131"/>
      <c r="Y118" s="125"/>
      <c r="Z118" s="126">
        <f>C118*$AI$2</f>
        <v>20746.170648626226</v>
      </c>
      <c r="AA118" s="66"/>
      <c r="AB118" s="67"/>
      <c r="AC118" s="248"/>
      <c r="AD118" s="109"/>
      <c r="AE118" s="250"/>
      <c r="AF118" s="120"/>
      <c r="AG118" s="242"/>
      <c r="AH118" s="239"/>
      <c r="AI118" s="240">
        <f>C118*$AI$3</f>
        <v>6915.3902162087434</v>
      </c>
    </row>
    <row r="119" spans="1:35" x14ac:dyDescent="0.25">
      <c r="A119" s="8">
        <v>7</v>
      </c>
      <c r="B119" s="180" t="s">
        <v>18</v>
      </c>
      <c r="C119" s="15">
        <f>C2*0.7</f>
        <v>2420386.5756730591</v>
      </c>
      <c r="D119" s="19">
        <f>D120+D127+D130+D134+D138+D140</f>
        <v>1</v>
      </c>
      <c r="E119" s="19"/>
      <c r="F119" s="29"/>
      <c r="G119" s="41"/>
      <c r="H119" s="41"/>
      <c r="I119" s="41"/>
      <c r="J119" s="41"/>
      <c r="K119" s="41"/>
      <c r="L119" s="42"/>
      <c r="M119" s="51"/>
      <c r="N119" s="51"/>
      <c r="O119" s="28"/>
      <c r="P119" s="28"/>
      <c r="Q119" s="80"/>
      <c r="R119" s="70"/>
      <c r="S119" s="71"/>
      <c r="T119" s="87"/>
      <c r="U119" s="80"/>
      <c r="V119" s="41"/>
      <c r="W119" s="41"/>
      <c r="X119" s="41"/>
      <c r="Y119" s="42"/>
      <c r="Z119" s="70"/>
      <c r="AA119" s="71"/>
      <c r="AB119" s="72"/>
      <c r="AC119" s="46"/>
      <c r="AD119" s="41"/>
      <c r="AE119" s="42"/>
      <c r="AF119" s="122"/>
      <c r="AG119" s="80"/>
      <c r="AH119" s="41"/>
      <c r="AI119" s="70"/>
    </row>
    <row r="120" spans="1:35" x14ac:dyDescent="0.25">
      <c r="A120" s="9" t="s">
        <v>142</v>
      </c>
      <c r="B120" s="101" t="s">
        <v>7</v>
      </c>
      <c r="C120" s="16">
        <f>$C$119*0.03</f>
        <v>72611.597270191764</v>
      </c>
      <c r="D120" s="20">
        <f>C120/$C$119</f>
        <v>2.9999999999999995E-2</v>
      </c>
      <c r="E120" s="20"/>
      <c r="F120" s="29"/>
      <c r="G120" s="41"/>
      <c r="H120" s="41"/>
      <c r="I120" s="41"/>
      <c r="J120" s="41"/>
      <c r="K120" s="41"/>
      <c r="L120" s="42"/>
      <c r="M120" s="51"/>
      <c r="N120" s="51"/>
      <c r="O120" s="28"/>
      <c r="P120" s="28"/>
      <c r="Q120" s="80"/>
      <c r="R120" s="70"/>
      <c r="S120" s="71"/>
      <c r="T120" s="87"/>
      <c r="U120" s="80"/>
      <c r="V120" s="41"/>
      <c r="W120" s="41"/>
      <c r="X120" s="41"/>
      <c r="Y120" s="42"/>
      <c r="Z120" s="70"/>
      <c r="AA120" s="71"/>
      <c r="AB120" s="72"/>
      <c r="AC120" s="46"/>
      <c r="AD120" s="41"/>
      <c r="AE120" s="42"/>
      <c r="AF120" s="122"/>
      <c r="AG120" s="80"/>
      <c r="AH120" s="41"/>
      <c r="AI120" s="70"/>
    </row>
    <row r="121" spans="1:35" ht="15" customHeight="1" outlineLevel="2" x14ac:dyDescent="0.25">
      <c r="A121" s="10"/>
      <c r="B121" s="14" t="s">
        <v>97</v>
      </c>
      <c r="C121" s="92">
        <f>$C$120/6</f>
        <v>12101.932878365295</v>
      </c>
      <c r="D121" s="22">
        <f>C121/$C$120</f>
        <v>0.16666666666666669</v>
      </c>
      <c r="E121" s="276" t="s">
        <v>178</v>
      </c>
      <c r="F121" s="89">
        <f t="shared" ref="F121:F126" si="23">C121*$AI$2</f>
        <v>3630.5798635095884</v>
      </c>
      <c r="G121" s="111"/>
      <c r="H121" s="111"/>
      <c r="I121" s="111"/>
      <c r="J121" s="111"/>
      <c r="K121" s="111"/>
      <c r="L121" s="253"/>
      <c r="M121" s="254"/>
      <c r="N121" s="254"/>
      <c r="O121" s="255"/>
      <c r="P121" s="255"/>
      <c r="Q121" s="123"/>
      <c r="R121" s="108">
        <f t="shared" ref="R121:R126" si="24">C121*$AI$2</f>
        <v>3630.5798635095884</v>
      </c>
      <c r="S121" s="66"/>
      <c r="T121" s="85"/>
      <c r="U121" s="261"/>
      <c r="V121" s="131"/>
      <c r="W121" s="131"/>
      <c r="X121" s="131"/>
      <c r="Y121" s="125"/>
      <c r="Z121" s="126">
        <f t="shared" ref="Z121:Z126" si="25">C121*$AI$2</f>
        <v>3630.5798635095884</v>
      </c>
      <c r="AA121" s="66"/>
      <c r="AB121" s="67"/>
      <c r="AC121" s="248"/>
      <c r="AD121" s="109"/>
      <c r="AE121" s="250"/>
      <c r="AF121" s="120"/>
      <c r="AG121" s="242"/>
      <c r="AH121" s="239"/>
      <c r="AI121" s="240">
        <f t="shared" ref="AI121:AI126" si="26">C121*$AI$3</f>
        <v>1210.1932878365294</v>
      </c>
    </row>
    <row r="122" spans="1:35" ht="15" customHeight="1" outlineLevel="2" x14ac:dyDescent="0.25">
      <c r="A122" s="10"/>
      <c r="B122" s="14" t="s">
        <v>89</v>
      </c>
      <c r="C122" s="92">
        <f t="shared" ref="C122:C126" si="27">$C$120/6</f>
        <v>12101.932878365295</v>
      </c>
      <c r="D122" s="22">
        <f t="shared" ref="D122:D126" si="28">C122/$C$120</f>
        <v>0.16666666666666669</v>
      </c>
      <c r="E122" s="276" t="s">
        <v>178</v>
      </c>
      <c r="F122" s="89">
        <f t="shared" si="23"/>
        <v>3630.5798635095884</v>
      </c>
      <c r="G122" s="111"/>
      <c r="H122" s="111"/>
      <c r="I122" s="111"/>
      <c r="J122" s="111"/>
      <c r="K122" s="111"/>
      <c r="L122" s="253"/>
      <c r="M122" s="254"/>
      <c r="N122" s="254"/>
      <c r="O122" s="255"/>
      <c r="P122" s="255"/>
      <c r="Q122" s="123"/>
      <c r="R122" s="108">
        <f t="shared" si="24"/>
        <v>3630.5798635095884</v>
      </c>
      <c r="S122" s="66"/>
      <c r="T122" s="85"/>
      <c r="U122" s="261"/>
      <c r="V122" s="131"/>
      <c r="W122" s="131"/>
      <c r="X122" s="131"/>
      <c r="Y122" s="125"/>
      <c r="Z122" s="126">
        <f t="shared" si="25"/>
        <v>3630.5798635095884</v>
      </c>
      <c r="AA122" s="66"/>
      <c r="AB122" s="67"/>
      <c r="AC122" s="248"/>
      <c r="AD122" s="109"/>
      <c r="AE122" s="250"/>
      <c r="AF122" s="120"/>
      <c r="AG122" s="242"/>
      <c r="AH122" s="239"/>
      <c r="AI122" s="240">
        <f t="shared" si="26"/>
        <v>1210.1932878365294</v>
      </c>
    </row>
    <row r="123" spans="1:35" ht="15" customHeight="1" outlineLevel="2" x14ac:dyDescent="0.25">
      <c r="A123" s="10"/>
      <c r="B123" s="14" t="s">
        <v>98</v>
      </c>
      <c r="C123" s="92">
        <f t="shared" si="27"/>
        <v>12101.932878365295</v>
      </c>
      <c r="D123" s="22">
        <f t="shared" si="28"/>
        <v>0.16666666666666669</v>
      </c>
      <c r="E123" s="276" t="s">
        <v>178</v>
      </c>
      <c r="F123" s="89">
        <f t="shared" si="23"/>
        <v>3630.5798635095884</v>
      </c>
      <c r="G123" s="111"/>
      <c r="H123" s="111"/>
      <c r="I123" s="111"/>
      <c r="J123" s="111"/>
      <c r="K123" s="111"/>
      <c r="L123" s="253"/>
      <c r="M123" s="254"/>
      <c r="N123" s="254"/>
      <c r="O123" s="255"/>
      <c r="P123" s="255"/>
      <c r="Q123" s="123"/>
      <c r="R123" s="108">
        <f t="shared" si="24"/>
        <v>3630.5798635095884</v>
      </c>
      <c r="S123" s="66"/>
      <c r="T123" s="85"/>
      <c r="U123" s="261"/>
      <c r="V123" s="131"/>
      <c r="W123" s="131"/>
      <c r="X123" s="131"/>
      <c r="Y123" s="125"/>
      <c r="Z123" s="126">
        <f t="shared" si="25"/>
        <v>3630.5798635095884</v>
      </c>
      <c r="AA123" s="66"/>
      <c r="AB123" s="67"/>
      <c r="AC123" s="248"/>
      <c r="AD123" s="109"/>
      <c r="AE123" s="250"/>
      <c r="AF123" s="120"/>
      <c r="AG123" s="242"/>
      <c r="AH123" s="239"/>
      <c r="AI123" s="240">
        <f t="shared" si="26"/>
        <v>1210.1932878365294</v>
      </c>
    </row>
    <row r="124" spans="1:35" ht="15" customHeight="1" outlineLevel="2" x14ac:dyDescent="0.25">
      <c r="A124" s="10"/>
      <c r="B124" s="14" t="s">
        <v>99</v>
      </c>
      <c r="C124" s="92">
        <f t="shared" si="27"/>
        <v>12101.932878365295</v>
      </c>
      <c r="D124" s="22">
        <f t="shared" si="28"/>
        <v>0.16666666666666669</v>
      </c>
      <c r="E124" s="276" t="s">
        <v>178</v>
      </c>
      <c r="F124" s="89">
        <f t="shared" si="23"/>
        <v>3630.5798635095884</v>
      </c>
      <c r="G124" s="111"/>
      <c r="H124" s="111"/>
      <c r="I124" s="111"/>
      <c r="J124" s="111"/>
      <c r="K124" s="111"/>
      <c r="L124" s="253"/>
      <c r="M124" s="254"/>
      <c r="N124" s="254"/>
      <c r="O124" s="255"/>
      <c r="P124" s="255"/>
      <c r="Q124" s="123"/>
      <c r="R124" s="108">
        <f t="shared" si="24"/>
        <v>3630.5798635095884</v>
      </c>
      <c r="S124" s="66"/>
      <c r="T124" s="85"/>
      <c r="U124" s="261"/>
      <c r="V124" s="131"/>
      <c r="W124" s="131"/>
      <c r="X124" s="131"/>
      <c r="Y124" s="125"/>
      <c r="Z124" s="126">
        <f t="shared" si="25"/>
        <v>3630.5798635095884</v>
      </c>
      <c r="AA124" s="66"/>
      <c r="AB124" s="67"/>
      <c r="AC124" s="248"/>
      <c r="AD124" s="109"/>
      <c r="AE124" s="250"/>
      <c r="AF124" s="120"/>
      <c r="AG124" s="242"/>
      <c r="AH124" s="239"/>
      <c r="AI124" s="240">
        <f t="shared" si="26"/>
        <v>1210.1932878365294</v>
      </c>
    </row>
    <row r="125" spans="1:35" ht="15" customHeight="1" outlineLevel="2" x14ac:dyDescent="0.25">
      <c r="A125" s="10"/>
      <c r="B125" s="14" t="s">
        <v>100</v>
      </c>
      <c r="C125" s="92">
        <f t="shared" si="27"/>
        <v>12101.932878365295</v>
      </c>
      <c r="D125" s="22">
        <f t="shared" si="28"/>
        <v>0.16666666666666669</v>
      </c>
      <c r="E125" s="276" t="s">
        <v>178</v>
      </c>
      <c r="F125" s="89">
        <f t="shared" si="23"/>
        <v>3630.5798635095884</v>
      </c>
      <c r="G125" s="111"/>
      <c r="H125" s="111"/>
      <c r="I125" s="111"/>
      <c r="J125" s="111"/>
      <c r="K125" s="111"/>
      <c r="L125" s="253"/>
      <c r="M125" s="254"/>
      <c r="N125" s="254"/>
      <c r="O125" s="255"/>
      <c r="P125" s="255"/>
      <c r="Q125" s="123"/>
      <c r="R125" s="108">
        <f t="shared" si="24"/>
        <v>3630.5798635095884</v>
      </c>
      <c r="S125" s="66"/>
      <c r="T125" s="85"/>
      <c r="U125" s="261"/>
      <c r="V125" s="131"/>
      <c r="W125" s="131"/>
      <c r="X125" s="131"/>
      <c r="Y125" s="125"/>
      <c r="Z125" s="126">
        <f t="shared" si="25"/>
        <v>3630.5798635095884</v>
      </c>
      <c r="AA125" s="66"/>
      <c r="AB125" s="67"/>
      <c r="AC125" s="248"/>
      <c r="AD125" s="109"/>
      <c r="AE125" s="250"/>
      <c r="AF125" s="120"/>
      <c r="AG125" s="242"/>
      <c r="AH125" s="239"/>
      <c r="AI125" s="240">
        <f t="shared" si="26"/>
        <v>1210.1932878365294</v>
      </c>
    </row>
    <row r="126" spans="1:35" ht="15" customHeight="1" outlineLevel="2" x14ac:dyDescent="0.25">
      <c r="A126" s="10"/>
      <c r="B126" s="14" t="s">
        <v>101</v>
      </c>
      <c r="C126" s="92">
        <f t="shared" si="27"/>
        <v>12101.932878365295</v>
      </c>
      <c r="D126" s="22">
        <f t="shared" si="28"/>
        <v>0.16666666666666669</v>
      </c>
      <c r="E126" s="276" t="s">
        <v>178</v>
      </c>
      <c r="F126" s="89">
        <f t="shared" si="23"/>
        <v>3630.5798635095884</v>
      </c>
      <c r="G126" s="111"/>
      <c r="H126" s="111"/>
      <c r="I126" s="111"/>
      <c r="J126" s="111"/>
      <c r="K126" s="111"/>
      <c r="L126" s="253"/>
      <c r="M126" s="254"/>
      <c r="N126" s="254"/>
      <c r="O126" s="255"/>
      <c r="P126" s="255"/>
      <c r="Q126" s="123"/>
      <c r="R126" s="108">
        <f t="shared" si="24"/>
        <v>3630.5798635095884</v>
      </c>
      <c r="S126" s="66"/>
      <c r="T126" s="85"/>
      <c r="U126" s="261"/>
      <c r="V126" s="131"/>
      <c r="W126" s="131"/>
      <c r="X126" s="131"/>
      <c r="Y126" s="125"/>
      <c r="Z126" s="126">
        <f t="shared" si="25"/>
        <v>3630.5798635095884</v>
      </c>
      <c r="AA126" s="66"/>
      <c r="AB126" s="67"/>
      <c r="AC126" s="248"/>
      <c r="AD126" s="109"/>
      <c r="AE126" s="250"/>
      <c r="AF126" s="120"/>
      <c r="AG126" s="242"/>
      <c r="AH126" s="239"/>
      <c r="AI126" s="240">
        <f t="shared" si="26"/>
        <v>1210.1932878365294</v>
      </c>
    </row>
    <row r="127" spans="1:35" x14ac:dyDescent="0.25">
      <c r="A127" s="9" t="s">
        <v>143</v>
      </c>
      <c r="B127" s="101" t="s">
        <v>20</v>
      </c>
      <c r="C127" s="16">
        <f>$C$119*0.22</f>
        <v>532485.04664807301</v>
      </c>
      <c r="D127" s="20">
        <f>C127/$C$119</f>
        <v>0.22</v>
      </c>
      <c r="E127" s="20"/>
      <c r="F127" s="29"/>
      <c r="G127" s="41"/>
      <c r="H127" s="41"/>
      <c r="I127" s="41"/>
      <c r="J127" s="41"/>
      <c r="K127" s="41"/>
      <c r="L127" s="41"/>
      <c r="M127" s="41"/>
      <c r="N127" s="41"/>
      <c r="O127" s="41"/>
      <c r="P127" s="41"/>
      <c r="Q127" s="41"/>
      <c r="R127" s="70"/>
      <c r="S127" s="71"/>
      <c r="T127" s="87"/>
      <c r="U127" s="80"/>
      <c r="V127" s="41"/>
      <c r="W127" s="56"/>
      <c r="X127" s="41"/>
      <c r="Y127" s="42"/>
      <c r="Z127" s="70"/>
      <c r="AA127" s="71"/>
      <c r="AB127" s="72"/>
      <c r="AC127" s="43"/>
      <c r="AD127" s="41"/>
      <c r="AE127" s="42"/>
      <c r="AF127" s="122"/>
      <c r="AG127" s="80"/>
      <c r="AH127" s="41"/>
      <c r="AI127" s="70"/>
    </row>
    <row r="128" spans="1:35" ht="30" customHeight="1" outlineLevel="1" x14ac:dyDescent="0.25">
      <c r="A128" s="10"/>
      <c r="B128" s="174" t="s">
        <v>51</v>
      </c>
      <c r="C128" s="93">
        <f>C127*0.8</f>
        <v>425988.03731845843</v>
      </c>
      <c r="D128" s="22">
        <f>C128/C127</f>
        <v>0.8</v>
      </c>
      <c r="E128" s="276" t="s">
        <v>178</v>
      </c>
      <c r="F128" s="24"/>
      <c r="G128" s="44"/>
      <c r="H128" s="44"/>
      <c r="I128" s="44"/>
      <c r="J128" s="44"/>
      <c r="K128" s="34"/>
      <c r="L128" s="34"/>
      <c r="M128" s="34"/>
      <c r="N128" s="34"/>
      <c r="O128" s="34"/>
      <c r="P128" s="34"/>
      <c r="Q128" s="89">
        <f>C128*$AI$2</f>
        <v>127796.41119553753</v>
      </c>
      <c r="R128" s="108">
        <f>C128*$AI$2</f>
        <v>127796.41119553753</v>
      </c>
      <c r="S128" s="66"/>
      <c r="T128" s="85"/>
      <c r="U128" s="264"/>
      <c r="V128" s="265"/>
      <c r="W128" s="131"/>
      <c r="X128" s="131"/>
      <c r="Y128" s="125"/>
      <c r="Z128" s="126">
        <f>C128*$AI$2</f>
        <v>127796.41119553753</v>
      </c>
      <c r="AA128" s="66"/>
      <c r="AB128" s="67"/>
      <c r="AC128" s="248"/>
      <c r="AD128" s="109"/>
      <c r="AE128" s="250"/>
      <c r="AF128" s="120"/>
      <c r="AG128" s="242"/>
      <c r="AH128" s="239"/>
      <c r="AI128" s="240">
        <f>C128*$AI$3</f>
        <v>42598.803731845845</v>
      </c>
    </row>
    <row r="129" spans="1:35" ht="15" customHeight="1" outlineLevel="1" x14ac:dyDescent="0.25">
      <c r="A129" s="10"/>
      <c r="B129" s="14" t="s">
        <v>23</v>
      </c>
      <c r="C129" s="92">
        <f>C127*0.2</f>
        <v>106497.00932961461</v>
      </c>
      <c r="D129" s="22">
        <f>C129/C127</f>
        <v>0.2</v>
      </c>
      <c r="E129" s="276" t="s">
        <v>178</v>
      </c>
      <c r="F129" s="24"/>
      <c r="G129" s="44"/>
      <c r="H129" s="44"/>
      <c r="I129" s="44"/>
      <c r="J129" s="44"/>
      <c r="K129" s="34"/>
      <c r="L129" s="34"/>
      <c r="M129" s="34"/>
      <c r="N129" s="34"/>
      <c r="O129" s="34"/>
      <c r="P129" s="34"/>
      <c r="Q129" s="89">
        <f>C129*$AI$2</f>
        <v>31949.102798884382</v>
      </c>
      <c r="R129" s="108">
        <f>C129*$AI$2</f>
        <v>31949.102798884382</v>
      </c>
      <c r="S129" s="66"/>
      <c r="T129" s="85"/>
      <c r="U129" s="264"/>
      <c r="V129" s="265"/>
      <c r="W129" s="131"/>
      <c r="X129" s="131"/>
      <c r="Y129" s="125"/>
      <c r="Z129" s="126">
        <f>C129*$AI$2</f>
        <v>31949.102798884382</v>
      </c>
      <c r="AA129" s="66"/>
      <c r="AB129" s="67"/>
      <c r="AC129" s="248"/>
      <c r="AD129" s="109"/>
      <c r="AE129" s="250"/>
      <c r="AF129" s="120"/>
      <c r="AG129" s="242"/>
      <c r="AH129" s="239"/>
      <c r="AI129" s="240">
        <f>C129*$AI$3</f>
        <v>10649.700932961461</v>
      </c>
    </row>
    <row r="130" spans="1:35" x14ac:dyDescent="0.25">
      <c r="A130" s="9" t="s">
        <v>144</v>
      </c>
      <c r="B130" s="101" t="s">
        <v>48</v>
      </c>
      <c r="C130" s="16">
        <f>$C$119*0.4</f>
        <v>968154.63026922371</v>
      </c>
      <c r="D130" s="20">
        <f>C130/$C$119</f>
        <v>0.4</v>
      </c>
      <c r="E130" s="20"/>
      <c r="F130" s="29"/>
      <c r="G130" s="41"/>
      <c r="H130" s="41"/>
      <c r="I130" s="41"/>
      <c r="J130" s="41"/>
      <c r="K130" s="41"/>
      <c r="L130" s="41"/>
      <c r="M130" s="51"/>
      <c r="N130" s="51"/>
      <c r="O130" s="28"/>
      <c r="P130" s="47"/>
      <c r="Q130" s="80"/>
      <c r="R130" s="70"/>
      <c r="S130" s="71"/>
      <c r="T130" s="87"/>
      <c r="U130" s="82"/>
      <c r="V130" s="41"/>
      <c r="W130" s="41"/>
      <c r="X130" s="41"/>
      <c r="Y130" s="42"/>
      <c r="Z130" s="70"/>
      <c r="AA130" s="71"/>
      <c r="AB130" s="72"/>
      <c r="AC130" s="43"/>
      <c r="AD130" s="41"/>
      <c r="AE130" s="42"/>
      <c r="AF130" s="122"/>
      <c r="AG130" s="80"/>
      <c r="AH130" s="41"/>
      <c r="AI130" s="70"/>
    </row>
    <row r="131" spans="1:35" ht="15" customHeight="1" outlineLevel="1" x14ac:dyDescent="0.25">
      <c r="A131" s="10"/>
      <c r="B131" s="14" t="s">
        <v>163</v>
      </c>
      <c r="C131" s="92">
        <f>$C$130/3</f>
        <v>322718.21008974122</v>
      </c>
      <c r="D131" s="22">
        <f>C131/$C$130</f>
        <v>0.33333333333333331</v>
      </c>
      <c r="E131" s="276" t="s">
        <v>178</v>
      </c>
      <c r="F131" s="24"/>
      <c r="G131" s="44"/>
      <c r="H131" s="44"/>
      <c r="I131" s="34"/>
      <c r="J131" s="34"/>
      <c r="K131" s="34"/>
      <c r="L131" s="34"/>
      <c r="M131" s="34"/>
      <c r="N131" s="34"/>
      <c r="O131" s="89">
        <f>C131*$AI$2</f>
        <v>96815.463026922356</v>
      </c>
      <c r="P131" s="255"/>
      <c r="Q131" s="123"/>
      <c r="R131" s="108">
        <f>C131*$AI$2</f>
        <v>96815.463026922356</v>
      </c>
      <c r="S131" s="66"/>
      <c r="T131" s="85"/>
      <c r="U131" s="261"/>
      <c r="V131" s="131"/>
      <c r="W131" s="131"/>
      <c r="X131" s="131"/>
      <c r="Y131" s="125"/>
      <c r="Z131" s="126">
        <f>C131*$AI$2</f>
        <v>96815.463026922356</v>
      </c>
      <c r="AA131" s="66"/>
      <c r="AB131" s="67"/>
      <c r="AC131" s="248"/>
      <c r="AD131" s="109"/>
      <c r="AE131" s="250"/>
      <c r="AF131" s="120"/>
      <c r="AG131" s="242"/>
      <c r="AH131" s="239"/>
      <c r="AI131" s="240">
        <f>C131*$AI$3</f>
        <v>32271.821008974122</v>
      </c>
    </row>
    <row r="132" spans="1:35" ht="15" customHeight="1" outlineLevel="1" x14ac:dyDescent="0.25">
      <c r="A132" s="10"/>
      <c r="B132" s="14" t="s">
        <v>164</v>
      </c>
      <c r="C132" s="92">
        <f t="shared" ref="C132:C133" si="29">$C$130/3</f>
        <v>322718.21008974122</v>
      </c>
      <c r="D132" s="22">
        <f t="shared" ref="D132:D133" si="30">C132/$C$130</f>
        <v>0.33333333333333331</v>
      </c>
      <c r="E132" s="276" t="s">
        <v>178</v>
      </c>
      <c r="F132" s="24"/>
      <c r="G132" s="44"/>
      <c r="H132" s="44"/>
      <c r="I132" s="44"/>
      <c r="J132" s="44"/>
      <c r="K132" s="44"/>
      <c r="L132" s="34"/>
      <c r="M132" s="34"/>
      <c r="N132" s="34"/>
      <c r="O132" s="34"/>
      <c r="P132" s="89">
        <f>C132*$AI$2</f>
        <v>96815.463026922356</v>
      </c>
      <c r="Q132" s="123"/>
      <c r="R132" s="108">
        <f>C132*$AI$2</f>
        <v>96815.463026922356</v>
      </c>
      <c r="S132" s="66"/>
      <c r="T132" s="85"/>
      <c r="U132" s="261"/>
      <c r="V132" s="131"/>
      <c r="W132" s="131"/>
      <c r="X132" s="131"/>
      <c r="Y132" s="125"/>
      <c r="Z132" s="126">
        <f>C132*$AI$2</f>
        <v>96815.463026922356</v>
      </c>
      <c r="AA132" s="66"/>
      <c r="AB132" s="67"/>
      <c r="AC132" s="248"/>
      <c r="AD132" s="109"/>
      <c r="AE132" s="250"/>
      <c r="AF132" s="120"/>
      <c r="AG132" s="242"/>
      <c r="AH132" s="239"/>
      <c r="AI132" s="240">
        <f>C132*$AI$3</f>
        <v>32271.821008974122</v>
      </c>
    </row>
    <row r="133" spans="1:35" ht="15" customHeight="1" outlineLevel="1" x14ac:dyDescent="0.25">
      <c r="A133" s="10"/>
      <c r="B133" s="14" t="s">
        <v>165</v>
      </c>
      <c r="C133" s="92">
        <f t="shared" si="29"/>
        <v>322718.21008974122</v>
      </c>
      <c r="D133" s="22">
        <f t="shared" si="30"/>
        <v>0.33333333333333331</v>
      </c>
      <c r="E133" s="276" t="s">
        <v>178</v>
      </c>
      <c r="F133" s="24"/>
      <c r="G133" s="44"/>
      <c r="H133" s="44"/>
      <c r="I133" s="41"/>
      <c r="J133" s="41"/>
      <c r="K133" s="44"/>
      <c r="L133" s="34"/>
      <c r="M133" s="34"/>
      <c r="N133" s="34"/>
      <c r="O133" s="34"/>
      <c r="P133" s="89">
        <f>C133*$AI$2</f>
        <v>96815.463026922356</v>
      </c>
      <c r="Q133" s="123"/>
      <c r="R133" s="108">
        <f>C133*$AI$2</f>
        <v>96815.463026922356</v>
      </c>
      <c r="S133" s="66"/>
      <c r="T133" s="85"/>
      <c r="U133" s="261"/>
      <c r="V133" s="131"/>
      <c r="W133" s="131"/>
      <c r="X133" s="131"/>
      <c r="Y133" s="125"/>
      <c r="Z133" s="126">
        <f>C133*$AI$2</f>
        <v>96815.463026922356</v>
      </c>
      <c r="AA133" s="66"/>
      <c r="AB133" s="67"/>
      <c r="AC133" s="248"/>
      <c r="AD133" s="109"/>
      <c r="AE133" s="250"/>
      <c r="AF133" s="120"/>
      <c r="AG133" s="242"/>
      <c r="AH133" s="239"/>
      <c r="AI133" s="240">
        <f>C133*$AI$3</f>
        <v>32271.821008974122</v>
      </c>
    </row>
    <row r="134" spans="1:35" x14ac:dyDescent="0.25">
      <c r="A134" s="9" t="s">
        <v>145</v>
      </c>
      <c r="B134" s="101" t="s">
        <v>34</v>
      </c>
      <c r="C134" s="16">
        <f>$C$119*0.2</f>
        <v>484077.31513461185</v>
      </c>
      <c r="D134" s="20">
        <f>C134/$C$119</f>
        <v>0.2</v>
      </c>
      <c r="E134" s="20"/>
      <c r="F134" s="29"/>
      <c r="G134" s="41"/>
      <c r="H134" s="41"/>
      <c r="I134" s="41"/>
      <c r="J134" s="41"/>
      <c r="K134" s="41"/>
      <c r="L134" s="42"/>
      <c r="M134" s="51"/>
      <c r="N134" s="51"/>
      <c r="O134" s="28"/>
      <c r="P134" s="47"/>
      <c r="Q134" s="80"/>
      <c r="R134" s="70"/>
      <c r="S134" s="71"/>
      <c r="T134" s="87"/>
      <c r="U134" s="82"/>
      <c r="V134" s="41"/>
      <c r="W134" s="41"/>
      <c r="X134" s="41"/>
      <c r="Y134" s="42"/>
      <c r="Z134" s="70"/>
      <c r="AA134" s="71"/>
      <c r="AB134" s="72"/>
      <c r="AC134" s="43"/>
      <c r="AD134" s="41"/>
      <c r="AE134" s="42"/>
      <c r="AF134" s="122"/>
      <c r="AG134" s="80"/>
      <c r="AH134" s="41"/>
      <c r="AI134" s="70"/>
    </row>
    <row r="135" spans="1:35" ht="15" customHeight="1" outlineLevel="1" x14ac:dyDescent="0.25">
      <c r="A135" s="10"/>
      <c r="B135" s="14" t="s">
        <v>35</v>
      </c>
      <c r="C135" s="93">
        <f>$C$134*0.3</f>
        <v>145223.19454038356</v>
      </c>
      <c r="D135" s="22">
        <f>C135/$C$134</f>
        <v>0.3</v>
      </c>
      <c r="E135" s="276" t="s">
        <v>178</v>
      </c>
      <c r="F135" s="24"/>
      <c r="G135" s="44"/>
      <c r="H135" s="44"/>
      <c r="I135" s="44"/>
      <c r="J135" s="34"/>
      <c r="K135" s="34"/>
      <c r="L135" s="34"/>
      <c r="M135" s="89">
        <f>C135*$AI$2</f>
        <v>43566.958362115067</v>
      </c>
      <c r="N135" s="254"/>
      <c r="O135" s="255"/>
      <c r="P135" s="255"/>
      <c r="Q135" s="124"/>
      <c r="R135" s="108">
        <f>C135*$AI$2</f>
        <v>43566.958362115067</v>
      </c>
      <c r="S135" s="66"/>
      <c r="T135" s="85"/>
      <c r="U135" s="261"/>
      <c r="V135" s="131"/>
      <c r="W135" s="131"/>
      <c r="X135" s="131"/>
      <c r="Y135" s="125"/>
      <c r="Z135" s="126">
        <f>C135*$AI$2</f>
        <v>43566.958362115067</v>
      </c>
      <c r="AA135" s="66"/>
      <c r="AB135" s="67"/>
      <c r="AC135" s="248"/>
      <c r="AD135" s="109"/>
      <c r="AE135" s="250"/>
      <c r="AF135" s="120"/>
      <c r="AG135" s="242"/>
      <c r="AH135" s="239"/>
      <c r="AI135" s="240">
        <f>C135*$AI$3</f>
        <v>14522.319454038356</v>
      </c>
    </row>
    <row r="136" spans="1:35" ht="30" customHeight="1" outlineLevel="1" x14ac:dyDescent="0.25">
      <c r="A136" s="10"/>
      <c r="B136" s="174" t="s">
        <v>31</v>
      </c>
      <c r="C136" s="93">
        <f>$C$134*0.3</f>
        <v>145223.19454038356</v>
      </c>
      <c r="D136" s="22">
        <f t="shared" ref="D136:D137" si="31">C136/$C$134</f>
        <v>0.3</v>
      </c>
      <c r="E136" s="276" t="s">
        <v>178</v>
      </c>
      <c r="F136" s="24"/>
      <c r="G136" s="44"/>
      <c r="H136" s="44"/>
      <c r="I136" s="44"/>
      <c r="J136" s="34"/>
      <c r="K136" s="34"/>
      <c r="L136" s="34"/>
      <c r="M136" s="89">
        <f>C136*$AI$2</f>
        <v>43566.958362115067</v>
      </c>
      <c r="N136" s="254"/>
      <c r="O136" s="255"/>
      <c r="P136" s="255"/>
      <c r="Q136" s="124"/>
      <c r="R136" s="108">
        <f>C136*$AI$2</f>
        <v>43566.958362115067</v>
      </c>
      <c r="S136" s="66"/>
      <c r="T136" s="85"/>
      <c r="U136" s="261"/>
      <c r="V136" s="131"/>
      <c r="W136" s="131"/>
      <c r="X136" s="131"/>
      <c r="Y136" s="125"/>
      <c r="Z136" s="126">
        <f>C136*$AI$2</f>
        <v>43566.958362115067</v>
      </c>
      <c r="AA136" s="66"/>
      <c r="AB136" s="67"/>
      <c r="AC136" s="248"/>
      <c r="AD136" s="109"/>
      <c r="AE136" s="250"/>
      <c r="AF136" s="120"/>
      <c r="AG136" s="242"/>
      <c r="AH136" s="239"/>
      <c r="AI136" s="240">
        <f>C136*$AI$3</f>
        <v>14522.319454038356</v>
      </c>
    </row>
    <row r="137" spans="1:35" ht="30" customHeight="1" outlineLevel="1" x14ac:dyDescent="0.25">
      <c r="A137" s="10"/>
      <c r="B137" s="174" t="s">
        <v>33</v>
      </c>
      <c r="C137" s="93">
        <f>$C$134*0.4</f>
        <v>193630.92605384474</v>
      </c>
      <c r="D137" s="22">
        <f t="shared" si="31"/>
        <v>0.4</v>
      </c>
      <c r="E137" s="276" t="s">
        <v>178</v>
      </c>
      <c r="F137" s="24"/>
      <c r="G137" s="44"/>
      <c r="H137" s="44"/>
      <c r="I137" s="44"/>
      <c r="J137" s="34"/>
      <c r="K137" s="34"/>
      <c r="L137" s="34"/>
      <c r="M137" s="34"/>
      <c r="N137" s="89">
        <f>C137*$AI$2</f>
        <v>58089.277816153422</v>
      </c>
      <c r="O137" s="255"/>
      <c r="P137" s="255"/>
      <c r="Q137" s="124"/>
      <c r="R137" s="108">
        <f>C137*$AI$2</f>
        <v>58089.277816153422</v>
      </c>
      <c r="S137" s="66"/>
      <c r="T137" s="85"/>
      <c r="U137" s="261"/>
      <c r="V137" s="131"/>
      <c r="W137" s="131"/>
      <c r="X137" s="131"/>
      <c r="Y137" s="125"/>
      <c r="Z137" s="126">
        <f>C137*$AI$2</f>
        <v>58089.277816153422</v>
      </c>
      <c r="AA137" s="66"/>
      <c r="AB137" s="67"/>
      <c r="AC137" s="248"/>
      <c r="AD137" s="109"/>
      <c r="AE137" s="250"/>
      <c r="AF137" s="120"/>
      <c r="AG137" s="242"/>
      <c r="AH137" s="239"/>
      <c r="AI137" s="240">
        <f>C137*$AI$3</f>
        <v>19363.092605384474</v>
      </c>
    </row>
    <row r="138" spans="1:35" x14ac:dyDescent="0.25">
      <c r="A138" s="9" t="s">
        <v>146</v>
      </c>
      <c r="B138" s="101" t="s">
        <v>26</v>
      </c>
      <c r="C138" s="16">
        <f>$C$119*0.1</f>
        <v>242038.65756730593</v>
      </c>
      <c r="D138" s="20">
        <f>C138/$C$119</f>
        <v>0.1</v>
      </c>
      <c r="E138" s="20"/>
      <c r="F138" s="29"/>
      <c r="G138" s="41"/>
      <c r="H138" s="41"/>
      <c r="I138" s="41"/>
      <c r="J138" s="41"/>
      <c r="K138" s="41"/>
      <c r="L138" s="42"/>
      <c r="M138" s="51"/>
      <c r="N138" s="51"/>
      <c r="O138" s="28"/>
      <c r="P138" s="47"/>
      <c r="Q138" s="80"/>
      <c r="R138" s="103"/>
      <c r="S138" s="71"/>
      <c r="T138" s="87"/>
      <c r="U138" s="82"/>
      <c r="V138" s="41"/>
      <c r="W138" s="41"/>
      <c r="X138" s="41"/>
      <c r="Y138" s="42"/>
      <c r="Z138" s="103"/>
      <c r="AA138" s="71"/>
      <c r="AB138" s="72"/>
      <c r="AC138" s="43"/>
      <c r="AD138" s="41"/>
      <c r="AE138" s="42"/>
      <c r="AF138" s="122"/>
      <c r="AG138" s="80"/>
      <c r="AH138" s="41"/>
      <c r="AI138" s="103"/>
    </row>
    <row r="139" spans="1:35" ht="15" customHeight="1" outlineLevel="1" x14ac:dyDescent="0.25">
      <c r="A139" s="10"/>
      <c r="B139" s="14" t="s">
        <v>26</v>
      </c>
      <c r="C139" s="92">
        <f>C138</f>
        <v>242038.65756730593</v>
      </c>
      <c r="D139" s="22">
        <f>C139/C138</f>
        <v>1</v>
      </c>
      <c r="E139" s="276" t="s">
        <v>178</v>
      </c>
      <c r="F139" s="24"/>
      <c r="G139" s="44"/>
      <c r="H139" s="44"/>
      <c r="I139" s="44"/>
      <c r="J139" s="34"/>
      <c r="K139" s="34"/>
      <c r="L139" s="34"/>
      <c r="M139" s="34"/>
      <c r="N139" s="89">
        <f>C139*$AI$2</f>
        <v>72611.597270191778</v>
      </c>
      <c r="O139" s="255"/>
      <c r="P139" s="255"/>
      <c r="Q139" s="123"/>
      <c r="R139" s="108">
        <f>C139*$AI$2</f>
        <v>72611.597270191778</v>
      </c>
      <c r="S139" s="66"/>
      <c r="T139" s="85"/>
      <c r="U139" s="261"/>
      <c r="V139" s="131"/>
      <c r="W139" s="131"/>
      <c r="X139" s="131"/>
      <c r="Y139" s="125"/>
      <c r="Z139" s="126">
        <f>C139*$AI$2</f>
        <v>72611.597270191778</v>
      </c>
      <c r="AA139" s="66"/>
      <c r="AB139" s="67"/>
      <c r="AC139" s="248"/>
      <c r="AD139" s="109"/>
      <c r="AE139" s="250"/>
      <c r="AF139" s="120"/>
      <c r="AG139" s="242"/>
      <c r="AH139" s="239"/>
      <c r="AI139" s="240">
        <f>C139*$AI$3</f>
        <v>24203.865756730593</v>
      </c>
    </row>
    <row r="140" spans="1:35" x14ac:dyDescent="0.25">
      <c r="A140" s="9" t="s">
        <v>157</v>
      </c>
      <c r="B140" s="101" t="s">
        <v>28</v>
      </c>
      <c r="C140" s="16">
        <f>$C$119*0.05</f>
        <v>121019.32878365296</v>
      </c>
      <c r="D140" s="20">
        <f>C140/$C$119</f>
        <v>0.05</v>
      </c>
      <c r="E140" s="20"/>
      <c r="F140" s="29"/>
      <c r="G140" s="41"/>
      <c r="H140" s="41"/>
      <c r="I140" s="41"/>
      <c r="J140" s="41"/>
      <c r="K140" s="41"/>
      <c r="L140" s="42"/>
      <c r="M140" s="51"/>
      <c r="N140" s="51"/>
      <c r="O140" s="28"/>
      <c r="P140" s="47"/>
      <c r="Q140" s="80"/>
      <c r="R140" s="70"/>
      <c r="S140" s="71"/>
      <c r="T140" s="87"/>
      <c r="U140" s="57"/>
      <c r="V140" s="41"/>
      <c r="W140" s="41"/>
      <c r="X140" s="41"/>
      <c r="Y140" s="42"/>
      <c r="Z140" s="70"/>
      <c r="AA140" s="71"/>
      <c r="AB140" s="72"/>
      <c r="AC140" s="43"/>
      <c r="AD140" s="56"/>
      <c r="AE140" s="42"/>
      <c r="AF140" s="122"/>
      <c r="AG140" s="80"/>
      <c r="AH140" s="41"/>
      <c r="AI140" s="70"/>
    </row>
    <row r="141" spans="1:35" ht="15" customHeight="1" outlineLevel="1" x14ac:dyDescent="0.25">
      <c r="A141" s="10"/>
      <c r="B141" s="14" t="s">
        <v>28</v>
      </c>
      <c r="C141" s="92">
        <f>C140</f>
        <v>121019.32878365296</v>
      </c>
      <c r="D141" s="22">
        <f>C141/C140</f>
        <v>1</v>
      </c>
      <c r="E141" s="276" t="s">
        <v>178</v>
      </c>
      <c r="F141" s="24"/>
      <c r="G141" s="44"/>
      <c r="H141" s="44"/>
      <c r="I141" s="44"/>
      <c r="J141" s="34"/>
      <c r="K141" s="34"/>
      <c r="L141" s="34"/>
      <c r="M141" s="34"/>
      <c r="N141" s="89">
        <f>C141*$AI$2</f>
        <v>36305.798635095889</v>
      </c>
      <c r="O141" s="255"/>
      <c r="P141" s="255"/>
      <c r="Q141" s="123"/>
      <c r="R141" s="108">
        <f>C141*$AI$2</f>
        <v>36305.798635095889</v>
      </c>
      <c r="S141" s="66"/>
      <c r="T141" s="85"/>
      <c r="U141" s="261"/>
      <c r="V141" s="131"/>
      <c r="W141" s="131"/>
      <c r="X141" s="131"/>
      <c r="Y141" s="125"/>
      <c r="Z141" s="126">
        <f>C141*$AI$2</f>
        <v>36305.798635095889</v>
      </c>
      <c r="AA141" s="66"/>
      <c r="AB141" s="67"/>
      <c r="AC141" s="248"/>
      <c r="AD141" s="109"/>
      <c r="AE141" s="250"/>
      <c r="AF141" s="120"/>
      <c r="AG141" s="242"/>
      <c r="AH141" s="239"/>
      <c r="AI141" s="240">
        <f>C141*$AI$3</f>
        <v>12101.932878365296</v>
      </c>
    </row>
    <row r="142" spans="1:35" x14ac:dyDescent="0.25">
      <c r="A142" s="8">
        <v>8</v>
      </c>
      <c r="B142" s="180" t="s">
        <v>10</v>
      </c>
      <c r="C142" s="15">
        <f>'[1]Parte B'!$G$152</f>
        <v>1181827.9593017334</v>
      </c>
      <c r="D142" s="19">
        <f>D143+D145+D147</f>
        <v>1</v>
      </c>
      <c r="E142" s="19"/>
      <c r="F142" s="80"/>
      <c r="G142" s="41"/>
      <c r="H142" s="41"/>
      <c r="I142" s="41"/>
      <c r="J142" s="41"/>
      <c r="K142" s="41"/>
      <c r="L142" s="42"/>
      <c r="M142" s="51"/>
      <c r="N142" s="51"/>
      <c r="O142" s="28"/>
      <c r="P142" s="47"/>
      <c r="Q142" s="80"/>
      <c r="R142" s="70"/>
      <c r="S142" s="71"/>
      <c r="T142" s="87"/>
      <c r="U142" s="80"/>
      <c r="V142" s="41"/>
      <c r="W142" s="41"/>
      <c r="X142" s="41"/>
      <c r="Y142" s="42"/>
      <c r="Z142" s="70"/>
      <c r="AA142" s="71"/>
      <c r="AB142" s="72"/>
      <c r="AC142" s="43"/>
      <c r="AD142" s="41"/>
      <c r="AE142" s="42"/>
      <c r="AF142" s="122"/>
      <c r="AG142" s="80"/>
      <c r="AH142" s="41"/>
      <c r="AI142" s="70"/>
    </row>
    <row r="143" spans="1:35" x14ac:dyDescent="0.25">
      <c r="A143" s="9" t="s">
        <v>147</v>
      </c>
      <c r="B143" s="101" t="s">
        <v>7</v>
      </c>
      <c r="C143" s="16">
        <f>$C$142*0.03</f>
        <v>35454.838779051999</v>
      </c>
      <c r="D143" s="20">
        <f>C143/$C$142</f>
        <v>0.03</v>
      </c>
      <c r="E143" s="20"/>
      <c r="F143" s="80"/>
      <c r="G143" s="41"/>
      <c r="H143" s="41"/>
      <c r="I143" s="41"/>
      <c r="J143" s="41"/>
      <c r="K143" s="41"/>
      <c r="L143" s="42"/>
      <c r="M143" s="51"/>
      <c r="N143" s="51"/>
      <c r="O143" s="28"/>
      <c r="P143" s="47"/>
      <c r="Q143" s="80"/>
      <c r="R143" s="70"/>
      <c r="S143" s="71"/>
      <c r="T143" s="87"/>
      <c r="U143" s="80"/>
      <c r="V143" s="41"/>
      <c r="W143" s="41"/>
      <c r="X143" s="41"/>
      <c r="Y143" s="42"/>
      <c r="Z143" s="70"/>
      <c r="AA143" s="71"/>
      <c r="AB143" s="72"/>
      <c r="AC143" s="43"/>
      <c r="AD143" s="41"/>
      <c r="AE143" s="42"/>
      <c r="AF143" s="122"/>
      <c r="AG143" s="80"/>
      <c r="AH143" s="41"/>
      <c r="AI143" s="70"/>
    </row>
    <row r="144" spans="1:35" ht="15" customHeight="1" outlineLevel="1" x14ac:dyDescent="0.25">
      <c r="A144" s="10"/>
      <c r="B144" s="14" t="s">
        <v>24</v>
      </c>
      <c r="C144" s="92">
        <f>C143</f>
        <v>35454.838779051999</v>
      </c>
      <c r="D144" s="22">
        <f>C144/C143</f>
        <v>1</v>
      </c>
      <c r="E144" s="276" t="s">
        <v>178</v>
      </c>
      <c r="F144" s="89">
        <f>C144*$AI$2</f>
        <v>10636.4516337156</v>
      </c>
      <c r="G144" s="111"/>
      <c r="H144" s="111"/>
      <c r="I144" s="111"/>
      <c r="J144" s="111"/>
      <c r="K144" s="111"/>
      <c r="L144" s="253"/>
      <c r="M144" s="254"/>
      <c r="N144" s="254"/>
      <c r="O144" s="255"/>
      <c r="P144" s="255"/>
      <c r="Q144" s="123"/>
      <c r="R144" s="108">
        <f>C144*$AI$2</f>
        <v>10636.4516337156</v>
      </c>
      <c r="S144" s="66"/>
      <c r="T144" s="85"/>
      <c r="U144" s="261"/>
      <c r="V144" s="131"/>
      <c r="W144" s="131"/>
      <c r="X144" s="131"/>
      <c r="Y144" s="125"/>
      <c r="Z144" s="126">
        <f>C144*$AI$2</f>
        <v>10636.4516337156</v>
      </c>
      <c r="AA144" s="66"/>
      <c r="AB144" s="67"/>
      <c r="AC144" s="248"/>
      <c r="AD144" s="109"/>
      <c r="AE144" s="250"/>
      <c r="AF144" s="120"/>
      <c r="AG144" s="242"/>
      <c r="AH144" s="239"/>
      <c r="AI144" s="240">
        <f>C144*$AI$3</f>
        <v>3545.4838779052002</v>
      </c>
    </row>
    <row r="145" spans="1:35" x14ac:dyDescent="0.25">
      <c r="A145" s="9" t="s">
        <v>148</v>
      </c>
      <c r="B145" s="101" t="s">
        <v>26</v>
      </c>
      <c r="C145" s="16">
        <f>$C$142*0.8</f>
        <v>945462.3674413868</v>
      </c>
      <c r="D145" s="20">
        <f>C145/$C$142</f>
        <v>0.8</v>
      </c>
      <c r="E145" s="20"/>
      <c r="F145" s="80"/>
      <c r="G145" s="41"/>
      <c r="H145" s="41"/>
      <c r="I145" s="41"/>
      <c r="J145" s="56"/>
      <c r="K145" s="41"/>
      <c r="L145" s="42"/>
      <c r="M145" s="51"/>
      <c r="N145" s="51"/>
      <c r="O145" s="28"/>
      <c r="P145" s="47"/>
      <c r="Q145" s="80"/>
      <c r="R145" s="70"/>
      <c r="S145" s="71"/>
      <c r="T145" s="87"/>
      <c r="U145" s="80"/>
      <c r="V145" s="56"/>
      <c r="W145" s="56"/>
      <c r="X145" s="41"/>
      <c r="Y145" s="42"/>
      <c r="Z145" s="70"/>
      <c r="AA145" s="71"/>
      <c r="AB145" s="72"/>
      <c r="AC145" s="43"/>
      <c r="AD145" s="41"/>
      <c r="AE145" s="42"/>
      <c r="AF145" s="122"/>
      <c r="AG145" s="80"/>
      <c r="AH145" s="41"/>
      <c r="AI145" s="70"/>
    </row>
    <row r="146" spans="1:35" ht="15" customHeight="1" outlineLevel="1" x14ac:dyDescent="0.25">
      <c r="A146" s="10"/>
      <c r="B146" s="14" t="s">
        <v>26</v>
      </c>
      <c r="C146" s="92">
        <f>C145</f>
        <v>945462.3674413868</v>
      </c>
      <c r="D146" s="22">
        <f>C146/C145</f>
        <v>1</v>
      </c>
      <c r="E146" s="276" t="s">
        <v>178</v>
      </c>
      <c r="F146" s="78"/>
      <c r="G146" s="44"/>
      <c r="H146" s="44"/>
      <c r="I146" s="44"/>
      <c r="J146" s="34"/>
      <c r="K146" s="34"/>
      <c r="L146" s="34"/>
      <c r="M146" s="34"/>
      <c r="N146" s="89">
        <f>C146*$AI$2</f>
        <v>283638.71023241605</v>
      </c>
      <c r="O146" s="255"/>
      <c r="P146" s="255"/>
      <c r="Q146" s="123"/>
      <c r="R146" s="108">
        <f>C146*$AI$2</f>
        <v>283638.71023241605</v>
      </c>
      <c r="S146" s="66"/>
      <c r="T146" s="85"/>
      <c r="U146" s="261"/>
      <c r="V146" s="131"/>
      <c r="W146" s="131"/>
      <c r="X146" s="131"/>
      <c r="Y146" s="125"/>
      <c r="Z146" s="126">
        <f>C146*$AI$2</f>
        <v>283638.71023241605</v>
      </c>
      <c r="AA146" s="66"/>
      <c r="AB146" s="67"/>
      <c r="AC146" s="248"/>
      <c r="AD146" s="109"/>
      <c r="AE146" s="250"/>
      <c r="AF146" s="120"/>
      <c r="AG146" s="242"/>
      <c r="AH146" s="239"/>
      <c r="AI146" s="240">
        <f>C146*$AI$3</f>
        <v>94546.236744138689</v>
      </c>
    </row>
    <row r="147" spans="1:35" x14ac:dyDescent="0.25">
      <c r="A147" s="9" t="s">
        <v>149</v>
      </c>
      <c r="B147" s="101" t="s">
        <v>28</v>
      </c>
      <c r="C147" s="16">
        <f>$C$142*0.17</f>
        <v>200910.75308129471</v>
      </c>
      <c r="D147" s="20">
        <f>C147/$C$142</f>
        <v>0.17</v>
      </c>
      <c r="E147" s="20"/>
      <c r="F147" s="80"/>
      <c r="G147" s="41"/>
      <c r="H147" s="41"/>
      <c r="I147" s="41"/>
      <c r="J147" s="41"/>
      <c r="K147" s="41"/>
      <c r="L147" s="42"/>
      <c r="M147" s="51"/>
      <c r="N147" s="51"/>
      <c r="O147" s="28"/>
      <c r="P147" s="47"/>
      <c r="Q147" s="80"/>
      <c r="R147" s="70"/>
      <c r="S147" s="71"/>
      <c r="T147" s="87"/>
      <c r="U147" s="80"/>
      <c r="V147" s="41"/>
      <c r="W147" s="56"/>
      <c r="X147" s="41"/>
      <c r="Y147" s="42"/>
      <c r="Z147" s="70"/>
      <c r="AA147" s="71"/>
      <c r="AB147" s="72"/>
      <c r="AC147" s="43"/>
      <c r="AD147" s="56"/>
      <c r="AE147" s="58"/>
      <c r="AF147" s="122"/>
      <c r="AG147" s="80"/>
      <c r="AH147" s="41"/>
      <c r="AI147" s="70"/>
    </row>
    <row r="148" spans="1:35" ht="15" customHeight="1" outlineLevel="1" x14ac:dyDescent="0.25">
      <c r="A148" s="10"/>
      <c r="B148" s="14" t="s">
        <v>28</v>
      </c>
      <c r="C148" s="92">
        <f>C147</f>
        <v>200910.75308129471</v>
      </c>
      <c r="D148" s="22">
        <f>C148/C147</f>
        <v>1</v>
      </c>
      <c r="E148" s="276" t="s">
        <v>178</v>
      </c>
      <c r="F148" s="78"/>
      <c r="G148" s="44"/>
      <c r="H148" s="44"/>
      <c r="I148" s="44"/>
      <c r="J148" s="34"/>
      <c r="K148" s="34"/>
      <c r="L148" s="34"/>
      <c r="M148" s="34"/>
      <c r="N148" s="89">
        <f>C148*$AI$2</f>
        <v>60273.225924388411</v>
      </c>
      <c r="O148" s="255"/>
      <c r="P148" s="255"/>
      <c r="Q148" s="123"/>
      <c r="R148" s="108">
        <f>C148*$AI$2</f>
        <v>60273.225924388411</v>
      </c>
      <c r="S148" s="66"/>
      <c r="T148" s="85"/>
      <c r="U148" s="261"/>
      <c r="V148" s="131"/>
      <c r="W148" s="131"/>
      <c r="X148" s="131"/>
      <c r="Y148" s="125"/>
      <c r="Z148" s="126">
        <f>C148*$AI$2</f>
        <v>60273.225924388411</v>
      </c>
      <c r="AA148" s="66"/>
      <c r="AB148" s="67"/>
      <c r="AC148" s="248"/>
      <c r="AD148" s="132"/>
      <c r="AE148" s="252"/>
      <c r="AF148" s="122"/>
      <c r="AG148" s="244"/>
      <c r="AH148" s="245"/>
      <c r="AI148" s="240">
        <f>C148*$AI$3</f>
        <v>20091.075308129472</v>
      </c>
    </row>
    <row r="149" spans="1:35" x14ac:dyDescent="0.25">
      <c r="A149" s="8">
        <v>9</v>
      </c>
      <c r="B149" s="180" t="s">
        <v>27</v>
      </c>
      <c r="C149" s="15">
        <f>'[1]Parte B'!$G$171+'[1]Parte B'!$G$160</f>
        <v>1120275.9591456405</v>
      </c>
      <c r="D149" s="19">
        <f>D150+D152+D154</f>
        <v>1</v>
      </c>
      <c r="E149" s="19"/>
      <c r="F149" s="78"/>
      <c r="G149" s="41"/>
      <c r="H149" s="41"/>
      <c r="I149" s="41"/>
      <c r="J149" s="41"/>
      <c r="K149" s="41"/>
      <c r="L149" s="42"/>
      <c r="M149" s="51"/>
      <c r="N149" s="51"/>
      <c r="O149" s="28"/>
      <c r="P149" s="47"/>
      <c r="Q149" s="80"/>
      <c r="R149" s="70"/>
      <c r="S149" s="71"/>
      <c r="T149" s="87"/>
      <c r="U149" s="80"/>
      <c r="V149" s="41"/>
      <c r="W149" s="41"/>
      <c r="X149" s="41"/>
      <c r="Y149" s="42"/>
      <c r="Z149" s="70"/>
      <c r="AA149" s="71"/>
      <c r="AB149" s="72"/>
      <c r="AC149" s="43"/>
      <c r="AD149" s="41"/>
      <c r="AE149" s="42"/>
      <c r="AF149" s="122"/>
      <c r="AG149" s="80"/>
      <c r="AH149" s="41"/>
      <c r="AI149" s="70"/>
    </row>
    <row r="150" spans="1:35" x14ac:dyDescent="0.25">
      <c r="A150" s="9" t="s">
        <v>150</v>
      </c>
      <c r="B150" s="101" t="s">
        <v>7</v>
      </c>
      <c r="C150" s="16">
        <f>$C$149*0.03</f>
        <v>33608.278774369217</v>
      </c>
      <c r="D150" s="20">
        <f>C150/$C$149</f>
        <v>3.0000000000000002E-2</v>
      </c>
      <c r="E150" s="20"/>
      <c r="F150" s="78"/>
      <c r="G150" s="41"/>
      <c r="H150" s="41"/>
      <c r="I150" s="41"/>
      <c r="J150" s="88"/>
      <c r="K150" s="41"/>
      <c r="L150" s="42"/>
      <c r="M150" s="51"/>
      <c r="N150" s="51"/>
      <c r="O150" s="28"/>
      <c r="P150" s="47"/>
      <c r="Q150" s="80"/>
      <c r="R150" s="70"/>
      <c r="S150" s="71"/>
      <c r="T150" s="87"/>
      <c r="U150" s="80"/>
      <c r="V150" s="41"/>
      <c r="W150" s="41"/>
      <c r="X150" s="41"/>
      <c r="Y150" s="42"/>
      <c r="Z150" s="70"/>
      <c r="AA150" s="71"/>
      <c r="AB150" s="72"/>
      <c r="AC150" s="43"/>
      <c r="AD150" s="41"/>
      <c r="AE150" s="42"/>
      <c r="AF150" s="122"/>
      <c r="AG150" s="80"/>
      <c r="AH150" s="41"/>
      <c r="AI150" s="70"/>
    </row>
    <row r="151" spans="1:35" ht="15" customHeight="1" outlineLevel="1" x14ac:dyDescent="0.25">
      <c r="A151" s="10"/>
      <c r="B151" s="14" t="s">
        <v>24</v>
      </c>
      <c r="C151" s="92">
        <f>C150</f>
        <v>33608.278774369217</v>
      </c>
      <c r="D151" s="22">
        <f>C151/C150</f>
        <v>1</v>
      </c>
      <c r="E151" s="276" t="s">
        <v>178</v>
      </c>
      <c r="F151" s="89">
        <f>C151*$AI$2</f>
        <v>10082.483632310765</v>
      </c>
      <c r="G151" s="111"/>
      <c r="H151" s="111"/>
      <c r="I151" s="111"/>
      <c r="J151" s="111"/>
      <c r="K151" s="111"/>
      <c r="L151" s="253"/>
      <c r="M151" s="254"/>
      <c r="N151" s="254"/>
      <c r="O151" s="255"/>
      <c r="P151" s="255"/>
      <c r="Q151" s="123"/>
      <c r="R151" s="108">
        <f>C151*$AI$2</f>
        <v>10082.483632310765</v>
      </c>
      <c r="S151" s="66"/>
      <c r="T151" s="85"/>
      <c r="U151" s="261"/>
      <c r="V151" s="131"/>
      <c r="W151" s="131"/>
      <c r="X151" s="131"/>
      <c r="Y151" s="125"/>
      <c r="Z151" s="126">
        <f>C151*$AI$2</f>
        <v>10082.483632310765</v>
      </c>
      <c r="AA151" s="66"/>
      <c r="AB151" s="67"/>
      <c r="AC151" s="248"/>
      <c r="AD151" s="109"/>
      <c r="AE151" s="250"/>
      <c r="AF151" s="120"/>
      <c r="AG151" s="242"/>
      <c r="AH151" s="239"/>
      <c r="AI151" s="240">
        <f>C151*$AI$3</f>
        <v>3360.8278774369219</v>
      </c>
    </row>
    <row r="152" spans="1:35" x14ac:dyDescent="0.25">
      <c r="A152" s="9" t="s">
        <v>151</v>
      </c>
      <c r="B152" s="101" t="s">
        <v>29</v>
      </c>
      <c r="C152" s="16">
        <f>$C$149*0.8</f>
        <v>896220.76731651241</v>
      </c>
      <c r="D152" s="20">
        <f>C152/$C$149</f>
        <v>0.8</v>
      </c>
      <c r="E152" s="20"/>
      <c r="F152" s="80"/>
      <c r="G152" s="41"/>
      <c r="H152" s="41"/>
      <c r="I152" s="41"/>
      <c r="J152" s="41"/>
      <c r="K152" s="56"/>
      <c r="L152" s="42"/>
      <c r="M152" s="51"/>
      <c r="N152" s="51"/>
      <c r="O152" s="28"/>
      <c r="P152" s="47"/>
      <c r="Q152" s="80"/>
      <c r="R152" s="70"/>
      <c r="S152" s="71"/>
      <c r="T152" s="87"/>
      <c r="U152" s="80"/>
      <c r="V152" s="41"/>
      <c r="W152" s="56"/>
      <c r="X152" s="56"/>
      <c r="Y152" s="42"/>
      <c r="Z152" s="70"/>
      <c r="AA152" s="71"/>
      <c r="AB152" s="72"/>
      <c r="AC152" s="43"/>
      <c r="AD152" s="41"/>
      <c r="AE152" s="42"/>
      <c r="AF152" s="122"/>
      <c r="AG152" s="80"/>
      <c r="AH152" s="41"/>
      <c r="AI152" s="70"/>
    </row>
    <row r="153" spans="1:35" ht="15" customHeight="1" outlineLevel="1" x14ac:dyDescent="0.25">
      <c r="A153" s="10"/>
      <c r="B153" s="14" t="s">
        <v>29</v>
      </c>
      <c r="C153" s="92">
        <f>C152</f>
        <v>896220.76731651241</v>
      </c>
      <c r="D153" s="22">
        <f>C153/C152</f>
        <v>1</v>
      </c>
      <c r="E153" s="276" t="s">
        <v>178</v>
      </c>
      <c r="F153" s="78"/>
      <c r="G153" s="44"/>
      <c r="H153" s="44"/>
      <c r="I153" s="44"/>
      <c r="J153" s="34"/>
      <c r="K153" s="34"/>
      <c r="L153" s="34"/>
      <c r="M153" s="34"/>
      <c r="N153" s="89">
        <f>C153*$AI$2</f>
        <v>268866.23019495374</v>
      </c>
      <c r="O153" s="255"/>
      <c r="P153" s="255"/>
      <c r="Q153" s="123"/>
      <c r="R153" s="108">
        <f>C153*$AI$2</f>
        <v>268866.23019495374</v>
      </c>
      <c r="S153" s="66"/>
      <c r="T153" s="85"/>
      <c r="U153" s="261"/>
      <c r="V153" s="131"/>
      <c r="W153" s="131"/>
      <c r="X153" s="131"/>
      <c r="Y153" s="125"/>
      <c r="Z153" s="126">
        <f>C153*$AI$2</f>
        <v>268866.23019495374</v>
      </c>
      <c r="AA153" s="66"/>
      <c r="AB153" s="67"/>
      <c r="AC153" s="248"/>
      <c r="AD153" s="109"/>
      <c r="AE153" s="250"/>
      <c r="AF153" s="120"/>
      <c r="AG153" s="242"/>
      <c r="AH153" s="239"/>
      <c r="AI153" s="240">
        <f>C153*$AI$3</f>
        <v>89622.07673165125</v>
      </c>
    </row>
    <row r="154" spans="1:35" x14ac:dyDescent="0.25">
      <c r="A154" s="9" t="s">
        <v>152</v>
      </c>
      <c r="B154" s="101" t="s">
        <v>28</v>
      </c>
      <c r="C154" s="16">
        <f>$C$149*0.17</f>
        <v>190446.91305475889</v>
      </c>
      <c r="D154" s="20">
        <f>C154/$C$149</f>
        <v>0.17</v>
      </c>
      <c r="E154" s="20"/>
      <c r="F154" s="80"/>
      <c r="G154" s="41"/>
      <c r="H154" s="41"/>
      <c r="I154" s="41"/>
      <c r="J154" s="41"/>
      <c r="K154" s="41"/>
      <c r="L154" s="42"/>
      <c r="M154" s="51"/>
      <c r="N154" s="51"/>
      <c r="O154" s="28"/>
      <c r="P154" s="47"/>
      <c r="Q154" s="80"/>
      <c r="R154" s="70"/>
      <c r="S154" s="71"/>
      <c r="T154" s="87"/>
      <c r="U154" s="80"/>
      <c r="V154" s="41"/>
      <c r="W154" s="57"/>
      <c r="X154" s="41"/>
      <c r="Y154" s="42"/>
      <c r="Z154" s="70"/>
      <c r="AA154" s="71"/>
      <c r="AB154" s="72"/>
      <c r="AC154" s="43"/>
      <c r="AD154" s="41"/>
      <c r="AE154" s="56"/>
      <c r="AF154" s="122"/>
      <c r="AG154" s="80"/>
      <c r="AH154" s="41"/>
      <c r="AI154" s="70"/>
    </row>
    <row r="155" spans="1:35" ht="15" customHeight="1" outlineLevel="1" x14ac:dyDescent="0.25">
      <c r="A155" s="10"/>
      <c r="B155" s="14" t="s">
        <v>28</v>
      </c>
      <c r="C155" s="92">
        <f>C154</f>
        <v>190446.91305475889</v>
      </c>
      <c r="D155" s="22">
        <f>C155/C154</f>
        <v>1</v>
      </c>
      <c r="E155" s="276" t="s">
        <v>178</v>
      </c>
      <c r="F155" s="44"/>
      <c r="G155" s="44"/>
      <c r="H155" s="44"/>
      <c r="I155" s="44"/>
      <c r="J155" s="34"/>
      <c r="K155" s="34"/>
      <c r="L155" s="34"/>
      <c r="M155" s="34"/>
      <c r="N155" s="89">
        <f>C155*$AI$2</f>
        <v>57134.073916427667</v>
      </c>
      <c r="O155" s="255"/>
      <c r="P155" s="255"/>
      <c r="Q155" s="123"/>
      <c r="R155" s="108">
        <f>C155*$AI$2</f>
        <v>57134.073916427667</v>
      </c>
      <c r="S155" s="66"/>
      <c r="T155" s="85"/>
      <c r="U155" s="261"/>
      <c r="V155" s="131"/>
      <c r="W155" s="131"/>
      <c r="X155" s="131"/>
      <c r="Y155" s="125"/>
      <c r="Z155" s="126">
        <f>C155*$AI$2</f>
        <v>57134.073916427667</v>
      </c>
      <c r="AA155" s="66"/>
      <c r="AB155" s="67"/>
      <c r="AC155" s="248"/>
      <c r="AD155" s="109"/>
      <c r="AE155" s="250"/>
      <c r="AF155" s="120"/>
      <c r="AG155" s="242"/>
      <c r="AH155" s="239"/>
      <c r="AI155" s="240">
        <f>C155*$AI$3</f>
        <v>19044.691305475888</v>
      </c>
    </row>
    <row r="156" spans="1:35" x14ac:dyDescent="0.25">
      <c r="A156" s="8">
        <v>10</v>
      </c>
      <c r="B156" s="180" t="s">
        <v>90</v>
      </c>
      <c r="C156" s="15">
        <f>'[1]Parte B'!$G$179</f>
        <v>838876.51954124798</v>
      </c>
      <c r="D156" s="19">
        <f>D157+D159</f>
        <v>1</v>
      </c>
      <c r="E156" s="19"/>
      <c r="F156" s="41"/>
      <c r="G156" s="41"/>
      <c r="H156" s="41"/>
      <c r="I156" s="41"/>
      <c r="J156" s="41"/>
      <c r="K156" s="41"/>
      <c r="L156" s="42"/>
      <c r="M156" s="51"/>
      <c r="N156" s="51"/>
      <c r="O156" s="28"/>
      <c r="P156" s="47"/>
      <c r="Q156" s="80"/>
      <c r="R156" s="70"/>
      <c r="S156" s="71"/>
      <c r="T156" s="87"/>
      <c r="U156" s="80"/>
      <c r="V156" s="41"/>
      <c r="W156" s="41"/>
      <c r="X156" s="41"/>
      <c r="Y156" s="42"/>
      <c r="Z156" s="70"/>
      <c r="AA156" s="71"/>
      <c r="AB156" s="72"/>
      <c r="AC156" s="43"/>
      <c r="AD156" s="41"/>
      <c r="AE156" s="42"/>
      <c r="AF156" s="122"/>
      <c r="AG156" s="80"/>
      <c r="AH156" s="41"/>
      <c r="AI156" s="70"/>
    </row>
    <row r="157" spans="1:35" x14ac:dyDescent="0.25">
      <c r="A157" s="9" t="s">
        <v>153</v>
      </c>
      <c r="B157" s="101" t="s">
        <v>7</v>
      </c>
      <c r="C157" s="16">
        <f>C156*0.05</f>
        <v>41943.825977062399</v>
      </c>
      <c r="D157" s="20">
        <f>C157/C156</f>
        <v>0.05</v>
      </c>
      <c r="E157" s="20"/>
      <c r="F157" s="41"/>
      <c r="G157" s="41"/>
      <c r="H157" s="41"/>
      <c r="I157" s="41"/>
      <c r="J157" s="88"/>
      <c r="K157" s="41"/>
      <c r="L157" s="42"/>
      <c r="M157" s="51"/>
      <c r="N157" s="51"/>
      <c r="O157" s="28"/>
      <c r="P157" s="47"/>
      <c r="Q157" s="41"/>
      <c r="R157" s="70"/>
      <c r="S157" s="71"/>
      <c r="T157" s="87"/>
      <c r="U157" s="80"/>
      <c r="V157" s="41"/>
      <c r="W157" s="41"/>
      <c r="X157" s="41"/>
      <c r="Y157" s="42"/>
      <c r="Z157" s="70"/>
      <c r="AA157" s="71"/>
      <c r="AB157" s="72"/>
      <c r="AC157" s="43"/>
      <c r="AD157" s="41"/>
      <c r="AE157" s="42"/>
      <c r="AF157" s="122"/>
      <c r="AG157" s="80"/>
      <c r="AH157" s="41"/>
      <c r="AI157" s="70"/>
    </row>
    <row r="158" spans="1:35" ht="15" customHeight="1" outlineLevel="1" x14ac:dyDescent="0.25">
      <c r="A158" s="10"/>
      <c r="B158" s="14" t="s">
        <v>78</v>
      </c>
      <c r="C158" s="92">
        <f>C157</f>
        <v>41943.825977062399</v>
      </c>
      <c r="D158" s="22">
        <f>C158/C157</f>
        <v>1</v>
      </c>
      <c r="E158" s="276" t="s">
        <v>178</v>
      </c>
      <c r="F158" s="89">
        <f>C158*$AI$2</f>
        <v>12583.14779311872</v>
      </c>
      <c r="G158" s="111"/>
      <c r="H158" s="111"/>
      <c r="I158" s="111"/>
      <c r="J158" s="111"/>
      <c r="K158" s="111"/>
      <c r="L158" s="253"/>
      <c r="M158" s="254"/>
      <c r="N158" s="254"/>
      <c r="O158" s="255"/>
      <c r="P158" s="255"/>
      <c r="Q158" s="111"/>
      <c r="R158" s="108">
        <f>C158*$AI$2</f>
        <v>12583.14779311872</v>
      </c>
      <c r="S158" s="66"/>
      <c r="T158" s="85"/>
      <c r="U158" s="261"/>
      <c r="V158" s="131"/>
      <c r="W158" s="131"/>
      <c r="X158" s="131"/>
      <c r="Y158" s="125"/>
      <c r="Z158" s="126">
        <f>C158*$AI$2</f>
        <v>12583.14779311872</v>
      </c>
      <c r="AA158" s="66"/>
      <c r="AB158" s="67"/>
      <c r="AC158" s="248"/>
      <c r="AD158" s="109"/>
      <c r="AE158" s="250"/>
      <c r="AF158" s="120"/>
      <c r="AG158" s="242"/>
      <c r="AH158" s="239"/>
      <c r="AI158" s="240">
        <f>C158*$AI$3</f>
        <v>4194.3825977062397</v>
      </c>
    </row>
    <row r="159" spans="1:35" x14ac:dyDescent="0.25">
      <c r="A159" s="9" t="s">
        <v>154</v>
      </c>
      <c r="B159" s="101" t="s">
        <v>90</v>
      </c>
      <c r="C159" s="16">
        <f>C156*0.95</f>
        <v>796932.69356418552</v>
      </c>
      <c r="D159" s="20">
        <f>C159/C156</f>
        <v>0.95</v>
      </c>
      <c r="E159" s="20"/>
      <c r="F159" s="41"/>
      <c r="G159" s="41"/>
      <c r="H159" s="41"/>
      <c r="I159" s="41"/>
      <c r="J159" s="41"/>
      <c r="K159" s="56"/>
      <c r="L159" s="42"/>
      <c r="M159" s="51"/>
      <c r="N159" s="51"/>
      <c r="O159" s="28"/>
      <c r="P159" s="47"/>
      <c r="Q159" s="41"/>
      <c r="R159" s="70"/>
      <c r="S159" s="71"/>
      <c r="T159" s="87"/>
      <c r="U159" s="80"/>
      <c r="V159" s="41"/>
      <c r="W159" s="41"/>
      <c r="X159" s="41"/>
      <c r="Y159" s="56"/>
      <c r="Z159" s="70"/>
      <c r="AA159" s="71"/>
      <c r="AB159" s="72"/>
      <c r="AC159" s="43"/>
      <c r="AD159" s="41"/>
      <c r="AE159" s="42"/>
      <c r="AF159" s="122"/>
      <c r="AG159" s="80"/>
      <c r="AH159" s="41"/>
      <c r="AI159" s="70"/>
    </row>
    <row r="160" spans="1:35" ht="15" customHeight="1" outlineLevel="1" x14ac:dyDescent="0.25">
      <c r="A160" s="10"/>
      <c r="B160" s="183" t="s">
        <v>155</v>
      </c>
      <c r="C160" s="178">
        <f>$C$159/7</f>
        <v>113847.5276520265</v>
      </c>
      <c r="D160" s="22">
        <f>C160/$C$159</f>
        <v>0.14285714285714285</v>
      </c>
      <c r="E160" s="276" t="s">
        <v>178</v>
      </c>
      <c r="F160" s="44"/>
      <c r="G160" s="44"/>
      <c r="H160" s="44"/>
      <c r="I160" s="44"/>
      <c r="J160" s="41"/>
      <c r="K160" s="41"/>
      <c r="L160" s="34"/>
      <c r="M160" s="34"/>
      <c r="N160" s="34"/>
      <c r="O160" s="89">
        <f>C160*$AI$2</f>
        <v>34154.25829560795</v>
      </c>
      <c r="P160" s="255"/>
      <c r="Q160" s="111"/>
      <c r="R160" s="108">
        <f t="shared" ref="R160:R166" si="32">C160*$AI$2</f>
        <v>34154.25829560795</v>
      </c>
      <c r="S160" s="66"/>
      <c r="T160" s="85"/>
      <c r="U160" s="261"/>
      <c r="V160" s="131"/>
      <c r="W160" s="265"/>
      <c r="X160" s="131"/>
      <c r="Y160" s="125"/>
      <c r="Z160" s="126">
        <f t="shared" ref="Z160:Z166" si="33">C160*$AI$2</f>
        <v>34154.25829560795</v>
      </c>
      <c r="AA160" s="66"/>
      <c r="AB160" s="67"/>
      <c r="AC160" s="248"/>
      <c r="AD160" s="109"/>
      <c r="AE160" s="250"/>
      <c r="AF160" s="120"/>
      <c r="AG160" s="242"/>
      <c r="AH160" s="239"/>
      <c r="AI160" s="240">
        <f t="shared" ref="AI160:AI166" si="34">C160*$AI$3</f>
        <v>11384.752765202651</v>
      </c>
    </row>
    <row r="161" spans="1:35" ht="15" customHeight="1" outlineLevel="1" x14ac:dyDescent="0.25">
      <c r="A161" s="10"/>
      <c r="B161" s="14" t="s">
        <v>91</v>
      </c>
      <c r="C161" s="178">
        <f t="shared" ref="C161:C166" si="35">$C$159/7</f>
        <v>113847.5276520265</v>
      </c>
      <c r="D161" s="22">
        <f t="shared" ref="D161:D166" si="36">C161/$C$159</f>
        <v>0.14285714285714285</v>
      </c>
      <c r="E161" s="276" t="s">
        <v>178</v>
      </c>
      <c r="F161" s="44"/>
      <c r="G161" s="44"/>
      <c r="H161" s="44"/>
      <c r="I161" s="44"/>
      <c r="J161" s="41"/>
      <c r="K161" s="41"/>
      <c r="L161" s="34"/>
      <c r="M161" s="34"/>
      <c r="N161" s="34"/>
      <c r="O161" s="89">
        <f>C161*$AI$2</f>
        <v>34154.25829560795</v>
      </c>
      <c r="P161" s="255"/>
      <c r="Q161" s="111"/>
      <c r="R161" s="108">
        <f t="shared" si="32"/>
        <v>34154.25829560795</v>
      </c>
      <c r="S161" s="66"/>
      <c r="T161" s="85"/>
      <c r="U161" s="261"/>
      <c r="V161" s="131"/>
      <c r="W161" s="265"/>
      <c r="X161" s="131"/>
      <c r="Y161" s="125"/>
      <c r="Z161" s="126">
        <f t="shared" si="33"/>
        <v>34154.25829560795</v>
      </c>
      <c r="AA161" s="66"/>
      <c r="AB161" s="67"/>
      <c r="AC161" s="248"/>
      <c r="AD161" s="109"/>
      <c r="AE161" s="250"/>
      <c r="AF161" s="120"/>
      <c r="AG161" s="242"/>
      <c r="AH161" s="239"/>
      <c r="AI161" s="240">
        <f t="shared" si="34"/>
        <v>11384.752765202651</v>
      </c>
    </row>
    <row r="162" spans="1:35" ht="15" customHeight="1" outlineLevel="1" x14ac:dyDescent="0.25">
      <c r="A162" s="10"/>
      <c r="B162" s="14" t="s">
        <v>92</v>
      </c>
      <c r="C162" s="178">
        <f t="shared" si="35"/>
        <v>113847.5276520265</v>
      </c>
      <c r="D162" s="22">
        <f t="shared" si="36"/>
        <v>0.14285714285714285</v>
      </c>
      <c r="E162" s="276" t="s">
        <v>178</v>
      </c>
      <c r="F162" s="44"/>
      <c r="G162" s="44"/>
      <c r="H162" s="44"/>
      <c r="I162" s="44"/>
      <c r="J162" s="41"/>
      <c r="K162" s="41"/>
      <c r="L162" s="34"/>
      <c r="M162" s="34"/>
      <c r="N162" s="34"/>
      <c r="O162" s="89">
        <f>C162*$AI$2</f>
        <v>34154.25829560795</v>
      </c>
      <c r="P162" s="255"/>
      <c r="Q162" s="111"/>
      <c r="R162" s="108">
        <f t="shared" si="32"/>
        <v>34154.25829560795</v>
      </c>
      <c r="S162" s="66"/>
      <c r="T162" s="85"/>
      <c r="U162" s="261"/>
      <c r="V162" s="131"/>
      <c r="W162" s="265"/>
      <c r="X162" s="131"/>
      <c r="Y162" s="125"/>
      <c r="Z162" s="126">
        <f t="shared" si="33"/>
        <v>34154.25829560795</v>
      </c>
      <c r="AA162" s="66"/>
      <c r="AB162" s="67"/>
      <c r="AC162" s="248"/>
      <c r="AD162" s="109"/>
      <c r="AE162" s="250"/>
      <c r="AF162" s="120"/>
      <c r="AG162" s="242"/>
      <c r="AH162" s="239"/>
      <c r="AI162" s="240">
        <f t="shared" si="34"/>
        <v>11384.752765202651</v>
      </c>
    </row>
    <row r="163" spans="1:35" ht="15" customHeight="1" outlineLevel="1" x14ac:dyDescent="0.25">
      <c r="A163" s="10"/>
      <c r="B163" s="14" t="s">
        <v>93</v>
      </c>
      <c r="C163" s="178">
        <f t="shared" si="35"/>
        <v>113847.5276520265</v>
      </c>
      <c r="D163" s="22">
        <f t="shared" si="36"/>
        <v>0.14285714285714285</v>
      </c>
      <c r="E163" s="276" t="s">
        <v>178</v>
      </c>
      <c r="F163" s="25"/>
      <c r="G163" s="44"/>
      <c r="H163" s="44"/>
      <c r="I163" s="44"/>
      <c r="J163" s="41"/>
      <c r="K163" s="41"/>
      <c r="L163" s="34"/>
      <c r="M163" s="34"/>
      <c r="N163" s="34"/>
      <c r="O163" s="89">
        <f>C163*$AI$2</f>
        <v>34154.25829560795</v>
      </c>
      <c r="P163" s="255"/>
      <c r="Q163" s="111"/>
      <c r="R163" s="108">
        <f t="shared" si="32"/>
        <v>34154.25829560795</v>
      </c>
      <c r="S163" s="66"/>
      <c r="T163" s="85"/>
      <c r="U163" s="261"/>
      <c r="V163" s="131"/>
      <c r="W163" s="265"/>
      <c r="X163" s="131"/>
      <c r="Y163" s="125"/>
      <c r="Z163" s="126">
        <f t="shared" si="33"/>
        <v>34154.25829560795</v>
      </c>
      <c r="AA163" s="66"/>
      <c r="AB163" s="67"/>
      <c r="AC163" s="248"/>
      <c r="AD163" s="109"/>
      <c r="AE163" s="250"/>
      <c r="AF163" s="120"/>
      <c r="AG163" s="242"/>
      <c r="AH163" s="239"/>
      <c r="AI163" s="240">
        <f t="shared" si="34"/>
        <v>11384.752765202651</v>
      </c>
    </row>
    <row r="164" spans="1:35" ht="15" customHeight="1" outlineLevel="1" x14ac:dyDescent="0.25">
      <c r="A164" s="10"/>
      <c r="B164" s="184" t="s">
        <v>94</v>
      </c>
      <c r="C164" s="178">
        <f t="shared" si="35"/>
        <v>113847.5276520265</v>
      </c>
      <c r="D164" s="22">
        <f t="shared" si="36"/>
        <v>0.14285714285714285</v>
      </c>
      <c r="E164" s="276" t="s">
        <v>178</v>
      </c>
      <c r="F164" s="25"/>
      <c r="G164" s="44"/>
      <c r="H164" s="44"/>
      <c r="I164" s="44"/>
      <c r="J164" s="41"/>
      <c r="K164" s="25"/>
      <c r="L164" s="25"/>
      <c r="M164" s="34"/>
      <c r="N164" s="34"/>
      <c r="O164" s="34"/>
      <c r="P164" s="89">
        <f>C164*$AI$2</f>
        <v>34154.25829560795</v>
      </c>
      <c r="Q164" s="111"/>
      <c r="R164" s="108">
        <f t="shared" si="32"/>
        <v>34154.25829560795</v>
      </c>
      <c r="S164" s="66"/>
      <c r="T164" s="85"/>
      <c r="U164" s="261"/>
      <c r="V164" s="131"/>
      <c r="W164" s="265"/>
      <c r="X164" s="131"/>
      <c r="Y164" s="125"/>
      <c r="Z164" s="126">
        <f t="shared" si="33"/>
        <v>34154.25829560795</v>
      </c>
      <c r="AA164" s="66"/>
      <c r="AB164" s="67"/>
      <c r="AC164" s="248"/>
      <c r="AD164" s="109"/>
      <c r="AE164" s="250"/>
      <c r="AF164" s="120"/>
      <c r="AG164" s="242"/>
      <c r="AH164" s="239"/>
      <c r="AI164" s="240">
        <f t="shared" si="34"/>
        <v>11384.752765202651</v>
      </c>
    </row>
    <row r="165" spans="1:35" ht="15" customHeight="1" outlineLevel="1" x14ac:dyDescent="0.25">
      <c r="A165" s="10"/>
      <c r="B165" s="14" t="s">
        <v>95</v>
      </c>
      <c r="C165" s="178">
        <f t="shared" si="35"/>
        <v>113847.5276520265</v>
      </c>
      <c r="D165" s="22">
        <f t="shared" si="36"/>
        <v>0.14285714285714285</v>
      </c>
      <c r="E165" s="276" t="s">
        <v>178</v>
      </c>
      <c r="F165" s="25"/>
      <c r="G165" s="44"/>
      <c r="H165" s="44"/>
      <c r="I165" s="44"/>
      <c r="J165" s="41"/>
      <c r="K165" s="44"/>
      <c r="L165" s="44"/>
      <c r="M165" s="34"/>
      <c r="N165" s="34"/>
      <c r="O165" s="34"/>
      <c r="P165" s="89">
        <f>C165*$AI$2</f>
        <v>34154.25829560795</v>
      </c>
      <c r="Q165" s="111"/>
      <c r="R165" s="108">
        <f t="shared" si="32"/>
        <v>34154.25829560795</v>
      </c>
      <c r="S165" s="66"/>
      <c r="T165" s="85"/>
      <c r="U165" s="261"/>
      <c r="V165" s="131"/>
      <c r="W165" s="265"/>
      <c r="X165" s="131"/>
      <c r="Y165" s="125"/>
      <c r="Z165" s="126">
        <f t="shared" si="33"/>
        <v>34154.25829560795</v>
      </c>
      <c r="AA165" s="66"/>
      <c r="AB165" s="67"/>
      <c r="AC165" s="248"/>
      <c r="AD165" s="109"/>
      <c r="AE165" s="250"/>
      <c r="AF165" s="120"/>
      <c r="AG165" s="242"/>
      <c r="AH165" s="239"/>
      <c r="AI165" s="240">
        <f t="shared" si="34"/>
        <v>11384.752765202651</v>
      </c>
    </row>
    <row r="166" spans="1:35" ht="15" customHeight="1" outlineLevel="1" x14ac:dyDescent="0.25">
      <c r="A166" s="10"/>
      <c r="B166" s="14" t="s">
        <v>96</v>
      </c>
      <c r="C166" s="178">
        <f t="shared" si="35"/>
        <v>113847.5276520265</v>
      </c>
      <c r="D166" s="22">
        <f t="shared" si="36"/>
        <v>0.14285714285714285</v>
      </c>
      <c r="E166" s="276" t="s">
        <v>178</v>
      </c>
      <c r="F166" s="25"/>
      <c r="G166" s="44"/>
      <c r="H166" s="44"/>
      <c r="I166" s="44"/>
      <c r="J166" s="41"/>
      <c r="K166" s="44"/>
      <c r="L166" s="44"/>
      <c r="M166" s="34"/>
      <c r="N166" s="34"/>
      <c r="O166" s="34"/>
      <c r="P166" s="89">
        <f>C166*$AI$2</f>
        <v>34154.25829560795</v>
      </c>
      <c r="Q166" s="111"/>
      <c r="R166" s="108">
        <f t="shared" si="32"/>
        <v>34154.25829560795</v>
      </c>
      <c r="S166" s="66"/>
      <c r="T166" s="85"/>
      <c r="U166" s="261"/>
      <c r="V166" s="131"/>
      <c r="W166" s="265"/>
      <c r="X166" s="131"/>
      <c r="Y166" s="125"/>
      <c r="Z166" s="126">
        <f t="shared" si="33"/>
        <v>34154.25829560795</v>
      </c>
      <c r="AA166" s="66"/>
      <c r="AB166" s="67"/>
      <c r="AC166" s="248"/>
      <c r="AD166" s="109"/>
      <c r="AE166" s="250"/>
      <c r="AF166" s="120"/>
      <c r="AG166" s="242"/>
      <c r="AH166" s="239"/>
      <c r="AI166" s="240">
        <f t="shared" si="34"/>
        <v>11384.752765202651</v>
      </c>
    </row>
    <row r="167" spans="1:35" x14ac:dyDescent="0.25">
      <c r="A167" s="8">
        <v>11</v>
      </c>
      <c r="B167" s="180" t="s">
        <v>59</v>
      </c>
      <c r="C167" s="15">
        <f>'[1]Parte B'!$G$164</f>
        <v>771323.94065004145</v>
      </c>
      <c r="D167" s="19">
        <v>1</v>
      </c>
      <c r="E167" s="19"/>
      <c r="F167" s="30"/>
      <c r="G167" s="41"/>
      <c r="H167" s="41"/>
      <c r="I167" s="41"/>
      <c r="J167" s="41"/>
      <c r="K167" s="56"/>
      <c r="L167" s="56"/>
      <c r="M167" s="96"/>
      <c r="N167" s="51"/>
      <c r="O167" s="28"/>
      <c r="P167" s="47"/>
      <c r="Q167" s="41"/>
      <c r="R167" s="70"/>
      <c r="S167" s="71"/>
      <c r="T167" s="87"/>
      <c r="U167" s="80"/>
      <c r="V167" s="41"/>
      <c r="W167" s="41"/>
      <c r="X167" s="41"/>
      <c r="Y167" s="56"/>
      <c r="Z167" s="70"/>
      <c r="AA167" s="71"/>
      <c r="AB167" s="72"/>
      <c r="AC167" s="43"/>
      <c r="AD167" s="41"/>
      <c r="AE167" s="42"/>
      <c r="AF167" s="122"/>
      <c r="AG167" s="80"/>
      <c r="AH167" s="41"/>
      <c r="AI167" s="70"/>
    </row>
    <row r="168" spans="1:35" x14ac:dyDescent="0.25">
      <c r="A168" s="9" t="s">
        <v>171</v>
      </c>
      <c r="B168" s="101" t="s">
        <v>7</v>
      </c>
      <c r="C168" s="16">
        <f>C169</f>
        <v>77132.394065004148</v>
      </c>
      <c r="D168" s="20">
        <f>C168/C167</f>
        <v>0.1</v>
      </c>
      <c r="E168" s="20"/>
      <c r="F168" s="30"/>
      <c r="G168" s="41"/>
      <c r="H168" s="41"/>
      <c r="I168" s="41"/>
      <c r="J168" s="41"/>
      <c r="K168" s="56"/>
      <c r="L168" s="56"/>
      <c r="M168" s="96"/>
      <c r="N168" s="51"/>
      <c r="O168" s="28"/>
      <c r="P168" s="47"/>
      <c r="Q168" s="41"/>
      <c r="R168" s="70"/>
      <c r="S168" s="71"/>
      <c r="T168" s="87"/>
      <c r="U168" s="80"/>
      <c r="V168" s="41"/>
      <c r="W168" s="41"/>
      <c r="X168" s="41"/>
      <c r="Y168" s="58"/>
      <c r="Z168" s="70"/>
      <c r="AA168" s="71"/>
      <c r="AB168" s="72"/>
      <c r="AC168" s="43"/>
      <c r="AD168" s="41"/>
      <c r="AE168" s="42"/>
      <c r="AF168" s="122"/>
      <c r="AG168" s="80"/>
      <c r="AH168" s="41"/>
      <c r="AI168" s="70"/>
    </row>
    <row r="169" spans="1:35" x14ac:dyDescent="0.25">
      <c r="A169" s="10"/>
      <c r="B169" s="14" t="s">
        <v>78</v>
      </c>
      <c r="C169" s="179">
        <f>C167*0.1</f>
        <v>77132.394065004148</v>
      </c>
      <c r="D169" s="22">
        <f>C169/C168</f>
        <v>1</v>
      </c>
      <c r="E169" s="276" t="s">
        <v>178</v>
      </c>
      <c r="F169" s="89">
        <f>C169*$AI$2</f>
        <v>23139.718219501243</v>
      </c>
      <c r="G169" s="113"/>
      <c r="H169" s="113"/>
      <c r="I169" s="113"/>
      <c r="J169" s="113"/>
      <c r="K169" s="115"/>
      <c r="L169" s="115"/>
      <c r="M169" s="254"/>
      <c r="N169" s="254"/>
      <c r="O169" s="255"/>
      <c r="P169" s="255"/>
      <c r="Q169" s="113"/>
      <c r="R169" s="108">
        <f>C169*$AI$2</f>
        <v>23139.718219501243</v>
      </c>
      <c r="S169" s="71"/>
      <c r="T169" s="87"/>
      <c r="U169" s="264"/>
      <c r="V169" s="265"/>
      <c r="W169" s="265"/>
      <c r="X169" s="265"/>
      <c r="Y169" s="130"/>
      <c r="Z169" s="126">
        <f>C169*$AI$2</f>
        <v>23139.718219501243</v>
      </c>
      <c r="AA169" s="71"/>
      <c r="AB169" s="72"/>
      <c r="AC169" s="251"/>
      <c r="AD169" s="132"/>
      <c r="AE169" s="252"/>
      <c r="AF169" s="122"/>
      <c r="AG169" s="244"/>
      <c r="AH169" s="245"/>
      <c r="AI169" s="240">
        <f>C169*$AI$3</f>
        <v>7713.2394065004155</v>
      </c>
    </row>
    <row r="170" spans="1:35" x14ac:dyDescent="0.25">
      <c r="A170" s="9" t="s">
        <v>172</v>
      </c>
      <c r="B170" s="101" t="s">
        <v>102</v>
      </c>
      <c r="C170" s="16">
        <f>SUM(C171:C173)</f>
        <v>694191.54658503726</v>
      </c>
      <c r="D170" s="20">
        <f t="shared" ref="D170" si="37">C170/$C$167</f>
        <v>0.89999999999999991</v>
      </c>
      <c r="E170" s="20"/>
      <c r="F170" s="30"/>
      <c r="G170" s="41"/>
      <c r="H170" s="41"/>
      <c r="I170" s="41"/>
      <c r="J170" s="41"/>
      <c r="K170" s="56"/>
      <c r="L170" s="56"/>
      <c r="M170" s="96"/>
      <c r="N170" s="51"/>
      <c r="O170" s="28"/>
      <c r="P170" s="47"/>
      <c r="Q170" s="41"/>
      <c r="R170" s="70"/>
      <c r="S170" s="71"/>
      <c r="T170" s="87"/>
      <c r="U170" s="80"/>
      <c r="V170" s="41"/>
      <c r="W170" s="41"/>
      <c r="X170" s="41"/>
      <c r="Y170" s="58"/>
      <c r="Z170" s="70"/>
      <c r="AA170" s="71"/>
      <c r="AB170" s="72"/>
      <c r="AC170" s="43"/>
      <c r="AD170" s="41"/>
      <c r="AE170" s="42"/>
      <c r="AF170" s="122"/>
      <c r="AG170" s="80"/>
      <c r="AH170" s="41"/>
      <c r="AI170" s="70"/>
    </row>
    <row r="171" spans="1:35" ht="15" customHeight="1" outlineLevel="1" x14ac:dyDescent="0.25">
      <c r="A171" s="10"/>
      <c r="B171" s="14" t="s">
        <v>60</v>
      </c>
      <c r="C171" s="178">
        <f>C167*0.3</f>
        <v>231397.18219501243</v>
      </c>
      <c r="D171" s="22">
        <f>C171/$C$170</f>
        <v>0.33333333333333337</v>
      </c>
      <c r="E171" s="276" t="s">
        <v>178</v>
      </c>
      <c r="F171" s="25"/>
      <c r="G171" s="44"/>
      <c r="H171" s="44"/>
      <c r="I171" s="44"/>
      <c r="J171" s="41"/>
      <c r="K171" s="44"/>
      <c r="L171" s="45"/>
      <c r="M171" s="34"/>
      <c r="N171" s="34"/>
      <c r="O171" s="34"/>
      <c r="P171" s="89">
        <f>C171*$AI$2</f>
        <v>69419.154658503729</v>
      </c>
      <c r="Q171" s="111"/>
      <c r="R171" s="108">
        <f>C171*$AI$2</f>
        <v>69419.154658503729</v>
      </c>
      <c r="S171" s="66"/>
      <c r="T171" s="85"/>
      <c r="U171" s="261"/>
      <c r="V171" s="131"/>
      <c r="W171" s="131"/>
      <c r="X171" s="131"/>
      <c r="Y171" s="125"/>
      <c r="Z171" s="126">
        <f>C171*$AI$2</f>
        <v>69419.154658503729</v>
      </c>
      <c r="AA171" s="66"/>
      <c r="AB171" s="67"/>
      <c r="AC171" s="248"/>
      <c r="AD171" s="109"/>
      <c r="AE171" s="250"/>
      <c r="AF171" s="120"/>
      <c r="AG171" s="242"/>
      <c r="AH171" s="239"/>
      <c r="AI171" s="240">
        <f>C171*$AI$3</f>
        <v>23139.718219501243</v>
      </c>
    </row>
    <row r="172" spans="1:35" ht="15" customHeight="1" outlineLevel="1" x14ac:dyDescent="0.25">
      <c r="A172" s="10"/>
      <c r="B172" s="14" t="s">
        <v>62</v>
      </c>
      <c r="C172" s="178">
        <f>C167*0.3</f>
        <v>231397.18219501243</v>
      </c>
      <c r="D172" s="22">
        <f t="shared" ref="D172:D173" si="38">C172/$C$170</f>
        <v>0.33333333333333337</v>
      </c>
      <c r="E172" s="276" t="s">
        <v>178</v>
      </c>
      <c r="F172" s="25"/>
      <c r="G172" s="44"/>
      <c r="H172" s="44"/>
      <c r="I172" s="44"/>
      <c r="J172" s="41"/>
      <c r="K172" s="44"/>
      <c r="L172" s="45"/>
      <c r="M172" s="34"/>
      <c r="N172" s="34"/>
      <c r="O172" s="34"/>
      <c r="P172" s="89">
        <f>C172*$AI$2</f>
        <v>69419.154658503729</v>
      </c>
      <c r="Q172" s="111"/>
      <c r="R172" s="108">
        <f>C172*$AI$2</f>
        <v>69419.154658503729</v>
      </c>
      <c r="S172" s="66"/>
      <c r="T172" s="85"/>
      <c r="U172" s="261"/>
      <c r="V172" s="131"/>
      <c r="W172" s="131"/>
      <c r="X172" s="131"/>
      <c r="Y172" s="125"/>
      <c r="Z172" s="126">
        <f>C172*$AI$2</f>
        <v>69419.154658503729</v>
      </c>
      <c r="AA172" s="66"/>
      <c r="AB172" s="67"/>
      <c r="AC172" s="248"/>
      <c r="AD172" s="109"/>
      <c r="AE172" s="250"/>
      <c r="AF172" s="120"/>
      <c r="AG172" s="242"/>
      <c r="AH172" s="239"/>
      <c r="AI172" s="240">
        <f>C172*$AI$3</f>
        <v>23139.718219501243</v>
      </c>
    </row>
    <row r="173" spans="1:35" ht="15" customHeight="1" outlineLevel="1" x14ac:dyDescent="0.25">
      <c r="A173" s="10"/>
      <c r="B173" s="14" t="s">
        <v>61</v>
      </c>
      <c r="C173" s="178">
        <f>C167*0.3</f>
        <v>231397.18219501243</v>
      </c>
      <c r="D173" s="22">
        <f t="shared" si="38"/>
        <v>0.33333333333333337</v>
      </c>
      <c r="E173" s="276" t="s">
        <v>178</v>
      </c>
      <c r="F173" s="25"/>
      <c r="G173" s="44"/>
      <c r="H173" s="44"/>
      <c r="I173" s="44"/>
      <c r="J173" s="41"/>
      <c r="K173" s="44"/>
      <c r="L173" s="45"/>
      <c r="M173" s="34"/>
      <c r="N173" s="34"/>
      <c r="O173" s="34"/>
      <c r="P173" s="89">
        <f>C173*$AI$2</f>
        <v>69419.154658503729</v>
      </c>
      <c r="Q173" s="111"/>
      <c r="R173" s="108">
        <f>C173*$AI$2</f>
        <v>69419.154658503729</v>
      </c>
      <c r="S173" s="66"/>
      <c r="T173" s="85"/>
      <c r="U173" s="261"/>
      <c r="V173" s="131"/>
      <c r="W173" s="131"/>
      <c r="X173" s="131"/>
      <c r="Y173" s="125"/>
      <c r="Z173" s="126">
        <f>C173*$AI$2</f>
        <v>69419.154658503729</v>
      </c>
      <c r="AA173" s="66"/>
      <c r="AB173" s="67"/>
      <c r="AC173" s="248"/>
      <c r="AD173" s="109"/>
      <c r="AE173" s="250"/>
      <c r="AF173" s="120"/>
      <c r="AG173" s="242"/>
      <c r="AH173" s="239"/>
      <c r="AI173" s="240">
        <f>C173*$AI$3</f>
        <v>23139.718219501243</v>
      </c>
    </row>
    <row r="174" spans="1:35" x14ac:dyDescent="0.25">
      <c r="A174" s="8">
        <v>12</v>
      </c>
      <c r="B174" s="180" t="s">
        <v>52</v>
      </c>
      <c r="C174" s="15">
        <f>'[1]Parte B'!$G$187</f>
        <v>440476.93555695692</v>
      </c>
      <c r="D174" s="19">
        <f>D175+D178+D181+D183</f>
        <v>1</v>
      </c>
      <c r="E174" s="19"/>
      <c r="F174" s="30"/>
      <c r="G174" s="41"/>
      <c r="H174" s="41"/>
      <c r="I174" s="41"/>
      <c r="J174" s="41"/>
      <c r="K174" s="41"/>
      <c r="L174" s="41"/>
      <c r="M174" s="96"/>
      <c r="N174" s="51"/>
      <c r="O174" s="28"/>
      <c r="P174" s="47"/>
      <c r="Q174" s="41"/>
      <c r="R174" s="70"/>
      <c r="S174" s="71"/>
      <c r="T174" s="87"/>
      <c r="U174" s="80"/>
      <c r="V174" s="41"/>
      <c r="W174" s="41"/>
      <c r="X174" s="41"/>
      <c r="Y174" s="42"/>
      <c r="Z174" s="70"/>
      <c r="AA174" s="71"/>
      <c r="AB174" s="72"/>
      <c r="AC174" s="43"/>
      <c r="AD174" s="41"/>
      <c r="AE174" s="42"/>
      <c r="AF174" s="122"/>
      <c r="AG174" s="80"/>
      <c r="AH174" s="41"/>
      <c r="AI174" s="70"/>
    </row>
    <row r="175" spans="1:35" x14ac:dyDescent="0.25">
      <c r="A175" s="9" t="s">
        <v>158</v>
      </c>
      <c r="B175" s="101" t="s">
        <v>7</v>
      </c>
      <c r="C175" s="16">
        <f>$C$174*0.1</f>
        <v>44047.693555695696</v>
      </c>
      <c r="D175" s="20">
        <f>C175/$C$174</f>
        <v>0.1</v>
      </c>
      <c r="E175" s="20"/>
      <c r="F175" s="30"/>
      <c r="G175" s="41"/>
      <c r="H175" s="41"/>
      <c r="I175" s="41"/>
      <c r="J175" s="41"/>
      <c r="K175" s="41"/>
      <c r="L175" s="88"/>
      <c r="M175" s="96"/>
      <c r="N175" s="51"/>
      <c r="O175" s="28"/>
      <c r="P175" s="47"/>
      <c r="Q175" s="41"/>
      <c r="R175" s="70"/>
      <c r="S175" s="71"/>
      <c r="T175" s="87"/>
      <c r="U175" s="80"/>
      <c r="V175" s="41"/>
      <c r="W175" s="41"/>
      <c r="X175" s="41"/>
      <c r="Y175" s="42"/>
      <c r="Z175" s="70"/>
      <c r="AA175" s="71"/>
      <c r="AB175" s="72"/>
      <c r="AC175" s="43"/>
      <c r="AD175" s="41"/>
      <c r="AE175" s="42"/>
      <c r="AF175" s="122"/>
      <c r="AG175" s="80"/>
      <c r="AH175" s="41"/>
      <c r="AI175" s="70"/>
    </row>
    <row r="176" spans="1:35" ht="15" customHeight="1" outlineLevel="1" x14ac:dyDescent="0.25">
      <c r="A176" s="10"/>
      <c r="B176" s="14" t="s">
        <v>102</v>
      </c>
      <c r="C176" s="92">
        <f>C175/2</f>
        <v>22023.846777847848</v>
      </c>
      <c r="D176" s="22">
        <f>C176/$C$175</f>
        <v>0.5</v>
      </c>
      <c r="E176" s="276" t="s">
        <v>178</v>
      </c>
      <c r="F176" s="89">
        <f>C176*$AI$2</f>
        <v>6607.1540333543544</v>
      </c>
      <c r="G176" s="111"/>
      <c r="H176" s="111"/>
      <c r="I176" s="111"/>
      <c r="J176" s="111"/>
      <c r="K176" s="111"/>
      <c r="L176" s="253"/>
      <c r="M176" s="254"/>
      <c r="N176" s="254"/>
      <c r="O176" s="255"/>
      <c r="P176" s="255"/>
      <c r="Q176" s="111"/>
      <c r="R176" s="108">
        <f>C176*$AI$2</f>
        <v>6607.1540333543544</v>
      </c>
      <c r="S176" s="66"/>
      <c r="T176" s="85"/>
      <c r="U176" s="261"/>
      <c r="V176" s="131"/>
      <c r="W176" s="131"/>
      <c r="X176" s="131"/>
      <c r="Y176" s="125"/>
      <c r="Z176" s="126">
        <f>C176*$AI$2</f>
        <v>6607.1540333543544</v>
      </c>
      <c r="AA176" s="66"/>
      <c r="AB176" s="67"/>
      <c r="AC176" s="248"/>
      <c r="AD176" s="109"/>
      <c r="AE176" s="250"/>
      <c r="AF176" s="120"/>
      <c r="AG176" s="242"/>
      <c r="AH176" s="239"/>
      <c r="AI176" s="240">
        <f>C176*$AI$3</f>
        <v>2202.3846777847848</v>
      </c>
    </row>
    <row r="177" spans="1:35" ht="15" customHeight="1" outlineLevel="1" x14ac:dyDescent="0.25">
      <c r="A177" s="10"/>
      <c r="B177" s="14" t="s">
        <v>58</v>
      </c>
      <c r="C177" s="92">
        <f>C175/2</f>
        <v>22023.846777847848</v>
      </c>
      <c r="D177" s="22">
        <f>C177/$C$175</f>
        <v>0.5</v>
      </c>
      <c r="E177" s="276" t="s">
        <v>178</v>
      </c>
      <c r="F177" s="89">
        <f>C177*$AI$2</f>
        <v>6607.1540333543544</v>
      </c>
      <c r="G177" s="111"/>
      <c r="H177" s="111"/>
      <c r="I177" s="111"/>
      <c r="J177" s="111"/>
      <c r="K177" s="111"/>
      <c r="L177" s="253"/>
      <c r="M177" s="254"/>
      <c r="N177" s="254"/>
      <c r="O177" s="255"/>
      <c r="P177" s="255"/>
      <c r="Q177" s="111"/>
      <c r="R177" s="108">
        <f>C177*$AI$2</f>
        <v>6607.1540333543544</v>
      </c>
      <c r="S177" s="66"/>
      <c r="T177" s="87"/>
      <c r="U177" s="261"/>
      <c r="V177" s="131"/>
      <c r="W177" s="131"/>
      <c r="X177" s="131"/>
      <c r="Y177" s="125"/>
      <c r="Z177" s="126">
        <f>C177*$AI$2</f>
        <v>6607.1540333543544</v>
      </c>
      <c r="AA177" s="66"/>
      <c r="AB177" s="67"/>
      <c r="AC177" s="248"/>
      <c r="AD177" s="109"/>
      <c r="AE177" s="250"/>
      <c r="AF177" s="120"/>
      <c r="AG177" s="242"/>
      <c r="AH177" s="239"/>
      <c r="AI177" s="240">
        <f>C177*$AI$3</f>
        <v>2202.3846777847848</v>
      </c>
    </row>
    <row r="178" spans="1:35" x14ac:dyDescent="0.25">
      <c r="A178" s="9" t="s">
        <v>159</v>
      </c>
      <c r="B178" s="101" t="s">
        <v>56</v>
      </c>
      <c r="C178" s="16">
        <f>$C$174*0.3</f>
        <v>132143.08066708708</v>
      </c>
      <c r="D178" s="20">
        <f>C178/$C$174</f>
        <v>0.3</v>
      </c>
      <c r="E178" s="20"/>
      <c r="F178" s="30"/>
      <c r="G178" s="41"/>
      <c r="H178" s="41"/>
      <c r="I178" s="41"/>
      <c r="J178" s="41"/>
      <c r="K178" s="41"/>
      <c r="L178" s="56"/>
      <c r="M178" s="96"/>
      <c r="N178" s="51"/>
      <c r="O178" s="28"/>
      <c r="P178" s="47"/>
      <c r="Q178" s="41"/>
      <c r="R178" s="70"/>
      <c r="S178" s="71"/>
      <c r="T178" s="87"/>
      <c r="U178" s="80"/>
      <c r="V178" s="41"/>
      <c r="W178" s="41"/>
      <c r="X178" s="41"/>
      <c r="Y178" s="42"/>
      <c r="Z178" s="70"/>
      <c r="AA178" s="71"/>
      <c r="AB178" s="72"/>
      <c r="AC178" s="43"/>
      <c r="AD178" s="41"/>
      <c r="AE178" s="42"/>
      <c r="AF178" s="120"/>
      <c r="AG178" s="80"/>
      <c r="AH178" s="42"/>
      <c r="AI178" s="70"/>
    </row>
    <row r="179" spans="1:35" ht="15" customHeight="1" outlineLevel="1" x14ac:dyDescent="0.25">
      <c r="A179" s="10"/>
      <c r="B179" s="14" t="s">
        <v>54</v>
      </c>
      <c r="C179" s="92">
        <f>$C$178/2</f>
        <v>66071.54033354354</v>
      </c>
      <c r="D179" s="22">
        <f>C179/$C$178</f>
        <v>0.5</v>
      </c>
      <c r="E179" s="276" t="s">
        <v>179</v>
      </c>
      <c r="F179" s="30"/>
      <c r="G179" s="44"/>
      <c r="H179" s="44"/>
      <c r="I179" s="44"/>
      <c r="J179" s="44"/>
      <c r="K179" s="111"/>
      <c r="L179" s="253"/>
      <c r="M179" s="253"/>
      <c r="N179" s="253"/>
      <c r="O179" s="255"/>
      <c r="P179" s="255"/>
      <c r="Q179" s="113"/>
      <c r="R179" s="108">
        <f>C179*$AI$2</f>
        <v>19821.462100063061</v>
      </c>
      <c r="S179" s="66"/>
      <c r="T179" s="87"/>
      <c r="U179" s="261"/>
      <c r="V179" s="131"/>
      <c r="W179" s="131"/>
      <c r="X179" s="131"/>
      <c r="Y179" s="125"/>
      <c r="Z179" s="126">
        <f>C179*0.35</f>
        <v>23125.039116740238</v>
      </c>
      <c r="AA179" s="66"/>
      <c r="AB179" s="67"/>
      <c r="AC179" s="248"/>
      <c r="AD179" s="109"/>
      <c r="AE179" s="250"/>
      <c r="AF179" s="120"/>
      <c r="AG179" s="242"/>
      <c r="AH179" s="239"/>
      <c r="AI179" s="240">
        <f>C179*0.35</f>
        <v>23125.039116740238</v>
      </c>
    </row>
    <row r="180" spans="1:35" ht="15" customHeight="1" outlineLevel="1" x14ac:dyDescent="0.25">
      <c r="A180" s="10"/>
      <c r="B180" s="14" t="s">
        <v>53</v>
      </c>
      <c r="C180" s="92">
        <f>$C$178/2</f>
        <v>66071.54033354354</v>
      </c>
      <c r="D180" s="22">
        <f>C180/$C$178</f>
        <v>0.5</v>
      </c>
      <c r="E180" s="276" t="s">
        <v>179</v>
      </c>
      <c r="F180" s="30"/>
      <c r="G180" s="44"/>
      <c r="H180" s="44"/>
      <c r="I180" s="44"/>
      <c r="J180" s="44"/>
      <c r="K180" s="111"/>
      <c r="L180" s="253"/>
      <c r="M180" s="254"/>
      <c r="N180" s="254"/>
      <c r="O180" s="255"/>
      <c r="P180" s="255"/>
      <c r="Q180" s="113"/>
      <c r="R180" s="108">
        <f>C180*$AI$2</f>
        <v>19821.462100063061</v>
      </c>
      <c r="S180" s="66"/>
      <c r="T180" s="87"/>
      <c r="U180" s="261"/>
      <c r="V180" s="131"/>
      <c r="W180" s="131"/>
      <c r="X180" s="131"/>
      <c r="Y180" s="125"/>
      <c r="Z180" s="126">
        <f>C180*0.35</f>
        <v>23125.039116740238</v>
      </c>
      <c r="AA180" s="66"/>
      <c r="AB180" s="67"/>
      <c r="AC180" s="248"/>
      <c r="AD180" s="109"/>
      <c r="AE180" s="250"/>
      <c r="AF180" s="120"/>
      <c r="AG180" s="242"/>
      <c r="AH180" s="239"/>
      <c r="AI180" s="240">
        <f>C180*0.35</f>
        <v>23125.039116740238</v>
      </c>
    </row>
    <row r="181" spans="1:35" x14ac:dyDescent="0.25">
      <c r="A181" s="9" t="s">
        <v>160</v>
      </c>
      <c r="B181" s="101" t="s">
        <v>55</v>
      </c>
      <c r="C181" s="16">
        <f>$C$174*0.3</f>
        <v>132143.08066708708</v>
      </c>
      <c r="D181" s="20">
        <f>C181/$C$174</f>
        <v>0.3</v>
      </c>
      <c r="E181" s="20"/>
      <c r="F181" s="30"/>
      <c r="G181" s="41"/>
      <c r="H181" s="41"/>
      <c r="I181" s="41"/>
      <c r="J181" s="41"/>
      <c r="K181" s="41"/>
      <c r="L181" s="42"/>
      <c r="M181" s="51"/>
      <c r="N181" s="51"/>
      <c r="O181" s="28"/>
      <c r="P181" s="47"/>
      <c r="Q181" s="41"/>
      <c r="R181" s="70"/>
      <c r="S181" s="71"/>
      <c r="T181" s="87"/>
      <c r="U181" s="80"/>
      <c r="V181" s="41"/>
      <c r="W181" s="41"/>
      <c r="X181" s="41"/>
      <c r="Y181" s="56"/>
      <c r="Z181" s="70"/>
      <c r="AA181" s="71"/>
      <c r="AB181" s="72"/>
      <c r="AC181" s="43"/>
      <c r="AD181" s="41"/>
      <c r="AE181" s="42"/>
      <c r="AF181" s="120"/>
      <c r="AG181" s="80"/>
      <c r="AI181" s="70"/>
    </row>
    <row r="182" spans="1:35" ht="15" customHeight="1" outlineLevel="1" x14ac:dyDescent="0.25">
      <c r="A182" s="10"/>
      <c r="B182" s="14" t="s">
        <v>57</v>
      </c>
      <c r="C182" s="92">
        <f>C181</f>
        <v>132143.08066708708</v>
      </c>
      <c r="D182" s="22">
        <f>C182/C181</f>
        <v>1</v>
      </c>
      <c r="E182" s="276" t="s">
        <v>180</v>
      </c>
      <c r="F182" s="30"/>
      <c r="G182" s="44"/>
      <c r="H182" s="44"/>
      <c r="I182" s="44"/>
      <c r="J182" s="44"/>
      <c r="K182" s="44"/>
      <c r="L182" s="45"/>
      <c r="M182" s="51"/>
      <c r="N182" s="51"/>
      <c r="O182" s="28"/>
      <c r="P182" s="47"/>
      <c r="Q182" s="41"/>
      <c r="R182" s="70"/>
      <c r="S182" s="66"/>
      <c r="T182" s="87"/>
      <c r="U182" s="78"/>
      <c r="V182" s="44"/>
      <c r="W182" s="44"/>
      <c r="X182" s="44"/>
      <c r="Y182" s="45"/>
      <c r="Z182" s="126">
        <f>C182*0.5</f>
        <v>66071.54033354354</v>
      </c>
      <c r="AA182" s="131"/>
      <c r="AB182" s="131"/>
      <c r="AC182" s="46"/>
      <c r="AD182" s="44"/>
      <c r="AE182" s="45"/>
      <c r="AF182" s="120"/>
      <c r="AG182" s="277"/>
      <c r="AH182" s="44"/>
      <c r="AI182" s="240">
        <f>C182*0.5</f>
        <v>66071.54033354354</v>
      </c>
    </row>
    <row r="183" spans="1:35" ht="15" customHeight="1" outlineLevel="1" x14ac:dyDescent="0.25">
      <c r="A183" s="9" t="s">
        <v>160</v>
      </c>
      <c r="B183" s="101" t="s">
        <v>173</v>
      </c>
      <c r="C183" s="16">
        <f>$C$174*0.3</f>
        <v>132143.08066708708</v>
      </c>
      <c r="D183" s="20">
        <f>C183/$C$174</f>
        <v>0.3</v>
      </c>
      <c r="E183" s="20"/>
      <c r="F183" s="30"/>
      <c r="G183" s="44"/>
      <c r="H183" s="44"/>
      <c r="I183" s="44"/>
      <c r="J183" s="44"/>
      <c r="K183" s="44"/>
      <c r="L183" s="45"/>
      <c r="M183" s="51"/>
      <c r="N183" s="51"/>
      <c r="O183" s="28"/>
      <c r="P183" s="47"/>
      <c r="Q183" s="41"/>
      <c r="R183" s="70"/>
      <c r="S183" s="66"/>
      <c r="T183" s="87"/>
      <c r="U183" s="78"/>
      <c r="V183" s="44"/>
      <c r="W183" s="44"/>
      <c r="X183" s="44"/>
      <c r="Y183" s="45"/>
      <c r="Z183" s="65"/>
      <c r="AA183" s="66"/>
      <c r="AB183" s="67"/>
      <c r="AC183" s="46"/>
      <c r="AD183" s="44"/>
      <c r="AE183" s="45"/>
      <c r="AF183" s="120"/>
      <c r="AG183" s="95"/>
      <c r="AH183" s="45"/>
      <c r="AI183" s="65"/>
    </row>
    <row r="184" spans="1:35" ht="15" customHeight="1" outlineLevel="1" x14ac:dyDescent="0.25">
      <c r="A184" s="10"/>
      <c r="B184" s="14" t="s">
        <v>174</v>
      </c>
      <c r="C184" s="92">
        <f>C183</f>
        <v>132143.08066708708</v>
      </c>
      <c r="D184" s="22">
        <f>C184/C183</f>
        <v>1</v>
      </c>
      <c r="E184" s="276" t="s">
        <v>180</v>
      </c>
      <c r="F184" s="30"/>
      <c r="G184" s="44"/>
      <c r="H184" s="44"/>
      <c r="I184" s="44"/>
      <c r="J184" s="44"/>
      <c r="K184" s="44"/>
      <c r="L184" s="44"/>
      <c r="M184" s="44"/>
      <c r="N184" s="44"/>
      <c r="O184" s="28"/>
      <c r="P184" s="47"/>
      <c r="Q184" s="41"/>
      <c r="R184" s="70"/>
      <c r="S184" s="66"/>
      <c r="T184" s="87"/>
      <c r="U184" s="78"/>
      <c r="V184" s="44"/>
      <c r="W184" s="44"/>
      <c r="X184" s="44"/>
      <c r="Y184" s="45"/>
      <c r="Z184" s="65"/>
      <c r="AA184" s="66"/>
      <c r="AB184" s="67"/>
      <c r="AC184" s="46"/>
      <c r="AD184" s="44"/>
      <c r="AE184" s="45"/>
      <c r="AF184" s="120"/>
      <c r="AG184" s="240">
        <f>C184*0.5</f>
        <v>66071.54033354354</v>
      </c>
      <c r="AH184" s="239"/>
      <c r="AI184" s="240">
        <f>C184*0.5</f>
        <v>66071.54033354354</v>
      </c>
    </row>
    <row r="185" spans="1:35" x14ac:dyDescent="0.25">
      <c r="A185" s="8">
        <v>13</v>
      </c>
      <c r="B185" s="180" t="s">
        <v>81</v>
      </c>
      <c r="C185" s="15">
        <f>[1]Comunicação!$B$11</f>
        <v>600000</v>
      </c>
      <c r="D185" s="19">
        <f>D186+D188</f>
        <v>1</v>
      </c>
      <c r="E185" s="19"/>
      <c r="F185" s="30"/>
      <c r="G185" s="41"/>
      <c r="H185" s="41"/>
      <c r="I185" s="41"/>
      <c r="J185" s="41"/>
      <c r="K185" s="41"/>
      <c r="L185" s="42"/>
      <c r="M185" s="51"/>
      <c r="N185" s="51"/>
      <c r="O185" s="28"/>
      <c r="P185" s="47"/>
      <c r="Q185" s="41"/>
      <c r="R185" s="70"/>
      <c r="S185" s="268"/>
      <c r="T185" s="87"/>
      <c r="U185" s="80"/>
      <c r="V185" s="41"/>
      <c r="W185" s="41"/>
      <c r="X185" s="41"/>
      <c r="Y185" s="41"/>
      <c r="Z185" s="70"/>
      <c r="AA185" s="71"/>
      <c r="AB185" s="72"/>
      <c r="AC185" s="43"/>
      <c r="AD185" s="41"/>
      <c r="AE185" s="42"/>
      <c r="AF185" s="120"/>
      <c r="AG185" s="42"/>
      <c r="AH185" s="42"/>
      <c r="AI185" s="70"/>
    </row>
    <row r="186" spans="1:35" x14ac:dyDescent="0.25">
      <c r="A186" s="9" t="s">
        <v>161</v>
      </c>
      <c r="B186" s="101" t="s">
        <v>7</v>
      </c>
      <c r="C186" s="16">
        <f>$C$185*0.15</f>
        <v>90000</v>
      </c>
      <c r="D186" s="20">
        <f>C186/$C$185</f>
        <v>0.15</v>
      </c>
      <c r="E186" s="20"/>
      <c r="F186" s="30"/>
      <c r="G186" s="41"/>
      <c r="H186" s="41"/>
      <c r="I186" s="41"/>
      <c r="J186" s="41"/>
      <c r="K186" s="41"/>
      <c r="L186" s="42"/>
      <c r="M186" s="51"/>
      <c r="N186" s="51"/>
      <c r="O186" s="28"/>
      <c r="P186" s="47"/>
      <c r="Q186" s="41"/>
      <c r="R186" s="70"/>
      <c r="S186" s="268"/>
      <c r="T186" s="87"/>
      <c r="U186" s="80"/>
      <c r="V186" s="41"/>
      <c r="W186" s="41"/>
      <c r="X186" s="41"/>
      <c r="Y186" s="41"/>
      <c r="Z186" s="70"/>
      <c r="AA186" s="71"/>
      <c r="AB186" s="72"/>
      <c r="AC186" s="43"/>
      <c r="AD186" s="41"/>
      <c r="AE186" s="42"/>
      <c r="AF186" s="120"/>
      <c r="AG186" s="45"/>
      <c r="AH186" s="45"/>
      <c r="AI186" s="65"/>
    </row>
    <row r="187" spans="1:35" ht="15" customHeight="1" outlineLevel="1" x14ac:dyDescent="0.25">
      <c r="A187" s="10"/>
      <c r="B187" s="14" t="s">
        <v>78</v>
      </c>
      <c r="C187" s="92">
        <f>C186</f>
        <v>90000</v>
      </c>
      <c r="D187" s="22">
        <f>C187/C186</f>
        <v>1</v>
      </c>
      <c r="E187" s="276" t="s">
        <v>180</v>
      </c>
      <c r="F187" s="30"/>
      <c r="G187" s="47"/>
      <c r="H187" s="47"/>
      <c r="I187" s="47"/>
      <c r="J187" s="47"/>
      <c r="K187" s="47"/>
      <c r="L187" s="48"/>
      <c r="M187" s="51"/>
      <c r="N187" s="51"/>
      <c r="O187" s="255"/>
      <c r="P187" s="255"/>
      <c r="Q187" s="113"/>
      <c r="R187" s="108">
        <f>C186*0.5</f>
        <v>45000</v>
      </c>
      <c r="S187" s="255"/>
      <c r="T187" s="278"/>
      <c r="U187" s="81"/>
      <c r="V187" s="47"/>
      <c r="W187" s="47"/>
      <c r="X187" s="47"/>
      <c r="Y187" s="47"/>
      <c r="Z187" s="105"/>
      <c r="AA187" s="62"/>
      <c r="AB187" s="63"/>
      <c r="AC187" s="49"/>
      <c r="AD187" s="47"/>
      <c r="AE187" s="48"/>
      <c r="AF187" s="120"/>
      <c r="AG187" s="44"/>
      <c r="AH187" s="44"/>
      <c r="AI187" s="240">
        <f>C186*0.5</f>
        <v>45000</v>
      </c>
    </row>
    <row r="188" spans="1:35" x14ac:dyDescent="0.25">
      <c r="A188" s="9" t="s">
        <v>162</v>
      </c>
      <c r="B188" s="101" t="s">
        <v>79</v>
      </c>
      <c r="C188" s="16">
        <f>$C$185*0.85</f>
        <v>510000</v>
      </c>
      <c r="D188" s="20">
        <f>C188/$C$185</f>
        <v>0.85</v>
      </c>
      <c r="E188" s="20"/>
      <c r="F188" s="30"/>
      <c r="G188" s="41"/>
      <c r="H188" s="41"/>
      <c r="I188" s="41"/>
      <c r="J188" s="41"/>
      <c r="K188" s="41"/>
      <c r="L188" s="42"/>
      <c r="M188" s="51"/>
      <c r="N188" s="51"/>
      <c r="O188" s="28"/>
      <c r="P188" s="47"/>
      <c r="Q188" s="41"/>
      <c r="R188" s="70"/>
      <c r="S188" s="71"/>
      <c r="T188" s="87"/>
      <c r="U188" s="80"/>
      <c r="V188" s="41"/>
      <c r="W188" s="41"/>
      <c r="X188" s="41"/>
      <c r="Y188" s="41"/>
      <c r="Z188" s="70"/>
      <c r="AA188" s="71"/>
      <c r="AB188" s="72"/>
      <c r="AC188" s="43"/>
      <c r="AD188" s="41"/>
      <c r="AE188" s="42"/>
      <c r="AF188" s="120"/>
      <c r="AG188" s="45"/>
      <c r="AH188" s="45"/>
      <c r="AI188" s="65"/>
    </row>
    <row r="189" spans="1:35" outlineLevel="1" x14ac:dyDescent="0.25">
      <c r="A189" s="10"/>
      <c r="B189" s="14" t="s">
        <v>80</v>
      </c>
      <c r="C189" s="90">
        <f>C188</f>
        <v>510000</v>
      </c>
      <c r="D189" s="22">
        <f>C189/C188</f>
        <v>1</v>
      </c>
      <c r="E189" s="276" t="s">
        <v>180</v>
      </c>
      <c r="F189" s="81"/>
      <c r="G189" s="47"/>
      <c r="H189" s="47"/>
      <c r="I189" s="47"/>
      <c r="J189" s="47"/>
      <c r="K189" s="47"/>
      <c r="L189" s="47"/>
      <c r="M189" s="47"/>
      <c r="N189" s="47"/>
      <c r="O189" s="47"/>
      <c r="P189" s="255"/>
      <c r="Q189" s="113"/>
      <c r="R189" s="108">
        <f>C188*0.5</f>
        <v>255000</v>
      </c>
      <c r="S189" s="113"/>
      <c r="T189" s="278"/>
      <c r="U189" s="46"/>
      <c r="V189" s="47"/>
      <c r="W189" s="47"/>
      <c r="X189" s="47"/>
      <c r="Y189" s="47"/>
      <c r="Z189" s="65"/>
      <c r="AA189" s="62"/>
      <c r="AB189" s="62"/>
      <c r="AC189" s="46"/>
      <c r="AD189" s="47"/>
      <c r="AE189" s="47"/>
      <c r="AF189" s="120"/>
      <c r="AG189" s="44"/>
      <c r="AH189" s="44"/>
      <c r="AI189" s="240">
        <f>C188*0.5</f>
        <v>255000</v>
      </c>
    </row>
    <row r="190" spans="1:35" s="4" customFormat="1" x14ac:dyDescent="0.25">
      <c r="A190" s="97"/>
      <c r="B190" s="98"/>
      <c r="C190" s="32"/>
      <c r="D190" s="32"/>
      <c r="E190" s="106"/>
    </row>
    <row r="191" spans="1:35" s="4" customFormat="1" x14ac:dyDescent="0.25">
      <c r="A191" s="97"/>
      <c r="B191" s="98"/>
      <c r="C191" s="99"/>
      <c r="D191" s="99"/>
      <c r="E191" s="106"/>
    </row>
    <row r="192" spans="1:35" s="4" customFormat="1" x14ac:dyDescent="0.25">
      <c r="A192" s="97"/>
      <c r="B192" s="98"/>
      <c r="C192" s="99"/>
      <c r="D192" s="99"/>
      <c r="E192" s="106"/>
    </row>
    <row r="193" spans="1:5" s="4" customFormat="1" x14ac:dyDescent="0.25">
      <c r="A193" s="97"/>
      <c r="B193" s="98"/>
      <c r="C193" s="99"/>
      <c r="D193" s="99"/>
      <c r="E193" s="106"/>
    </row>
    <row r="194" spans="1:5" s="4" customFormat="1" x14ac:dyDescent="0.25">
      <c r="A194" s="97"/>
      <c r="B194" s="98"/>
      <c r="C194" s="99"/>
      <c r="D194" s="99"/>
      <c r="E194" s="106"/>
    </row>
    <row r="195" spans="1:5" s="4" customFormat="1" x14ac:dyDescent="0.25">
      <c r="A195" s="97"/>
      <c r="B195" s="98"/>
      <c r="C195" s="99"/>
      <c r="D195" s="99"/>
      <c r="E195" s="106"/>
    </row>
    <row r="196" spans="1:5" s="4" customFormat="1" x14ac:dyDescent="0.25">
      <c r="A196" s="97"/>
      <c r="B196" s="98"/>
      <c r="C196" s="99"/>
      <c r="D196" s="99"/>
      <c r="E196" s="106"/>
    </row>
    <row r="197" spans="1:5" s="4" customFormat="1" x14ac:dyDescent="0.25">
      <c r="A197" s="97"/>
      <c r="B197" s="98"/>
      <c r="C197" s="99"/>
      <c r="D197" s="99"/>
      <c r="E197" s="106"/>
    </row>
    <row r="198" spans="1:5" s="4" customFormat="1" x14ac:dyDescent="0.25">
      <c r="A198" s="97"/>
      <c r="B198" s="98"/>
      <c r="C198" s="99"/>
      <c r="D198" s="99"/>
      <c r="E198" s="106"/>
    </row>
    <row r="199" spans="1:5" s="4" customFormat="1" x14ac:dyDescent="0.25">
      <c r="A199" s="97"/>
      <c r="B199" s="98"/>
      <c r="C199" s="99"/>
      <c r="D199" s="99"/>
      <c r="E199" s="106"/>
    </row>
    <row r="200" spans="1:5" s="4" customFormat="1" x14ac:dyDescent="0.25">
      <c r="A200" s="97"/>
      <c r="B200" s="98"/>
      <c r="C200" s="99"/>
      <c r="D200" s="99"/>
      <c r="E200" s="106"/>
    </row>
    <row r="201" spans="1:5" s="4" customFormat="1" x14ac:dyDescent="0.25">
      <c r="A201" s="97"/>
      <c r="B201" s="98"/>
      <c r="C201" s="99"/>
      <c r="D201" s="99"/>
      <c r="E201" s="106"/>
    </row>
    <row r="202" spans="1:5" s="4" customFormat="1" x14ac:dyDescent="0.25">
      <c r="A202" s="97"/>
      <c r="B202" s="98"/>
      <c r="C202" s="99"/>
      <c r="D202" s="99"/>
      <c r="E202" s="106"/>
    </row>
    <row r="203" spans="1:5" s="4" customFormat="1" x14ac:dyDescent="0.25">
      <c r="A203" s="97"/>
      <c r="B203" s="98"/>
      <c r="C203" s="99"/>
      <c r="D203" s="99"/>
      <c r="E203" s="106"/>
    </row>
    <row r="204" spans="1:5" s="4" customFormat="1" x14ac:dyDescent="0.25">
      <c r="A204" s="97"/>
      <c r="B204" s="98"/>
      <c r="C204" s="99"/>
      <c r="D204" s="99"/>
      <c r="E204" s="106"/>
    </row>
    <row r="205" spans="1:5" s="4" customFormat="1" x14ac:dyDescent="0.25">
      <c r="A205" s="97"/>
      <c r="B205" s="98"/>
      <c r="C205" s="99"/>
      <c r="D205" s="99"/>
      <c r="E205" s="106"/>
    </row>
    <row r="206" spans="1:5" s="4" customFormat="1" x14ac:dyDescent="0.25">
      <c r="A206" s="97"/>
      <c r="B206" s="98"/>
      <c r="C206" s="99"/>
      <c r="D206" s="99"/>
      <c r="E206" s="106"/>
    </row>
    <row r="207" spans="1:5" s="4" customFormat="1" x14ac:dyDescent="0.25">
      <c r="A207" s="97"/>
      <c r="B207" s="98"/>
      <c r="C207" s="99"/>
      <c r="D207" s="99"/>
      <c r="E207" s="106"/>
    </row>
    <row r="208" spans="1:5" s="4" customFormat="1" x14ac:dyDescent="0.25">
      <c r="A208" s="97"/>
      <c r="B208" s="98"/>
      <c r="C208" s="99"/>
      <c r="D208" s="99"/>
      <c r="E208" s="106"/>
    </row>
    <row r="209" spans="1:5" s="4" customFormat="1" x14ac:dyDescent="0.25">
      <c r="A209" s="97"/>
      <c r="B209" s="98"/>
      <c r="C209" s="99"/>
      <c r="D209" s="99"/>
      <c r="E209" s="106"/>
    </row>
    <row r="210" spans="1:5" s="4" customFormat="1" x14ac:dyDescent="0.25">
      <c r="A210" s="97"/>
      <c r="B210" s="98"/>
      <c r="C210" s="99"/>
      <c r="D210" s="99"/>
      <c r="E210" s="106"/>
    </row>
    <row r="211" spans="1:5" s="4" customFormat="1" x14ac:dyDescent="0.25">
      <c r="A211" s="97"/>
      <c r="B211" s="98"/>
      <c r="C211" s="99"/>
      <c r="D211" s="99"/>
      <c r="E211" s="106"/>
    </row>
    <row r="212" spans="1:5" s="4" customFormat="1" x14ac:dyDescent="0.25">
      <c r="A212" s="97"/>
      <c r="B212" s="98"/>
      <c r="C212" s="99"/>
      <c r="D212" s="99"/>
      <c r="E212" s="106"/>
    </row>
    <row r="213" spans="1:5" s="4" customFormat="1" x14ac:dyDescent="0.25">
      <c r="A213" s="97"/>
      <c r="B213" s="98"/>
      <c r="C213" s="99"/>
      <c r="D213" s="99"/>
      <c r="E213" s="106"/>
    </row>
    <row r="214" spans="1:5" s="4" customFormat="1" x14ac:dyDescent="0.25">
      <c r="A214" s="97"/>
      <c r="B214" s="98"/>
      <c r="C214" s="99"/>
      <c r="D214" s="99"/>
      <c r="E214" s="106"/>
    </row>
    <row r="215" spans="1:5" s="4" customFormat="1" x14ac:dyDescent="0.25">
      <c r="A215" s="97"/>
      <c r="B215" s="98"/>
      <c r="C215" s="99"/>
      <c r="D215" s="99"/>
      <c r="E215" s="106"/>
    </row>
    <row r="216" spans="1:5" s="4" customFormat="1" x14ac:dyDescent="0.25">
      <c r="A216" s="97"/>
      <c r="B216" s="98"/>
      <c r="C216" s="99"/>
      <c r="D216" s="99"/>
      <c r="E216" s="106"/>
    </row>
    <row r="217" spans="1:5" s="4" customFormat="1" x14ac:dyDescent="0.25">
      <c r="A217" s="97"/>
      <c r="B217" s="98"/>
      <c r="C217" s="99"/>
      <c r="D217" s="99"/>
      <c r="E217" s="106"/>
    </row>
    <row r="218" spans="1:5" s="4" customFormat="1" x14ac:dyDescent="0.25">
      <c r="A218" s="97"/>
      <c r="B218" s="98"/>
      <c r="C218" s="99"/>
      <c r="D218" s="99"/>
      <c r="E218" s="106"/>
    </row>
    <row r="219" spans="1:5" s="4" customFormat="1" x14ac:dyDescent="0.25">
      <c r="A219" s="97"/>
      <c r="B219" s="98"/>
      <c r="C219" s="99"/>
      <c r="D219" s="99"/>
      <c r="E219" s="106"/>
    </row>
    <row r="220" spans="1:5" s="4" customFormat="1" x14ac:dyDescent="0.25">
      <c r="A220" s="97"/>
      <c r="B220" s="98"/>
      <c r="C220" s="99"/>
      <c r="D220" s="99"/>
      <c r="E220" s="106"/>
    </row>
    <row r="221" spans="1:5" s="4" customFormat="1" x14ac:dyDescent="0.25">
      <c r="A221" s="97"/>
      <c r="B221" s="98"/>
      <c r="C221" s="99"/>
      <c r="D221" s="99"/>
      <c r="E221" s="106"/>
    </row>
    <row r="222" spans="1:5" s="4" customFormat="1" x14ac:dyDescent="0.25">
      <c r="A222" s="97"/>
      <c r="B222" s="98"/>
      <c r="C222" s="99"/>
      <c r="D222" s="99"/>
      <c r="E222" s="106"/>
    </row>
    <row r="223" spans="1:5" s="4" customFormat="1" x14ac:dyDescent="0.25">
      <c r="A223" s="97"/>
      <c r="B223" s="98"/>
      <c r="C223" s="99"/>
      <c r="D223" s="99"/>
      <c r="E223" s="106"/>
    </row>
    <row r="224" spans="1:5" s="4" customFormat="1" x14ac:dyDescent="0.25">
      <c r="A224" s="97"/>
      <c r="B224" s="98"/>
      <c r="C224" s="99"/>
      <c r="D224" s="99"/>
      <c r="E224" s="106"/>
    </row>
    <row r="225" spans="1:5" s="4" customFormat="1" x14ac:dyDescent="0.25">
      <c r="A225" s="97"/>
      <c r="B225" s="98"/>
      <c r="C225" s="99"/>
      <c r="D225" s="99"/>
      <c r="E225" s="106"/>
    </row>
    <row r="226" spans="1:5" s="4" customFormat="1" x14ac:dyDescent="0.25">
      <c r="A226" s="97"/>
      <c r="B226" s="98"/>
      <c r="C226" s="99"/>
      <c r="D226" s="99"/>
      <c r="E226" s="106"/>
    </row>
    <row r="227" spans="1:5" s="4" customFormat="1" x14ac:dyDescent="0.25">
      <c r="A227" s="97"/>
      <c r="B227" s="98"/>
      <c r="C227" s="99"/>
      <c r="D227" s="99"/>
      <c r="E227" s="106"/>
    </row>
    <row r="228" spans="1:5" s="4" customFormat="1" x14ac:dyDescent="0.25">
      <c r="A228" s="97"/>
      <c r="B228" s="98"/>
      <c r="C228" s="99"/>
      <c r="D228" s="99"/>
      <c r="E228" s="106"/>
    </row>
    <row r="229" spans="1:5" s="4" customFormat="1" x14ac:dyDescent="0.25">
      <c r="A229" s="97"/>
      <c r="B229" s="98"/>
      <c r="C229" s="99"/>
      <c r="D229" s="99"/>
      <c r="E229" s="106"/>
    </row>
    <row r="230" spans="1:5" s="4" customFormat="1" x14ac:dyDescent="0.25">
      <c r="A230" s="97"/>
      <c r="B230" s="98"/>
      <c r="C230" s="99"/>
      <c r="D230" s="99"/>
      <c r="E230" s="106"/>
    </row>
    <row r="231" spans="1:5" s="4" customFormat="1" x14ac:dyDescent="0.25">
      <c r="A231" s="97"/>
      <c r="B231" s="98"/>
      <c r="C231" s="99"/>
      <c r="D231" s="99"/>
      <c r="E231" s="106"/>
    </row>
    <row r="232" spans="1:5" s="4" customFormat="1" x14ac:dyDescent="0.25">
      <c r="A232" s="97"/>
      <c r="B232" s="98"/>
      <c r="C232" s="99"/>
      <c r="D232" s="99"/>
      <c r="E232" s="106"/>
    </row>
    <row r="233" spans="1:5" s="4" customFormat="1" x14ac:dyDescent="0.25">
      <c r="A233" s="97"/>
      <c r="B233" s="98"/>
      <c r="C233" s="99"/>
      <c r="D233" s="99"/>
      <c r="E233" s="106"/>
    </row>
    <row r="234" spans="1:5" s="4" customFormat="1" x14ac:dyDescent="0.25">
      <c r="A234" s="97"/>
      <c r="B234" s="98"/>
      <c r="C234" s="99"/>
      <c r="D234" s="99"/>
      <c r="E234" s="106"/>
    </row>
    <row r="235" spans="1:5" s="4" customFormat="1" x14ac:dyDescent="0.25">
      <c r="A235" s="97"/>
      <c r="B235" s="98"/>
      <c r="C235" s="99"/>
      <c r="D235" s="99"/>
      <c r="E235" s="106"/>
    </row>
    <row r="236" spans="1:5" s="4" customFormat="1" x14ac:dyDescent="0.25">
      <c r="A236" s="97"/>
      <c r="B236" s="98"/>
      <c r="C236" s="99"/>
      <c r="D236" s="99"/>
      <c r="E236" s="106"/>
    </row>
    <row r="237" spans="1:5" s="4" customFormat="1" x14ac:dyDescent="0.25">
      <c r="A237" s="97"/>
      <c r="B237" s="98"/>
      <c r="C237" s="99"/>
      <c r="D237" s="99"/>
      <c r="E237" s="106"/>
    </row>
    <row r="238" spans="1:5" s="4" customFormat="1" x14ac:dyDescent="0.25">
      <c r="A238" s="97"/>
      <c r="B238" s="98"/>
      <c r="C238" s="99"/>
      <c r="D238" s="99"/>
      <c r="E238" s="106"/>
    </row>
    <row r="239" spans="1:5" s="4" customFormat="1" x14ac:dyDescent="0.25">
      <c r="A239" s="97"/>
      <c r="B239" s="98"/>
      <c r="C239" s="99"/>
      <c r="D239" s="99"/>
      <c r="E239" s="106"/>
    </row>
    <row r="240" spans="1:5" s="4" customFormat="1" x14ac:dyDescent="0.25">
      <c r="A240" s="97"/>
      <c r="B240" s="98"/>
      <c r="C240" s="99"/>
      <c r="D240" s="99"/>
      <c r="E240" s="106"/>
    </row>
    <row r="241" spans="1:5" s="4" customFormat="1" x14ac:dyDescent="0.25">
      <c r="A241" s="97"/>
      <c r="B241" s="98"/>
      <c r="C241" s="99"/>
      <c r="D241" s="99"/>
      <c r="E241" s="106"/>
    </row>
    <row r="242" spans="1:5" s="4" customFormat="1" x14ac:dyDescent="0.25">
      <c r="A242" s="97"/>
      <c r="B242" s="98"/>
      <c r="C242" s="99"/>
      <c r="D242" s="99"/>
      <c r="E242" s="106"/>
    </row>
    <row r="243" spans="1:5" s="4" customFormat="1" x14ac:dyDescent="0.25">
      <c r="A243" s="97"/>
      <c r="B243" s="98"/>
      <c r="C243" s="99"/>
      <c r="D243" s="99"/>
      <c r="E243" s="106"/>
    </row>
    <row r="244" spans="1:5" s="4" customFormat="1" x14ac:dyDescent="0.25">
      <c r="A244" s="97"/>
      <c r="B244" s="98"/>
      <c r="C244" s="99"/>
      <c r="D244" s="99"/>
      <c r="E244" s="106"/>
    </row>
    <row r="245" spans="1:5" s="4" customFormat="1" x14ac:dyDescent="0.25">
      <c r="A245" s="97"/>
      <c r="B245" s="98"/>
      <c r="C245" s="99"/>
      <c r="D245" s="99"/>
      <c r="E245" s="106"/>
    </row>
    <row r="246" spans="1:5" s="4" customFormat="1" x14ac:dyDescent="0.25">
      <c r="A246" s="97"/>
      <c r="B246" s="98"/>
      <c r="C246" s="99"/>
      <c r="D246" s="99"/>
      <c r="E246" s="106"/>
    </row>
    <row r="247" spans="1:5" s="4" customFormat="1" x14ac:dyDescent="0.25">
      <c r="A247" s="97"/>
      <c r="B247" s="98"/>
      <c r="C247" s="99"/>
      <c r="D247" s="99"/>
      <c r="E247" s="106"/>
    </row>
    <row r="248" spans="1:5" s="4" customFormat="1" x14ac:dyDescent="0.25">
      <c r="A248" s="97"/>
      <c r="B248" s="98"/>
      <c r="C248" s="99"/>
      <c r="D248" s="99"/>
      <c r="E248" s="106"/>
    </row>
    <row r="249" spans="1:5" s="4" customFormat="1" x14ac:dyDescent="0.25">
      <c r="A249" s="97"/>
      <c r="B249" s="98"/>
      <c r="C249" s="99"/>
      <c r="D249" s="99"/>
      <c r="E249" s="106"/>
    </row>
    <row r="250" spans="1:5" s="4" customFormat="1" x14ac:dyDescent="0.25">
      <c r="A250" s="97"/>
      <c r="B250" s="98"/>
      <c r="C250" s="99"/>
      <c r="D250" s="99"/>
      <c r="E250" s="106"/>
    </row>
    <row r="251" spans="1:5" s="4" customFormat="1" x14ac:dyDescent="0.25">
      <c r="A251" s="97"/>
      <c r="B251" s="98"/>
      <c r="C251" s="99"/>
      <c r="D251" s="99"/>
      <c r="E251" s="106"/>
    </row>
    <row r="252" spans="1:5" s="4" customFormat="1" x14ac:dyDescent="0.25">
      <c r="A252" s="97"/>
      <c r="B252" s="98"/>
      <c r="C252" s="99"/>
      <c r="D252" s="99"/>
      <c r="E252" s="106"/>
    </row>
    <row r="253" spans="1:5" s="4" customFormat="1" x14ac:dyDescent="0.25">
      <c r="A253" s="97"/>
      <c r="B253" s="98"/>
      <c r="C253" s="99"/>
      <c r="D253" s="99"/>
      <c r="E253" s="106"/>
    </row>
    <row r="254" spans="1:5" s="4" customFormat="1" x14ac:dyDescent="0.25">
      <c r="A254" s="97"/>
      <c r="B254" s="98"/>
      <c r="C254" s="99"/>
      <c r="D254" s="99"/>
      <c r="E254" s="106"/>
    </row>
    <row r="255" spans="1:5" s="4" customFormat="1" x14ac:dyDescent="0.25">
      <c r="A255" s="97"/>
      <c r="B255" s="98"/>
      <c r="C255" s="99"/>
      <c r="D255" s="99"/>
      <c r="E255" s="106"/>
    </row>
    <row r="256" spans="1:5" s="4" customFormat="1" x14ac:dyDescent="0.25">
      <c r="A256" s="97"/>
      <c r="B256" s="98"/>
      <c r="C256" s="99"/>
      <c r="D256" s="99"/>
      <c r="E256" s="106"/>
    </row>
    <row r="257" spans="1:5" s="4" customFormat="1" x14ac:dyDescent="0.25">
      <c r="A257" s="97"/>
      <c r="B257" s="98"/>
      <c r="C257" s="99"/>
      <c r="D257" s="99"/>
      <c r="E257" s="106"/>
    </row>
    <row r="258" spans="1:5" s="4" customFormat="1" x14ac:dyDescent="0.25">
      <c r="A258" s="97"/>
      <c r="B258" s="98"/>
      <c r="C258" s="99"/>
      <c r="D258" s="99"/>
      <c r="E258" s="106"/>
    </row>
    <row r="259" spans="1:5" s="4" customFormat="1" x14ac:dyDescent="0.25">
      <c r="A259" s="97"/>
      <c r="B259" s="98"/>
      <c r="C259" s="99"/>
      <c r="D259" s="99"/>
      <c r="E259" s="106"/>
    </row>
    <row r="260" spans="1:5" s="4" customFormat="1" x14ac:dyDescent="0.25">
      <c r="A260" s="97"/>
      <c r="B260" s="98"/>
      <c r="C260" s="99"/>
      <c r="D260" s="99"/>
      <c r="E260" s="106"/>
    </row>
    <row r="261" spans="1:5" s="4" customFormat="1" x14ac:dyDescent="0.25">
      <c r="A261" s="97"/>
      <c r="B261" s="98"/>
      <c r="C261" s="99"/>
      <c r="D261" s="99"/>
      <c r="E261" s="106"/>
    </row>
    <row r="262" spans="1:5" s="4" customFormat="1" x14ac:dyDescent="0.25">
      <c r="A262" s="97"/>
      <c r="B262" s="98"/>
      <c r="C262" s="99"/>
      <c r="D262" s="99"/>
      <c r="E262" s="106"/>
    </row>
    <row r="263" spans="1:5" s="4" customFormat="1" x14ac:dyDescent="0.25">
      <c r="A263" s="97"/>
      <c r="B263" s="98"/>
      <c r="C263" s="99"/>
      <c r="D263" s="99"/>
      <c r="E263" s="106"/>
    </row>
    <row r="264" spans="1:5" s="4" customFormat="1" x14ac:dyDescent="0.25">
      <c r="A264" s="97"/>
      <c r="B264" s="98"/>
      <c r="C264" s="99"/>
      <c r="D264" s="99"/>
      <c r="E264" s="106"/>
    </row>
    <row r="265" spans="1:5" s="4" customFormat="1" x14ac:dyDescent="0.25">
      <c r="A265" s="97"/>
      <c r="B265" s="98"/>
      <c r="C265" s="99"/>
      <c r="D265" s="99"/>
      <c r="E265" s="106"/>
    </row>
    <row r="266" spans="1:5" s="4" customFormat="1" x14ac:dyDescent="0.25">
      <c r="A266" s="97"/>
      <c r="B266" s="98"/>
      <c r="C266" s="99"/>
      <c r="D266" s="99"/>
      <c r="E266" s="106"/>
    </row>
    <row r="267" spans="1:5" s="4" customFormat="1" x14ac:dyDescent="0.25">
      <c r="A267" s="97"/>
      <c r="B267" s="98"/>
      <c r="C267" s="99"/>
      <c r="D267" s="99"/>
      <c r="E267" s="106"/>
    </row>
    <row r="268" spans="1:5" s="4" customFormat="1" x14ac:dyDescent="0.25">
      <c r="A268" s="97"/>
      <c r="B268" s="98"/>
      <c r="C268" s="99"/>
      <c r="D268" s="99"/>
      <c r="E268" s="106"/>
    </row>
    <row r="269" spans="1:5" s="4" customFormat="1" x14ac:dyDescent="0.25">
      <c r="A269" s="97"/>
      <c r="B269" s="98"/>
      <c r="C269" s="99"/>
      <c r="D269" s="99"/>
      <c r="E269" s="106"/>
    </row>
    <row r="270" spans="1:5" s="4" customFormat="1" x14ac:dyDescent="0.25">
      <c r="A270" s="97"/>
      <c r="B270" s="98"/>
      <c r="C270" s="99"/>
      <c r="D270" s="99"/>
      <c r="E270" s="106"/>
    </row>
    <row r="271" spans="1:5" s="4" customFormat="1" x14ac:dyDescent="0.25">
      <c r="A271" s="97"/>
      <c r="B271" s="98"/>
      <c r="C271" s="99"/>
      <c r="D271" s="99"/>
      <c r="E271" s="106"/>
    </row>
    <row r="272" spans="1:5" s="4" customFormat="1" x14ac:dyDescent="0.25">
      <c r="A272" s="97"/>
      <c r="B272" s="98"/>
      <c r="C272" s="99"/>
      <c r="D272" s="99"/>
      <c r="E272" s="106"/>
    </row>
    <row r="273" spans="1:5" s="4" customFormat="1" x14ac:dyDescent="0.25">
      <c r="A273" s="97"/>
      <c r="B273" s="98"/>
      <c r="C273" s="99"/>
      <c r="D273" s="99"/>
      <c r="E273" s="106"/>
    </row>
    <row r="274" spans="1:5" s="4" customFormat="1" x14ac:dyDescent="0.25">
      <c r="A274" s="97"/>
      <c r="B274" s="98"/>
      <c r="C274" s="99"/>
      <c r="D274" s="99"/>
      <c r="E274" s="106"/>
    </row>
    <row r="275" spans="1:5" s="4" customFormat="1" x14ac:dyDescent="0.25">
      <c r="A275" s="97"/>
      <c r="B275" s="98"/>
      <c r="C275" s="99"/>
      <c r="D275" s="99"/>
      <c r="E275" s="106"/>
    </row>
    <row r="276" spans="1:5" s="4" customFormat="1" x14ac:dyDescent="0.25">
      <c r="A276" s="97"/>
      <c r="B276" s="98"/>
      <c r="C276" s="99"/>
      <c r="D276" s="99"/>
      <c r="E276" s="106"/>
    </row>
    <row r="277" spans="1:5" s="4" customFormat="1" x14ac:dyDescent="0.25">
      <c r="A277" s="97"/>
      <c r="B277" s="98"/>
      <c r="C277" s="99"/>
      <c r="D277" s="99"/>
      <c r="E277" s="106"/>
    </row>
    <row r="278" spans="1:5" s="4" customFormat="1" x14ac:dyDescent="0.25">
      <c r="A278" s="97"/>
      <c r="B278" s="98"/>
      <c r="C278" s="99"/>
      <c r="D278" s="99"/>
      <c r="E278" s="106"/>
    </row>
    <row r="279" spans="1:5" s="4" customFormat="1" x14ac:dyDescent="0.25">
      <c r="A279" s="97"/>
      <c r="B279" s="98"/>
      <c r="C279" s="99"/>
      <c r="D279" s="99"/>
      <c r="E279" s="106"/>
    </row>
    <row r="280" spans="1:5" s="4" customFormat="1" x14ac:dyDescent="0.25">
      <c r="A280" s="97"/>
      <c r="B280" s="98"/>
      <c r="C280" s="99"/>
      <c r="D280" s="99"/>
      <c r="E280" s="106"/>
    </row>
    <row r="281" spans="1:5" s="4" customFormat="1" x14ac:dyDescent="0.25">
      <c r="A281" s="97"/>
      <c r="B281" s="98"/>
      <c r="C281" s="99"/>
      <c r="D281" s="99"/>
      <c r="E281" s="106"/>
    </row>
    <row r="282" spans="1:5" s="4" customFormat="1" x14ac:dyDescent="0.25">
      <c r="A282" s="97"/>
      <c r="B282" s="98"/>
      <c r="C282" s="99"/>
      <c r="D282" s="99"/>
      <c r="E282" s="106"/>
    </row>
    <row r="283" spans="1:5" s="4" customFormat="1" x14ac:dyDescent="0.25">
      <c r="A283" s="97"/>
      <c r="B283" s="98"/>
      <c r="C283" s="99"/>
      <c r="D283" s="99"/>
      <c r="E283" s="106"/>
    </row>
    <row r="284" spans="1:5" s="4" customFormat="1" x14ac:dyDescent="0.25">
      <c r="A284" s="97"/>
      <c r="B284" s="98"/>
      <c r="C284" s="99"/>
      <c r="D284" s="99"/>
      <c r="E284" s="106"/>
    </row>
    <row r="285" spans="1:5" s="4" customFormat="1" x14ac:dyDescent="0.25">
      <c r="A285" s="97"/>
      <c r="B285" s="98"/>
      <c r="C285" s="99"/>
      <c r="D285" s="99"/>
      <c r="E285" s="106"/>
    </row>
    <row r="286" spans="1:5" s="4" customFormat="1" x14ac:dyDescent="0.25">
      <c r="A286" s="97"/>
      <c r="B286" s="98"/>
      <c r="C286" s="99"/>
      <c r="D286" s="99"/>
      <c r="E286" s="106"/>
    </row>
    <row r="287" spans="1:5" s="4" customFormat="1" x14ac:dyDescent="0.25">
      <c r="A287" s="97"/>
      <c r="B287" s="98"/>
      <c r="C287" s="99"/>
      <c r="D287" s="99"/>
      <c r="E287" s="106"/>
    </row>
    <row r="288" spans="1:5" s="4" customFormat="1" x14ac:dyDescent="0.25">
      <c r="A288" s="97"/>
      <c r="B288" s="98"/>
      <c r="C288" s="99"/>
      <c r="D288" s="99"/>
      <c r="E288" s="106"/>
    </row>
    <row r="289" spans="1:5" s="4" customFormat="1" x14ac:dyDescent="0.25">
      <c r="A289" s="97"/>
      <c r="B289" s="98"/>
      <c r="C289" s="99"/>
      <c r="D289" s="99"/>
      <c r="E289" s="106"/>
    </row>
    <row r="290" spans="1:5" s="4" customFormat="1" x14ac:dyDescent="0.25">
      <c r="A290" s="97"/>
      <c r="B290" s="98"/>
      <c r="C290" s="99"/>
      <c r="D290" s="99"/>
      <c r="E290" s="106"/>
    </row>
    <row r="291" spans="1:5" s="4" customFormat="1" x14ac:dyDescent="0.25">
      <c r="A291" s="97"/>
      <c r="B291" s="98"/>
      <c r="C291" s="99"/>
      <c r="D291" s="99"/>
      <c r="E291" s="106"/>
    </row>
    <row r="292" spans="1:5" s="4" customFormat="1" x14ac:dyDescent="0.25">
      <c r="A292" s="97"/>
      <c r="B292" s="98"/>
      <c r="C292" s="99"/>
      <c r="D292" s="99"/>
      <c r="E292" s="106"/>
    </row>
    <row r="293" spans="1:5" s="4" customFormat="1" x14ac:dyDescent="0.25">
      <c r="A293" s="97"/>
      <c r="B293" s="98"/>
      <c r="C293" s="99"/>
      <c r="D293" s="99"/>
      <c r="E293" s="106"/>
    </row>
    <row r="294" spans="1:5" s="4" customFormat="1" x14ac:dyDescent="0.25">
      <c r="A294" s="97"/>
      <c r="B294" s="98"/>
      <c r="C294" s="99"/>
      <c r="D294" s="99"/>
      <c r="E294" s="106"/>
    </row>
    <row r="295" spans="1:5" s="4" customFormat="1" x14ac:dyDescent="0.25">
      <c r="A295" s="97"/>
      <c r="B295" s="98"/>
      <c r="C295" s="99"/>
      <c r="D295" s="99"/>
      <c r="E295" s="106"/>
    </row>
    <row r="296" spans="1:5" s="4" customFormat="1" x14ac:dyDescent="0.25">
      <c r="A296" s="97"/>
      <c r="B296" s="98"/>
      <c r="C296" s="99"/>
      <c r="D296" s="99"/>
      <c r="E296" s="106"/>
    </row>
    <row r="297" spans="1:5" s="4" customFormat="1" x14ac:dyDescent="0.25">
      <c r="A297" s="97"/>
      <c r="B297" s="98"/>
      <c r="C297" s="99"/>
      <c r="D297" s="99"/>
      <c r="E297" s="106"/>
    </row>
    <row r="298" spans="1:5" s="4" customFormat="1" x14ac:dyDescent="0.25">
      <c r="A298" s="97"/>
      <c r="B298" s="98"/>
      <c r="C298" s="99"/>
      <c r="D298" s="99"/>
      <c r="E298" s="106"/>
    </row>
    <row r="299" spans="1:5" s="4" customFormat="1" x14ac:dyDescent="0.25">
      <c r="A299" s="97"/>
      <c r="B299" s="98"/>
      <c r="C299" s="99"/>
      <c r="D299" s="99"/>
      <c r="E299" s="106"/>
    </row>
    <row r="300" spans="1:5" s="4" customFormat="1" x14ac:dyDescent="0.25">
      <c r="A300" s="97"/>
      <c r="B300" s="98"/>
      <c r="C300" s="99"/>
      <c r="D300" s="99"/>
      <c r="E300" s="106"/>
    </row>
    <row r="301" spans="1:5" s="4" customFormat="1" x14ac:dyDescent="0.25">
      <c r="A301" s="97"/>
      <c r="B301" s="98"/>
      <c r="C301" s="99"/>
      <c r="D301" s="99"/>
      <c r="E301" s="106"/>
    </row>
    <row r="302" spans="1:5" s="4" customFormat="1" x14ac:dyDescent="0.25">
      <c r="A302" s="97"/>
      <c r="B302" s="98"/>
      <c r="C302" s="99"/>
      <c r="D302" s="99"/>
      <c r="E302" s="106"/>
    </row>
    <row r="303" spans="1:5" s="4" customFormat="1" x14ac:dyDescent="0.25">
      <c r="A303" s="97"/>
      <c r="B303" s="98"/>
      <c r="C303" s="99"/>
      <c r="D303" s="99"/>
      <c r="E303" s="106"/>
    </row>
    <row r="304" spans="1:5" s="4" customFormat="1" x14ac:dyDescent="0.25">
      <c r="A304" s="97"/>
      <c r="B304" s="98"/>
      <c r="C304" s="99"/>
      <c r="D304" s="99"/>
      <c r="E304" s="106"/>
    </row>
    <row r="305" spans="1:5" s="4" customFormat="1" x14ac:dyDescent="0.25">
      <c r="A305" s="97"/>
      <c r="B305" s="98"/>
      <c r="C305" s="99"/>
      <c r="D305" s="99"/>
      <c r="E305" s="106"/>
    </row>
    <row r="306" spans="1:5" s="4" customFormat="1" x14ac:dyDescent="0.25">
      <c r="A306" s="97"/>
      <c r="B306" s="98"/>
      <c r="C306" s="99"/>
      <c r="D306" s="99"/>
      <c r="E306" s="106"/>
    </row>
    <row r="307" spans="1:5" s="4" customFormat="1" x14ac:dyDescent="0.25">
      <c r="A307" s="97"/>
      <c r="B307" s="98"/>
      <c r="C307" s="99"/>
      <c r="D307" s="99"/>
      <c r="E307" s="106"/>
    </row>
    <row r="308" spans="1:5" s="4" customFormat="1" x14ac:dyDescent="0.25">
      <c r="A308" s="97"/>
      <c r="B308" s="98"/>
      <c r="C308" s="99"/>
      <c r="D308" s="99"/>
      <c r="E308" s="106"/>
    </row>
    <row r="309" spans="1:5" s="4" customFormat="1" x14ac:dyDescent="0.25">
      <c r="A309" s="97"/>
      <c r="B309" s="98"/>
      <c r="C309" s="99"/>
      <c r="D309" s="99"/>
      <c r="E309" s="106"/>
    </row>
    <row r="310" spans="1:5" s="4" customFormat="1" x14ac:dyDescent="0.25">
      <c r="A310" s="97"/>
      <c r="B310" s="98"/>
      <c r="C310" s="99"/>
      <c r="D310" s="99"/>
      <c r="E310" s="106"/>
    </row>
    <row r="311" spans="1:5" s="4" customFormat="1" x14ac:dyDescent="0.25">
      <c r="A311" s="97"/>
      <c r="B311" s="98"/>
      <c r="C311" s="99"/>
      <c r="D311" s="99"/>
      <c r="E311" s="106"/>
    </row>
    <row r="312" spans="1:5" s="4" customFormat="1" x14ac:dyDescent="0.25">
      <c r="A312" s="97"/>
      <c r="B312" s="98"/>
      <c r="C312" s="99"/>
      <c r="D312" s="99"/>
      <c r="E312" s="106"/>
    </row>
    <row r="313" spans="1:5" s="4" customFormat="1" x14ac:dyDescent="0.25">
      <c r="A313" s="97"/>
      <c r="B313" s="98"/>
      <c r="C313" s="99"/>
      <c r="D313" s="99"/>
      <c r="E313" s="106"/>
    </row>
    <row r="314" spans="1:5" s="4" customFormat="1" x14ac:dyDescent="0.25">
      <c r="A314" s="97"/>
      <c r="B314" s="98"/>
      <c r="C314" s="99"/>
      <c r="D314" s="99"/>
      <c r="E314" s="106"/>
    </row>
    <row r="315" spans="1:5" s="4" customFormat="1" x14ac:dyDescent="0.25">
      <c r="A315" s="97"/>
      <c r="B315" s="98"/>
      <c r="C315" s="99"/>
      <c r="D315" s="99"/>
      <c r="E315" s="106"/>
    </row>
    <row r="316" spans="1:5" s="4" customFormat="1" x14ac:dyDescent="0.25">
      <c r="A316" s="97"/>
      <c r="B316" s="98"/>
      <c r="C316" s="99"/>
      <c r="D316" s="99"/>
      <c r="E316" s="106"/>
    </row>
    <row r="317" spans="1:5" s="4" customFormat="1" x14ac:dyDescent="0.25">
      <c r="A317" s="97"/>
      <c r="B317" s="98"/>
      <c r="C317" s="99"/>
      <c r="D317" s="99"/>
      <c r="E317" s="106"/>
    </row>
    <row r="318" spans="1:5" s="4" customFormat="1" x14ac:dyDescent="0.25">
      <c r="A318" s="97"/>
      <c r="B318" s="98"/>
      <c r="C318" s="99"/>
      <c r="D318" s="99"/>
      <c r="E318" s="106"/>
    </row>
    <row r="319" spans="1:5" s="4" customFormat="1" x14ac:dyDescent="0.25">
      <c r="A319" s="97"/>
      <c r="B319" s="98"/>
      <c r="C319" s="99"/>
      <c r="D319" s="99"/>
      <c r="E319" s="106"/>
    </row>
    <row r="320" spans="1:5" s="4" customFormat="1" x14ac:dyDescent="0.25">
      <c r="A320" s="97"/>
      <c r="B320" s="98"/>
      <c r="C320" s="99"/>
      <c r="D320" s="99"/>
      <c r="E320" s="106"/>
    </row>
    <row r="321" spans="1:5" s="4" customFormat="1" x14ac:dyDescent="0.25">
      <c r="A321" s="97"/>
      <c r="B321" s="98"/>
      <c r="C321" s="99"/>
      <c r="D321" s="99"/>
      <c r="E321" s="106"/>
    </row>
    <row r="322" spans="1:5" s="4" customFormat="1" x14ac:dyDescent="0.25">
      <c r="A322" s="97"/>
      <c r="B322" s="98"/>
      <c r="C322" s="99"/>
      <c r="D322" s="99"/>
      <c r="E322" s="106"/>
    </row>
    <row r="323" spans="1:5" s="4" customFormat="1" x14ac:dyDescent="0.25">
      <c r="A323" s="97"/>
      <c r="B323" s="98"/>
      <c r="C323" s="99"/>
      <c r="D323" s="99"/>
      <c r="E323" s="106"/>
    </row>
    <row r="324" spans="1:5" s="4" customFormat="1" x14ac:dyDescent="0.25">
      <c r="A324" s="97"/>
      <c r="B324" s="98"/>
      <c r="C324" s="99"/>
      <c r="D324" s="99"/>
      <c r="E324" s="106"/>
    </row>
    <row r="325" spans="1:5" s="4" customFormat="1" x14ac:dyDescent="0.25">
      <c r="A325" s="97"/>
      <c r="B325" s="98"/>
      <c r="C325" s="99"/>
      <c r="D325" s="99"/>
      <c r="E325" s="106"/>
    </row>
    <row r="326" spans="1:5" s="4" customFormat="1" x14ac:dyDescent="0.25">
      <c r="A326" s="97"/>
      <c r="B326" s="98"/>
      <c r="C326" s="99"/>
      <c r="D326" s="99"/>
      <c r="E326" s="106"/>
    </row>
    <row r="327" spans="1:5" s="4" customFormat="1" x14ac:dyDescent="0.25">
      <c r="A327" s="97"/>
      <c r="B327" s="98"/>
      <c r="C327" s="99"/>
      <c r="D327" s="99"/>
      <c r="E327" s="106"/>
    </row>
    <row r="328" spans="1:5" s="4" customFormat="1" x14ac:dyDescent="0.25">
      <c r="A328" s="97"/>
      <c r="B328" s="98"/>
      <c r="C328" s="99"/>
      <c r="D328" s="99"/>
      <c r="E328" s="106"/>
    </row>
    <row r="329" spans="1:5" s="4" customFormat="1" x14ac:dyDescent="0.25">
      <c r="A329" s="97"/>
      <c r="B329" s="98"/>
      <c r="C329" s="99"/>
      <c r="D329" s="99"/>
      <c r="E329" s="106"/>
    </row>
    <row r="330" spans="1:5" s="4" customFormat="1" x14ac:dyDescent="0.25">
      <c r="A330" s="97"/>
      <c r="B330" s="98"/>
      <c r="C330" s="99"/>
      <c r="D330" s="99"/>
      <c r="E330" s="106"/>
    </row>
    <row r="331" spans="1:5" s="4" customFormat="1" x14ac:dyDescent="0.25">
      <c r="A331" s="97"/>
      <c r="B331" s="98"/>
      <c r="C331" s="99"/>
      <c r="D331" s="99"/>
      <c r="E331" s="106"/>
    </row>
    <row r="332" spans="1:5" s="4" customFormat="1" x14ac:dyDescent="0.25">
      <c r="A332" s="97"/>
      <c r="B332" s="98"/>
      <c r="C332" s="99"/>
      <c r="D332" s="99"/>
      <c r="E332" s="106"/>
    </row>
    <row r="333" spans="1:5" s="4" customFormat="1" x14ac:dyDescent="0.25">
      <c r="A333" s="97"/>
      <c r="B333" s="98"/>
      <c r="C333" s="99"/>
      <c r="D333" s="99"/>
      <c r="E333" s="106"/>
    </row>
    <row r="334" spans="1:5" s="4" customFormat="1" x14ac:dyDescent="0.25">
      <c r="A334" s="97"/>
      <c r="B334" s="98"/>
      <c r="C334" s="99"/>
      <c r="D334" s="99"/>
      <c r="E334" s="106"/>
    </row>
    <row r="335" spans="1:5" s="4" customFormat="1" x14ac:dyDescent="0.25">
      <c r="A335" s="97"/>
      <c r="B335" s="98"/>
      <c r="C335" s="99"/>
      <c r="D335" s="99"/>
      <c r="E335" s="106"/>
    </row>
    <row r="336" spans="1:5" s="4" customFormat="1" x14ac:dyDescent="0.25">
      <c r="A336" s="97"/>
      <c r="B336" s="98"/>
      <c r="C336" s="99"/>
      <c r="D336" s="99"/>
      <c r="E336" s="106"/>
    </row>
    <row r="337" spans="1:5" s="4" customFormat="1" x14ac:dyDescent="0.25">
      <c r="A337" s="97"/>
      <c r="B337" s="98"/>
      <c r="C337" s="99"/>
      <c r="D337" s="99"/>
      <c r="E337" s="106"/>
    </row>
    <row r="338" spans="1:5" s="4" customFormat="1" x14ac:dyDescent="0.25">
      <c r="A338" s="97"/>
      <c r="B338" s="98"/>
      <c r="C338" s="99"/>
      <c r="D338" s="99"/>
      <c r="E338" s="106"/>
    </row>
    <row r="339" spans="1:5" s="4" customFormat="1" x14ac:dyDescent="0.25">
      <c r="A339" s="97"/>
      <c r="B339" s="98"/>
      <c r="C339" s="99"/>
      <c r="D339" s="99"/>
      <c r="E339" s="106"/>
    </row>
    <row r="340" spans="1:5" s="4" customFormat="1" x14ac:dyDescent="0.25">
      <c r="A340" s="97"/>
      <c r="B340" s="98"/>
      <c r="C340" s="99"/>
      <c r="D340" s="99"/>
      <c r="E340" s="106"/>
    </row>
    <row r="341" spans="1:5" s="4" customFormat="1" x14ac:dyDescent="0.25">
      <c r="A341" s="97"/>
      <c r="B341" s="98"/>
      <c r="C341" s="99"/>
      <c r="D341" s="99"/>
      <c r="E341" s="106"/>
    </row>
    <row r="342" spans="1:5" s="4" customFormat="1" x14ac:dyDescent="0.25">
      <c r="A342" s="97"/>
      <c r="B342" s="98"/>
      <c r="C342" s="99"/>
      <c r="D342" s="99"/>
      <c r="E342" s="106"/>
    </row>
    <row r="343" spans="1:5" s="4" customFormat="1" x14ac:dyDescent="0.25">
      <c r="A343" s="97"/>
      <c r="B343" s="98"/>
      <c r="C343" s="99"/>
      <c r="D343" s="99"/>
      <c r="E343" s="106"/>
    </row>
    <row r="344" spans="1:5" s="4" customFormat="1" x14ac:dyDescent="0.25">
      <c r="A344" s="97"/>
      <c r="B344" s="98"/>
      <c r="C344" s="99"/>
      <c r="D344" s="99"/>
      <c r="E344" s="106"/>
    </row>
    <row r="345" spans="1:5" s="4" customFormat="1" x14ac:dyDescent="0.25">
      <c r="A345" s="97"/>
      <c r="B345" s="98"/>
      <c r="C345" s="99"/>
      <c r="D345" s="99"/>
      <c r="E345" s="106"/>
    </row>
    <row r="346" spans="1:5" s="4" customFormat="1" x14ac:dyDescent="0.25">
      <c r="A346" s="97"/>
      <c r="B346" s="98"/>
      <c r="C346" s="99"/>
      <c r="D346" s="99"/>
      <c r="E346" s="106"/>
    </row>
    <row r="347" spans="1:5" s="4" customFormat="1" x14ac:dyDescent="0.25">
      <c r="A347" s="97"/>
      <c r="B347" s="98"/>
      <c r="C347" s="99"/>
      <c r="D347" s="99"/>
      <c r="E347" s="106"/>
    </row>
    <row r="348" spans="1:5" s="4" customFormat="1" x14ac:dyDescent="0.25">
      <c r="A348" s="97"/>
      <c r="B348" s="98"/>
      <c r="C348" s="99"/>
      <c r="D348" s="99"/>
      <c r="E348" s="106"/>
    </row>
    <row r="349" spans="1:5" s="4" customFormat="1" x14ac:dyDescent="0.25">
      <c r="A349" s="97"/>
      <c r="B349" s="98"/>
      <c r="C349" s="99"/>
      <c r="D349" s="99"/>
      <c r="E349" s="106"/>
    </row>
    <row r="350" spans="1:5" s="4" customFormat="1" x14ac:dyDescent="0.25">
      <c r="A350" s="97"/>
      <c r="B350" s="98"/>
      <c r="C350" s="99"/>
      <c r="D350" s="99"/>
      <c r="E350" s="106"/>
    </row>
    <row r="351" spans="1:5" s="4" customFormat="1" x14ac:dyDescent="0.25">
      <c r="A351" s="97"/>
      <c r="B351" s="98"/>
      <c r="C351" s="99"/>
      <c r="D351" s="99"/>
      <c r="E351" s="106"/>
    </row>
    <row r="352" spans="1:5" s="4" customFormat="1" x14ac:dyDescent="0.25">
      <c r="A352" s="97"/>
      <c r="B352" s="98"/>
      <c r="C352" s="99"/>
      <c r="D352" s="99"/>
      <c r="E352" s="106"/>
    </row>
    <row r="353" spans="1:5" s="4" customFormat="1" x14ac:dyDescent="0.25">
      <c r="A353" s="97"/>
      <c r="B353" s="98"/>
      <c r="C353" s="99"/>
      <c r="D353" s="99"/>
      <c r="E353" s="106"/>
    </row>
    <row r="354" spans="1:5" s="4" customFormat="1" x14ac:dyDescent="0.25">
      <c r="A354" s="97"/>
      <c r="B354" s="98"/>
      <c r="C354" s="99"/>
      <c r="D354" s="99"/>
      <c r="E354" s="106"/>
    </row>
    <row r="355" spans="1:5" s="4" customFormat="1" x14ac:dyDescent="0.25">
      <c r="A355" s="97"/>
      <c r="B355" s="98"/>
      <c r="C355" s="99"/>
      <c r="D355" s="99"/>
      <c r="E355" s="106"/>
    </row>
    <row r="356" spans="1:5" s="4" customFormat="1" x14ac:dyDescent="0.25">
      <c r="A356" s="97"/>
      <c r="B356" s="98"/>
      <c r="C356" s="99"/>
      <c r="D356" s="99"/>
      <c r="E356" s="106"/>
    </row>
    <row r="357" spans="1:5" s="4" customFormat="1" x14ac:dyDescent="0.25">
      <c r="A357" s="97"/>
      <c r="B357" s="98"/>
      <c r="C357" s="99"/>
      <c r="D357" s="99"/>
      <c r="E357" s="106"/>
    </row>
    <row r="358" spans="1:5" s="4" customFormat="1" x14ac:dyDescent="0.25">
      <c r="A358" s="97"/>
      <c r="B358" s="98"/>
      <c r="C358" s="99"/>
      <c r="D358" s="99"/>
      <c r="E358" s="106"/>
    </row>
    <row r="359" spans="1:5" s="4" customFormat="1" x14ac:dyDescent="0.25">
      <c r="A359" s="97"/>
      <c r="B359" s="98"/>
      <c r="C359" s="99"/>
      <c r="D359" s="99"/>
      <c r="E359" s="106"/>
    </row>
    <row r="360" spans="1:5" s="4" customFormat="1" x14ac:dyDescent="0.25">
      <c r="A360" s="97"/>
      <c r="B360" s="98"/>
      <c r="C360" s="99"/>
      <c r="D360" s="99"/>
      <c r="E360" s="106"/>
    </row>
    <row r="361" spans="1:5" s="4" customFormat="1" x14ac:dyDescent="0.25">
      <c r="A361" s="97"/>
      <c r="B361" s="98"/>
      <c r="C361" s="99"/>
      <c r="D361" s="99"/>
      <c r="E361" s="106"/>
    </row>
    <row r="362" spans="1:5" s="4" customFormat="1" x14ac:dyDescent="0.25">
      <c r="A362" s="97"/>
      <c r="B362" s="98"/>
      <c r="C362" s="99"/>
      <c r="D362" s="99"/>
      <c r="E362" s="106"/>
    </row>
    <row r="363" spans="1:5" s="4" customFormat="1" x14ac:dyDescent="0.25">
      <c r="A363" s="97"/>
      <c r="B363" s="98"/>
      <c r="C363" s="99"/>
      <c r="D363" s="99"/>
      <c r="E363" s="106"/>
    </row>
    <row r="364" spans="1:5" s="4" customFormat="1" x14ac:dyDescent="0.25">
      <c r="A364" s="97"/>
      <c r="B364" s="98"/>
      <c r="C364" s="99"/>
      <c r="D364" s="99"/>
      <c r="E364" s="106"/>
    </row>
    <row r="365" spans="1:5" s="4" customFormat="1" x14ac:dyDescent="0.25">
      <c r="A365" s="97"/>
      <c r="B365" s="98"/>
      <c r="C365" s="99"/>
      <c r="D365" s="99"/>
      <c r="E365" s="106"/>
    </row>
    <row r="366" spans="1:5" s="4" customFormat="1" x14ac:dyDescent="0.25">
      <c r="A366" s="97"/>
      <c r="B366" s="98"/>
      <c r="C366" s="99"/>
      <c r="D366" s="99"/>
      <c r="E366" s="106"/>
    </row>
    <row r="367" spans="1:5" s="4" customFormat="1" x14ac:dyDescent="0.25">
      <c r="A367" s="97"/>
      <c r="B367" s="98"/>
      <c r="C367" s="99"/>
      <c r="D367" s="99"/>
      <c r="E367" s="106"/>
    </row>
    <row r="368" spans="1:5" s="4" customFormat="1" x14ac:dyDescent="0.25">
      <c r="A368" s="97"/>
      <c r="B368" s="98"/>
      <c r="C368" s="99"/>
      <c r="D368" s="99"/>
      <c r="E368" s="106"/>
    </row>
    <row r="369" spans="1:5" s="4" customFormat="1" x14ac:dyDescent="0.25">
      <c r="A369" s="97"/>
      <c r="B369" s="98"/>
      <c r="C369" s="99"/>
      <c r="D369" s="99"/>
      <c r="E369" s="106"/>
    </row>
    <row r="370" spans="1:5" s="4" customFormat="1" x14ac:dyDescent="0.25">
      <c r="A370" s="97"/>
      <c r="B370" s="98"/>
      <c r="C370" s="99"/>
      <c r="D370" s="99"/>
      <c r="E370" s="106"/>
    </row>
    <row r="371" spans="1:5" s="4" customFormat="1" x14ac:dyDescent="0.25">
      <c r="A371" s="97"/>
      <c r="B371" s="98"/>
      <c r="C371" s="99"/>
      <c r="D371" s="99"/>
      <c r="E371" s="106"/>
    </row>
    <row r="372" spans="1:5" s="4" customFormat="1" x14ac:dyDescent="0.25">
      <c r="A372" s="97"/>
      <c r="B372" s="98"/>
      <c r="C372" s="99"/>
      <c r="D372" s="99"/>
      <c r="E372" s="106"/>
    </row>
    <row r="373" spans="1:5" s="4" customFormat="1" x14ac:dyDescent="0.25">
      <c r="A373" s="97"/>
      <c r="B373" s="98"/>
      <c r="C373" s="99"/>
      <c r="D373" s="99"/>
      <c r="E373" s="106"/>
    </row>
    <row r="374" spans="1:5" s="4" customFormat="1" x14ac:dyDescent="0.25">
      <c r="A374" s="97"/>
      <c r="B374" s="98"/>
      <c r="C374" s="99"/>
      <c r="D374" s="99"/>
      <c r="E374" s="106"/>
    </row>
    <row r="375" spans="1:5" s="4" customFormat="1" x14ac:dyDescent="0.25">
      <c r="A375" s="97"/>
      <c r="B375" s="98"/>
      <c r="C375" s="99"/>
      <c r="D375" s="99"/>
      <c r="E375" s="106"/>
    </row>
    <row r="376" spans="1:5" s="4" customFormat="1" x14ac:dyDescent="0.25">
      <c r="A376" s="97"/>
      <c r="B376" s="98"/>
      <c r="C376" s="99"/>
      <c r="D376" s="99"/>
      <c r="E376" s="106"/>
    </row>
    <row r="377" spans="1:5" s="4" customFormat="1" x14ac:dyDescent="0.25">
      <c r="A377" s="97"/>
      <c r="B377" s="98"/>
      <c r="C377" s="99"/>
      <c r="D377" s="99"/>
      <c r="E377" s="106"/>
    </row>
  </sheetData>
  <autoFilter ref="A15:AJ189"/>
  <mergeCells count="12">
    <mergeCell ref="A3:B5"/>
    <mergeCell ref="F10:AI10"/>
    <mergeCell ref="A12:A14"/>
    <mergeCell ref="B12:B14"/>
    <mergeCell ref="C12:C14"/>
    <mergeCell ref="F11:Q11"/>
    <mergeCell ref="U11:Y11"/>
    <mergeCell ref="AG11:AH11"/>
    <mergeCell ref="AC11:AE11"/>
    <mergeCell ref="Z11:AB11"/>
    <mergeCell ref="R11:T11"/>
    <mergeCell ref="D12:D15"/>
  </mergeCells>
  <pageMargins left="0.19685039370078741" right="0.19685039370078741" top="0.59055118110236227" bottom="0.59055118110236227" header="0.31496062992125984" footer="0.31496062992125984"/>
  <pageSetup paperSize="8" scale="27" fitToHeight="0" orientation="landscape" r:id="rId1"/>
  <headerFooter>
    <oddHeader>&amp;R&amp;G</oddHeader>
    <oddFooter>&amp;R&amp;"Arial,Normal"&amp;9ANEXO XI - Página &amp;P de &amp;N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89"/>
  <sheetViews>
    <sheetView topLeftCell="A73" zoomScale="60" zoomScaleNormal="60" workbookViewId="0">
      <selection activeCell="B206" sqref="B206"/>
    </sheetView>
  </sheetViews>
  <sheetFormatPr defaultRowHeight="15" outlineLevelRow="2" outlineLevelCol="1" x14ac:dyDescent="0.25"/>
  <cols>
    <col min="1" max="1" width="18.28515625" style="296" customWidth="1"/>
    <col min="2" max="2" width="101.28515625" style="322" customWidth="1"/>
    <col min="3" max="3" width="23" style="279" customWidth="1"/>
    <col min="4" max="4" width="20.7109375" style="279" customWidth="1"/>
    <col min="5" max="5" width="28.28515625" style="282" customWidth="1"/>
    <col min="6" max="34" width="19.5703125" style="279" customWidth="1" outlineLevel="1"/>
    <col min="35" max="35" width="19.5703125" style="296" customWidth="1" outlineLevel="1"/>
    <col min="36" max="16384" width="9.140625" style="279"/>
  </cols>
  <sheetData>
    <row r="1" spans="1:35" ht="15.75" x14ac:dyDescent="0.25">
      <c r="A1" s="279"/>
      <c r="B1" s="280"/>
      <c r="C1" s="281"/>
      <c r="K1" s="283"/>
      <c r="O1" s="284"/>
      <c r="P1" s="284"/>
      <c r="Q1" s="284"/>
      <c r="R1" s="284"/>
      <c r="S1" s="284"/>
      <c r="T1" s="284"/>
      <c r="U1" s="284"/>
      <c r="V1" s="284"/>
      <c r="W1" s="284"/>
      <c r="X1" s="284"/>
      <c r="Y1" s="284"/>
      <c r="Z1" s="284"/>
      <c r="AA1" s="284"/>
      <c r="AB1" s="284"/>
      <c r="AC1" s="284"/>
      <c r="AD1" s="284"/>
      <c r="AE1" s="284"/>
      <c r="AF1" s="284"/>
      <c r="AG1" s="284"/>
      <c r="AH1" s="284"/>
      <c r="AI1" s="285"/>
    </row>
    <row r="2" spans="1:35" ht="15.75" x14ac:dyDescent="0.25">
      <c r="A2" s="279"/>
      <c r="B2" s="280"/>
      <c r="C2" s="286">
        <f>[2]Resumo!$E$10</f>
        <v>21258222.689126469</v>
      </c>
      <c r="F2" s="287" t="s">
        <v>183</v>
      </c>
      <c r="G2" s="288"/>
      <c r="H2" s="284"/>
      <c r="I2" s="289"/>
      <c r="J2" s="290"/>
      <c r="K2" s="291"/>
      <c r="L2" s="292" t="s">
        <v>195</v>
      </c>
      <c r="M2" s="285"/>
      <c r="N2" s="285"/>
      <c r="O2" s="284"/>
      <c r="P2" s="285"/>
      <c r="Q2" s="285"/>
      <c r="R2" s="285"/>
      <c r="S2" s="284"/>
      <c r="T2" s="284"/>
      <c r="U2" s="284"/>
      <c r="V2" s="284"/>
      <c r="W2" s="293"/>
      <c r="AI2" s="294">
        <v>0.3</v>
      </c>
    </row>
    <row r="3" spans="1:35" ht="15" customHeight="1" x14ac:dyDescent="0.25">
      <c r="A3" s="542" t="s">
        <v>206</v>
      </c>
      <c r="B3" s="542"/>
      <c r="C3" s="286">
        <f>C17+C40+C80+C142+C149+C156+C167+C174+C185</f>
        <v>18519402.920929387</v>
      </c>
      <c r="F3" s="295" t="s">
        <v>176</v>
      </c>
      <c r="H3" s="296"/>
      <c r="J3" s="297"/>
      <c r="K3" s="291"/>
      <c r="L3" s="298"/>
      <c r="M3" s="284"/>
      <c r="N3" s="284"/>
      <c r="P3" s="296"/>
      <c r="Q3" s="296"/>
      <c r="R3" s="296"/>
      <c r="W3" s="299"/>
      <c r="AE3" s="300"/>
      <c r="AI3" s="294">
        <v>0.1</v>
      </c>
    </row>
    <row r="4" spans="1:35" ht="17.25" customHeight="1" x14ac:dyDescent="0.25">
      <c r="A4" s="542"/>
      <c r="B4" s="542"/>
      <c r="C4" s="286">
        <f>C2-C3</f>
        <v>2738819.768197082</v>
      </c>
      <c r="F4" s="301"/>
      <c r="G4" s="302" t="s">
        <v>184</v>
      </c>
      <c r="H4" s="303"/>
      <c r="J4" s="304"/>
      <c r="K4" s="291"/>
      <c r="L4" s="305" t="s">
        <v>187</v>
      </c>
      <c r="M4" s="306"/>
      <c r="N4" s="296"/>
      <c r="O4" s="307"/>
      <c r="P4" s="296"/>
      <c r="Q4" s="296"/>
      <c r="R4" s="296"/>
      <c r="W4" s="299"/>
      <c r="AC4" s="308"/>
    </row>
    <row r="5" spans="1:35" ht="17.25" x14ac:dyDescent="0.25">
      <c r="A5" s="542"/>
      <c r="B5" s="542"/>
      <c r="F5" s="309"/>
      <c r="G5" s="302" t="s">
        <v>201</v>
      </c>
      <c r="H5" s="310"/>
      <c r="I5" s="310"/>
      <c r="J5" s="304"/>
      <c r="L5" s="295" t="s">
        <v>178</v>
      </c>
      <c r="M5" s="302" t="s">
        <v>199</v>
      </c>
      <c r="N5" s="311"/>
      <c r="O5" s="296"/>
      <c r="P5" s="311"/>
      <c r="Q5" s="307"/>
      <c r="R5" s="296"/>
      <c r="W5" s="299"/>
      <c r="AC5" s="308"/>
    </row>
    <row r="6" spans="1:35" ht="17.25" x14ac:dyDescent="0.25">
      <c r="A6" s="279"/>
      <c r="B6" s="280"/>
      <c r="F6" s="312"/>
      <c r="G6" s="302" t="s">
        <v>193</v>
      </c>
      <c r="H6" s="296"/>
      <c r="I6" s="310"/>
      <c r="J6" s="304"/>
      <c r="L6" s="295" t="s">
        <v>179</v>
      </c>
      <c r="M6" s="302" t="s">
        <v>200</v>
      </c>
      <c r="N6" s="303"/>
      <c r="O6" s="296"/>
      <c r="P6" s="311"/>
      <c r="Q6" s="307"/>
      <c r="R6" s="296"/>
      <c r="W6" s="299"/>
      <c r="AC6" s="308"/>
      <c r="AF6" s="313"/>
    </row>
    <row r="7" spans="1:35" ht="17.25" x14ac:dyDescent="0.25">
      <c r="A7" s="279"/>
      <c r="B7" s="280"/>
      <c r="F7" s="314"/>
      <c r="G7" s="302" t="s">
        <v>196</v>
      </c>
      <c r="H7" s="296"/>
      <c r="I7" s="310"/>
      <c r="J7" s="304"/>
      <c r="L7" s="295" t="s">
        <v>180</v>
      </c>
      <c r="M7" s="302" t="s">
        <v>194</v>
      </c>
      <c r="N7" s="303"/>
      <c r="O7" s="296"/>
      <c r="P7" s="311"/>
      <c r="Q7" s="307"/>
      <c r="R7" s="296"/>
      <c r="W7" s="299"/>
      <c r="AC7" s="308"/>
    </row>
    <row r="8" spans="1:35" ht="15.75" x14ac:dyDescent="0.25">
      <c r="A8" s="279"/>
      <c r="B8" s="280"/>
      <c r="F8" s="315"/>
      <c r="G8" s="316" t="s">
        <v>197</v>
      </c>
      <c r="H8" s="317"/>
      <c r="I8" s="318"/>
      <c r="J8" s="319"/>
      <c r="L8" s="320"/>
      <c r="M8" s="318"/>
      <c r="N8" s="318"/>
      <c r="O8" s="317"/>
      <c r="P8" s="318"/>
      <c r="Q8" s="318"/>
      <c r="R8" s="318"/>
      <c r="S8" s="318"/>
      <c r="T8" s="318"/>
      <c r="U8" s="318"/>
      <c r="V8" s="318"/>
      <c r="W8" s="319"/>
    </row>
    <row r="9" spans="1:35" ht="15.75" thickBot="1" x14ac:dyDescent="0.3">
      <c r="A9" s="279"/>
      <c r="B9" s="280"/>
      <c r="G9" s="321"/>
    </row>
    <row r="10" spans="1:35" ht="18" thickBot="1" x14ac:dyDescent="0.3">
      <c r="F10" s="530" t="s">
        <v>203</v>
      </c>
      <c r="G10" s="531"/>
      <c r="H10" s="531"/>
      <c r="I10" s="531"/>
      <c r="J10" s="531"/>
      <c r="K10" s="531"/>
      <c r="L10" s="531"/>
      <c r="M10" s="531"/>
      <c r="N10" s="531"/>
      <c r="O10" s="531"/>
      <c r="P10" s="531"/>
      <c r="Q10" s="531"/>
      <c r="R10" s="531"/>
      <c r="S10" s="531"/>
      <c r="T10" s="531"/>
      <c r="U10" s="531"/>
      <c r="V10" s="531"/>
      <c r="W10" s="531"/>
      <c r="X10" s="531"/>
      <c r="Y10" s="531"/>
      <c r="Z10" s="531"/>
      <c r="AA10" s="531"/>
      <c r="AB10" s="531"/>
      <c r="AC10" s="531"/>
      <c r="AD10" s="531"/>
      <c r="AE10" s="531"/>
      <c r="AF10" s="531"/>
      <c r="AG10" s="531"/>
      <c r="AH10" s="531"/>
      <c r="AI10" s="532"/>
    </row>
    <row r="11" spans="1:35" ht="35.25" customHeight="1" thickBot="1" x14ac:dyDescent="0.3">
      <c r="B11" s="296"/>
      <c r="C11" s="323"/>
      <c r="D11" s="324"/>
      <c r="E11" s="325" t="s">
        <v>188</v>
      </c>
      <c r="F11" s="530" t="s">
        <v>170</v>
      </c>
      <c r="G11" s="531"/>
      <c r="H11" s="531"/>
      <c r="I11" s="531"/>
      <c r="J11" s="531"/>
      <c r="K11" s="531"/>
      <c r="L11" s="531"/>
      <c r="M11" s="531"/>
      <c r="N11" s="531"/>
      <c r="O11" s="531"/>
      <c r="P11" s="531"/>
      <c r="Q11" s="532"/>
      <c r="R11" s="533" t="s">
        <v>169</v>
      </c>
      <c r="S11" s="534"/>
      <c r="T11" s="535"/>
      <c r="U11" s="530" t="s">
        <v>177</v>
      </c>
      <c r="V11" s="531"/>
      <c r="W11" s="531"/>
      <c r="X11" s="531"/>
      <c r="Y11" s="532"/>
      <c r="Z11" s="533" t="s">
        <v>168</v>
      </c>
      <c r="AA11" s="534"/>
      <c r="AB11" s="535"/>
      <c r="AC11" s="533" t="s">
        <v>167</v>
      </c>
      <c r="AD11" s="534"/>
      <c r="AE11" s="535"/>
      <c r="AF11" s="326" t="s">
        <v>181</v>
      </c>
      <c r="AG11" s="533" t="s">
        <v>182</v>
      </c>
      <c r="AH11" s="535"/>
      <c r="AI11" s="327" t="s">
        <v>175</v>
      </c>
    </row>
    <row r="12" spans="1:35" s="282" customFormat="1" ht="38.25" customHeight="1" thickBot="1" x14ac:dyDescent="0.3">
      <c r="A12" s="303"/>
      <c r="B12" s="328"/>
      <c r="D12" s="324"/>
      <c r="E12" s="329" t="s">
        <v>189</v>
      </c>
      <c r="F12" s="330">
        <v>1</v>
      </c>
      <c r="G12" s="331">
        <v>2</v>
      </c>
      <c r="H12" s="331">
        <v>3</v>
      </c>
      <c r="I12" s="331">
        <v>4</v>
      </c>
      <c r="J12" s="331">
        <v>5</v>
      </c>
      <c r="K12" s="332">
        <v>6</v>
      </c>
      <c r="L12" s="332">
        <v>7</v>
      </c>
      <c r="M12" s="332">
        <v>8</v>
      </c>
      <c r="N12" s="332">
        <v>9</v>
      </c>
      <c r="O12" s="332">
        <v>10</v>
      </c>
      <c r="P12" s="332">
        <v>11</v>
      </c>
      <c r="Q12" s="331">
        <v>12</v>
      </c>
      <c r="R12" s="333">
        <v>13</v>
      </c>
      <c r="S12" s="331">
        <v>14</v>
      </c>
      <c r="T12" s="334">
        <v>15</v>
      </c>
      <c r="U12" s="332">
        <v>16</v>
      </c>
      <c r="V12" s="331">
        <v>17</v>
      </c>
      <c r="W12" s="331">
        <v>18</v>
      </c>
      <c r="X12" s="331">
        <v>19</v>
      </c>
      <c r="Y12" s="335">
        <v>20</v>
      </c>
      <c r="Z12" s="333">
        <v>21</v>
      </c>
      <c r="AA12" s="331">
        <v>22</v>
      </c>
      <c r="AB12" s="335">
        <v>23</v>
      </c>
      <c r="AC12" s="333">
        <v>24</v>
      </c>
      <c r="AD12" s="331">
        <v>25</v>
      </c>
      <c r="AE12" s="336">
        <v>26</v>
      </c>
      <c r="AF12" s="337">
        <v>27</v>
      </c>
      <c r="AG12" s="332">
        <v>28</v>
      </c>
      <c r="AH12" s="335">
        <v>29</v>
      </c>
      <c r="AI12" s="338">
        <v>30</v>
      </c>
    </row>
    <row r="13" spans="1:35" ht="64.5" customHeight="1" x14ac:dyDescent="0.25">
      <c r="A13" s="536" t="s">
        <v>4</v>
      </c>
      <c r="B13" s="537" t="s">
        <v>22</v>
      </c>
      <c r="C13" s="538" t="s">
        <v>156</v>
      </c>
      <c r="D13" s="539" t="s">
        <v>198</v>
      </c>
      <c r="E13" s="329" t="s">
        <v>190</v>
      </c>
      <c r="F13" s="339">
        <f>SUM(F17:F189)</f>
        <v>217569.7772146248</v>
      </c>
      <c r="G13" s="340">
        <f t="shared" ref="G13:AI13" si="0">SUM(G17:G189)</f>
        <v>376698.25185506669</v>
      </c>
      <c r="H13" s="340">
        <f t="shared" si="0"/>
        <v>772445.97743554483</v>
      </c>
      <c r="I13" s="340">
        <f t="shared" si="0"/>
        <v>1927065.8623578108</v>
      </c>
      <c r="J13" s="340">
        <f t="shared" si="0"/>
        <v>838937.66082408442</v>
      </c>
      <c r="K13" s="340">
        <f t="shared" si="0"/>
        <v>187577.58238232945</v>
      </c>
      <c r="L13" s="340">
        <f t="shared" si="0"/>
        <v>227595.92273717749</v>
      </c>
      <c r="M13" s="340">
        <f t="shared" si="0"/>
        <v>69018.258158566459</v>
      </c>
      <c r="N13" s="340">
        <f t="shared" si="0"/>
        <v>670572.20957478415</v>
      </c>
      <c r="O13" s="340">
        <f t="shared" si="0"/>
        <v>213303.98669195012</v>
      </c>
      <c r="P13" s="340">
        <f t="shared" si="0"/>
        <v>464094.14588137163</v>
      </c>
      <c r="Q13" s="340">
        <f t="shared" si="0"/>
        <v>126533.47329070518</v>
      </c>
      <c r="R13" s="341">
        <f t="shared" si="0"/>
        <v>6426764.3411819888</v>
      </c>
      <c r="S13" s="340">
        <f t="shared" si="0"/>
        <v>0</v>
      </c>
      <c r="T13" s="342">
        <f t="shared" si="0"/>
        <v>0</v>
      </c>
      <c r="U13" s="340">
        <f t="shared" si="0"/>
        <v>0</v>
      </c>
      <c r="V13" s="340">
        <f t="shared" si="0"/>
        <v>0</v>
      </c>
      <c r="W13" s="340">
        <f t="shared" si="0"/>
        <v>0</v>
      </c>
      <c r="X13" s="343">
        <f t="shared" si="0"/>
        <v>0</v>
      </c>
      <c r="Y13" s="340">
        <f t="shared" si="0"/>
        <v>0</v>
      </c>
      <c r="Z13" s="344">
        <f t="shared" si="0"/>
        <v>6191574.9346082751</v>
      </c>
      <c r="AA13" s="345">
        <f t="shared" si="0"/>
        <v>0</v>
      </c>
      <c r="AB13" s="340">
        <f t="shared" si="0"/>
        <v>0</v>
      </c>
      <c r="AC13" s="344">
        <f t="shared" si="0"/>
        <v>0</v>
      </c>
      <c r="AD13" s="343">
        <f t="shared" si="0"/>
        <v>0</v>
      </c>
      <c r="AE13" s="340">
        <f t="shared" si="0"/>
        <v>0</v>
      </c>
      <c r="AF13" s="346">
        <f t="shared" si="0"/>
        <v>0</v>
      </c>
      <c r="AG13" s="347">
        <f t="shared" si="0"/>
        <v>58918.721296624557</v>
      </c>
      <c r="AH13" s="348">
        <f t="shared" si="0"/>
        <v>0</v>
      </c>
      <c r="AI13" s="349">
        <f t="shared" si="0"/>
        <v>2489551.5836355588</v>
      </c>
    </row>
    <row r="14" spans="1:35" ht="64.5" customHeight="1" x14ac:dyDescent="0.25">
      <c r="A14" s="536"/>
      <c r="B14" s="537"/>
      <c r="C14" s="538"/>
      <c r="D14" s="540"/>
      <c r="E14" s="329" t="s">
        <v>191</v>
      </c>
      <c r="F14" s="350">
        <f>F13/$C$15</f>
        <v>1.0234617465264922E-2</v>
      </c>
      <c r="G14" s="351">
        <f t="shared" ref="G14:AI14" si="1">G13/$C$15</f>
        <v>1.7720119756189541E-2</v>
      </c>
      <c r="H14" s="351">
        <f t="shared" si="1"/>
        <v>3.6336338589145041E-2</v>
      </c>
      <c r="I14" s="351">
        <f t="shared" si="1"/>
        <v>9.065037517663696E-2</v>
      </c>
      <c r="J14" s="351">
        <f t="shared" si="1"/>
        <v>3.9464148677546738E-2</v>
      </c>
      <c r="K14" s="351">
        <f t="shared" si="1"/>
        <v>8.8237659904783546E-3</v>
      </c>
      <c r="L14" s="351">
        <f t="shared" si="1"/>
        <v>1.070625357846083E-2</v>
      </c>
      <c r="M14" s="351">
        <f t="shared" si="1"/>
        <v>3.2466617349845121E-3</v>
      </c>
      <c r="N14" s="351">
        <f t="shared" si="1"/>
        <v>3.1544133269324544E-2</v>
      </c>
      <c r="O14" s="351">
        <f t="shared" si="1"/>
        <v>1.0033952029350724E-2</v>
      </c>
      <c r="P14" s="351">
        <f t="shared" si="1"/>
        <v>2.1831276897797985E-2</v>
      </c>
      <c r="Q14" s="351">
        <f t="shared" si="1"/>
        <v>5.9522131808049392E-3</v>
      </c>
      <c r="R14" s="352">
        <f t="shared" si="1"/>
        <v>0.30231898664177903</v>
      </c>
      <c r="S14" s="351">
        <f t="shared" si="1"/>
        <v>0</v>
      </c>
      <c r="T14" s="353">
        <f t="shared" si="1"/>
        <v>0</v>
      </c>
      <c r="U14" s="354">
        <f t="shared" si="1"/>
        <v>0</v>
      </c>
      <c r="V14" s="351">
        <f t="shared" si="1"/>
        <v>0</v>
      </c>
      <c r="W14" s="351">
        <f t="shared" si="1"/>
        <v>0</v>
      </c>
      <c r="X14" s="351">
        <f t="shared" si="1"/>
        <v>0</v>
      </c>
      <c r="Y14" s="351">
        <f t="shared" si="1"/>
        <v>0</v>
      </c>
      <c r="Z14" s="352">
        <f t="shared" si="1"/>
        <v>0.29125553086689843</v>
      </c>
      <c r="AA14" s="351">
        <f t="shared" si="1"/>
        <v>0</v>
      </c>
      <c r="AB14" s="351">
        <f t="shared" si="1"/>
        <v>0</v>
      </c>
      <c r="AC14" s="352">
        <f t="shared" si="1"/>
        <v>0</v>
      </c>
      <c r="AD14" s="351">
        <f t="shared" si="1"/>
        <v>0</v>
      </c>
      <c r="AE14" s="351">
        <f t="shared" si="1"/>
        <v>0</v>
      </c>
      <c r="AF14" s="355">
        <f t="shared" si="1"/>
        <v>0</v>
      </c>
      <c r="AG14" s="354">
        <f t="shared" si="1"/>
        <v>2.771573247596157E-3</v>
      </c>
      <c r="AH14" s="356">
        <f t="shared" si="1"/>
        <v>0</v>
      </c>
      <c r="AI14" s="357">
        <f t="shared" si="1"/>
        <v>0.117110052897741</v>
      </c>
    </row>
    <row r="15" spans="1:35" ht="64.5" customHeight="1" thickBot="1" x14ac:dyDescent="0.3">
      <c r="A15" s="358"/>
      <c r="B15" s="359" t="s">
        <v>166</v>
      </c>
      <c r="C15" s="360">
        <f>C17+C40+C80+C90+C101+C110+C119+C142+C149+C156+C167+C174+C185</f>
        <v>21258222.689126469</v>
      </c>
      <c r="D15" s="541"/>
      <c r="E15" s="329" t="s">
        <v>192</v>
      </c>
      <c r="F15" s="361">
        <f>F14</f>
        <v>1.0234617465264922E-2</v>
      </c>
      <c r="G15" s="362">
        <f>F15+G14</f>
        <v>2.7954737221454463E-2</v>
      </c>
      <c r="H15" s="362">
        <f t="shared" ref="H15:AI15" si="2">G15+H14</f>
        <v>6.4291075810599507E-2</v>
      </c>
      <c r="I15" s="362">
        <f t="shared" si="2"/>
        <v>0.15494145098723647</v>
      </c>
      <c r="J15" s="362">
        <f t="shared" si="2"/>
        <v>0.19440559966478321</v>
      </c>
      <c r="K15" s="362">
        <f t="shared" si="2"/>
        <v>0.20322936565526156</v>
      </c>
      <c r="L15" s="362">
        <f t="shared" si="2"/>
        <v>0.2139356192337224</v>
      </c>
      <c r="M15" s="362">
        <f t="shared" si="2"/>
        <v>0.2171822809687069</v>
      </c>
      <c r="N15" s="362">
        <f t="shared" si="2"/>
        <v>0.24872641423803143</v>
      </c>
      <c r="O15" s="362">
        <f t="shared" si="2"/>
        <v>0.25876036626738214</v>
      </c>
      <c r="P15" s="362">
        <f t="shared" si="2"/>
        <v>0.28059164316518015</v>
      </c>
      <c r="Q15" s="363">
        <f t="shared" si="2"/>
        <v>0.28654385634598512</v>
      </c>
      <c r="R15" s="364">
        <f t="shared" si="2"/>
        <v>0.58886284298776415</v>
      </c>
      <c r="S15" s="362">
        <f t="shared" si="2"/>
        <v>0.58886284298776415</v>
      </c>
      <c r="T15" s="365">
        <f t="shared" si="2"/>
        <v>0.58886284298776415</v>
      </c>
      <c r="U15" s="362">
        <f t="shared" si="2"/>
        <v>0.58886284298776415</v>
      </c>
      <c r="V15" s="362">
        <f t="shared" si="2"/>
        <v>0.58886284298776415</v>
      </c>
      <c r="W15" s="362">
        <f t="shared" si="2"/>
        <v>0.58886284298776415</v>
      </c>
      <c r="X15" s="362">
        <f t="shared" si="2"/>
        <v>0.58886284298776415</v>
      </c>
      <c r="Y15" s="363">
        <f t="shared" si="2"/>
        <v>0.58886284298776415</v>
      </c>
      <c r="Z15" s="364">
        <f t="shared" si="2"/>
        <v>0.88011837385466252</v>
      </c>
      <c r="AA15" s="362">
        <f t="shared" si="2"/>
        <v>0.88011837385466252</v>
      </c>
      <c r="AB15" s="362">
        <f t="shared" si="2"/>
        <v>0.88011837385466252</v>
      </c>
      <c r="AC15" s="364">
        <f t="shared" si="2"/>
        <v>0.88011837385466252</v>
      </c>
      <c r="AD15" s="362">
        <f t="shared" si="2"/>
        <v>0.88011837385466252</v>
      </c>
      <c r="AE15" s="363">
        <f t="shared" si="2"/>
        <v>0.88011837385466252</v>
      </c>
      <c r="AF15" s="366">
        <f t="shared" si="2"/>
        <v>0.88011837385466252</v>
      </c>
      <c r="AG15" s="362">
        <f t="shared" si="2"/>
        <v>0.88288994710225865</v>
      </c>
      <c r="AH15" s="363">
        <f t="shared" si="2"/>
        <v>0.88288994710225865</v>
      </c>
      <c r="AI15" s="367">
        <f t="shared" si="2"/>
        <v>0.99999999999999967</v>
      </c>
    </row>
    <row r="16" spans="1:35" ht="29.25" customHeight="1" x14ac:dyDescent="0.25">
      <c r="A16" s="368"/>
      <c r="B16" s="369"/>
      <c r="C16" s="370"/>
      <c r="D16" s="371"/>
      <c r="E16" s="372" t="s">
        <v>185</v>
      </c>
      <c r="F16" s="373"/>
      <c r="G16" s="373"/>
      <c r="H16" s="373"/>
      <c r="I16" s="373"/>
      <c r="J16" s="373"/>
      <c r="K16" s="373"/>
      <c r="L16" s="374"/>
      <c r="M16" s="375"/>
      <c r="N16" s="374"/>
      <c r="O16" s="375"/>
      <c r="P16" s="373"/>
      <c r="Q16" s="374"/>
      <c r="R16" s="376"/>
      <c r="S16" s="377"/>
      <c r="T16" s="378"/>
      <c r="U16" s="373"/>
      <c r="V16" s="373"/>
      <c r="W16" s="373"/>
      <c r="X16" s="373"/>
      <c r="Y16" s="374"/>
      <c r="Z16" s="376"/>
      <c r="AA16" s="377"/>
      <c r="AB16" s="379"/>
      <c r="AC16" s="380"/>
      <c r="AD16" s="373"/>
      <c r="AE16" s="374"/>
      <c r="AF16" s="381"/>
      <c r="AG16" s="373"/>
      <c r="AH16" s="374"/>
      <c r="AI16" s="382"/>
    </row>
    <row r="17" spans="1:35" s="282" customFormat="1" x14ac:dyDescent="0.25">
      <c r="A17" s="383">
        <v>1</v>
      </c>
      <c r="B17" s="384" t="s">
        <v>6</v>
      </c>
      <c r="C17" s="385">
        <f>'[2]Parte A'!$F$5+'[2]Parte B'!$G$5</f>
        <v>2755280.8656343156</v>
      </c>
      <c r="D17" s="386">
        <f>D18+D26+D30+D34</f>
        <v>1</v>
      </c>
      <c r="E17" s="387"/>
      <c r="F17" s="388"/>
      <c r="G17" s="389"/>
      <c r="H17" s="390"/>
      <c r="I17" s="391"/>
      <c r="J17" s="391"/>
      <c r="K17" s="391"/>
      <c r="L17" s="392"/>
      <c r="M17" s="391"/>
      <c r="N17" s="393"/>
      <c r="O17" s="391"/>
      <c r="P17" s="391"/>
      <c r="Q17" s="391"/>
      <c r="R17" s="394"/>
      <c r="S17" s="395"/>
      <c r="T17" s="396"/>
      <c r="U17" s="390"/>
      <c r="V17" s="391"/>
      <c r="W17" s="391"/>
      <c r="X17" s="391"/>
      <c r="Y17" s="392"/>
      <c r="Z17" s="394"/>
      <c r="AA17" s="395"/>
      <c r="AB17" s="397"/>
      <c r="AC17" s="398"/>
      <c r="AD17" s="391"/>
      <c r="AE17" s="392"/>
      <c r="AF17" s="399"/>
      <c r="AG17" s="390"/>
      <c r="AH17" s="391"/>
      <c r="AI17" s="394"/>
    </row>
    <row r="18" spans="1:35" s="282" customFormat="1" x14ac:dyDescent="0.25">
      <c r="A18" s="400" t="s">
        <v>114</v>
      </c>
      <c r="B18" s="401" t="s">
        <v>7</v>
      </c>
      <c r="C18" s="402">
        <f>$C$17*D18</f>
        <v>96434.830297201057</v>
      </c>
      <c r="D18" s="403">
        <f>SUM(D19:D25)</f>
        <v>3.5000000000000003E-2</v>
      </c>
      <c r="E18" s="403"/>
      <c r="F18" s="388"/>
      <c r="G18" s="404"/>
      <c r="H18" s="405"/>
      <c r="I18" s="405"/>
      <c r="J18" s="405"/>
      <c r="K18" s="405"/>
      <c r="L18" s="406"/>
      <c r="M18" s="392"/>
      <c r="N18" s="392"/>
      <c r="O18" s="405"/>
      <c r="P18" s="405"/>
      <c r="Q18" s="405"/>
      <c r="R18" s="407"/>
      <c r="S18" s="408"/>
      <c r="T18" s="409"/>
      <c r="U18" s="410"/>
      <c r="V18" s="405"/>
      <c r="W18" s="405"/>
      <c r="X18" s="405"/>
      <c r="Y18" s="406"/>
      <c r="Z18" s="407"/>
      <c r="AA18" s="408"/>
      <c r="AB18" s="411"/>
      <c r="AC18" s="412"/>
      <c r="AD18" s="405"/>
      <c r="AE18" s="406"/>
      <c r="AF18" s="413"/>
      <c r="AG18" s="410"/>
      <c r="AH18" s="405"/>
      <c r="AI18" s="407"/>
    </row>
    <row r="19" spans="1:35" ht="30" customHeight="1" outlineLevel="1" x14ac:dyDescent="0.25">
      <c r="A19" s="414"/>
      <c r="B19" s="415" t="s">
        <v>63</v>
      </c>
      <c r="C19" s="416">
        <f>$C$17*D19</f>
        <v>13776.404328171579</v>
      </c>
      <c r="D19" s="417">
        <v>5.0000000000000001E-3</v>
      </c>
      <c r="E19" s="418" t="s">
        <v>178</v>
      </c>
      <c r="F19" s="419">
        <f t="shared" ref="F19:F25" si="3">C19*$AI$2</f>
        <v>4132.9212984514734</v>
      </c>
      <c r="G19" s="420"/>
      <c r="H19" s="420"/>
      <c r="I19" s="420"/>
      <c r="J19" s="420"/>
      <c r="K19" s="420"/>
      <c r="L19" s="421"/>
      <c r="M19" s="422"/>
      <c r="N19" s="422"/>
      <c r="O19" s="423"/>
      <c r="P19" s="423"/>
      <c r="Q19" s="420"/>
      <c r="R19" s="424">
        <f t="shared" ref="R19:R25" si="4">C19*$AI$2</f>
        <v>4132.9212984514734</v>
      </c>
      <c r="S19" s="425"/>
      <c r="T19" s="426"/>
      <c r="U19" s="427"/>
      <c r="V19" s="427"/>
      <c r="W19" s="427"/>
      <c r="X19" s="427"/>
      <c r="Y19" s="428"/>
      <c r="Z19" s="429">
        <f t="shared" ref="Z19:Z25" si="5">C19*$AI$2</f>
        <v>4132.9212984514734</v>
      </c>
      <c r="AA19" s="425"/>
      <c r="AB19" s="430"/>
      <c r="AC19" s="431"/>
      <c r="AD19" s="432"/>
      <c r="AE19" s="432"/>
      <c r="AF19" s="433"/>
      <c r="AG19" s="434"/>
      <c r="AH19" s="435"/>
      <c r="AI19" s="436">
        <f t="shared" ref="AI19:AI25" si="6">C19*$AI$3</f>
        <v>1377.6404328171579</v>
      </c>
    </row>
    <row r="20" spans="1:35" ht="15" customHeight="1" outlineLevel="1" x14ac:dyDescent="0.25">
      <c r="A20" s="414"/>
      <c r="B20" s="437" t="s">
        <v>82</v>
      </c>
      <c r="C20" s="416">
        <f t="shared" ref="C20:C39" si="7">$C$17*D20</f>
        <v>13776.404328171579</v>
      </c>
      <c r="D20" s="417">
        <v>5.0000000000000001E-3</v>
      </c>
      <c r="E20" s="418" t="s">
        <v>178</v>
      </c>
      <c r="F20" s="438">
        <f t="shared" si="3"/>
        <v>4132.9212984514734</v>
      </c>
      <c r="G20" s="420"/>
      <c r="H20" s="420"/>
      <c r="I20" s="420"/>
      <c r="J20" s="420"/>
      <c r="K20" s="420"/>
      <c r="L20" s="421"/>
      <c r="M20" s="422"/>
      <c r="N20" s="422"/>
      <c r="O20" s="423"/>
      <c r="P20" s="423"/>
      <c r="Q20" s="420"/>
      <c r="R20" s="424">
        <f t="shared" si="4"/>
        <v>4132.9212984514734</v>
      </c>
      <c r="S20" s="425"/>
      <c r="T20" s="426"/>
      <c r="U20" s="427"/>
      <c r="V20" s="427"/>
      <c r="W20" s="427"/>
      <c r="X20" s="427"/>
      <c r="Y20" s="428"/>
      <c r="Z20" s="429">
        <f t="shared" si="5"/>
        <v>4132.9212984514734</v>
      </c>
      <c r="AA20" s="425"/>
      <c r="AB20" s="430"/>
      <c r="AC20" s="431"/>
      <c r="AD20" s="432"/>
      <c r="AE20" s="432"/>
      <c r="AF20" s="433"/>
      <c r="AG20" s="434"/>
      <c r="AH20" s="435"/>
      <c r="AI20" s="436">
        <f t="shared" si="6"/>
        <v>1377.6404328171579</v>
      </c>
    </row>
    <row r="21" spans="1:35" ht="15" customHeight="1" outlineLevel="1" x14ac:dyDescent="0.25">
      <c r="A21" s="414"/>
      <c r="B21" s="437" t="s">
        <v>83</v>
      </c>
      <c r="C21" s="416">
        <f t="shared" si="7"/>
        <v>13776.404328171579</v>
      </c>
      <c r="D21" s="417">
        <v>5.0000000000000001E-3</v>
      </c>
      <c r="E21" s="418" t="s">
        <v>178</v>
      </c>
      <c r="F21" s="438">
        <f t="shared" si="3"/>
        <v>4132.9212984514734</v>
      </c>
      <c r="G21" s="420"/>
      <c r="H21" s="420"/>
      <c r="I21" s="420"/>
      <c r="J21" s="420"/>
      <c r="K21" s="420"/>
      <c r="L21" s="421"/>
      <c r="M21" s="422"/>
      <c r="N21" s="422"/>
      <c r="O21" s="423"/>
      <c r="P21" s="423"/>
      <c r="Q21" s="420"/>
      <c r="R21" s="424">
        <f t="shared" si="4"/>
        <v>4132.9212984514734</v>
      </c>
      <c r="S21" s="425"/>
      <c r="T21" s="426"/>
      <c r="U21" s="427"/>
      <c r="V21" s="427"/>
      <c r="W21" s="427"/>
      <c r="X21" s="427"/>
      <c r="Y21" s="428"/>
      <c r="Z21" s="429">
        <f t="shared" si="5"/>
        <v>4132.9212984514734</v>
      </c>
      <c r="AA21" s="425"/>
      <c r="AB21" s="430"/>
      <c r="AC21" s="431"/>
      <c r="AD21" s="432"/>
      <c r="AE21" s="432"/>
      <c r="AF21" s="433"/>
      <c r="AG21" s="434"/>
      <c r="AH21" s="435"/>
      <c r="AI21" s="436">
        <f t="shared" si="6"/>
        <v>1377.6404328171579</v>
      </c>
    </row>
    <row r="22" spans="1:35" ht="15" customHeight="1" outlineLevel="1" x14ac:dyDescent="0.25">
      <c r="A22" s="414"/>
      <c r="B22" s="437" t="s">
        <v>84</v>
      </c>
      <c r="C22" s="416">
        <f t="shared" si="7"/>
        <v>13776.404328171579</v>
      </c>
      <c r="D22" s="417">
        <v>5.0000000000000001E-3</v>
      </c>
      <c r="E22" s="418" t="s">
        <v>178</v>
      </c>
      <c r="F22" s="438">
        <f t="shared" si="3"/>
        <v>4132.9212984514734</v>
      </c>
      <c r="G22" s="420"/>
      <c r="H22" s="420"/>
      <c r="I22" s="420"/>
      <c r="J22" s="420"/>
      <c r="K22" s="420"/>
      <c r="L22" s="421"/>
      <c r="M22" s="422"/>
      <c r="N22" s="422"/>
      <c r="O22" s="423"/>
      <c r="P22" s="423"/>
      <c r="Q22" s="420"/>
      <c r="R22" s="424">
        <f t="shared" si="4"/>
        <v>4132.9212984514734</v>
      </c>
      <c r="S22" s="425"/>
      <c r="T22" s="426"/>
      <c r="U22" s="427"/>
      <c r="V22" s="427"/>
      <c r="W22" s="427"/>
      <c r="X22" s="427"/>
      <c r="Y22" s="428"/>
      <c r="Z22" s="429">
        <f t="shared" si="5"/>
        <v>4132.9212984514734</v>
      </c>
      <c r="AA22" s="425"/>
      <c r="AB22" s="430"/>
      <c r="AC22" s="431"/>
      <c r="AD22" s="432"/>
      <c r="AE22" s="432"/>
      <c r="AF22" s="433"/>
      <c r="AG22" s="434"/>
      <c r="AH22" s="435"/>
      <c r="AI22" s="436">
        <f t="shared" si="6"/>
        <v>1377.6404328171579</v>
      </c>
    </row>
    <row r="23" spans="1:35" s="282" customFormat="1" ht="15" customHeight="1" outlineLevel="1" x14ac:dyDescent="0.25">
      <c r="A23" s="414"/>
      <c r="B23" s="437" t="s">
        <v>85</v>
      </c>
      <c r="C23" s="416">
        <f t="shared" si="7"/>
        <v>13776.404328171579</v>
      </c>
      <c r="D23" s="417">
        <v>5.0000000000000001E-3</v>
      </c>
      <c r="E23" s="418" t="s">
        <v>178</v>
      </c>
      <c r="F23" s="438">
        <f t="shared" si="3"/>
        <v>4132.9212984514734</v>
      </c>
      <c r="G23" s="439"/>
      <c r="H23" s="439"/>
      <c r="I23" s="439"/>
      <c r="J23" s="439"/>
      <c r="K23" s="439"/>
      <c r="L23" s="440"/>
      <c r="M23" s="422"/>
      <c r="N23" s="422"/>
      <c r="O23" s="423"/>
      <c r="P23" s="423"/>
      <c r="Q23" s="439"/>
      <c r="R23" s="424">
        <f t="shared" si="4"/>
        <v>4132.9212984514734</v>
      </c>
      <c r="S23" s="441"/>
      <c r="T23" s="442"/>
      <c r="U23" s="427"/>
      <c r="V23" s="427"/>
      <c r="W23" s="427"/>
      <c r="X23" s="427"/>
      <c r="Y23" s="443"/>
      <c r="Z23" s="429">
        <f t="shared" si="5"/>
        <v>4132.9212984514734</v>
      </c>
      <c r="AA23" s="441"/>
      <c r="AB23" s="444"/>
      <c r="AC23" s="445"/>
      <c r="AD23" s="446"/>
      <c r="AE23" s="432"/>
      <c r="AF23" s="447"/>
      <c r="AG23" s="448"/>
      <c r="AH23" s="449"/>
      <c r="AI23" s="436">
        <f t="shared" si="6"/>
        <v>1377.6404328171579</v>
      </c>
    </row>
    <row r="24" spans="1:35" ht="15" customHeight="1" outlineLevel="1" x14ac:dyDescent="0.25">
      <c r="A24" s="414"/>
      <c r="B24" s="437" t="s">
        <v>86</v>
      </c>
      <c r="C24" s="416">
        <f t="shared" si="7"/>
        <v>13776.404328171579</v>
      </c>
      <c r="D24" s="417">
        <v>5.0000000000000001E-3</v>
      </c>
      <c r="E24" s="418" t="s">
        <v>178</v>
      </c>
      <c r="F24" s="438">
        <f t="shared" si="3"/>
        <v>4132.9212984514734</v>
      </c>
      <c r="G24" s="420"/>
      <c r="H24" s="420"/>
      <c r="I24" s="420"/>
      <c r="J24" s="420"/>
      <c r="K24" s="420"/>
      <c r="L24" s="421"/>
      <c r="M24" s="422"/>
      <c r="N24" s="422"/>
      <c r="O24" s="423"/>
      <c r="P24" s="423"/>
      <c r="Q24" s="420"/>
      <c r="R24" s="424">
        <f t="shared" si="4"/>
        <v>4132.9212984514734</v>
      </c>
      <c r="S24" s="425"/>
      <c r="T24" s="426"/>
      <c r="U24" s="427"/>
      <c r="V24" s="427"/>
      <c r="W24" s="427"/>
      <c r="X24" s="427"/>
      <c r="Y24" s="428"/>
      <c r="Z24" s="429">
        <f t="shared" si="5"/>
        <v>4132.9212984514734</v>
      </c>
      <c r="AA24" s="425"/>
      <c r="AB24" s="430"/>
      <c r="AC24" s="431"/>
      <c r="AD24" s="432"/>
      <c r="AE24" s="432"/>
      <c r="AF24" s="433"/>
      <c r="AG24" s="434"/>
      <c r="AH24" s="435"/>
      <c r="AI24" s="436">
        <f t="shared" si="6"/>
        <v>1377.6404328171579</v>
      </c>
    </row>
    <row r="25" spans="1:35" ht="15" customHeight="1" outlineLevel="1" x14ac:dyDescent="0.25">
      <c r="A25" s="414"/>
      <c r="B25" s="437" t="s">
        <v>87</v>
      </c>
      <c r="C25" s="416">
        <f t="shared" si="7"/>
        <v>13776.404328171579</v>
      </c>
      <c r="D25" s="417">
        <v>5.0000000000000001E-3</v>
      </c>
      <c r="E25" s="418" t="s">
        <v>178</v>
      </c>
      <c r="F25" s="438">
        <f t="shared" si="3"/>
        <v>4132.9212984514734</v>
      </c>
      <c r="G25" s="420"/>
      <c r="H25" s="420"/>
      <c r="I25" s="420"/>
      <c r="J25" s="420"/>
      <c r="K25" s="420"/>
      <c r="L25" s="421"/>
      <c r="M25" s="422"/>
      <c r="N25" s="422"/>
      <c r="O25" s="423"/>
      <c r="P25" s="423"/>
      <c r="Q25" s="420"/>
      <c r="R25" s="424">
        <f t="shared" si="4"/>
        <v>4132.9212984514734</v>
      </c>
      <c r="S25" s="425"/>
      <c r="T25" s="426"/>
      <c r="U25" s="427"/>
      <c r="V25" s="427"/>
      <c r="W25" s="427"/>
      <c r="X25" s="427"/>
      <c r="Y25" s="428"/>
      <c r="Z25" s="429">
        <f t="shared" si="5"/>
        <v>4132.9212984514734</v>
      </c>
      <c r="AA25" s="425"/>
      <c r="AB25" s="430"/>
      <c r="AC25" s="431"/>
      <c r="AD25" s="432"/>
      <c r="AE25" s="432"/>
      <c r="AF25" s="433"/>
      <c r="AG25" s="434"/>
      <c r="AH25" s="435"/>
      <c r="AI25" s="436">
        <f t="shared" si="6"/>
        <v>1377.6404328171579</v>
      </c>
    </row>
    <row r="26" spans="1:35" x14ac:dyDescent="0.25">
      <c r="A26" s="400" t="s">
        <v>115</v>
      </c>
      <c r="B26" s="401" t="s">
        <v>64</v>
      </c>
      <c r="C26" s="402">
        <f t="shared" si="7"/>
        <v>1294982.0068481285</v>
      </c>
      <c r="D26" s="403">
        <f>SUM(D27:D29)</f>
        <v>0.47000000000000003</v>
      </c>
      <c r="E26" s="403"/>
      <c r="F26" s="388"/>
      <c r="G26" s="450"/>
      <c r="H26" s="300"/>
      <c r="I26" s="451"/>
      <c r="J26" s="451"/>
      <c r="K26" s="451"/>
      <c r="L26" s="452"/>
      <c r="M26" s="392"/>
      <c r="N26" s="392"/>
      <c r="O26" s="405"/>
      <c r="P26" s="405"/>
      <c r="Q26" s="453"/>
      <c r="R26" s="454"/>
      <c r="S26" s="455"/>
      <c r="T26" s="456"/>
      <c r="U26" s="457"/>
      <c r="V26" s="451"/>
      <c r="W26" s="451"/>
      <c r="X26" s="451"/>
      <c r="Y26" s="452"/>
      <c r="Z26" s="454"/>
      <c r="AA26" s="455"/>
      <c r="AB26" s="458"/>
      <c r="AC26" s="459"/>
      <c r="AD26" s="451"/>
      <c r="AE26" s="452"/>
      <c r="AF26" s="460"/>
      <c r="AG26" s="457"/>
      <c r="AH26" s="451"/>
      <c r="AI26" s="454"/>
    </row>
    <row r="27" spans="1:35" ht="60" customHeight="1" outlineLevel="1" x14ac:dyDescent="0.25">
      <c r="A27" s="414"/>
      <c r="B27" s="461" t="s">
        <v>65</v>
      </c>
      <c r="C27" s="416">
        <f>$C$17*D27</f>
        <v>854137.06834663788</v>
      </c>
      <c r="D27" s="462">
        <v>0.31</v>
      </c>
      <c r="E27" s="463" t="s">
        <v>178</v>
      </c>
      <c r="F27" s="464"/>
      <c r="G27" s="438">
        <f>C27*$AI$2</f>
        <v>256241.12050399135</v>
      </c>
      <c r="H27" s="439"/>
      <c r="I27" s="420"/>
      <c r="J27" s="420"/>
      <c r="K27" s="420"/>
      <c r="L27" s="465"/>
      <c r="M27" s="422"/>
      <c r="N27" s="422"/>
      <c r="O27" s="423"/>
      <c r="P27" s="423"/>
      <c r="Q27" s="420"/>
      <c r="R27" s="424">
        <f>C27*$AI$2</f>
        <v>256241.12050399135</v>
      </c>
      <c r="S27" s="425"/>
      <c r="T27" s="426"/>
      <c r="U27" s="427"/>
      <c r="V27" s="427"/>
      <c r="W27" s="427"/>
      <c r="X27" s="427"/>
      <c r="Y27" s="428"/>
      <c r="Z27" s="429">
        <f>C27*$AI$2</f>
        <v>256241.12050399135</v>
      </c>
      <c r="AA27" s="425"/>
      <c r="AB27" s="430"/>
      <c r="AC27" s="431"/>
      <c r="AD27" s="432"/>
      <c r="AE27" s="466"/>
      <c r="AF27" s="433"/>
      <c r="AG27" s="434"/>
      <c r="AH27" s="435"/>
      <c r="AI27" s="436">
        <f>C27*$AI$3</f>
        <v>85413.706834663797</v>
      </c>
    </row>
    <row r="28" spans="1:35" ht="75" customHeight="1" outlineLevel="1" x14ac:dyDescent="0.25">
      <c r="A28" s="414"/>
      <c r="B28" s="461" t="s">
        <v>66</v>
      </c>
      <c r="C28" s="416">
        <f t="shared" ref="C28:C29" si="8">$C$17*D28</f>
        <v>220422.46925074526</v>
      </c>
      <c r="D28" s="462">
        <v>0.08</v>
      </c>
      <c r="E28" s="463" t="s">
        <v>178</v>
      </c>
      <c r="F28" s="464"/>
      <c r="G28" s="438">
        <f>C28*$AI$2</f>
        <v>66126.740775223574</v>
      </c>
      <c r="H28" s="439"/>
      <c r="I28" s="420"/>
      <c r="J28" s="420"/>
      <c r="K28" s="420"/>
      <c r="L28" s="465"/>
      <c r="M28" s="422"/>
      <c r="N28" s="422"/>
      <c r="O28" s="423"/>
      <c r="P28" s="423"/>
      <c r="Q28" s="420"/>
      <c r="R28" s="424">
        <f>C28*$AI$2</f>
        <v>66126.740775223574</v>
      </c>
      <c r="S28" s="425"/>
      <c r="T28" s="426"/>
      <c r="U28" s="427"/>
      <c r="V28" s="427"/>
      <c r="W28" s="427"/>
      <c r="X28" s="427"/>
      <c r="Y28" s="428"/>
      <c r="Z28" s="429">
        <f>C28*$AI$2</f>
        <v>66126.740775223574</v>
      </c>
      <c r="AA28" s="425"/>
      <c r="AB28" s="430"/>
      <c r="AC28" s="431"/>
      <c r="AD28" s="432"/>
      <c r="AE28" s="466"/>
      <c r="AF28" s="433"/>
      <c r="AG28" s="434"/>
      <c r="AH28" s="435"/>
      <c r="AI28" s="436">
        <f>C28*$AI$3</f>
        <v>22042.246925074527</v>
      </c>
    </row>
    <row r="29" spans="1:35" ht="60" customHeight="1" outlineLevel="1" x14ac:dyDescent="0.25">
      <c r="A29" s="414"/>
      <c r="B29" s="461" t="s">
        <v>67</v>
      </c>
      <c r="C29" s="416">
        <f t="shared" si="8"/>
        <v>220422.46925074526</v>
      </c>
      <c r="D29" s="462">
        <v>0.08</v>
      </c>
      <c r="E29" s="463" t="s">
        <v>178</v>
      </c>
      <c r="F29" s="464"/>
      <c r="G29" s="464"/>
      <c r="H29" s="438">
        <f>C29*$AI$2</f>
        <v>66126.740775223574</v>
      </c>
      <c r="I29" s="420"/>
      <c r="J29" s="420"/>
      <c r="K29" s="420"/>
      <c r="L29" s="465"/>
      <c r="M29" s="422"/>
      <c r="N29" s="422"/>
      <c r="O29" s="423"/>
      <c r="P29" s="423"/>
      <c r="Q29" s="420"/>
      <c r="R29" s="424">
        <f>C29*$AI$2</f>
        <v>66126.740775223574</v>
      </c>
      <c r="S29" s="425"/>
      <c r="T29" s="426"/>
      <c r="U29" s="427"/>
      <c r="V29" s="427"/>
      <c r="W29" s="427"/>
      <c r="X29" s="427"/>
      <c r="Y29" s="428"/>
      <c r="Z29" s="429">
        <f>C29*$AI$2</f>
        <v>66126.740775223574</v>
      </c>
      <c r="AA29" s="425"/>
      <c r="AB29" s="430"/>
      <c r="AC29" s="431"/>
      <c r="AD29" s="432"/>
      <c r="AE29" s="466"/>
      <c r="AF29" s="433"/>
      <c r="AG29" s="434"/>
      <c r="AH29" s="435"/>
      <c r="AI29" s="436">
        <f>C29*$AI$3</f>
        <v>22042.246925074527</v>
      </c>
    </row>
    <row r="30" spans="1:35" x14ac:dyDescent="0.25">
      <c r="A30" s="400" t="s">
        <v>116</v>
      </c>
      <c r="B30" s="401" t="s">
        <v>68</v>
      </c>
      <c r="C30" s="402">
        <f t="shared" si="7"/>
        <v>650246.28428969858</v>
      </c>
      <c r="D30" s="403">
        <f>D31+D32+D33</f>
        <v>0.23600000000000002</v>
      </c>
      <c r="E30" s="403"/>
      <c r="F30" s="405"/>
      <c r="G30" s="405"/>
      <c r="H30" s="405"/>
      <c r="I30" s="405"/>
      <c r="J30" s="451"/>
      <c r="K30" s="451"/>
      <c r="L30" s="452"/>
      <c r="M30" s="392"/>
      <c r="N30" s="392"/>
      <c r="O30" s="405"/>
      <c r="P30" s="405"/>
      <c r="Q30" s="451"/>
      <c r="R30" s="455"/>
      <c r="S30" s="455"/>
      <c r="T30" s="456"/>
      <c r="U30" s="457"/>
      <c r="V30" s="451"/>
      <c r="W30" s="451"/>
      <c r="X30" s="451"/>
      <c r="Y30" s="452"/>
      <c r="Z30" s="455"/>
      <c r="AA30" s="455"/>
      <c r="AB30" s="458"/>
      <c r="AC30" s="459"/>
      <c r="AD30" s="451"/>
      <c r="AE30" s="452"/>
      <c r="AF30" s="460"/>
      <c r="AG30" s="457"/>
      <c r="AH30" s="451"/>
      <c r="AI30" s="455"/>
    </row>
    <row r="31" spans="1:35" ht="30" customHeight="1" outlineLevel="1" x14ac:dyDescent="0.25">
      <c r="A31" s="414"/>
      <c r="B31" s="461" t="s">
        <v>69</v>
      </c>
      <c r="C31" s="416">
        <f t="shared" si="7"/>
        <v>275528.0865634316</v>
      </c>
      <c r="D31" s="462">
        <v>0.1</v>
      </c>
      <c r="E31" s="463" t="s">
        <v>178</v>
      </c>
      <c r="F31" s="464"/>
      <c r="G31" s="464"/>
      <c r="H31" s="438">
        <f>C31*$AI$2</f>
        <v>82658.425969029471</v>
      </c>
      <c r="I31" s="420"/>
      <c r="J31" s="467"/>
      <c r="K31" s="467"/>
      <c r="L31" s="421"/>
      <c r="M31" s="422"/>
      <c r="N31" s="422"/>
      <c r="O31" s="423"/>
      <c r="P31" s="423"/>
      <c r="Q31" s="467"/>
      <c r="R31" s="424">
        <f>C31*$AI$2</f>
        <v>82658.425969029471</v>
      </c>
      <c r="S31" s="455"/>
      <c r="T31" s="456"/>
      <c r="U31" s="427"/>
      <c r="V31" s="427"/>
      <c r="W31" s="427"/>
      <c r="X31" s="427"/>
      <c r="Y31" s="428"/>
      <c r="Z31" s="429">
        <f>C31*$AI$2</f>
        <v>82658.425969029471</v>
      </c>
      <c r="AA31" s="425"/>
      <c r="AB31" s="430"/>
      <c r="AC31" s="431"/>
      <c r="AD31" s="432"/>
      <c r="AE31" s="466"/>
      <c r="AF31" s="433"/>
      <c r="AG31" s="434"/>
      <c r="AH31" s="435"/>
      <c r="AI31" s="436">
        <f>C31*$AI$3</f>
        <v>27552.808656343161</v>
      </c>
    </row>
    <row r="32" spans="1:35" ht="60" customHeight="1" outlineLevel="1" x14ac:dyDescent="0.25">
      <c r="A32" s="414"/>
      <c r="B32" s="461" t="s">
        <v>70</v>
      </c>
      <c r="C32" s="416">
        <f t="shared" si="7"/>
        <v>192869.66059440211</v>
      </c>
      <c r="D32" s="462">
        <v>7.0000000000000007E-2</v>
      </c>
      <c r="E32" s="463" t="s">
        <v>178</v>
      </c>
      <c r="F32" s="464"/>
      <c r="G32" s="464"/>
      <c r="H32" s="438">
        <f>C32*$AI$2</f>
        <v>57860.898178320633</v>
      </c>
      <c r="I32" s="420"/>
      <c r="J32" s="467"/>
      <c r="K32" s="467"/>
      <c r="L32" s="421"/>
      <c r="M32" s="422"/>
      <c r="N32" s="422"/>
      <c r="O32" s="423"/>
      <c r="P32" s="423"/>
      <c r="Q32" s="467"/>
      <c r="R32" s="424">
        <f>C32*$AI$2</f>
        <v>57860.898178320633</v>
      </c>
      <c r="S32" s="455"/>
      <c r="T32" s="456"/>
      <c r="U32" s="427"/>
      <c r="V32" s="427"/>
      <c r="W32" s="427"/>
      <c r="X32" s="427"/>
      <c r="Y32" s="428"/>
      <c r="Z32" s="429">
        <f>C32*$AI$2</f>
        <v>57860.898178320633</v>
      </c>
      <c r="AA32" s="425"/>
      <c r="AB32" s="430"/>
      <c r="AC32" s="431"/>
      <c r="AD32" s="432"/>
      <c r="AE32" s="466"/>
      <c r="AF32" s="433"/>
      <c r="AG32" s="434"/>
      <c r="AH32" s="435"/>
      <c r="AI32" s="436">
        <f>C32*$AI$3</f>
        <v>19286.966059440212</v>
      </c>
    </row>
    <row r="33" spans="1:35" ht="30" customHeight="1" outlineLevel="1" x14ac:dyDescent="0.25">
      <c r="A33" s="414"/>
      <c r="B33" s="461" t="s">
        <v>71</v>
      </c>
      <c r="C33" s="416">
        <f t="shared" si="7"/>
        <v>181848.53713186484</v>
      </c>
      <c r="D33" s="462">
        <v>6.6000000000000003E-2</v>
      </c>
      <c r="E33" s="463" t="s">
        <v>178</v>
      </c>
      <c r="F33" s="464"/>
      <c r="G33" s="464"/>
      <c r="H33" s="438">
        <f>C33*$AI$2</f>
        <v>54554.561139559453</v>
      </c>
      <c r="I33" s="420"/>
      <c r="J33" s="467"/>
      <c r="K33" s="467"/>
      <c r="L33" s="421"/>
      <c r="M33" s="422"/>
      <c r="N33" s="422"/>
      <c r="O33" s="423"/>
      <c r="P33" s="423"/>
      <c r="Q33" s="467"/>
      <c r="R33" s="424">
        <f>C33*$AI$2</f>
        <v>54554.561139559453</v>
      </c>
      <c r="S33" s="455"/>
      <c r="T33" s="456"/>
      <c r="U33" s="427"/>
      <c r="V33" s="427"/>
      <c r="W33" s="427"/>
      <c r="X33" s="427"/>
      <c r="Y33" s="428"/>
      <c r="Z33" s="429">
        <f>C33*$AI$2</f>
        <v>54554.561139559453</v>
      </c>
      <c r="AA33" s="425"/>
      <c r="AB33" s="430"/>
      <c r="AC33" s="431"/>
      <c r="AD33" s="432"/>
      <c r="AE33" s="466"/>
      <c r="AF33" s="433"/>
      <c r="AG33" s="434"/>
      <c r="AH33" s="435"/>
      <c r="AI33" s="436">
        <f>C33*$AI$3</f>
        <v>18184.853713186483</v>
      </c>
    </row>
    <row r="34" spans="1:35" x14ac:dyDescent="0.25">
      <c r="A34" s="400" t="s">
        <v>117</v>
      </c>
      <c r="B34" s="401" t="s">
        <v>72</v>
      </c>
      <c r="C34" s="402">
        <f t="shared" si="7"/>
        <v>713617.74419928773</v>
      </c>
      <c r="D34" s="403">
        <f>D35+D36+D37+D38+D39</f>
        <v>0.25900000000000001</v>
      </c>
      <c r="E34" s="403"/>
      <c r="F34" s="405"/>
      <c r="G34" s="405"/>
      <c r="H34" s="405"/>
      <c r="I34" s="405"/>
      <c r="J34" s="405"/>
      <c r="K34" s="451"/>
      <c r="L34" s="468"/>
      <c r="M34" s="392"/>
      <c r="N34" s="392"/>
      <c r="O34" s="405"/>
      <c r="P34" s="405"/>
      <c r="Q34" s="451"/>
      <c r="R34" s="454"/>
      <c r="S34" s="455"/>
      <c r="T34" s="456"/>
      <c r="U34" s="457"/>
      <c r="V34" s="451"/>
      <c r="W34" s="451"/>
      <c r="X34" s="451"/>
      <c r="Y34" s="452"/>
      <c r="Z34" s="454"/>
      <c r="AA34" s="455"/>
      <c r="AB34" s="458"/>
      <c r="AC34" s="459"/>
      <c r="AD34" s="451"/>
      <c r="AE34" s="452"/>
      <c r="AF34" s="460"/>
      <c r="AG34" s="457"/>
      <c r="AH34" s="451"/>
      <c r="AI34" s="454"/>
    </row>
    <row r="35" spans="1:35" ht="60" customHeight="1" outlineLevel="1" x14ac:dyDescent="0.25">
      <c r="A35" s="414"/>
      <c r="B35" s="461" t="s">
        <v>73</v>
      </c>
      <c r="C35" s="416">
        <f t="shared" si="7"/>
        <v>206646.06492257366</v>
      </c>
      <c r="D35" s="417">
        <v>7.4999999999999997E-2</v>
      </c>
      <c r="E35" s="418" t="s">
        <v>178</v>
      </c>
      <c r="F35" s="464"/>
      <c r="G35" s="464"/>
      <c r="H35" s="438"/>
      <c r="I35" s="438">
        <f>C35*$AI$2</f>
        <v>61993.819476772092</v>
      </c>
      <c r="J35" s="420"/>
      <c r="K35" s="420"/>
      <c r="L35" s="421"/>
      <c r="M35" s="422"/>
      <c r="N35" s="422"/>
      <c r="O35" s="423"/>
      <c r="P35" s="423"/>
      <c r="Q35" s="420"/>
      <c r="R35" s="424">
        <f>C35*$AI$2</f>
        <v>61993.819476772092</v>
      </c>
      <c r="S35" s="425"/>
      <c r="T35" s="426"/>
      <c r="U35" s="427"/>
      <c r="V35" s="427"/>
      <c r="W35" s="427"/>
      <c r="X35" s="427"/>
      <c r="Y35" s="428"/>
      <c r="Z35" s="429">
        <f>C35*$AI$2</f>
        <v>61993.819476772092</v>
      </c>
      <c r="AA35" s="425"/>
      <c r="AB35" s="430"/>
      <c r="AC35" s="431"/>
      <c r="AD35" s="432"/>
      <c r="AE35" s="466"/>
      <c r="AF35" s="433"/>
      <c r="AG35" s="434"/>
      <c r="AH35" s="435"/>
      <c r="AI35" s="436">
        <f>C35*$AI$3</f>
        <v>20664.606492257368</v>
      </c>
    </row>
    <row r="36" spans="1:35" ht="60" customHeight="1" outlineLevel="1" x14ac:dyDescent="0.25">
      <c r="A36" s="414"/>
      <c r="B36" s="461" t="s">
        <v>74</v>
      </c>
      <c r="C36" s="416">
        <f t="shared" si="7"/>
        <v>206646.06492257366</v>
      </c>
      <c r="D36" s="417">
        <v>7.4999999999999997E-2</v>
      </c>
      <c r="E36" s="418" t="s">
        <v>178</v>
      </c>
      <c r="F36" s="464"/>
      <c r="G36" s="464"/>
      <c r="H36" s="438"/>
      <c r="I36" s="438">
        <f>C36*$AI$2</f>
        <v>61993.819476772092</v>
      </c>
      <c r="J36" s="420"/>
      <c r="K36" s="420"/>
      <c r="L36" s="421"/>
      <c r="M36" s="422"/>
      <c r="N36" s="422"/>
      <c r="O36" s="423"/>
      <c r="P36" s="423"/>
      <c r="Q36" s="420"/>
      <c r="R36" s="424">
        <f>C36*$AI$2</f>
        <v>61993.819476772092</v>
      </c>
      <c r="S36" s="425"/>
      <c r="T36" s="426"/>
      <c r="U36" s="427"/>
      <c r="V36" s="427"/>
      <c r="W36" s="427"/>
      <c r="X36" s="427"/>
      <c r="Y36" s="428"/>
      <c r="Z36" s="429">
        <f>C36*$AI$2</f>
        <v>61993.819476772092</v>
      </c>
      <c r="AA36" s="425"/>
      <c r="AB36" s="430"/>
      <c r="AC36" s="431"/>
      <c r="AD36" s="432"/>
      <c r="AE36" s="466"/>
      <c r="AF36" s="433"/>
      <c r="AG36" s="434"/>
      <c r="AH36" s="435"/>
      <c r="AI36" s="436">
        <f>C36*$AI$3</f>
        <v>20664.606492257368</v>
      </c>
    </row>
    <row r="37" spans="1:35" ht="30" customHeight="1" outlineLevel="1" x14ac:dyDescent="0.25">
      <c r="A37" s="414"/>
      <c r="B37" s="461" t="s">
        <v>75</v>
      </c>
      <c r="C37" s="416">
        <f t="shared" si="7"/>
        <v>137764.0432817158</v>
      </c>
      <c r="D37" s="417">
        <v>0.05</v>
      </c>
      <c r="E37" s="418" t="s">
        <v>178</v>
      </c>
      <c r="F37" s="464"/>
      <c r="G37" s="464"/>
      <c r="H37" s="464"/>
      <c r="I37" s="438"/>
      <c r="J37" s="438">
        <f>C37*$AI$2</f>
        <v>41329.212984514736</v>
      </c>
      <c r="K37" s="420"/>
      <c r="L37" s="421"/>
      <c r="M37" s="422"/>
      <c r="N37" s="422"/>
      <c r="O37" s="423"/>
      <c r="P37" s="423"/>
      <c r="Q37" s="420"/>
      <c r="R37" s="424">
        <f>C37*$AI$2</f>
        <v>41329.212984514736</v>
      </c>
      <c r="S37" s="425"/>
      <c r="T37" s="426"/>
      <c r="U37" s="427"/>
      <c r="V37" s="427"/>
      <c r="W37" s="427"/>
      <c r="X37" s="427"/>
      <c r="Y37" s="428"/>
      <c r="Z37" s="429">
        <f>C37*$AI$2</f>
        <v>41329.212984514736</v>
      </c>
      <c r="AA37" s="425"/>
      <c r="AB37" s="430"/>
      <c r="AC37" s="431"/>
      <c r="AD37" s="432"/>
      <c r="AE37" s="466"/>
      <c r="AF37" s="433"/>
      <c r="AG37" s="434"/>
      <c r="AH37" s="435"/>
      <c r="AI37" s="436">
        <f>C37*$AI$3</f>
        <v>13776.40432817158</v>
      </c>
    </row>
    <row r="38" spans="1:35" ht="30" customHeight="1" outlineLevel="1" x14ac:dyDescent="0.25">
      <c r="A38" s="414"/>
      <c r="B38" s="461" t="s">
        <v>76</v>
      </c>
      <c r="C38" s="416">
        <f t="shared" si="7"/>
        <v>82658.425969029471</v>
      </c>
      <c r="D38" s="417">
        <v>0.03</v>
      </c>
      <c r="E38" s="418" t="s">
        <v>178</v>
      </c>
      <c r="F38" s="464"/>
      <c r="G38" s="464"/>
      <c r="H38" s="464"/>
      <c r="I38" s="438"/>
      <c r="J38" s="438">
        <f>C38*$AI$2</f>
        <v>24797.527790708842</v>
      </c>
      <c r="K38" s="420"/>
      <c r="L38" s="421"/>
      <c r="M38" s="422"/>
      <c r="N38" s="422"/>
      <c r="O38" s="423"/>
      <c r="P38" s="423"/>
      <c r="Q38" s="420"/>
      <c r="R38" s="424">
        <f>C38*$AI$2</f>
        <v>24797.527790708842</v>
      </c>
      <c r="S38" s="425"/>
      <c r="T38" s="426"/>
      <c r="U38" s="427"/>
      <c r="V38" s="427"/>
      <c r="W38" s="427"/>
      <c r="X38" s="427"/>
      <c r="Y38" s="428"/>
      <c r="Z38" s="429">
        <f>C38*$AI$2</f>
        <v>24797.527790708842</v>
      </c>
      <c r="AA38" s="425"/>
      <c r="AB38" s="430"/>
      <c r="AC38" s="431"/>
      <c r="AD38" s="432"/>
      <c r="AE38" s="466"/>
      <c r="AF38" s="433"/>
      <c r="AG38" s="434"/>
      <c r="AH38" s="435"/>
      <c r="AI38" s="436">
        <f>C38*$AI$3</f>
        <v>8265.8425969029468</v>
      </c>
    </row>
    <row r="39" spans="1:35" ht="30" customHeight="1" outlineLevel="1" x14ac:dyDescent="0.25">
      <c r="A39" s="414"/>
      <c r="B39" s="461" t="s">
        <v>77</v>
      </c>
      <c r="C39" s="416">
        <f t="shared" si="7"/>
        <v>79903.14510339516</v>
      </c>
      <c r="D39" s="417">
        <v>2.9000000000000001E-2</v>
      </c>
      <c r="E39" s="418" t="s">
        <v>178</v>
      </c>
      <c r="F39" s="464"/>
      <c r="G39" s="464"/>
      <c r="H39" s="464"/>
      <c r="I39" s="438"/>
      <c r="J39" s="438">
        <f>C39*$AI$2</f>
        <v>23970.943531018547</v>
      </c>
      <c r="K39" s="420"/>
      <c r="L39" s="421"/>
      <c r="M39" s="422"/>
      <c r="N39" s="422"/>
      <c r="O39" s="423"/>
      <c r="P39" s="423"/>
      <c r="Q39" s="420"/>
      <c r="R39" s="424">
        <f>C39*$AI$2</f>
        <v>23970.943531018547</v>
      </c>
      <c r="S39" s="425"/>
      <c r="T39" s="426"/>
      <c r="U39" s="427"/>
      <c r="V39" s="427"/>
      <c r="W39" s="427"/>
      <c r="X39" s="427"/>
      <c r="Y39" s="428"/>
      <c r="Z39" s="429">
        <f>C39*$AI$2</f>
        <v>23970.943531018547</v>
      </c>
      <c r="AA39" s="425"/>
      <c r="AB39" s="430"/>
      <c r="AC39" s="431"/>
      <c r="AD39" s="432"/>
      <c r="AE39" s="466"/>
      <c r="AF39" s="433"/>
      <c r="AG39" s="434"/>
      <c r="AH39" s="435"/>
      <c r="AI39" s="436">
        <f>C39*$AI$3</f>
        <v>7990.3145103395163</v>
      </c>
    </row>
    <row r="40" spans="1:35" s="282" customFormat="1" x14ac:dyDescent="0.25">
      <c r="A40" s="383">
        <v>2</v>
      </c>
      <c r="B40" s="384" t="s">
        <v>1</v>
      </c>
      <c r="C40" s="469">
        <f>SUM(C41,C50,C52,C60,C62,C67,C70,C73,C75,C77)</f>
        <v>10356667.126013331</v>
      </c>
      <c r="D40" s="470">
        <f>SUM(D41,D50,D52,D60,D62,D67,D70,D73,D75,D77)</f>
        <v>0.99999999999999978</v>
      </c>
      <c r="E40" s="470"/>
      <c r="F40" s="388"/>
      <c r="G40" s="471"/>
      <c r="H40" s="451"/>
      <c r="I40" s="405"/>
      <c r="J40" s="405"/>
      <c r="K40" s="405"/>
      <c r="L40" s="406"/>
      <c r="M40" s="392"/>
      <c r="N40" s="392"/>
      <c r="O40" s="405"/>
      <c r="P40" s="405"/>
      <c r="Q40" s="405"/>
      <c r="R40" s="407"/>
      <c r="S40" s="408"/>
      <c r="T40" s="409"/>
      <c r="U40" s="410"/>
      <c r="V40" s="405"/>
      <c r="W40" s="405"/>
      <c r="X40" s="405"/>
      <c r="Y40" s="406"/>
      <c r="Z40" s="407"/>
      <c r="AA40" s="408"/>
      <c r="AB40" s="411"/>
      <c r="AC40" s="412"/>
      <c r="AD40" s="405"/>
      <c r="AE40" s="406"/>
      <c r="AF40" s="413"/>
      <c r="AG40" s="410"/>
      <c r="AH40" s="405"/>
      <c r="AI40" s="407"/>
    </row>
    <row r="41" spans="1:35" x14ac:dyDescent="0.25">
      <c r="A41" s="400" t="s">
        <v>118</v>
      </c>
      <c r="B41" s="401" t="s">
        <v>7</v>
      </c>
      <c r="C41" s="472">
        <f>((SUM(C50:C52,C62:C72)/0.985)+(SUM(C73:C75)/0.835))*0.015</f>
        <v>184101.04140588167</v>
      </c>
      <c r="D41" s="403">
        <f>C41/$C$40</f>
        <v>1.7776089466413993E-2</v>
      </c>
      <c r="E41" s="403"/>
      <c r="F41" s="451"/>
      <c r="G41" s="451"/>
      <c r="H41" s="451"/>
      <c r="I41" s="451"/>
      <c r="J41" s="451"/>
      <c r="K41" s="451"/>
      <c r="L41" s="452"/>
      <c r="M41" s="392"/>
      <c r="N41" s="392"/>
      <c r="O41" s="405"/>
      <c r="P41" s="405"/>
      <c r="Q41" s="451"/>
      <c r="R41" s="454"/>
      <c r="S41" s="455"/>
      <c r="T41" s="456"/>
      <c r="U41" s="457"/>
      <c r="V41" s="451"/>
      <c r="W41" s="451"/>
      <c r="X41" s="451"/>
      <c r="Y41" s="452"/>
      <c r="Z41" s="454"/>
      <c r="AA41" s="455"/>
      <c r="AB41" s="458"/>
      <c r="AC41" s="459"/>
      <c r="AD41" s="451"/>
      <c r="AE41" s="452"/>
      <c r="AF41" s="460"/>
      <c r="AG41" s="457"/>
      <c r="AH41" s="451"/>
      <c r="AI41" s="454"/>
    </row>
    <row r="42" spans="1:35" ht="15" customHeight="1" outlineLevel="1" x14ac:dyDescent="0.25">
      <c r="A42" s="414"/>
      <c r="B42" s="437" t="s">
        <v>103</v>
      </c>
      <c r="C42" s="473">
        <f>$C$41/8</f>
        <v>23012.630175735208</v>
      </c>
      <c r="D42" s="417">
        <f>C42/$C$41</f>
        <v>0.125</v>
      </c>
      <c r="E42" s="418" t="s">
        <v>178</v>
      </c>
      <c r="F42" s="438">
        <f t="shared" ref="F42:F49" si="9">C42*$AI$2</f>
        <v>6903.7890527205627</v>
      </c>
      <c r="G42" s="467"/>
      <c r="H42" s="467"/>
      <c r="I42" s="467"/>
      <c r="J42" s="467"/>
      <c r="K42" s="467"/>
      <c r="L42" s="465"/>
      <c r="M42" s="422"/>
      <c r="N42" s="422"/>
      <c r="O42" s="423"/>
      <c r="P42" s="423"/>
      <c r="Q42" s="467"/>
      <c r="R42" s="424">
        <f t="shared" ref="R42:R49" si="10">C42*$AI$2</f>
        <v>6903.7890527205627</v>
      </c>
      <c r="S42" s="455"/>
      <c r="T42" s="456"/>
      <c r="U42" s="427"/>
      <c r="V42" s="427"/>
      <c r="W42" s="427"/>
      <c r="X42" s="427"/>
      <c r="Y42" s="474"/>
      <c r="Z42" s="429">
        <f t="shared" ref="Z42:Z49" si="11">C42*$AI$2</f>
        <v>6903.7890527205627</v>
      </c>
      <c r="AA42" s="455"/>
      <c r="AB42" s="458"/>
      <c r="AC42" s="475"/>
      <c r="AD42" s="476"/>
      <c r="AE42" s="477"/>
      <c r="AF42" s="460"/>
      <c r="AG42" s="478"/>
      <c r="AH42" s="479"/>
      <c r="AI42" s="436">
        <f t="shared" ref="AI42:AI49" si="12">C42*$AI$3</f>
        <v>2301.2630175735208</v>
      </c>
    </row>
    <row r="43" spans="1:35" ht="15" customHeight="1" outlineLevel="1" x14ac:dyDescent="0.25">
      <c r="A43" s="414"/>
      <c r="B43" s="437" t="s">
        <v>0</v>
      </c>
      <c r="C43" s="473">
        <f t="shared" ref="C43:C49" si="13">$C$41/8</f>
        <v>23012.630175735208</v>
      </c>
      <c r="D43" s="417">
        <f t="shared" ref="D43:D49" si="14">C43/$C$41</f>
        <v>0.125</v>
      </c>
      <c r="E43" s="418" t="s">
        <v>178</v>
      </c>
      <c r="F43" s="438">
        <f t="shared" si="9"/>
        <v>6903.7890527205627</v>
      </c>
      <c r="G43" s="467"/>
      <c r="H43" s="467"/>
      <c r="I43" s="467"/>
      <c r="J43" s="467"/>
      <c r="K43" s="467"/>
      <c r="L43" s="465"/>
      <c r="M43" s="422"/>
      <c r="N43" s="422"/>
      <c r="O43" s="423"/>
      <c r="P43" s="423"/>
      <c r="Q43" s="467"/>
      <c r="R43" s="424">
        <f t="shared" si="10"/>
        <v>6903.7890527205627</v>
      </c>
      <c r="S43" s="455"/>
      <c r="T43" s="456"/>
      <c r="U43" s="427"/>
      <c r="V43" s="427"/>
      <c r="W43" s="427"/>
      <c r="X43" s="427"/>
      <c r="Y43" s="474"/>
      <c r="Z43" s="429">
        <f t="shared" si="11"/>
        <v>6903.7890527205627</v>
      </c>
      <c r="AA43" s="455"/>
      <c r="AB43" s="458"/>
      <c r="AC43" s="475"/>
      <c r="AD43" s="476"/>
      <c r="AE43" s="477"/>
      <c r="AF43" s="460"/>
      <c r="AG43" s="478"/>
      <c r="AH43" s="479"/>
      <c r="AI43" s="436">
        <f t="shared" si="12"/>
        <v>2301.2630175735208</v>
      </c>
    </row>
    <row r="44" spans="1:35" ht="15" customHeight="1" outlineLevel="1" x14ac:dyDescent="0.25">
      <c r="A44" s="414"/>
      <c r="B44" s="437" t="s">
        <v>104</v>
      </c>
      <c r="C44" s="473">
        <f t="shared" si="13"/>
        <v>23012.630175735208</v>
      </c>
      <c r="D44" s="417">
        <f t="shared" si="14"/>
        <v>0.125</v>
      </c>
      <c r="E44" s="418" t="s">
        <v>178</v>
      </c>
      <c r="F44" s="438">
        <f t="shared" si="9"/>
        <v>6903.7890527205627</v>
      </c>
      <c r="G44" s="467"/>
      <c r="H44" s="467"/>
      <c r="I44" s="467"/>
      <c r="J44" s="467"/>
      <c r="K44" s="467"/>
      <c r="L44" s="465"/>
      <c r="M44" s="422"/>
      <c r="N44" s="422"/>
      <c r="O44" s="423"/>
      <c r="P44" s="423"/>
      <c r="Q44" s="467"/>
      <c r="R44" s="424">
        <f t="shared" si="10"/>
        <v>6903.7890527205627</v>
      </c>
      <c r="S44" s="455"/>
      <c r="T44" s="456"/>
      <c r="U44" s="427"/>
      <c r="V44" s="427"/>
      <c r="W44" s="427"/>
      <c r="X44" s="427"/>
      <c r="Y44" s="474"/>
      <c r="Z44" s="429">
        <f t="shared" si="11"/>
        <v>6903.7890527205627</v>
      </c>
      <c r="AA44" s="455"/>
      <c r="AB44" s="458"/>
      <c r="AC44" s="475"/>
      <c r="AD44" s="476"/>
      <c r="AE44" s="477"/>
      <c r="AF44" s="460"/>
      <c r="AG44" s="478"/>
      <c r="AH44" s="479"/>
      <c r="AI44" s="436">
        <f t="shared" si="12"/>
        <v>2301.2630175735208</v>
      </c>
    </row>
    <row r="45" spans="1:35" ht="15" customHeight="1" outlineLevel="1" x14ac:dyDescent="0.25">
      <c r="A45" s="414"/>
      <c r="B45" s="437" t="s">
        <v>88</v>
      </c>
      <c r="C45" s="473">
        <f t="shared" si="13"/>
        <v>23012.630175735208</v>
      </c>
      <c r="D45" s="417">
        <f t="shared" si="14"/>
        <v>0.125</v>
      </c>
      <c r="E45" s="418" t="s">
        <v>178</v>
      </c>
      <c r="F45" s="438">
        <f t="shared" si="9"/>
        <v>6903.7890527205627</v>
      </c>
      <c r="G45" s="467"/>
      <c r="H45" s="467"/>
      <c r="I45" s="467"/>
      <c r="J45" s="467"/>
      <c r="K45" s="467"/>
      <c r="L45" s="465"/>
      <c r="M45" s="422"/>
      <c r="N45" s="422"/>
      <c r="O45" s="423"/>
      <c r="P45" s="423"/>
      <c r="Q45" s="467"/>
      <c r="R45" s="424">
        <f t="shared" si="10"/>
        <v>6903.7890527205627</v>
      </c>
      <c r="S45" s="455"/>
      <c r="T45" s="456"/>
      <c r="U45" s="427"/>
      <c r="V45" s="427"/>
      <c r="W45" s="427"/>
      <c r="X45" s="427"/>
      <c r="Y45" s="474"/>
      <c r="Z45" s="429">
        <f t="shared" si="11"/>
        <v>6903.7890527205627</v>
      </c>
      <c r="AA45" s="455"/>
      <c r="AB45" s="458"/>
      <c r="AC45" s="475"/>
      <c r="AD45" s="476"/>
      <c r="AE45" s="477"/>
      <c r="AF45" s="460"/>
      <c r="AG45" s="478"/>
      <c r="AH45" s="479"/>
      <c r="AI45" s="436">
        <f t="shared" si="12"/>
        <v>2301.2630175735208</v>
      </c>
    </row>
    <row r="46" spans="1:35" ht="15" customHeight="1" outlineLevel="1" x14ac:dyDescent="0.25">
      <c r="A46" s="414"/>
      <c r="B46" s="437" t="s">
        <v>5</v>
      </c>
      <c r="C46" s="473">
        <f t="shared" si="13"/>
        <v>23012.630175735208</v>
      </c>
      <c r="D46" s="417">
        <f t="shared" si="14"/>
        <v>0.125</v>
      </c>
      <c r="E46" s="418" t="s">
        <v>178</v>
      </c>
      <c r="F46" s="438">
        <f t="shared" si="9"/>
        <v>6903.7890527205627</v>
      </c>
      <c r="G46" s="467"/>
      <c r="H46" s="467"/>
      <c r="I46" s="467"/>
      <c r="J46" s="467"/>
      <c r="K46" s="467"/>
      <c r="L46" s="465"/>
      <c r="M46" s="422"/>
      <c r="N46" s="422"/>
      <c r="O46" s="423"/>
      <c r="P46" s="423"/>
      <c r="Q46" s="467"/>
      <c r="R46" s="424">
        <f t="shared" si="10"/>
        <v>6903.7890527205627</v>
      </c>
      <c r="S46" s="455"/>
      <c r="T46" s="456"/>
      <c r="U46" s="427"/>
      <c r="V46" s="427"/>
      <c r="W46" s="427"/>
      <c r="X46" s="427"/>
      <c r="Y46" s="474"/>
      <c r="Z46" s="429">
        <f t="shared" si="11"/>
        <v>6903.7890527205627</v>
      </c>
      <c r="AA46" s="455"/>
      <c r="AB46" s="458"/>
      <c r="AC46" s="475"/>
      <c r="AD46" s="476"/>
      <c r="AE46" s="477"/>
      <c r="AF46" s="460"/>
      <c r="AG46" s="478"/>
      <c r="AH46" s="479"/>
      <c r="AI46" s="436">
        <f t="shared" si="12"/>
        <v>2301.2630175735208</v>
      </c>
    </row>
    <row r="47" spans="1:35" ht="15" customHeight="1" outlineLevel="1" x14ac:dyDescent="0.25">
      <c r="A47" s="414"/>
      <c r="B47" s="437" t="s">
        <v>105</v>
      </c>
      <c r="C47" s="473">
        <f t="shared" si="13"/>
        <v>23012.630175735208</v>
      </c>
      <c r="D47" s="417">
        <f t="shared" si="14"/>
        <v>0.125</v>
      </c>
      <c r="E47" s="418" t="s">
        <v>178</v>
      </c>
      <c r="F47" s="438">
        <f t="shared" si="9"/>
        <v>6903.7890527205627</v>
      </c>
      <c r="G47" s="467"/>
      <c r="H47" s="467"/>
      <c r="I47" s="467"/>
      <c r="J47" s="467"/>
      <c r="K47" s="467"/>
      <c r="L47" s="465"/>
      <c r="M47" s="422"/>
      <c r="N47" s="422"/>
      <c r="O47" s="423"/>
      <c r="P47" s="423"/>
      <c r="Q47" s="467"/>
      <c r="R47" s="424">
        <f t="shared" si="10"/>
        <v>6903.7890527205627</v>
      </c>
      <c r="S47" s="455"/>
      <c r="T47" s="456"/>
      <c r="U47" s="427"/>
      <c r="V47" s="427"/>
      <c r="W47" s="427"/>
      <c r="X47" s="427"/>
      <c r="Y47" s="474"/>
      <c r="Z47" s="429">
        <f t="shared" si="11"/>
        <v>6903.7890527205627</v>
      </c>
      <c r="AA47" s="455"/>
      <c r="AB47" s="458"/>
      <c r="AC47" s="475"/>
      <c r="AD47" s="476"/>
      <c r="AE47" s="477"/>
      <c r="AF47" s="460"/>
      <c r="AG47" s="478"/>
      <c r="AH47" s="479"/>
      <c r="AI47" s="436">
        <f t="shared" si="12"/>
        <v>2301.2630175735208</v>
      </c>
    </row>
    <row r="48" spans="1:35" ht="15" customHeight="1" outlineLevel="1" x14ac:dyDescent="0.25">
      <c r="A48" s="414"/>
      <c r="B48" s="437" t="s">
        <v>108</v>
      </c>
      <c r="C48" s="473">
        <f t="shared" si="13"/>
        <v>23012.630175735208</v>
      </c>
      <c r="D48" s="417">
        <f t="shared" si="14"/>
        <v>0.125</v>
      </c>
      <c r="E48" s="418" t="s">
        <v>178</v>
      </c>
      <c r="F48" s="438">
        <f t="shared" si="9"/>
        <v>6903.7890527205627</v>
      </c>
      <c r="G48" s="467"/>
      <c r="H48" s="467"/>
      <c r="I48" s="467"/>
      <c r="J48" s="467"/>
      <c r="K48" s="467"/>
      <c r="L48" s="465"/>
      <c r="M48" s="422"/>
      <c r="N48" s="422"/>
      <c r="O48" s="423"/>
      <c r="P48" s="423"/>
      <c r="Q48" s="467"/>
      <c r="R48" s="424">
        <f t="shared" si="10"/>
        <v>6903.7890527205627</v>
      </c>
      <c r="S48" s="455"/>
      <c r="T48" s="456"/>
      <c r="U48" s="427"/>
      <c r="V48" s="427"/>
      <c r="W48" s="427"/>
      <c r="X48" s="427"/>
      <c r="Y48" s="474"/>
      <c r="Z48" s="429">
        <f t="shared" si="11"/>
        <v>6903.7890527205627</v>
      </c>
      <c r="AA48" s="455"/>
      <c r="AB48" s="458"/>
      <c r="AC48" s="475"/>
      <c r="AD48" s="476"/>
      <c r="AE48" s="477"/>
      <c r="AF48" s="460"/>
      <c r="AG48" s="478"/>
      <c r="AH48" s="479"/>
      <c r="AI48" s="436">
        <f t="shared" si="12"/>
        <v>2301.2630175735208</v>
      </c>
    </row>
    <row r="49" spans="1:35" ht="15" customHeight="1" outlineLevel="1" x14ac:dyDescent="0.25">
      <c r="A49" s="414"/>
      <c r="B49" s="437" t="s">
        <v>112</v>
      </c>
      <c r="C49" s="473">
        <f t="shared" si="13"/>
        <v>23012.630175735208</v>
      </c>
      <c r="D49" s="417">
        <f t="shared" si="14"/>
        <v>0.125</v>
      </c>
      <c r="E49" s="418" t="s">
        <v>178</v>
      </c>
      <c r="F49" s="438">
        <f t="shared" si="9"/>
        <v>6903.7890527205627</v>
      </c>
      <c r="G49" s="467"/>
      <c r="H49" s="467"/>
      <c r="I49" s="467"/>
      <c r="J49" s="467"/>
      <c r="K49" s="467"/>
      <c r="L49" s="465"/>
      <c r="M49" s="422"/>
      <c r="N49" s="422"/>
      <c r="O49" s="423"/>
      <c r="P49" s="423"/>
      <c r="Q49" s="467"/>
      <c r="R49" s="424">
        <f t="shared" si="10"/>
        <v>6903.7890527205627</v>
      </c>
      <c r="S49" s="455"/>
      <c r="T49" s="456"/>
      <c r="U49" s="427"/>
      <c r="V49" s="427"/>
      <c r="W49" s="427"/>
      <c r="X49" s="427"/>
      <c r="Y49" s="474"/>
      <c r="Z49" s="429">
        <f t="shared" si="11"/>
        <v>6903.7890527205627</v>
      </c>
      <c r="AA49" s="455"/>
      <c r="AB49" s="458"/>
      <c r="AC49" s="475"/>
      <c r="AD49" s="476"/>
      <c r="AE49" s="477"/>
      <c r="AF49" s="460"/>
      <c r="AG49" s="478"/>
      <c r="AH49" s="479"/>
      <c r="AI49" s="436">
        <f t="shared" si="12"/>
        <v>2301.2630175735208</v>
      </c>
    </row>
    <row r="50" spans="1:35" x14ac:dyDescent="0.25">
      <c r="A50" s="400" t="s">
        <v>119</v>
      </c>
      <c r="B50" s="401" t="s">
        <v>103</v>
      </c>
      <c r="C50" s="472">
        <f>'[2]Parte B'!$G$163*0.985</f>
        <v>111296.65667073461</v>
      </c>
      <c r="D50" s="403">
        <f>C50/$C$40</f>
        <v>1.0746377702068412E-2</v>
      </c>
      <c r="E50" s="403"/>
      <c r="F50" s="480"/>
      <c r="G50" s="480"/>
      <c r="H50" s="451"/>
      <c r="I50" s="451"/>
      <c r="J50" s="451"/>
      <c r="K50" s="451"/>
      <c r="L50" s="452"/>
      <c r="M50" s="392"/>
      <c r="N50" s="392"/>
      <c r="O50" s="405"/>
      <c r="P50" s="405"/>
      <c r="Q50" s="451"/>
      <c r="R50" s="454"/>
      <c r="S50" s="455"/>
      <c r="T50" s="456"/>
      <c r="U50" s="457"/>
      <c r="V50" s="451"/>
      <c r="W50" s="451"/>
      <c r="X50" s="451"/>
      <c r="Y50" s="452"/>
      <c r="Z50" s="454"/>
      <c r="AA50" s="455"/>
      <c r="AB50" s="458"/>
      <c r="AC50" s="459"/>
      <c r="AD50" s="451"/>
      <c r="AE50" s="452"/>
      <c r="AF50" s="460"/>
      <c r="AG50" s="457"/>
      <c r="AH50" s="451"/>
      <c r="AI50" s="454"/>
    </row>
    <row r="51" spans="1:35" ht="23.25" customHeight="1" outlineLevel="2" x14ac:dyDescent="0.25">
      <c r="A51" s="414"/>
      <c r="B51" s="437" t="s">
        <v>19</v>
      </c>
      <c r="C51" s="473">
        <f>C50</f>
        <v>111296.65667073461</v>
      </c>
      <c r="D51" s="417">
        <f>C51/C50</f>
        <v>1</v>
      </c>
      <c r="E51" s="418" t="s">
        <v>178</v>
      </c>
      <c r="F51" s="481"/>
      <c r="G51" s="438">
        <f>C50*$AI$2</f>
        <v>33388.997001220378</v>
      </c>
      <c r="H51" s="467"/>
      <c r="I51" s="467"/>
      <c r="J51" s="467"/>
      <c r="K51" s="467"/>
      <c r="L51" s="465"/>
      <c r="M51" s="422"/>
      <c r="N51" s="422"/>
      <c r="O51" s="423"/>
      <c r="P51" s="423"/>
      <c r="Q51" s="467"/>
      <c r="R51" s="482">
        <f>C51*$AI$2</f>
        <v>33388.997001220378</v>
      </c>
      <c r="S51" s="455"/>
      <c r="T51" s="456"/>
      <c r="U51" s="427"/>
      <c r="V51" s="427"/>
      <c r="W51" s="427"/>
      <c r="X51" s="427"/>
      <c r="Y51" s="474"/>
      <c r="Z51" s="483">
        <f>C51*$AI$2</f>
        <v>33388.997001220378</v>
      </c>
      <c r="AA51" s="455"/>
      <c r="AB51" s="458"/>
      <c r="AC51" s="475"/>
      <c r="AD51" s="476"/>
      <c r="AE51" s="477"/>
      <c r="AF51" s="460"/>
      <c r="AG51" s="478"/>
      <c r="AH51" s="484"/>
      <c r="AI51" s="485">
        <f>C51*$AI$3</f>
        <v>11129.665667073461</v>
      </c>
    </row>
    <row r="52" spans="1:35" s="282" customFormat="1" x14ac:dyDescent="0.25">
      <c r="A52" s="400" t="s">
        <v>120</v>
      </c>
      <c r="B52" s="401" t="s">
        <v>0</v>
      </c>
      <c r="C52" s="472">
        <f>(('[2]Parte A'!$F$10)-C60)*0.985</f>
        <v>7590176.2225411581</v>
      </c>
      <c r="D52" s="403">
        <f>C52/$C$40</f>
        <v>0.73287826384576493</v>
      </c>
      <c r="E52" s="403"/>
      <c r="F52" s="405"/>
      <c r="G52" s="405"/>
      <c r="H52" s="405"/>
      <c r="I52" s="486"/>
      <c r="J52" s="405"/>
      <c r="K52" s="405"/>
      <c r="L52" s="405"/>
      <c r="M52" s="405"/>
      <c r="N52" s="405"/>
      <c r="O52" s="405"/>
      <c r="P52" s="405"/>
      <c r="Q52" s="451"/>
      <c r="R52" s="454"/>
      <c r="S52" s="455"/>
      <c r="T52" s="456"/>
      <c r="U52" s="457"/>
      <c r="V52" s="453"/>
      <c r="W52" s="451"/>
      <c r="X52" s="451"/>
      <c r="Y52" s="452"/>
      <c r="Z52" s="454"/>
      <c r="AA52" s="455"/>
      <c r="AB52" s="458"/>
      <c r="AC52" s="459"/>
      <c r="AD52" s="451"/>
      <c r="AE52" s="452"/>
      <c r="AF52" s="460"/>
      <c r="AG52" s="457"/>
      <c r="AH52" s="451"/>
      <c r="AI52" s="454"/>
    </row>
    <row r="53" spans="1:35" ht="25.5" customHeight="1" outlineLevel="1" x14ac:dyDescent="0.25">
      <c r="A53" s="414"/>
      <c r="B53" s="437" t="s">
        <v>50</v>
      </c>
      <c r="C53" s="473">
        <f>(C52-C56)*0.2</f>
        <v>1062624.6711557622</v>
      </c>
      <c r="D53" s="417">
        <f>C53/($C$52-$C$56)</f>
        <v>0.2</v>
      </c>
      <c r="E53" s="418" t="s">
        <v>178</v>
      </c>
      <c r="F53" s="481"/>
      <c r="G53" s="481"/>
      <c r="H53" s="438">
        <f>C53*$AI$2</f>
        <v>318787.40134672861</v>
      </c>
      <c r="I53" s="420"/>
      <c r="J53" s="420"/>
      <c r="K53" s="467"/>
      <c r="L53" s="421"/>
      <c r="M53" s="422"/>
      <c r="N53" s="422"/>
      <c r="O53" s="423"/>
      <c r="P53" s="423"/>
      <c r="Q53" s="467"/>
      <c r="R53" s="424">
        <f>C53*$AI$2</f>
        <v>318787.40134672861</v>
      </c>
      <c r="S53" s="455"/>
      <c r="T53" s="456"/>
      <c r="U53" s="427"/>
      <c r="V53" s="427"/>
      <c r="W53" s="427"/>
      <c r="X53" s="427"/>
      <c r="Y53" s="428"/>
      <c r="Z53" s="429">
        <f>C53*$AI$2</f>
        <v>318787.40134672861</v>
      </c>
      <c r="AA53" s="425"/>
      <c r="AB53" s="430"/>
      <c r="AC53" s="475"/>
      <c r="AD53" s="476"/>
      <c r="AE53" s="477"/>
      <c r="AF53" s="460"/>
      <c r="AG53" s="478"/>
      <c r="AH53" s="479"/>
      <c r="AI53" s="436">
        <f>C53*$AI$3</f>
        <v>106262.46711557622</v>
      </c>
    </row>
    <row r="54" spans="1:35" ht="30" customHeight="1" outlineLevel="1" x14ac:dyDescent="0.25">
      <c r="A54" s="414"/>
      <c r="B54" s="415" t="s">
        <v>41</v>
      </c>
      <c r="C54" s="473">
        <f>(C52-C56)*0.2</f>
        <v>1062624.6711557622</v>
      </c>
      <c r="D54" s="417">
        <f t="shared" ref="D54:D55" si="15">C54/($C$52-$C$56)</f>
        <v>0.2</v>
      </c>
      <c r="E54" s="418" t="s">
        <v>178</v>
      </c>
      <c r="F54" s="481"/>
      <c r="G54" s="481"/>
      <c r="H54" s="481"/>
      <c r="I54" s="438">
        <f>C54*$AI$2</f>
        <v>318787.40134672861</v>
      </c>
      <c r="J54" s="420"/>
      <c r="K54" s="467"/>
      <c r="L54" s="421"/>
      <c r="M54" s="422"/>
      <c r="N54" s="422"/>
      <c r="O54" s="423"/>
      <c r="P54" s="423"/>
      <c r="Q54" s="467"/>
      <c r="R54" s="424">
        <f>C54*$AI$2</f>
        <v>318787.40134672861</v>
      </c>
      <c r="S54" s="455"/>
      <c r="T54" s="456"/>
      <c r="U54" s="427"/>
      <c r="V54" s="427"/>
      <c r="W54" s="427"/>
      <c r="X54" s="427"/>
      <c r="Y54" s="428"/>
      <c r="Z54" s="429">
        <f>C54*$AI$2</f>
        <v>318787.40134672861</v>
      </c>
      <c r="AA54" s="425"/>
      <c r="AB54" s="430"/>
      <c r="AC54" s="475"/>
      <c r="AD54" s="476"/>
      <c r="AE54" s="477"/>
      <c r="AF54" s="460"/>
      <c r="AG54" s="478"/>
      <c r="AH54" s="479"/>
      <c r="AI54" s="436">
        <f>C54*$AI$3</f>
        <v>106262.46711557622</v>
      </c>
    </row>
    <row r="55" spans="1:35" ht="30" customHeight="1" outlineLevel="1" x14ac:dyDescent="0.25">
      <c r="A55" s="414"/>
      <c r="B55" s="415" t="s">
        <v>49</v>
      </c>
      <c r="C55" s="473">
        <f>(C52-C56)*0.6</f>
        <v>3187874.0134672862</v>
      </c>
      <c r="D55" s="417">
        <f t="shared" si="15"/>
        <v>0.6</v>
      </c>
      <c r="E55" s="418" t="s">
        <v>178</v>
      </c>
      <c r="F55" s="481"/>
      <c r="G55" s="481"/>
      <c r="H55" s="481"/>
      <c r="I55" s="438">
        <f>C55*$AI$2</f>
        <v>956362.20404018578</v>
      </c>
      <c r="J55" s="420"/>
      <c r="K55" s="467"/>
      <c r="L55" s="421"/>
      <c r="M55" s="422"/>
      <c r="N55" s="422"/>
      <c r="O55" s="423"/>
      <c r="P55" s="423"/>
      <c r="Q55" s="467"/>
      <c r="R55" s="424">
        <f>C55*$AI$2</f>
        <v>956362.20404018578</v>
      </c>
      <c r="S55" s="455"/>
      <c r="T55" s="456"/>
      <c r="U55" s="427"/>
      <c r="V55" s="427"/>
      <c r="W55" s="427"/>
      <c r="X55" s="427"/>
      <c r="Y55" s="428"/>
      <c r="Z55" s="429">
        <f>C55*$AI$2</f>
        <v>956362.20404018578</v>
      </c>
      <c r="AA55" s="425"/>
      <c r="AB55" s="430"/>
      <c r="AC55" s="475"/>
      <c r="AD55" s="476"/>
      <c r="AE55" s="477"/>
      <c r="AF55" s="460"/>
      <c r="AG55" s="478"/>
      <c r="AH55" s="479"/>
      <c r="AI55" s="436">
        <f>C55*$AI$3</f>
        <v>318787.40134672867</v>
      </c>
    </row>
    <row r="56" spans="1:35" s="282" customFormat="1" ht="15" customHeight="1" outlineLevel="1" x14ac:dyDescent="0.25">
      <c r="A56" s="400"/>
      <c r="B56" s="401" t="s">
        <v>2</v>
      </c>
      <c r="C56" s="487">
        <f>C52*0.3</f>
        <v>2277052.8667623475</v>
      </c>
      <c r="D56" s="403"/>
      <c r="E56" s="403"/>
      <c r="F56" s="451"/>
      <c r="G56" s="451"/>
      <c r="H56" s="451"/>
      <c r="I56" s="451"/>
      <c r="J56" s="451"/>
      <c r="K56" s="451"/>
      <c r="L56" s="452"/>
      <c r="M56" s="392"/>
      <c r="N56" s="392"/>
      <c r="O56" s="405"/>
      <c r="P56" s="405"/>
      <c r="Q56" s="451"/>
      <c r="R56" s="454"/>
      <c r="S56" s="455"/>
      <c r="T56" s="456"/>
      <c r="U56" s="457"/>
      <c r="V56" s="451"/>
      <c r="W56" s="451"/>
      <c r="X56" s="451"/>
      <c r="Y56" s="452"/>
      <c r="Z56" s="454"/>
      <c r="AA56" s="455"/>
      <c r="AB56" s="458"/>
      <c r="AC56" s="459"/>
      <c r="AD56" s="451"/>
      <c r="AE56" s="452"/>
      <c r="AF56" s="460"/>
      <c r="AG56" s="457"/>
      <c r="AH56" s="451"/>
      <c r="AI56" s="454"/>
    </row>
    <row r="57" spans="1:35" ht="22.5" customHeight="1" outlineLevel="1" x14ac:dyDescent="0.25">
      <c r="A57" s="414"/>
      <c r="B57" s="437" t="s">
        <v>3</v>
      </c>
      <c r="C57" s="473">
        <f>C56*0.5</f>
        <v>1138526.4333811738</v>
      </c>
      <c r="D57" s="417">
        <f>C57/$C$56</f>
        <v>0.5</v>
      </c>
      <c r="E57" s="418" t="s">
        <v>178</v>
      </c>
      <c r="F57" s="481"/>
      <c r="G57" s="481"/>
      <c r="H57" s="481"/>
      <c r="I57" s="481"/>
      <c r="J57" s="438">
        <f>C57*$AI$2</f>
        <v>341557.93001435214</v>
      </c>
      <c r="K57" s="467"/>
      <c r="L57" s="421"/>
      <c r="M57" s="422"/>
      <c r="N57" s="422"/>
      <c r="O57" s="423"/>
      <c r="P57" s="423"/>
      <c r="Q57" s="467"/>
      <c r="R57" s="424">
        <f>C57*$AI$2</f>
        <v>341557.93001435214</v>
      </c>
      <c r="S57" s="455"/>
      <c r="T57" s="456"/>
      <c r="U57" s="427"/>
      <c r="V57" s="427"/>
      <c r="W57" s="427"/>
      <c r="X57" s="427"/>
      <c r="Y57" s="428"/>
      <c r="Z57" s="429">
        <f>C57*$AI$2</f>
        <v>341557.93001435214</v>
      </c>
      <c r="AA57" s="425"/>
      <c r="AB57" s="430"/>
      <c r="AC57" s="475"/>
      <c r="AD57" s="476"/>
      <c r="AE57" s="477"/>
      <c r="AF57" s="460"/>
      <c r="AG57" s="478"/>
      <c r="AH57" s="479"/>
      <c r="AI57" s="436">
        <f>C57*$AI$3</f>
        <v>113852.64333811738</v>
      </c>
    </row>
    <row r="58" spans="1:35" ht="22.5" customHeight="1" outlineLevel="1" x14ac:dyDescent="0.25">
      <c r="A58" s="414"/>
      <c r="B58" s="437" t="s">
        <v>42</v>
      </c>
      <c r="C58" s="473">
        <f>C56*0.3</f>
        <v>683115.86002870428</v>
      </c>
      <c r="D58" s="417">
        <f t="shared" ref="D58:D59" si="16">C58/$C$56</f>
        <v>0.3</v>
      </c>
      <c r="E58" s="418" t="s">
        <v>178</v>
      </c>
      <c r="F58" s="481"/>
      <c r="G58" s="481"/>
      <c r="H58" s="481"/>
      <c r="I58" s="481"/>
      <c r="J58" s="438">
        <f>C58*$AI$2</f>
        <v>204934.75800861127</v>
      </c>
      <c r="K58" s="467"/>
      <c r="L58" s="421"/>
      <c r="M58" s="422"/>
      <c r="N58" s="422"/>
      <c r="O58" s="423"/>
      <c r="P58" s="423"/>
      <c r="Q58" s="467"/>
      <c r="R58" s="424">
        <f>C58*$AI$2</f>
        <v>204934.75800861127</v>
      </c>
      <c r="S58" s="455"/>
      <c r="T58" s="456"/>
      <c r="U58" s="427"/>
      <c r="V58" s="427"/>
      <c r="W58" s="427"/>
      <c r="X58" s="427"/>
      <c r="Y58" s="428"/>
      <c r="Z58" s="429">
        <f>C58*$AI$2</f>
        <v>204934.75800861127</v>
      </c>
      <c r="AA58" s="425"/>
      <c r="AB58" s="430"/>
      <c r="AC58" s="475"/>
      <c r="AD58" s="476"/>
      <c r="AE58" s="477"/>
      <c r="AF58" s="460"/>
      <c r="AG58" s="478"/>
      <c r="AH58" s="479"/>
      <c r="AI58" s="436">
        <f>C58*$AI$3</f>
        <v>68311.586002870434</v>
      </c>
    </row>
    <row r="59" spans="1:35" ht="22.5" customHeight="1" outlineLevel="1" x14ac:dyDescent="0.25">
      <c r="A59" s="414"/>
      <c r="B59" s="437" t="s">
        <v>45</v>
      </c>
      <c r="C59" s="473">
        <f>C56*0.2</f>
        <v>455410.57335246954</v>
      </c>
      <c r="D59" s="417">
        <f t="shared" si="16"/>
        <v>0.2</v>
      </c>
      <c r="E59" s="418" t="s">
        <v>178</v>
      </c>
      <c r="F59" s="481"/>
      <c r="G59" s="481"/>
      <c r="H59" s="481"/>
      <c r="I59" s="481"/>
      <c r="J59" s="438">
        <f>C59*$AI$2</f>
        <v>136623.17200574087</v>
      </c>
      <c r="K59" s="467"/>
      <c r="L59" s="421"/>
      <c r="M59" s="422"/>
      <c r="N59" s="422"/>
      <c r="O59" s="423"/>
      <c r="P59" s="423"/>
      <c r="Q59" s="467"/>
      <c r="R59" s="424">
        <f>C59*$AI$2</f>
        <v>136623.17200574087</v>
      </c>
      <c r="S59" s="455"/>
      <c r="T59" s="456"/>
      <c r="U59" s="427"/>
      <c r="V59" s="427"/>
      <c r="W59" s="427"/>
      <c r="X59" s="427"/>
      <c r="Y59" s="428"/>
      <c r="Z59" s="429">
        <f>C59*$AI$2</f>
        <v>136623.17200574087</v>
      </c>
      <c r="AA59" s="425"/>
      <c r="AB59" s="430"/>
      <c r="AC59" s="475"/>
      <c r="AD59" s="476"/>
      <c r="AE59" s="477"/>
      <c r="AF59" s="460"/>
      <c r="AG59" s="478"/>
      <c r="AH59" s="479"/>
      <c r="AI59" s="436">
        <f>C59*$AI$3</f>
        <v>45541.057335246958</v>
      </c>
    </row>
    <row r="60" spans="1:35" x14ac:dyDescent="0.25">
      <c r="A60" s="400" t="s">
        <v>121</v>
      </c>
      <c r="B60" s="401" t="s">
        <v>106</v>
      </c>
      <c r="C60" s="402">
        <f>'[2]Parte A'!$F$14*0.01</f>
        <v>13284.692849999999</v>
      </c>
      <c r="D60" s="403">
        <f>C60/$C$40</f>
        <v>1.2827189180032838E-3</v>
      </c>
      <c r="E60" s="403"/>
      <c r="F60" s="480"/>
      <c r="G60" s="480"/>
      <c r="H60" s="480"/>
      <c r="I60" s="480"/>
      <c r="J60" s="451"/>
      <c r="K60" s="451"/>
      <c r="L60" s="452"/>
      <c r="M60" s="392"/>
      <c r="N60" s="392"/>
      <c r="O60" s="405"/>
      <c r="P60" s="405"/>
      <c r="Q60" s="453"/>
      <c r="R60" s="454"/>
      <c r="S60" s="455"/>
      <c r="T60" s="456"/>
      <c r="U60" s="457"/>
      <c r="V60" s="451"/>
      <c r="W60" s="451"/>
      <c r="X60" s="451"/>
      <c r="Y60" s="452"/>
      <c r="Z60" s="454"/>
      <c r="AA60" s="455"/>
      <c r="AB60" s="458"/>
      <c r="AC60" s="459"/>
      <c r="AD60" s="451"/>
      <c r="AE60" s="452"/>
      <c r="AF60" s="460"/>
      <c r="AG60" s="457"/>
      <c r="AH60" s="451"/>
      <c r="AI60" s="454"/>
    </row>
    <row r="61" spans="1:35" ht="24.75" customHeight="1" outlineLevel="1" x14ac:dyDescent="0.25">
      <c r="A61" s="414"/>
      <c r="B61" s="437" t="s">
        <v>107</v>
      </c>
      <c r="C61" s="488">
        <f>C60</f>
        <v>13284.692849999999</v>
      </c>
      <c r="D61" s="462">
        <f>C61/C60</f>
        <v>1</v>
      </c>
      <c r="E61" s="463" t="s">
        <v>178</v>
      </c>
      <c r="F61" s="481"/>
      <c r="G61" s="481"/>
      <c r="H61" s="438">
        <f>C61*$AI$2</f>
        <v>3985.4078549999995</v>
      </c>
      <c r="I61" s="467"/>
      <c r="J61" s="420"/>
      <c r="K61" s="467"/>
      <c r="L61" s="421"/>
      <c r="M61" s="422"/>
      <c r="N61" s="422"/>
      <c r="O61" s="423"/>
      <c r="P61" s="423"/>
      <c r="Q61" s="467"/>
      <c r="R61" s="424">
        <f>C61*$AI$2</f>
        <v>3985.4078549999995</v>
      </c>
      <c r="S61" s="455"/>
      <c r="T61" s="456"/>
      <c r="U61" s="427"/>
      <c r="V61" s="427"/>
      <c r="W61" s="427"/>
      <c r="X61" s="427"/>
      <c r="Y61" s="428"/>
      <c r="Z61" s="429">
        <f>C61*$AI$2</f>
        <v>3985.4078549999995</v>
      </c>
      <c r="AA61" s="425"/>
      <c r="AB61" s="430"/>
      <c r="AC61" s="475"/>
      <c r="AD61" s="476"/>
      <c r="AE61" s="477"/>
      <c r="AF61" s="460"/>
      <c r="AG61" s="478"/>
      <c r="AH61" s="479"/>
      <c r="AI61" s="436">
        <f>C61*$AI$3</f>
        <v>1328.4692850000001</v>
      </c>
    </row>
    <row r="62" spans="1:35" x14ac:dyDescent="0.25">
      <c r="A62" s="400" t="s">
        <v>122</v>
      </c>
      <c r="B62" s="401" t="s">
        <v>21</v>
      </c>
      <c r="C62" s="472">
        <f>'[2]Parte A'!$F$21*0.985</f>
        <v>698046.45248771482</v>
      </c>
      <c r="D62" s="403">
        <f>C62/$C$40</f>
        <v>6.740068440882864E-2</v>
      </c>
      <c r="E62" s="403"/>
      <c r="F62" s="451"/>
      <c r="G62" s="451"/>
      <c r="H62" s="451"/>
      <c r="I62" s="451"/>
      <c r="J62" s="451"/>
      <c r="K62" s="451"/>
      <c r="L62" s="452"/>
      <c r="M62" s="392"/>
      <c r="N62" s="392"/>
      <c r="O62" s="405"/>
      <c r="P62" s="405"/>
      <c r="Q62" s="453"/>
      <c r="R62" s="454"/>
      <c r="S62" s="455"/>
      <c r="T62" s="456"/>
      <c r="U62" s="457"/>
      <c r="V62" s="451"/>
      <c r="W62" s="451"/>
      <c r="X62" s="451"/>
      <c r="Y62" s="452"/>
      <c r="Z62" s="454"/>
      <c r="AA62" s="455"/>
      <c r="AB62" s="458"/>
      <c r="AC62" s="459"/>
      <c r="AD62" s="451"/>
      <c r="AE62" s="452"/>
      <c r="AF62" s="460"/>
      <c r="AG62" s="457"/>
      <c r="AH62" s="451"/>
      <c r="AI62" s="454"/>
    </row>
    <row r="63" spans="1:35" ht="20.25" customHeight="1" outlineLevel="1" x14ac:dyDescent="0.25">
      <c r="A63" s="414"/>
      <c r="B63" s="437" t="s">
        <v>38</v>
      </c>
      <c r="C63" s="473">
        <f>$C$62*0.1</f>
        <v>69804.645248771485</v>
      </c>
      <c r="D63" s="462">
        <f>C63/$C$62</f>
        <v>0.1</v>
      </c>
      <c r="E63" s="463" t="s">
        <v>178</v>
      </c>
      <c r="F63" s="481"/>
      <c r="G63" s="438">
        <f>C63*$AI$2</f>
        <v>20941.393574631446</v>
      </c>
      <c r="H63" s="467"/>
      <c r="I63" s="489"/>
      <c r="J63" s="420"/>
      <c r="K63" s="420"/>
      <c r="L63" s="421"/>
      <c r="M63" s="422"/>
      <c r="N63" s="422"/>
      <c r="O63" s="423"/>
      <c r="P63" s="423"/>
      <c r="Q63" s="423"/>
      <c r="R63" s="424">
        <f>C63*$AI$2</f>
        <v>20941.393574631446</v>
      </c>
      <c r="S63" s="425"/>
      <c r="T63" s="426"/>
      <c r="U63" s="427"/>
      <c r="V63" s="427"/>
      <c r="W63" s="427"/>
      <c r="X63" s="427"/>
      <c r="Y63" s="428"/>
      <c r="Z63" s="429">
        <f>C63*$AI$2</f>
        <v>20941.393574631446</v>
      </c>
      <c r="AA63" s="425"/>
      <c r="AB63" s="430"/>
      <c r="AC63" s="475"/>
      <c r="AD63" s="476"/>
      <c r="AE63" s="477"/>
      <c r="AF63" s="433"/>
      <c r="AG63" s="434"/>
      <c r="AH63" s="479"/>
      <c r="AI63" s="436">
        <f>C63*$AI$3</f>
        <v>6980.4645248771485</v>
      </c>
    </row>
    <row r="64" spans="1:35" ht="20.25" customHeight="1" outlineLevel="1" x14ac:dyDescent="0.25">
      <c r="A64" s="414"/>
      <c r="B64" s="437" t="s">
        <v>39</v>
      </c>
      <c r="C64" s="473">
        <f>$C$62*0.2</f>
        <v>139609.29049754297</v>
      </c>
      <c r="D64" s="462">
        <f t="shared" ref="D64:D66" si="17">C64/$C$62</f>
        <v>0.2</v>
      </c>
      <c r="E64" s="463" t="s">
        <v>178</v>
      </c>
      <c r="F64" s="481"/>
      <c r="G64" s="481"/>
      <c r="H64" s="438">
        <f>C64*$AI$2</f>
        <v>41882.787149262891</v>
      </c>
      <c r="I64" s="490"/>
      <c r="J64" s="420"/>
      <c r="K64" s="420"/>
      <c r="L64" s="421"/>
      <c r="M64" s="422"/>
      <c r="N64" s="422"/>
      <c r="O64" s="423"/>
      <c r="P64" s="423"/>
      <c r="Q64" s="489"/>
      <c r="R64" s="424">
        <f>C64*$AI$2</f>
        <v>41882.787149262891</v>
      </c>
      <c r="S64" s="425"/>
      <c r="T64" s="426"/>
      <c r="U64" s="427"/>
      <c r="V64" s="427"/>
      <c r="W64" s="427"/>
      <c r="X64" s="427"/>
      <c r="Y64" s="428"/>
      <c r="Z64" s="429">
        <f>C64*$AI$2</f>
        <v>41882.787149262891</v>
      </c>
      <c r="AA64" s="425"/>
      <c r="AB64" s="430"/>
      <c r="AC64" s="475"/>
      <c r="AD64" s="476"/>
      <c r="AE64" s="477"/>
      <c r="AF64" s="433"/>
      <c r="AG64" s="434"/>
      <c r="AH64" s="479"/>
      <c r="AI64" s="436">
        <f>C64*$AI$3</f>
        <v>13960.929049754297</v>
      </c>
    </row>
    <row r="65" spans="1:35" ht="30" customHeight="1" outlineLevel="1" x14ac:dyDescent="0.25">
      <c r="A65" s="414"/>
      <c r="B65" s="415" t="s">
        <v>40</v>
      </c>
      <c r="C65" s="473">
        <f>$C$62*0.4</f>
        <v>279218.58099508594</v>
      </c>
      <c r="D65" s="462">
        <f t="shared" si="17"/>
        <v>0.4</v>
      </c>
      <c r="E65" s="463" t="s">
        <v>178</v>
      </c>
      <c r="F65" s="481"/>
      <c r="G65" s="481"/>
      <c r="H65" s="438">
        <f>C65*$AI$2</f>
        <v>83765.574298525782</v>
      </c>
      <c r="I65" s="489"/>
      <c r="J65" s="420"/>
      <c r="K65" s="420"/>
      <c r="L65" s="421"/>
      <c r="M65" s="422"/>
      <c r="N65" s="422"/>
      <c r="O65" s="423"/>
      <c r="P65" s="423"/>
      <c r="Q65" s="489"/>
      <c r="R65" s="424">
        <f>C65*$AI$2</f>
        <v>83765.574298525782</v>
      </c>
      <c r="S65" s="425"/>
      <c r="T65" s="426"/>
      <c r="U65" s="427"/>
      <c r="V65" s="427"/>
      <c r="W65" s="427"/>
      <c r="X65" s="427"/>
      <c r="Y65" s="428"/>
      <c r="Z65" s="429">
        <f>C65*$AI$2</f>
        <v>83765.574298525782</v>
      </c>
      <c r="AA65" s="425"/>
      <c r="AB65" s="430"/>
      <c r="AC65" s="475"/>
      <c r="AD65" s="476"/>
      <c r="AE65" s="477"/>
      <c r="AF65" s="433"/>
      <c r="AG65" s="434"/>
      <c r="AH65" s="479"/>
      <c r="AI65" s="436">
        <f>C65*$AI$3</f>
        <v>27921.858099508594</v>
      </c>
    </row>
    <row r="66" spans="1:35" ht="22.5" customHeight="1" outlineLevel="1" x14ac:dyDescent="0.25">
      <c r="A66" s="414"/>
      <c r="B66" s="437" t="s">
        <v>43</v>
      </c>
      <c r="C66" s="473">
        <f>$C$62*0.3</f>
        <v>209413.93574631444</v>
      </c>
      <c r="D66" s="462">
        <f t="shared" si="17"/>
        <v>0.3</v>
      </c>
      <c r="E66" s="463" t="s">
        <v>178</v>
      </c>
      <c r="F66" s="481"/>
      <c r="G66" s="481"/>
      <c r="H66" s="438">
        <f>C66*$AI$2</f>
        <v>62824.180723894329</v>
      </c>
      <c r="I66" s="420"/>
      <c r="J66" s="420"/>
      <c r="K66" s="420"/>
      <c r="L66" s="421"/>
      <c r="M66" s="422"/>
      <c r="N66" s="422"/>
      <c r="O66" s="423"/>
      <c r="P66" s="423"/>
      <c r="Q66" s="489"/>
      <c r="R66" s="424">
        <f>C66*$AI$2</f>
        <v>62824.180723894329</v>
      </c>
      <c r="S66" s="425"/>
      <c r="T66" s="426"/>
      <c r="U66" s="427"/>
      <c r="V66" s="427"/>
      <c r="W66" s="427"/>
      <c r="X66" s="427"/>
      <c r="Y66" s="428"/>
      <c r="Z66" s="429">
        <f>C66*$AI$2</f>
        <v>62824.180723894329</v>
      </c>
      <c r="AA66" s="425"/>
      <c r="AB66" s="430"/>
      <c r="AC66" s="475"/>
      <c r="AD66" s="476"/>
      <c r="AE66" s="477"/>
      <c r="AF66" s="433"/>
      <c r="AG66" s="434"/>
      <c r="AH66" s="479"/>
      <c r="AI66" s="436">
        <f>C66*$AI$3</f>
        <v>20941.393574631446</v>
      </c>
    </row>
    <row r="67" spans="1:35" x14ac:dyDescent="0.25">
      <c r="A67" s="400" t="s">
        <v>123</v>
      </c>
      <c r="B67" s="401" t="s">
        <v>5</v>
      </c>
      <c r="C67" s="472">
        <f>SUM('[2]Parte A'!$F$35:$F$37)*0.985</f>
        <v>717928.16379999998</v>
      </c>
      <c r="D67" s="403">
        <f>C67/$C$40</f>
        <v>6.9320386091848582E-2</v>
      </c>
      <c r="E67" s="403"/>
      <c r="F67" s="451"/>
      <c r="G67" s="451"/>
      <c r="H67" s="451"/>
      <c r="I67" s="451"/>
      <c r="J67" s="451"/>
      <c r="K67" s="451"/>
      <c r="L67" s="452"/>
      <c r="M67" s="392"/>
      <c r="N67" s="392"/>
      <c r="O67" s="405"/>
      <c r="P67" s="405"/>
      <c r="Q67" s="453"/>
      <c r="R67" s="454"/>
      <c r="S67" s="455"/>
      <c r="T67" s="456"/>
      <c r="U67" s="457"/>
      <c r="V67" s="451"/>
      <c r="W67" s="451"/>
      <c r="X67" s="451"/>
      <c r="Y67" s="452"/>
      <c r="Z67" s="454"/>
      <c r="AA67" s="455"/>
      <c r="AB67" s="458"/>
      <c r="AC67" s="459"/>
      <c r="AD67" s="451"/>
      <c r="AE67" s="452"/>
      <c r="AF67" s="460"/>
      <c r="AG67" s="457"/>
      <c r="AH67" s="451"/>
      <c r="AI67" s="454"/>
    </row>
    <row r="68" spans="1:35" ht="18" customHeight="1" outlineLevel="1" x14ac:dyDescent="0.25">
      <c r="A68" s="414"/>
      <c r="B68" s="437" t="s">
        <v>44</v>
      </c>
      <c r="C68" s="488">
        <f>$C$67*0.6</f>
        <v>430756.89827999996</v>
      </c>
      <c r="D68" s="462">
        <f>C68/$C$67</f>
        <v>0.6</v>
      </c>
      <c r="E68" s="463" t="s">
        <v>178</v>
      </c>
      <c r="F68" s="481"/>
      <c r="G68" s="481"/>
      <c r="H68" s="481"/>
      <c r="I68" s="438">
        <f>C68*$AI$2</f>
        <v>129227.06948399998</v>
      </c>
      <c r="J68" s="420"/>
      <c r="K68" s="420"/>
      <c r="L68" s="421"/>
      <c r="M68" s="422"/>
      <c r="N68" s="422"/>
      <c r="O68" s="423"/>
      <c r="P68" s="423"/>
      <c r="Q68" s="420"/>
      <c r="R68" s="424">
        <f>C68*$AI$2</f>
        <v>129227.06948399998</v>
      </c>
      <c r="S68" s="425"/>
      <c r="T68" s="426"/>
      <c r="U68" s="427"/>
      <c r="V68" s="427"/>
      <c r="W68" s="427"/>
      <c r="X68" s="427"/>
      <c r="Y68" s="428"/>
      <c r="Z68" s="429">
        <f>C68*$AI$2</f>
        <v>129227.06948399998</v>
      </c>
      <c r="AA68" s="425"/>
      <c r="AB68" s="430"/>
      <c r="AC68" s="431"/>
      <c r="AD68" s="432"/>
      <c r="AE68" s="466"/>
      <c r="AF68" s="433"/>
      <c r="AG68" s="434"/>
      <c r="AH68" s="435"/>
      <c r="AI68" s="436">
        <f>C68*$AI$3</f>
        <v>43075.689828000002</v>
      </c>
    </row>
    <row r="69" spans="1:35" ht="30" customHeight="1" outlineLevel="1" x14ac:dyDescent="0.25">
      <c r="A69" s="414"/>
      <c r="B69" s="415" t="s">
        <v>30</v>
      </c>
      <c r="C69" s="491">
        <f>$C$67*0.4</f>
        <v>287171.26552000002</v>
      </c>
      <c r="D69" s="462">
        <f>C69/$C$67</f>
        <v>0.4</v>
      </c>
      <c r="E69" s="463" t="s">
        <v>178</v>
      </c>
      <c r="F69" s="481"/>
      <c r="G69" s="481"/>
      <c r="H69" s="481"/>
      <c r="I69" s="438">
        <f>C69*$AI$2</f>
        <v>86151.379656000005</v>
      </c>
      <c r="J69" s="420"/>
      <c r="K69" s="420"/>
      <c r="L69" s="421"/>
      <c r="M69" s="422"/>
      <c r="N69" s="422"/>
      <c r="O69" s="423"/>
      <c r="P69" s="423"/>
      <c r="Q69" s="420"/>
      <c r="R69" s="424">
        <f>C69*$AI$2</f>
        <v>86151.379656000005</v>
      </c>
      <c r="S69" s="425"/>
      <c r="T69" s="426"/>
      <c r="U69" s="427"/>
      <c r="V69" s="427"/>
      <c r="W69" s="427"/>
      <c r="X69" s="427"/>
      <c r="Y69" s="428"/>
      <c r="Z69" s="429">
        <f>C69*$AI$2</f>
        <v>86151.379656000005</v>
      </c>
      <c r="AA69" s="425"/>
      <c r="AB69" s="430"/>
      <c r="AC69" s="431"/>
      <c r="AD69" s="432"/>
      <c r="AE69" s="466"/>
      <c r="AF69" s="433"/>
      <c r="AG69" s="434"/>
      <c r="AH69" s="435"/>
      <c r="AI69" s="436">
        <f>C69*$AI$3</f>
        <v>28717.126552000002</v>
      </c>
    </row>
    <row r="70" spans="1:35" x14ac:dyDescent="0.25">
      <c r="A70" s="400" t="s">
        <v>124</v>
      </c>
      <c r="B70" s="401" t="s">
        <v>36</v>
      </c>
      <c r="C70" s="472">
        <f>'[2]Parte A'!$F$38*0.985</f>
        <v>210025.85752896909</v>
      </c>
      <c r="D70" s="403">
        <f>C70/$C$40</f>
        <v>2.0279290139724314E-2</v>
      </c>
      <c r="E70" s="403"/>
      <c r="F70" s="451"/>
      <c r="G70" s="451"/>
      <c r="H70" s="451"/>
      <c r="I70" s="451"/>
      <c r="J70" s="451"/>
      <c r="K70" s="451"/>
      <c r="L70" s="452"/>
      <c r="M70" s="392"/>
      <c r="N70" s="392"/>
      <c r="O70" s="405"/>
      <c r="P70" s="405"/>
      <c r="Q70" s="457"/>
      <c r="R70" s="454"/>
      <c r="S70" s="455"/>
      <c r="T70" s="456"/>
      <c r="U70" s="457"/>
      <c r="V70" s="451"/>
      <c r="W70" s="451"/>
      <c r="X70" s="451"/>
      <c r="Y70" s="452"/>
      <c r="Z70" s="454"/>
      <c r="AA70" s="455"/>
      <c r="AB70" s="458"/>
      <c r="AC70" s="459"/>
      <c r="AD70" s="451"/>
      <c r="AE70" s="452"/>
      <c r="AF70" s="460"/>
      <c r="AG70" s="457"/>
      <c r="AH70" s="451"/>
      <c r="AI70" s="454"/>
    </row>
    <row r="71" spans="1:35" ht="30" customHeight="1" outlineLevel="1" x14ac:dyDescent="0.25">
      <c r="A71" s="414"/>
      <c r="B71" s="415" t="s">
        <v>46</v>
      </c>
      <c r="C71" s="492">
        <f>C70*0.3</f>
        <v>63007.757258690726</v>
      </c>
      <c r="D71" s="462">
        <f>C71/C70</f>
        <v>0.3</v>
      </c>
      <c r="E71" s="463" t="s">
        <v>178</v>
      </c>
      <c r="F71" s="481"/>
      <c r="G71" s="481"/>
      <c r="H71" s="481"/>
      <c r="I71" s="438">
        <f>C71*$AI$2</f>
        <v>18902.327177607218</v>
      </c>
      <c r="J71" s="420"/>
      <c r="K71" s="420"/>
      <c r="L71" s="421"/>
      <c r="M71" s="422"/>
      <c r="N71" s="422"/>
      <c r="O71" s="423"/>
      <c r="P71" s="423"/>
      <c r="Q71" s="420"/>
      <c r="R71" s="424">
        <f>C71*$AI$2</f>
        <v>18902.327177607218</v>
      </c>
      <c r="S71" s="425"/>
      <c r="T71" s="426"/>
      <c r="U71" s="427"/>
      <c r="V71" s="427"/>
      <c r="W71" s="427"/>
      <c r="X71" s="427"/>
      <c r="Y71" s="428"/>
      <c r="Z71" s="429">
        <f>C71*$AI$2</f>
        <v>18902.327177607218</v>
      </c>
      <c r="AA71" s="425"/>
      <c r="AB71" s="430"/>
      <c r="AC71" s="431"/>
      <c r="AD71" s="432"/>
      <c r="AE71" s="466"/>
      <c r="AF71" s="433"/>
      <c r="AG71" s="434"/>
      <c r="AH71" s="435"/>
      <c r="AI71" s="436">
        <f>C71*$AI$3</f>
        <v>6300.7757258690726</v>
      </c>
    </row>
    <row r="72" spans="1:35" ht="15" customHeight="1" outlineLevel="1" x14ac:dyDescent="0.25">
      <c r="A72" s="414"/>
      <c r="B72" s="437" t="s">
        <v>37</v>
      </c>
      <c r="C72" s="473">
        <f>C70*0.7</f>
        <v>147018.10027027834</v>
      </c>
      <c r="D72" s="462">
        <f>C72/C70</f>
        <v>0.7</v>
      </c>
      <c r="E72" s="463" t="s">
        <v>178</v>
      </c>
      <c r="F72" s="481"/>
      <c r="G72" s="481"/>
      <c r="H72" s="481"/>
      <c r="I72" s="438">
        <f>C72*$AI$2</f>
        <v>44105.430081083505</v>
      </c>
      <c r="J72" s="420"/>
      <c r="K72" s="420"/>
      <c r="L72" s="421"/>
      <c r="M72" s="422"/>
      <c r="N72" s="422"/>
      <c r="O72" s="423"/>
      <c r="P72" s="423"/>
      <c r="Q72" s="420"/>
      <c r="R72" s="424">
        <f>C72*$AI$2</f>
        <v>44105.430081083505</v>
      </c>
      <c r="S72" s="425"/>
      <c r="T72" s="426"/>
      <c r="U72" s="427"/>
      <c r="V72" s="427"/>
      <c r="W72" s="427"/>
      <c r="X72" s="427"/>
      <c r="Y72" s="428"/>
      <c r="Z72" s="429">
        <f>C72*$AI$2</f>
        <v>44105.430081083505</v>
      </c>
      <c r="AA72" s="425"/>
      <c r="AB72" s="430"/>
      <c r="AC72" s="431"/>
      <c r="AD72" s="432"/>
      <c r="AE72" s="466"/>
      <c r="AF72" s="433"/>
      <c r="AG72" s="434"/>
      <c r="AH72" s="435"/>
      <c r="AI72" s="436">
        <f>C72*$AI$3</f>
        <v>14701.810027027836</v>
      </c>
    </row>
    <row r="73" spans="1:35" s="282" customFormat="1" x14ac:dyDescent="0.25">
      <c r="A73" s="400" t="s">
        <v>125</v>
      </c>
      <c r="B73" s="401" t="s">
        <v>108</v>
      </c>
      <c r="C73" s="493">
        <f>'[1]Parte B'!$G$126*0.835</f>
        <v>296082.96370648016</v>
      </c>
      <c r="D73" s="403">
        <f>C73/$C$40</f>
        <v>2.8588633785747015E-2</v>
      </c>
      <c r="E73" s="403"/>
      <c r="F73" s="451"/>
      <c r="G73" s="453"/>
      <c r="H73" s="451"/>
      <c r="I73" s="451"/>
      <c r="J73" s="451"/>
      <c r="K73" s="451"/>
      <c r="L73" s="452"/>
      <c r="M73" s="392"/>
      <c r="N73" s="392"/>
      <c r="O73" s="405"/>
      <c r="P73" s="405"/>
      <c r="Q73" s="451"/>
      <c r="R73" s="454"/>
      <c r="S73" s="455"/>
      <c r="T73" s="456"/>
      <c r="U73" s="457"/>
      <c r="V73" s="451"/>
      <c r="W73" s="451"/>
      <c r="X73" s="451"/>
      <c r="Y73" s="452"/>
      <c r="Z73" s="454"/>
      <c r="AA73" s="455"/>
      <c r="AB73" s="458"/>
      <c r="AC73" s="459"/>
      <c r="AD73" s="451"/>
      <c r="AE73" s="452"/>
      <c r="AF73" s="460"/>
      <c r="AG73" s="457"/>
      <c r="AH73" s="451"/>
      <c r="AI73" s="454"/>
    </row>
    <row r="74" spans="1:35" ht="15" customHeight="1" outlineLevel="1" x14ac:dyDescent="0.25">
      <c r="A74" s="414"/>
      <c r="B74" s="437" t="s">
        <v>109</v>
      </c>
      <c r="C74" s="488">
        <f>C73</f>
        <v>296082.96370648016</v>
      </c>
      <c r="D74" s="462">
        <f>C74/C73</f>
        <v>1</v>
      </c>
      <c r="E74" s="463" t="s">
        <v>178</v>
      </c>
      <c r="F74" s="481"/>
      <c r="G74" s="481"/>
      <c r="H74" s="481"/>
      <c r="I74" s="438">
        <f>C74*$AI$2</f>
        <v>88824.889111944052</v>
      </c>
      <c r="J74" s="420"/>
      <c r="K74" s="420"/>
      <c r="L74" s="421"/>
      <c r="M74" s="422"/>
      <c r="N74" s="422"/>
      <c r="O74" s="423"/>
      <c r="P74" s="423"/>
      <c r="Q74" s="420"/>
      <c r="R74" s="424">
        <f>C74*$AI$2</f>
        <v>88824.889111944052</v>
      </c>
      <c r="S74" s="425"/>
      <c r="T74" s="426"/>
      <c r="U74" s="427"/>
      <c r="V74" s="427"/>
      <c r="W74" s="427"/>
      <c r="X74" s="427"/>
      <c r="Y74" s="428"/>
      <c r="Z74" s="429">
        <f>C74*$AI$2</f>
        <v>88824.889111944052</v>
      </c>
      <c r="AA74" s="425"/>
      <c r="AB74" s="430"/>
      <c r="AC74" s="431"/>
      <c r="AD74" s="432"/>
      <c r="AE74" s="466"/>
      <c r="AF74" s="433"/>
      <c r="AG74" s="434"/>
      <c r="AH74" s="435"/>
      <c r="AI74" s="436">
        <f>C74*$AI$3</f>
        <v>29608.296370648019</v>
      </c>
    </row>
    <row r="75" spans="1:35" x14ac:dyDescent="0.25">
      <c r="A75" s="400" t="s">
        <v>126</v>
      </c>
      <c r="B75" s="401" t="s">
        <v>110</v>
      </c>
      <c r="C75" s="493">
        <f>'[1]Parte B'!$G$110*0.835</f>
        <v>276345.32296028209</v>
      </c>
      <c r="D75" s="403">
        <f>C75/$C$40</f>
        <v>2.6682843003244978E-2</v>
      </c>
      <c r="E75" s="403"/>
      <c r="F75" s="451"/>
      <c r="G75" s="453"/>
      <c r="H75" s="451"/>
      <c r="I75" s="451"/>
      <c r="J75" s="451"/>
      <c r="K75" s="451"/>
      <c r="L75" s="452"/>
      <c r="M75" s="392"/>
      <c r="N75" s="392"/>
      <c r="O75" s="405"/>
      <c r="P75" s="405"/>
      <c r="Q75" s="451"/>
      <c r="R75" s="454"/>
      <c r="S75" s="455"/>
      <c r="T75" s="456"/>
      <c r="U75" s="457"/>
      <c r="V75" s="451"/>
      <c r="W75" s="451"/>
      <c r="X75" s="451"/>
      <c r="Y75" s="452"/>
      <c r="Z75" s="454"/>
      <c r="AA75" s="455"/>
      <c r="AB75" s="458"/>
      <c r="AC75" s="459"/>
      <c r="AD75" s="451"/>
      <c r="AE75" s="452"/>
      <c r="AF75" s="460"/>
      <c r="AG75" s="457"/>
      <c r="AH75" s="451"/>
      <c r="AI75" s="454"/>
    </row>
    <row r="76" spans="1:35" ht="15" customHeight="1" outlineLevel="1" x14ac:dyDescent="0.25">
      <c r="A76" s="414"/>
      <c r="B76" s="437" t="s">
        <v>111</v>
      </c>
      <c r="C76" s="488">
        <f>C75</f>
        <v>276345.32296028209</v>
      </c>
      <c r="D76" s="462">
        <f>C76/C75</f>
        <v>1</v>
      </c>
      <c r="E76" s="463" t="s">
        <v>178</v>
      </c>
      <c r="F76" s="481"/>
      <c r="G76" s="481"/>
      <c r="H76" s="481"/>
      <c r="I76" s="438">
        <f>C76*$AI$2</f>
        <v>82903.596888084619</v>
      </c>
      <c r="J76" s="420"/>
      <c r="K76" s="420"/>
      <c r="L76" s="421"/>
      <c r="M76" s="422"/>
      <c r="N76" s="422"/>
      <c r="O76" s="423"/>
      <c r="P76" s="423"/>
      <c r="Q76" s="420"/>
      <c r="R76" s="424">
        <f>C76*$AI$2</f>
        <v>82903.596888084619</v>
      </c>
      <c r="S76" s="425"/>
      <c r="T76" s="426"/>
      <c r="U76" s="427"/>
      <c r="V76" s="427"/>
      <c r="W76" s="427"/>
      <c r="X76" s="427"/>
      <c r="Y76" s="428"/>
      <c r="Z76" s="429">
        <f>C76*$AI$2</f>
        <v>82903.596888084619</v>
      </c>
      <c r="AA76" s="425"/>
      <c r="AB76" s="430"/>
      <c r="AC76" s="431"/>
      <c r="AD76" s="432"/>
      <c r="AE76" s="466"/>
      <c r="AF76" s="433"/>
      <c r="AG76" s="434"/>
      <c r="AH76" s="435"/>
      <c r="AI76" s="436">
        <f>C76*$AI$3</f>
        <v>27634.53229602821</v>
      </c>
    </row>
    <row r="77" spans="1:35" x14ac:dyDescent="0.25">
      <c r="A77" s="400" t="s">
        <v>127</v>
      </c>
      <c r="B77" s="401" t="s">
        <v>28</v>
      </c>
      <c r="C77" s="493">
        <f>('[1]Parte B'!$G$126*0.15)+('[1]Parte B'!$G$110*0.15)+'[2]Parte B'!$G$68+'[2]Parte B'!$G$30</f>
        <v>259379.75206210982</v>
      </c>
      <c r="D77" s="403">
        <f>C77/$C$40</f>
        <v>2.5044712638355771E-2</v>
      </c>
      <c r="E77" s="403"/>
      <c r="F77" s="451"/>
      <c r="G77" s="451"/>
      <c r="H77" s="451"/>
      <c r="I77" s="451"/>
      <c r="J77" s="451"/>
      <c r="K77" s="451"/>
      <c r="L77" s="452"/>
      <c r="M77" s="392"/>
      <c r="N77" s="392"/>
      <c r="O77" s="405"/>
      <c r="P77" s="405"/>
      <c r="Q77" s="451"/>
      <c r="R77" s="454"/>
      <c r="S77" s="455"/>
      <c r="T77" s="456"/>
      <c r="U77" s="457"/>
      <c r="V77" s="451"/>
      <c r="W77" s="451"/>
      <c r="X77" s="451"/>
      <c r="Y77" s="452"/>
      <c r="Z77" s="454"/>
      <c r="AA77" s="455"/>
      <c r="AB77" s="458"/>
      <c r="AC77" s="459"/>
      <c r="AD77" s="451"/>
      <c r="AE77" s="452"/>
      <c r="AF77" s="460"/>
      <c r="AG77" s="457"/>
      <c r="AH77" s="451"/>
      <c r="AI77" s="454"/>
    </row>
    <row r="78" spans="1:35" ht="45" customHeight="1" outlineLevel="1" x14ac:dyDescent="0.25">
      <c r="A78" s="414"/>
      <c r="B78" s="415" t="s">
        <v>47</v>
      </c>
      <c r="C78" s="491">
        <f>$C$77*0.6</f>
        <v>155627.85123726589</v>
      </c>
      <c r="D78" s="462">
        <f>C78/C77</f>
        <v>0.6</v>
      </c>
      <c r="E78" s="463" t="s">
        <v>178</v>
      </c>
      <c r="F78" s="481"/>
      <c r="G78" s="481"/>
      <c r="H78" s="481"/>
      <c r="I78" s="438">
        <f>C78*$AI$2</f>
        <v>46688.355371179765</v>
      </c>
      <c r="J78" s="420"/>
      <c r="K78" s="420"/>
      <c r="L78" s="421"/>
      <c r="M78" s="422"/>
      <c r="N78" s="422"/>
      <c r="O78" s="423"/>
      <c r="P78" s="423"/>
      <c r="Q78" s="420"/>
      <c r="R78" s="424">
        <f>C78*$AI$2</f>
        <v>46688.355371179765</v>
      </c>
      <c r="S78" s="425"/>
      <c r="T78" s="426"/>
      <c r="U78" s="427"/>
      <c r="V78" s="427"/>
      <c r="W78" s="427"/>
      <c r="X78" s="427"/>
      <c r="Y78" s="428"/>
      <c r="Z78" s="429">
        <f>C78*$AI$2</f>
        <v>46688.355371179765</v>
      </c>
      <c r="AA78" s="425"/>
      <c r="AB78" s="430"/>
      <c r="AC78" s="431"/>
      <c r="AD78" s="432"/>
      <c r="AE78" s="466"/>
      <c r="AF78" s="433"/>
      <c r="AG78" s="434"/>
      <c r="AH78" s="435"/>
      <c r="AI78" s="436">
        <f>C78*$AI$3</f>
        <v>15562.78512372659</v>
      </c>
    </row>
    <row r="79" spans="1:35" ht="15" customHeight="1" outlineLevel="1" x14ac:dyDescent="0.25">
      <c r="A79" s="414"/>
      <c r="B79" s="437" t="s">
        <v>28</v>
      </c>
      <c r="C79" s="491">
        <f>$C$77*0.4</f>
        <v>103751.90082484393</v>
      </c>
      <c r="D79" s="462">
        <f>C79/C77</f>
        <v>0.4</v>
      </c>
      <c r="E79" s="463" t="s">
        <v>178</v>
      </c>
      <c r="F79" s="481"/>
      <c r="G79" s="481"/>
      <c r="H79" s="481"/>
      <c r="I79" s="438">
        <f>C79*$AI$2</f>
        <v>31125.570247453179</v>
      </c>
      <c r="J79" s="420"/>
      <c r="K79" s="420"/>
      <c r="L79" s="421"/>
      <c r="M79" s="422"/>
      <c r="N79" s="422"/>
      <c r="O79" s="423"/>
      <c r="P79" s="423"/>
      <c r="Q79" s="420"/>
      <c r="R79" s="424">
        <f>C79*$AI$2</f>
        <v>31125.570247453179</v>
      </c>
      <c r="S79" s="425"/>
      <c r="T79" s="426"/>
      <c r="U79" s="427"/>
      <c r="V79" s="427"/>
      <c r="W79" s="427"/>
      <c r="X79" s="427"/>
      <c r="Y79" s="428"/>
      <c r="Z79" s="429">
        <f>C79*$AI$2</f>
        <v>31125.570247453179</v>
      </c>
      <c r="AA79" s="425"/>
      <c r="AB79" s="430"/>
      <c r="AC79" s="431"/>
      <c r="AD79" s="432"/>
      <c r="AE79" s="466"/>
      <c r="AF79" s="433"/>
      <c r="AG79" s="434"/>
      <c r="AH79" s="435"/>
      <c r="AI79" s="436">
        <f>C79*$AI$3</f>
        <v>10375.190082484394</v>
      </c>
    </row>
    <row r="80" spans="1:35" x14ac:dyDescent="0.25">
      <c r="A80" s="383">
        <v>3</v>
      </c>
      <c r="B80" s="384" t="s">
        <v>8</v>
      </c>
      <c r="C80" s="469">
        <f>C81+C83+C86+C88</f>
        <v>954678.75058077136</v>
      </c>
      <c r="D80" s="470">
        <f>SUM(D81,D83,D86,D88)</f>
        <v>1</v>
      </c>
      <c r="E80" s="470"/>
      <c r="F80" s="451"/>
      <c r="G80" s="457"/>
      <c r="H80" s="451"/>
      <c r="I80" s="451"/>
      <c r="J80" s="451"/>
      <c r="K80" s="451"/>
      <c r="L80" s="452"/>
      <c r="M80" s="392"/>
      <c r="N80" s="392"/>
      <c r="O80" s="405"/>
      <c r="P80" s="405"/>
      <c r="Q80" s="451"/>
      <c r="R80" s="454"/>
      <c r="S80" s="455"/>
      <c r="T80" s="456"/>
      <c r="U80" s="457"/>
      <c r="V80" s="451"/>
      <c r="W80" s="451"/>
      <c r="X80" s="451"/>
      <c r="Y80" s="452"/>
      <c r="Z80" s="454"/>
      <c r="AA80" s="455"/>
      <c r="AB80" s="458"/>
      <c r="AC80" s="459"/>
      <c r="AD80" s="451"/>
      <c r="AE80" s="452"/>
      <c r="AF80" s="460"/>
      <c r="AG80" s="457"/>
      <c r="AH80" s="451"/>
      <c r="AI80" s="454"/>
    </row>
    <row r="81" spans="1:35" x14ac:dyDescent="0.25">
      <c r="A81" s="400" t="s">
        <v>128</v>
      </c>
      <c r="B81" s="401" t="s">
        <v>7</v>
      </c>
      <c r="C81" s="494">
        <f>'[2]Parte B'!$G$58*0.15</f>
        <v>110339.75434254674</v>
      </c>
      <c r="D81" s="495">
        <f>C81/$C$80</f>
        <v>0.11557788866194248</v>
      </c>
      <c r="E81" s="495"/>
      <c r="F81" s="451"/>
      <c r="G81" s="451"/>
      <c r="H81" s="451"/>
      <c r="I81" s="451"/>
      <c r="J81" s="451"/>
      <c r="K81" s="451"/>
      <c r="L81" s="452"/>
      <c r="M81" s="392"/>
      <c r="N81" s="392"/>
      <c r="O81" s="405"/>
      <c r="P81" s="405"/>
      <c r="Q81" s="451"/>
      <c r="R81" s="454"/>
      <c r="S81" s="455"/>
      <c r="T81" s="456"/>
      <c r="U81" s="457"/>
      <c r="V81" s="451"/>
      <c r="W81" s="451"/>
      <c r="X81" s="451"/>
      <c r="Y81" s="452"/>
      <c r="Z81" s="454"/>
      <c r="AA81" s="455"/>
      <c r="AB81" s="458"/>
      <c r="AC81" s="459"/>
      <c r="AD81" s="451"/>
      <c r="AE81" s="452"/>
      <c r="AF81" s="460"/>
      <c r="AG81" s="457"/>
      <c r="AH81" s="451"/>
      <c r="AI81" s="454"/>
    </row>
    <row r="82" spans="1:35" ht="15" customHeight="1" outlineLevel="1" x14ac:dyDescent="0.25">
      <c r="A82" s="414"/>
      <c r="B82" s="437" t="s">
        <v>24</v>
      </c>
      <c r="C82" s="488">
        <f>C81</f>
        <v>110339.75434254674</v>
      </c>
      <c r="D82" s="462">
        <f>C82/C81</f>
        <v>1</v>
      </c>
      <c r="E82" s="463" t="s">
        <v>178</v>
      </c>
      <c r="F82" s="438">
        <f>C82*$AI$2</f>
        <v>33101.926302764019</v>
      </c>
      <c r="G82" s="490"/>
      <c r="H82" s="420"/>
      <c r="I82" s="420"/>
      <c r="J82" s="420"/>
      <c r="K82" s="420"/>
      <c r="L82" s="420"/>
      <c r="M82" s="420"/>
      <c r="N82" s="420"/>
      <c r="O82" s="423"/>
      <c r="P82" s="423"/>
      <c r="Q82" s="420"/>
      <c r="R82" s="424">
        <f>C82*$AI$2</f>
        <v>33101.926302764019</v>
      </c>
      <c r="S82" s="425"/>
      <c r="T82" s="426"/>
      <c r="U82" s="427"/>
      <c r="V82" s="427"/>
      <c r="W82" s="427"/>
      <c r="X82" s="427"/>
      <c r="Y82" s="428"/>
      <c r="Z82" s="429">
        <f>C82*$AI$2</f>
        <v>33101.926302764019</v>
      </c>
      <c r="AA82" s="425"/>
      <c r="AB82" s="430"/>
      <c r="AC82" s="431"/>
      <c r="AD82" s="432"/>
      <c r="AE82" s="466"/>
      <c r="AF82" s="433"/>
      <c r="AG82" s="434"/>
      <c r="AH82" s="435"/>
      <c r="AI82" s="436">
        <f>C82*$AI$3</f>
        <v>11033.975434254675</v>
      </c>
    </row>
    <row r="83" spans="1:35" x14ac:dyDescent="0.25">
      <c r="A83" s="400" t="s">
        <v>129</v>
      </c>
      <c r="B83" s="401" t="s">
        <v>13</v>
      </c>
      <c r="C83" s="494">
        <f>'[2]Parte B'!$G$46</f>
        <v>219080.38829712648</v>
      </c>
      <c r="D83" s="495">
        <f>C83/$C$80</f>
        <v>0.2294807422537169</v>
      </c>
      <c r="E83" s="495"/>
      <c r="F83" s="451"/>
      <c r="G83" s="451"/>
      <c r="H83" s="451"/>
      <c r="I83" s="451"/>
      <c r="J83" s="451"/>
      <c r="K83" s="451"/>
      <c r="L83" s="451"/>
      <c r="M83" s="392"/>
      <c r="N83" s="392"/>
      <c r="O83" s="405"/>
      <c r="P83" s="405"/>
      <c r="Q83" s="451"/>
      <c r="R83" s="454"/>
      <c r="S83" s="455"/>
      <c r="T83" s="456"/>
      <c r="U83" s="457"/>
      <c r="V83" s="451"/>
      <c r="W83" s="451"/>
      <c r="X83" s="451"/>
      <c r="Y83" s="452"/>
      <c r="Z83" s="454"/>
      <c r="AA83" s="455"/>
      <c r="AB83" s="458"/>
      <c r="AC83" s="459"/>
      <c r="AD83" s="451"/>
      <c r="AE83" s="452"/>
      <c r="AF83" s="460"/>
      <c r="AG83" s="457"/>
      <c r="AH83" s="451"/>
      <c r="AI83" s="454"/>
    </row>
    <row r="84" spans="1:35" ht="15" customHeight="1" outlineLevel="1" x14ac:dyDescent="0.25">
      <c r="A84" s="414"/>
      <c r="B84" s="437" t="s">
        <v>11</v>
      </c>
      <c r="C84" s="488">
        <f>$C$83*0.5</f>
        <v>109540.19414856324</v>
      </c>
      <c r="D84" s="462">
        <f>C84/$C$83</f>
        <v>0.5</v>
      </c>
      <c r="E84" s="463" t="s">
        <v>178</v>
      </c>
      <c r="F84" s="481"/>
      <c r="G84" s="481"/>
      <c r="H84" s="481"/>
      <c r="I84" s="481"/>
      <c r="J84" s="438">
        <f>C84*$AI$2</f>
        <v>32862.058244568972</v>
      </c>
      <c r="K84" s="420"/>
      <c r="L84" s="421"/>
      <c r="M84" s="422"/>
      <c r="N84" s="422"/>
      <c r="O84" s="423"/>
      <c r="P84" s="423"/>
      <c r="Q84" s="420"/>
      <c r="R84" s="424">
        <f>C84*$AI$2</f>
        <v>32862.058244568972</v>
      </c>
      <c r="S84" s="425"/>
      <c r="T84" s="426"/>
      <c r="U84" s="427"/>
      <c r="V84" s="427"/>
      <c r="W84" s="427"/>
      <c r="X84" s="427"/>
      <c r="Y84" s="428"/>
      <c r="Z84" s="429">
        <f>C84*$AI$2</f>
        <v>32862.058244568972</v>
      </c>
      <c r="AA84" s="425"/>
      <c r="AB84" s="430"/>
      <c r="AC84" s="431"/>
      <c r="AD84" s="432"/>
      <c r="AE84" s="466"/>
      <c r="AF84" s="433"/>
      <c r="AG84" s="434"/>
      <c r="AH84" s="435"/>
      <c r="AI84" s="436">
        <f>C84*$AI$3</f>
        <v>10954.019414856324</v>
      </c>
    </row>
    <row r="85" spans="1:35" ht="15" customHeight="1" outlineLevel="1" x14ac:dyDescent="0.25">
      <c r="A85" s="414"/>
      <c r="B85" s="437" t="s">
        <v>12</v>
      </c>
      <c r="C85" s="488">
        <f>$C$83*0.5</f>
        <v>109540.19414856324</v>
      </c>
      <c r="D85" s="462">
        <f>C85/$C$83</f>
        <v>0.5</v>
      </c>
      <c r="E85" s="463" t="s">
        <v>178</v>
      </c>
      <c r="F85" s="481"/>
      <c r="G85" s="481"/>
      <c r="H85" s="481"/>
      <c r="I85" s="481"/>
      <c r="J85" s="438">
        <f>C85*$AI$2</f>
        <v>32862.058244568972</v>
      </c>
      <c r="K85" s="420"/>
      <c r="L85" s="421"/>
      <c r="M85" s="422"/>
      <c r="N85" s="422"/>
      <c r="O85" s="423"/>
      <c r="P85" s="423"/>
      <c r="Q85" s="420"/>
      <c r="R85" s="424">
        <f>C85*$AI$2</f>
        <v>32862.058244568972</v>
      </c>
      <c r="S85" s="425"/>
      <c r="T85" s="426"/>
      <c r="U85" s="427"/>
      <c r="V85" s="427"/>
      <c r="W85" s="427"/>
      <c r="X85" s="427"/>
      <c r="Y85" s="428"/>
      <c r="Z85" s="429">
        <f>C85*$AI$2</f>
        <v>32862.058244568972</v>
      </c>
      <c r="AA85" s="425"/>
      <c r="AB85" s="430"/>
      <c r="AC85" s="431"/>
      <c r="AD85" s="432"/>
      <c r="AE85" s="466"/>
      <c r="AF85" s="433"/>
      <c r="AG85" s="434"/>
      <c r="AH85" s="435"/>
      <c r="AI85" s="436">
        <f>C85*$AI$3</f>
        <v>10954.019414856324</v>
      </c>
    </row>
    <row r="86" spans="1:35" x14ac:dyDescent="0.25">
      <c r="A86" s="400" t="s">
        <v>130</v>
      </c>
      <c r="B86" s="401" t="s">
        <v>14</v>
      </c>
      <c r="C86" s="494">
        <f>'[2]Parte B'!$G$58*0.4</f>
        <v>294239.34491345799</v>
      </c>
      <c r="D86" s="495">
        <f>C86/$C$80</f>
        <v>0.30820770309851325</v>
      </c>
      <c r="E86" s="495"/>
      <c r="F86" s="457"/>
      <c r="G86" s="451"/>
      <c r="H86" s="451"/>
      <c r="I86" s="451"/>
      <c r="J86" s="451"/>
      <c r="K86" s="451"/>
      <c r="L86" s="452"/>
      <c r="M86" s="392"/>
      <c r="N86" s="392"/>
      <c r="O86" s="405"/>
      <c r="P86" s="405"/>
      <c r="Q86" s="451"/>
      <c r="R86" s="454"/>
      <c r="S86" s="455"/>
      <c r="T86" s="456"/>
      <c r="U86" s="457"/>
      <c r="V86" s="451"/>
      <c r="W86" s="451"/>
      <c r="X86" s="451"/>
      <c r="Y86" s="452"/>
      <c r="Z86" s="454"/>
      <c r="AA86" s="455"/>
      <c r="AB86" s="458"/>
      <c r="AC86" s="459"/>
      <c r="AD86" s="451"/>
      <c r="AE86" s="452"/>
      <c r="AF86" s="460"/>
      <c r="AG86" s="457"/>
      <c r="AH86" s="451"/>
      <c r="AI86" s="454"/>
    </row>
    <row r="87" spans="1:35" ht="15" customHeight="1" outlineLevel="1" x14ac:dyDescent="0.25">
      <c r="A87" s="414"/>
      <c r="B87" s="437" t="s">
        <v>15</v>
      </c>
      <c r="C87" s="488">
        <f>C86</f>
        <v>294239.34491345799</v>
      </c>
      <c r="D87" s="462">
        <f>C87/C86</f>
        <v>1</v>
      </c>
      <c r="E87" s="463" t="s">
        <v>178</v>
      </c>
      <c r="F87" s="481"/>
      <c r="G87" s="481"/>
      <c r="H87" s="481"/>
      <c r="I87" s="481"/>
      <c r="J87" s="481"/>
      <c r="K87" s="438">
        <f>C87*$AI$2</f>
        <v>88271.803474037399</v>
      </c>
      <c r="L87" s="421"/>
      <c r="M87" s="422"/>
      <c r="N87" s="422"/>
      <c r="O87" s="423"/>
      <c r="P87" s="423"/>
      <c r="Q87" s="420"/>
      <c r="R87" s="424">
        <f>C87*$AI$2</f>
        <v>88271.803474037399</v>
      </c>
      <c r="S87" s="425"/>
      <c r="T87" s="426"/>
      <c r="U87" s="427"/>
      <c r="V87" s="427"/>
      <c r="W87" s="427"/>
      <c r="X87" s="427"/>
      <c r="Y87" s="428"/>
      <c r="Z87" s="429">
        <f>C87*$AI$2</f>
        <v>88271.803474037399</v>
      </c>
      <c r="AA87" s="425"/>
      <c r="AB87" s="430"/>
      <c r="AC87" s="431"/>
      <c r="AD87" s="432"/>
      <c r="AE87" s="466"/>
      <c r="AF87" s="433"/>
      <c r="AG87" s="434"/>
      <c r="AH87" s="435"/>
      <c r="AI87" s="436">
        <f>C87*$AI$3</f>
        <v>29423.934491345801</v>
      </c>
    </row>
    <row r="88" spans="1:35" x14ac:dyDescent="0.25">
      <c r="A88" s="400" t="s">
        <v>131</v>
      </c>
      <c r="B88" s="401" t="s">
        <v>28</v>
      </c>
      <c r="C88" s="494">
        <f>'[2]Parte B'!$G$58*0.45</f>
        <v>331019.26302764023</v>
      </c>
      <c r="D88" s="495">
        <f>C88/$C$80</f>
        <v>0.34673366598582744</v>
      </c>
      <c r="E88" s="495"/>
      <c r="F88" s="457"/>
      <c r="G88" s="451"/>
      <c r="H88" s="451"/>
      <c r="I88" s="451"/>
      <c r="K88" s="451"/>
      <c r="L88" s="452"/>
      <c r="M88" s="392"/>
      <c r="N88" s="392"/>
      <c r="O88" s="405"/>
      <c r="P88" s="405"/>
      <c r="Q88" s="451"/>
      <c r="R88" s="454"/>
      <c r="S88" s="455"/>
      <c r="T88" s="456"/>
      <c r="U88" s="457"/>
      <c r="V88" s="451"/>
      <c r="W88" s="451"/>
      <c r="X88" s="451"/>
      <c r="Y88" s="452"/>
      <c r="Z88" s="454"/>
      <c r="AA88" s="455"/>
      <c r="AB88" s="458"/>
      <c r="AC88" s="459"/>
      <c r="AD88" s="451"/>
      <c r="AE88" s="452"/>
      <c r="AF88" s="460"/>
      <c r="AG88" s="457"/>
      <c r="AH88" s="451"/>
      <c r="AI88" s="454"/>
    </row>
    <row r="89" spans="1:35" ht="15" customHeight="1" outlineLevel="1" x14ac:dyDescent="0.25">
      <c r="A89" s="414"/>
      <c r="B89" s="437" t="s">
        <v>28</v>
      </c>
      <c r="C89" s="488">
        <f>C88</f>
        <v>331019.26302764023</v>
      </c>
      <c r="D89" s="462">
        <f>C89/C88</f>
        <v>1</v>
      </c>
      <c r="E89" s="463" t="s">
        <v>178</v>
      </c>
      <c r="F89" s="481"/>
      <c r="G89" s="481"/>
      <c r="H89" s="481"/>
      <c r="I89" s="481"/>
      <c r="J89" s="481"/>
      <c r="K89" s="438">
        <f>C89*$AI$2</f>
        <v>99305.778908292064</v>
      </c>
      <c r="L89" s="421"/>
      <c r="M89" s="422"/>
      <c r="N89" s="422"/>
      <c r="O89" s="423"/>
      <c r="P89" s="423"/>
      <c r="Q89" s="420"/>
      <c r="R89" s="424">
        <f>C89*$AI$2</f>
        <v>99305.778908292064</v>
      </c>
      <c r="S89" s="425"/>
      <c r="T89" s="426"/>
      <c r="U89" s="427"/>
      <c r="V89" s="427"/>
      <c r="W89" s="427"/>
      <c r="X89" s="427"/>
      <c r="Y89" s="428"/>
      <c r="Z89" s="429">
        <f>C89*$AI$2</f>
        <v>99305.778908292064</v>
      </c>
      <c r="AA89" s="425"/>
      <c r="AB89" s="430"/>
      <c r="AC89" s="431"/>
      <c r="AD89" s="432"/>
      <c r="AE89" s="466"/>
      <c r="AF89" s="433"/>
      <c r="AG89" s="434"/>
      <c r="AH89" s="435"/>
      <c r="AI89" s="436">
        <f>C89*$AI$3</f>
        <v>33101.926302764026</v>
      </c>
    </row>
    <row r="90" spans="1:35" x14ac:dyDescent="0.25">
      <c r="A90" s="383">
        <v>4</v>
      </c>
      <c r="B90" s="384" t="s">
        <v>9</v>
      </c>
      <c r="C90" s="469">
        <f>C4*0.1</f>
        <v>273881.97681970819</v>
      </c>
      <c r="D90" s="470">
        <f>SUM(D91,D95,D97,D99)</f>
        <v>1</v>
      </c>
      <c r="E90" s="470"/>
      <c r="F90" s="457"/>
      <c r="G90" s="451"/>
      <c r="H90" s="451"/>
      <c r="I90" s="451"/>
      <c r="J90" s="451"/>
      <c r="K90" s="451"/>
      <c r="L90" s="452"/>
      <c r="M90" s="392"/>
      <c r="N90" s="392"/>
      <c r="O90" s="405"/>
      <c r="P90" s="405"/>
      <c r="Q90" s="451"/>
      <c r="R90" s="454"/>
      <c r="S90" s="455"/>
      <c r="T90" s="456"/>
      <c r="U90" s="457"/>
      <c r="V90" s="451"/>
      <c r="W90" s="451"/>
      <c r="X90" s="451"/>
      <c r="Y90" s="452"/>
      <c r="Z90" s="454"/>
      <c r="AA90" s="455"/>
      <c r="AB90" s="458"/>
      <c r="AC90" s="459"/>
      <c r="AD90" s="451"/>
      <c r="AE90" s="452"/>
      <c r="AF90" s="460"/>
      <c r="AG90" s="457"/>
      <c r="AH90" s="451"/>
      <c r="AI90" s="454"/>
    </row>
    <row r="91" spans="1:35" x14ac:dyDescent="0.25">
      <c r="A91" s="400" t="s">
        <v>132</v>
      </c>
      <c r="B91" s="401" t="s">
        <v>7</v>
      </c>
      <c r="C91" s="494">
        <f>$C$90*D91</f>
        <v>8216.4593045912461</v>
      </c>
      <c r="D91" s="495">
        <v>0.03</v>
      </c>
      <c r="E91" s="495"/>
      <c r="F91" s="457"/>
      <c r="G91" s="450"/>
      <c r="H91" s="451"/>
      <c r="I91" s="451"/>
      <c r="J91" s="451"/>
      <c r="K91" s="451"/>
      <c r="L91" s="452"/>
      <c r="M91" s="392"/>
      <c r="N91" s="392"/>
      <c r="O91" s="405"/>
      <c r="P91" s="405"/>
      <c r="Q91" s="451"/>
      <c r="R91" s="454"/>
      <c r="S91" s="455"/>
      <c r="T91" s="456"/>
      <c r="U91" s="457"/>
      <c r="V91" s="451"/>
      <c r="W91" s="451"/>
      <c r="X91" s="451"/>
      <c r="Y91" s="452"/>
      <c r="Z91" s="454"/>
      <c r="AA91" s="455"/>
      <c r="AB91" s="458"/>
      <c r="AC91" s="459"/>
      <c r="AD91" s="451"/>
      <c r="AE91" s="452"/>
      <c r="AF91" s="460"/>
      <c r="AG91" s="457"/>
      <c r="AH91" s="451"/>
      <c r="AI91" s="454"/>
    </row>
    <row r="92" spans="1:35" ht="15" customHeight="1" outlineLevel="1" x14ac:dyDescent="0.25">
      <c r="A92" s="414"/>
      <c r="B92" s="437" t="s">
        <v>89</v>
      </c>
      <c r="C92" s="488">
        <f>$C$91/3</f>
        <v>2738.8197681970819</v>
      </c>
      <c r="D92" s="462">
        <f>C92/$C$91</f>
        <v>0.33333333333333331</v>
      </c>
      <c r="E92" s="463" t="s">
        <v>178</v>
      </c>
      <c r="F92" s="438">
        <f>C92*$AI$2</f>
        <v>821.64593045912454</v>
      </c>
      <c r="G92" s="420"/>
      <c r="H92" s="420"/>
      <c r="I92" s="420"/>
      <c r="J92" s="420"/>
      <c r="K92" s="420"/>
      <c r="L92" s="421"/>
      <c r="M92" s="422"/>
      <c r="N92" s="422"/>
      <c r="O92" s="423"/>
      <c r="P92" s="423"/>
      <c r="Q92" s="420"/>
      <c r="R92" s="424">
        <f>C92*$AI$2</f>
        <v>821.64593045912454</v>
      </c>
      <c r="S92" s="425"/>
      <c r="T92" s="426"/>
      <c r="U92" s="427"/>
      <c r="V92" s="427"/>
      <c r="W92" s="427"/>
      <c r="X92" s="427"/>
      <c r="Y92" s="428"/>
      <c r="Z92" s="429">
        <f>C92*$AI$2</f>
        <v>821.64593045912454</v>
      </c>
      <c r="AA92" s="425"/>
      <c r="AB92" s="430"/>
      <c r="AC92" s="431"/>
      <c r="AD92" s="432"/>
      <c r="AE92" s="466"/>
      <c r="AF92" s="433"/>
      <c r="AG92" s="434"/>
      <c r="AH92" s="435"/>
      <c r="AI92" s="436">
        <f>C92*$AI$3</f>
        <v>273.8819768197082</v>
      </c>
    </row>
    <row r="93" spans="1:35" ht="15" customHeight="1" outlineLevel="1" x14ac:dyDescent="0.25">
      <c r="A93" s="414"/>
      <c r="B93" s="437" t="s">
        <v>101</v>
      </c>
      <c r="C93" s="488">
        <f t="shared" ref="C93:C94" si="18">$C$91/3</f>
        <v>2738.8197681970819</v>
      </c>
      <c r="D93" s="462">
        <f t="shared" ref="D93:D94" si="19">C93/$C$91</f>
        <v>0.33333333333333331</v>
      </c>
      <c r="E93" s="463" t="s">
        <v>178</v>
      </c>
      <c r="F93" s="438">
        <f>C93*$AI$2</f>
        <v>821.64593045912454</v>
      </c>
      <c r="G93" s="420"/>
      <c r="H93" s="420"/>
      <c r="I93" s="420"/>
      <c r="J93" s="420"/>
      <c r="K93" s="420"/>
      <c r="L93" s="421"/>
      <c r="M93" s="422"/>
      <c r="N93" s="422"/>
      <c r="O93" s="423"/>
      <c r="P93" s="423"/>
      <c r="Q93" s="420"/>
      <c r="R93" s="424">
        <f>C93*$AI$2</f>
        <v>821.64593045912454</v>
      </c>
      <c r="S93" s="425"/>
      <c r="T93" s="426"/>
      <c r="U93" s="427"/>
      <c r="V93" s="427"/>
      <c r="W93" s="427"/>
      <c r="X93" s="427"/>
      <c r="Y93" s="428"/>
      <c r="Z93" s="429">
        <f>C93*$AI$2</f>
        <v>821.64593045912454</v>
      </c>
      <c r="AA93" s="425"/>
      <c r="AB93" s="430"/>
      <c r="AC93" s="431"/>
      <c r="AD93" s="432"/>
      <c r="AE93" s="466"/>
      <c r="AF93" s="433"/>
      <c r="AG93" s="434"/>
      <c r="AH93" s="435"/>
      <c r="AI93" s="436">
        <f>C93*$AI$3</f>
        <v>273.8819768197082</v>
      </c>
    </row>
    <row r="94" spans="1:35" ht="15" customHeight="1" outlineLevel="1" x14ac:dyDescent="0.25">
      <c r="A94" s="414"/>
      <c r="B94" s="437" t="s">
        <v>25</v>
      </c>
      <c r="C94" s="488">
        <f t="shared" si="18"/>
        <v>2738.8197681970819</v>
      </c>
      <c r="D94" s="462">
        <f t="shared" si="19"/>
        <v>0.33333333333333331</v>
      </c>
      <c r="E94" s="463" t="s">
        <v>178</v>
      </c>
      <c r="F94" s="438">
        <f>C94*$AI$2</f>
        <v>821.64593045912454</v>
      </c>
      <c r="G94" s="420"/>
      <c r="H94" s="420"/>
      <c r="I94" s="420"/>
      <c r="J94" s="420"/>
      <c r="K94" s="420"/>
      <c r="L94" s="421"/>
      <c r="M94" s="422"/>
      <c r="N94" s="422"/>
      <c r="O94" s="423"/>
      <c r="P94" s="423"/>
      <c r="Q94" s="420"/>
      <c r="R94" s="424">
        <f>C94*$AI$2</f>
        <v>821.64593045912454</v>
      </c>
      <c r="S94" s="425"/>
      <c r="T94" s="426"/>
      <c r="U94" s="427"/>
      <c r="V94" s="427"/>
      <c r="W94" s="427"/>
      <c r="X94" s="427"/>
      <c r="Y94" s="428"/>
      <c r="Z94" s="429">
        <f>C94*$AI$2</f>
        <v>821.64593045912454</v>
      </c>
      <c r="AA94" s="425"/>
      <c r="AB94" s="430"/>
      <c r="AC94" s="431"/>
      <c r="AD94" s="432"/>
      <c r="AE94" s="466"/>
      <c r="AF94" s="433"/>
      <c r="AG94" s="434"/>
      <c r="AH94" s="435"/>
      <c r="AI94" s="436">
        <f>C94*$AI$3</f>
        <v>273.8819768197082</v>
      </c>
    </row>
    <row r="95" spans="1:35" x14ac:dyDescent="0.25">
      <c r="A95" s="400" t="s">
        <v>133</v>
      </c>
      <c r="B95" s="401" t="s">
        <v>113</v>
      </c>
      <c r="C95" s="494">
        <f>$C$90*D95</f>
        <v>164329.1860918249</v>
      </c>
      <c r="D95" s="495">
        <v>0.6</v>
      </c>
      <c r="E95" s="495"/>
      <c r="F95" s="457"/>
      <c r="G95" s="451"/>
      <c r="H95" s="453"/>
      <c r="I95" s="451"/>
      <c r="J95" s="451"/>
      <c r="K95" s="451"/>
      <c r="L95" s="452"/>
      <c r="M95" s="392"/>
      <c r="N95" s="392"/>
      <c r="O95" s="405"/>
      <c r="P95" s="405"/>
      <c r="Q95" s="451"/>
      <c r="R95" s="496"/>
      <c r="S95" s="455"/>
      <c r="T95" s="456"/>
      <c r="U95" s="457"/>
      <c r="V95" s="451"/>
      <c r="W95" s="451"/>
      <c r="X95" s="451"/>
      <c r="Y95" s="452"/>
      <c r="Z95" s="496"/>
      <c r="AA95" s="455"/>
      <c r="AB95" s="458"/>
      <c r="AC95" s="459"/>
      <c r="AD95" s="451"/>
      <c r="AE95" s="452"/>
      <c r="AF95" s="460"/>
      <c r="AG95" s="457"/>
      <c r="AH95" s="451"/>
      <c r="AI95" s="496"/>
    </row>
    <row r="96" spans="1:35" ht="30" customHeight="1" outlineLevel="1" x14ac:dyDescent="0.25">
      <c r="A96" s="414"/>
      <c r="B96" s="415" t="s">
        <v>32</v>
      </c>
      <c r="C96" s="492">
        <f>C95</f>
        <v>164329.1860918249</v>
      </c>
      <c r="D96" s="462">
        <f>C96/C95</f>
        <v>1</v>
      </c>
      <c r="E96" s="463" t="s">
        <v>178</v>
      </c>
      <c r="F96" s="497"/>
      <c r="G96" s="480"/>
      <c r="H96" s="453"/>
      <c r="I96" s="481"/>
      <c r="J96" s="481"/>
      <c r="K96" s="481"/>
      <c r="L96" s="438">
        <f>C96*$AI$2</f>
        <v>49298.755827547466</v>
      </c>
      <c r="M96" s="422"/>
      <c r="N96" s="422"/>
      <c r="O96" s="423"/>
      <c r="P96" s="423"/>
      <c r="Q96" s="420"/>
      <c r="R96" s="424">
        <f>C96*$AI$2</f>
        <v>49298.755827547466</v>
      </c>
      <c r="S96" s="425"/>
      <c r="T96" s="426"/>
      <c r="U96" s="427"/>
      <c r="V96" s="427"/>
      <c r="W96" s="427"/>
      <c r="X96" s="427"/>
      <c r="Y96" s="428"/>
      <c r="Z96" s="429">
        <f>C96*$AI$2</f>
        <v>49298.755827547466</v>
      </c>
      <c r="AA96" s="425"/>
      <c r="AB96" s="430"/>
      <c r="AC96" s="431"/>
      <c r="AD96" s="432"/>
      <c r="AE96" s="466"/>
      <c r="AF96" s="433"/>
      <c r="AG96" s="434"/>
      <c r="AH96" s="435"/>
      <c r="AI96" s="436">
        <f>C96*$AI$3</f>
        <v>16432.918609182492</v>
      </c>
    </row>
    <row r="97" spans="1:35" x14ac:dyDescent="0.25">
      <c r="A97" s="400" t="s">
        <v>134</v>
      </c>
      <c r="B97" s="401" t="s">
        <v>26</v>
      </c>
      <c r="C97" s="494">
        <f>$C$90*D97</f>
        <v>82164.59304591245</v>
      </c>
      <c r="D97" s="495">
        <v>0.3</v>
      </c>
      <c r="E97" s="495"/>
      <c r="F97" s="457"/>
      <c r="G97" s="451"/>
      <c r="H97" s="453"/>
      <c r="I97" s="451"/>
      <c r="J97" s="451"/>
      <c r="K97" s="451"/>
      <c r="L97" s="452"/>
      <c r="M97" s="392"/>
      <c r="N97" s="392"/>
      <c r="O97" s="405"/>
      <c r="P97" s="405"/>
      <c r="Q97" s="451"/>
      <c r="R97" s="454"/>
      <c r="S97" s="455"/>
      <c r="T97" s="456"/>
      <c r="U97" s="457"/>
      <c r="V97" s="451"/>
      <c r="W97" s="451"/>
      <c r="X97" s="451"/>
      <c r="Y97" s="452"/>
      <c r="Z97" s="454"/>
      <c r="AA97" s="455"/>
      <c r="AB97" s="458"/>
      <c r="AC97" s="459"/>
      <c r="AD97" s="451"/>
      <c r="AE97" s="452"/>
      <c r="AF97" s="460"/>
      <c r="AG97" s="457"/>
      <c r="AH97" s="451"/>
      <c r="AI97" s="454"/>
    </row>
    <row r="98" spans="1:35" ht="15" customHeight="1" outlineLevel="1" x14ac:dyDescent="0.25">
      <c r="A98" s="414"/>
      <c r="B98" s="437" t="s">
        <v>26</v>
      </c>
      <c r="C98" s="488">
        <f>C97</f>
        <v>82164.59304591245</v>
      </c>
      <c r="D98" s="462">
        <f>C98/C97</f>
        <v>1</v>
      </c>
      <c r="E98" s="463" t="s">
        <v>178</v>
      </c>
      <c r="F98" s="497"/>
      <c r="G98" s="480"/>
      <c r="H98" s="480"/>
      <c r="I98" s="481"/>
      <c r="J98" s="481"/>
      <c r="K98" s="481"/>
      <c r="L98" s="438">
        <f>C98*$AI$2</f>
        <v>24649.377913773733</v>
      </c>
      <c r="M98" s="422"/>
      <c r="N98" s="422"/>
      <c r="O98" s="423"/>
      <c r="P98" s="423"/>
      <c r="Q98" s="420"/>
      <c r="R98" s="424">
        <f>C98*$AI$2</f>
        <v>24649.377913773733</v>
      </c>
      <c r="S98" s="425"/>
      <c r="T98" s="426"/>
      <c r="U98" s="427"/>
      <c r="V98" s="427"/>
      <c r="W98" s="427"/>
      <c r="X98" s="427"/>
      <c r="Y98" s="428"/>
      <c r="Z98" s="429">
        <f>C98*$AI$2</f>
        <v>24649.377913773733</v>
      </c>
      <c r="AA98" s="425"/>
      <c r="AB98" s="430"/>
      <c r="AC98" s="431"/>
      <c r="AD98" s="432"/>
      <c r="AE98" s="466"/>
      <c r="AF98" s="433"/>
      <c r="AG98" s="434"/>
      <c r="AH98" s="435"/>
      <c r="AI98" s="436">
        <f>C98*$AI$3</f>
        <v>8216.4593045912461</v>
      </c>
    </row>
    <row r="99" spans="1:35" x14ac:dyDescent="0.25">
      <c r="A99" s="400" t="s">
        <v>135</v>
      </c>
      <c r="B99" s="401" t="s">
        <v>28</v>
      </c>
      <c r="C99" s="494">
        <f>$C$90*D99</f>
        <v>19171.738377379574</v>
      </c>
      <c r="D99" s="495">
        <v>7.0000000000000007E-2</v>
      </c>
      <c r="E99" s="495"/>
      <c r="F99" s="457"/>
      <c r="G99" s="451"/>
      <c r="H99" s="451"/>
      <c r="I99" s="451"/>
      <c r="J99" s="451"/>
      <c r="K99" s="451"/>
      <c r="L99" s="452"/>
      <c r="M99" s="392"/>
      <c r="N99" s="392"/>
      <c r="O99" s="405"/>
      <c r="P99" s="405"/>
      <c r="Q99" s="451"/>
      <c r="R99" s="454"/>
      <c r="S99" s="455"/>
      <c r="T99" s="456"/>
      <c r="U99" s="457"/>
      <c r="V99" s="451"/>
      <c r="W99" s="451"/>
      <c r="X99" s="451"/>
      <c r="Y99" s="452"/>
      <c r="Z99" s="454"/>
      <c r="AA99" s="455"/>
      <c r="AB99" s="458"/>
      <c r="AC99" s="498"/>
      <c r="AD99" s="451"/>
      <c r="AE99" s="452"/>
      <c r="AF99" s="460"/>
      <c r="AG99" s="457"/>
      <c r="AH99" s="451"/>
      <c r="AI99" s="454"/>
    </row>
    <row r="100" spans="1:35" ht="15" customHeight="1" outlineLevel="1" x14ac:dyDescent="0.25">
      <c r="A100" s="414"/>
      <c r="B100" s="437" t="s">
        <v>28</v>
      </c>
      <c r="C100" s="488">
        <f>C99</f>
        <v>19171.738377379574</v>
      </c>
      <c r="D100" s="462">
        <f>C100/C99</f>
        <v>1</v>
      </c>
      <c r="E100" s="463" t="s">
        <v>178</v>
      </c>
      <c r="F100" s="497"/>
      <c r="G100" s="480"/>
      <c r="H100" s="480"/>
      <c r="I100" s="481"/>
      <c r="J100" s="481"/>
      <c r="K100" s="481"/>
      <c r="L100" s="438">
        <f>C100*$AI$2</f>
        <v>5751.5215132138719</v>
      </c>
      <c r="M100" s="422"/>
      <c r="N100" s="422"/>
      <c r="O100" s="423"/>
      <c r="P100" s="423"/>
      <c r="Q100" s="420"/>
      <c r="R100" s="424">
        <f>C100*$AI$2</f>
        <v>5751.5215132138719</v>
      </c>
      <c r="S100" s="425"/>
      <c r="T100" s="426"/>
      <c r="U100" s="427"/>
      <c r="V100" s="427"/>
      <c r="W100" s="427"/>
      <c r="X100" s="427"/>
      <c r="Y100" s="428"/>
      <c r="Z100" s="429">
        <f>C100*$AI$2</f>
        <v>5751.5215132138719</v>
      </c>
      <c r="AA100" s="425"/>
      <c r="AB100" s="430"/>
      <c r="AC100" s="431"/>
      <c r="AD100" s="432"/>
      <c r="AE100" s="466"/>
      <c r="AF100" s="433"/>
      <c r="AG100" s="434"/>
      <c r="AH100" s="435"/>
      <c r="AI100" s="436">
        <f>C100*$AI$3</f>
        <v>1917.1738377379575</v>
      </c>
    </row>
    <row r="101" spans="1:35" x14ac:dyDescent="0.25">
      <c r="A101" s="383">
        <v>5</v>
      </c>
      <c r="B101" s="384" t="s">
        <v>16</v>
      </c>
      <c r="C101" s="469">
        <f>C4*0.1</f>
        <v>273881.97681970819</v>
      </c>
      <c r="D101" s="470">
        <f>D102+D106+D108</f>
        <v>1</v>
      </c>
      <c r="E101" s="470"/>
      <c r="F101" s="457"/>
      <c r="G101" s="457"/>
      <c r="H101" s="451"/>
      <c r="I101" s="451"/>
      <c r="J101" s="451"/>
      <c r="K101" s="451"/>
      <c r="L101" s="452"/>
      <c r="M101" s="392"/>
      <c r="N101" s="392"/>
      <c r="O101" s="405"/>
      <c r="P101" s="405"/>
      <c r="Q101" s="451"/>
      <c r="R101" s="454"/>
      <c r="S101" s="455"/>
      <c r="T101" s="456"/>
      <c r="U101" s="457"/>
      <c r="V101" s="451"/>
      <c r="W101" s="451"/>
      <c r="X101" s="451"/>
      <c r="Y101" s="452"/>
      <c r="Z101" s="454"/>
      <c r="AA101" s="455"/>
      <c r="AB101" s="458"/>
      <c r="AC101" s="459"/>
      <c r="AD101" s="451"/>
      <c r="AE101" s="452"/>
      <c r="AF101" s="460"/>
      <c r="AG101" s="457"/>
      <c r="AH101" s="451"/>
      <c r="AI101" s="454"/>
    </row>
    <row r="102" spans="1:35" x14ac:dyDescent="0.25">
      <c r="A102" s="400" t="s">
        <v>136</v>
      </c>
      <c r="B102" s="401" t="s">
        <v>7</v>
      </c>
      <c r="C102" s="494">
        <f>$C$101*D102</f>
        <v>27388.197681970822</v>
      </c>
      <c r="D102" s="495">
        <v>0.1</v>
      </c>
      <c r="E102" s="495"/>
      <c r="F102" s="457"/>
      <c r="G102" s="457"/>
      <c r="H102" s="450"/>
      <c r="I102" s="451"/>
      <c r="J102" s="451"/>
      <c r="K102" s="451"/>
      <c r="L102" s="452"/>
      <c r="M102" s="392"/>
      <c r="N102" s="392"/>
      <c r="O102" s="405"/>
      <c r="P102" s="405"/>
      <c r="Q102" s="451"/>
      <c r="R102" s="454"/>
      <c r="S102" s="455"/>
      <c r="T102" s="456"/>
      <c r="U102" s="457"/>
      <c r="V102" s="451"/>
      <c r="W102" s="451"/>
      <c r="X102" s="451"/>
      <c r="Y102" s="452"/>
      <c r="Z102" s="454"/>
      <c r="AA102" s="455"/>
      <c r="AB102" s="458"/>
      <c r="AC102" s="459"/>
      <c r="AD102" s="451"/>
      <c r="AE102" s="452"/>
      <c r="AF102" s="460"/>
      <c r="AG102" s="457"/>
      <c r="AH102" s="451"/>
      <c r="AI102" s="454"/>
    </row>
    <row r="103" spans="1:35" ht="15" customHeight="1" outlineLevel="1" x14ac:dyDescent="0.25">
      <c r="A103" s="414"/>
      <c r="B103" s="437" t="s">
        <v>89</v>
      </c>
      <c r="C103" s="488">
        <f>$C$102/3</f>
        <v>9129.3992273236072</v>
      </c>
      <c r="D103" s="462">
        <f>C103/$C$102</f>
        <v>0.33333333333333331</v>
      </c>
      <c r="E103" s="463" t="s">
        <v>178</v>
      </c>
      <c r="F103" s="438">
        <f>C103*$AI$2</f>
        <v>2738.8197681970819</v>
      </c>
      <c r="G103" s="499"/>
      <c r="H103" s="420"/>
      <c r="I103" s="420"/>
      <c r="J103" s="420"/>
      <c r="K103" s="420"/>
      <c r="L103" s="421"/>
      <c r="M103" s="422"/>
      <c r="N103" s="422"/>
      <c r="O103" s="423"/>
      <c r="P103" s="423"/>
      <c r="Q103" s="420"/>
      <c r="R103" s="424">
        <f>C103*$AI$2</f>
        <v>2738.8197681970819</v>
      </c>
      <c r="S103" s="425"/>
      <c r="T103" s="426"/>
      <c r="U103" s="427"/>
      <c r="V103" s="427"/>
      <c r="W103" s="427"/>
      <c r="X103" s="427"/>
      <c r="Y103" s="428"/>
      <c r="Z103" s="429">
        <f>C103*$AI$2</f>
        <v>2738.8197681970819</v>
      </c>
      <c r="AA103" s="425"/>
      <c r="AB103" s="430"/>
      <c r="AC103" s="431"/>
      <c r="AD103" s="432"/>
      <c r="AE103" s="466"/>
      <c r="AF103" s="433"/>
      <c r="AG103" s="434"/>
      <c r="AH103" s="435"/>
      <c r="AI103" s="436">
        <f>C103*$AI$3</f>
        <v>912.93992273236074</v>
      </c>
    </row>
    <row r="104" spans="1:35" ht="15" customHeight="1" outlineLevel="1" x14ac:dyDescent="0.25">
      <c r="A104" s="414"/>
      <c r="B104" s="437" t="s">
        <v>101</v>
      </c>
      <c r="C104" s="488">
        <f t="shared" ref="C104:C105" si="20">$C$102/3</f>
        <v>9129.3992273236072</v>
      </c>
      <c r="D104" s="462">
        <f t="shared" ref="D104:D105" si="21">C104/$C$102</f>
        <v>0.33333333333333331</v>
      </c>
      <c r="E104" s="463" t="s">
        <v>178</v>
      </c>
      <c r="F104" s="438">
        <f>C104*$AI$2</f>
        <v>2738.8197681970819</v>
      </c>
      <c r="G104" s="499"/>
      <c r="H104" s="420"/>
      <c r="I104" s="420"/>
      <c r="J104" s="420"/>
      <c r="K104" s="420"/>
      <c r="L104" s="421"/>
      <c r="M104" s="422"/>
      <c r="N104" s="422"/>
      <c r="O104" s="423"/>
      <c r="P104" s="423"/>
      <c r="Q104" s="420"/>
      <c r="R104" s="424">
        <f>C104*$AI$2</f>
        <v>2738.8197681970819</v>
      </c>
      <c r="S104" s="425"/>
      <c r="T104" s="426"/>
      <c r="U104" s="427"/>
      <c r="V104" s="427"/>
      <c r="W104" s="427"/>
      <c r="X104" s="427"/>
      <c r="Y104" s="428"/>
      <c r="Z104" s="429">
        <f>C104*$AI$2</f>
        <v>2738.8197681970819</v>
      </c>
      <c r="AA104" s="425"/>
      <c r="AB104" s="430"/>
      <c r="AC104" s="431"/>
      <c r="AD104" s="432"/>
      <c r="AE104" s="466"/>
      <c r="AF104" s="433"/>
      <c r="AG104" s="434"/>
      <c r="AH104" s="435"/>
      <c r="AI104" s="436">
        <f>C104*$AI$3</f>
        <v>912.93992273236074</v>
      </c>
    </row>
    <row r="105" spans="1:35" ht="15" customHeight="1" outlineLevel="1" x14ac:dyDescent="0.25">
      <c r="A105" s="414"/>
      <c r="B105" s="437" t="s">
        <v>25</v>
      </c>
      <c r="C105" s="488">
        <f t="shared" si="20"/>
        <v>9129.3992273236072</v>
      </c>
      <c r="D105" s="462">
        <f t="shared" si="21"/>
        <v>0.33333333333333331</v>
      </c>
      <c r="E105" s="463" t="s">
        <v>178</v>
      </c>
      <c r="F105" s="438">
        <f>C105*$AI$2</f>
        <v>2738.8197681970819</v>
      </c>
      <c r="G105" s="499"/>
      <c r="H105" s="420"/>
      <c r="I105" s="420"/>
      <c r="J105" s="420"/>
      <c r="K105" s="420"/>
      <c r="L105" s="421"/>
      <c r="M105" s="422"/>
      <c r="N105" s="422"/>
      <c r="O105" s="423"/>
      <c r="P105" s="423"/>
      <c r="Q105" s="420"/>
      <c r="R105" s="424">
        <f>C105*$AI$2</f>
        <v>2738.8197681970819</v>
      </c>
      <c r="S105" s="425"/>
      <c r="T105" s="426"/>
      <c r="U105" s="427"/>
      <c r="V105" s="427"/>
      <c r="W105" s="427"/>
      <c r="X105" s="427"/>
      <c r="Y105" s="428"/>
      <c r="Z105" s="429">
        <f>C105*$AI$2</f>
        <v>2738.8197681970819</v>
      </c>
      <c r="AA105" s="425"/>
      <c r="AB105" s="430"/>
      <c r="AC105" s="431"/>
      <c r="AD105" s="432"/>
      <c r="AE105" s="466"/>
      <c r="AF105" s="433"/>
      <c r="AG105" s="434"/>
      <c r="AH105" s="435"/>
      <c r="AI105" s="436">
        <f>C105*$AI$3</f>
        <v>912.93992273236074</v>
      </c>
    </row>
    <row r="106" spans="1:35" x14ac:dyDescent="0.25">
      <c r="A106" s="400" t="s">
        <v>137</v>
      </c>
      <c r="B106" s="401" t="s">
        <v>26</v>
      </c>
      <c r="C106" s="494">
        <f>$C$101*D106</f>
        <v>191717.38377379571</v>
      </c>
      <c r="D106" s="495">
        <v>0.7</v>
      </c>
      <c r="E106" s="495"/>
      <c r="F106" s="457"/>
      <c r="G106" s="457"/>
      <c r="H106" s="451"/>
      <c r="I106" s="453"/>
      <c r="J106" s="451"/>
      <c r="K106" s="451"/>
      <c r="L106" s="452"/>
      <c r="M106" s="392"/>
      <c r="N106" s="392"/>
      <c r="O106" s="405"/>
      <c r="P106" s="405"/>
      <c r="Q106" s="451"/>
      <c r="R106" s="454"/>
      <c r="S106" s="455"/>
      <c r="T106" s="456"/>
      <c r="U106" s="457"/>
      <c r="V106" s="451"/>
      <c r="W106" s="451"/>
      <c r="X106" s="451"/>
      <c r="Y106" s="452"/>
      <c r="Z106" s="454"/>
      <c r="AA106" s="455"/>
      <c r="AB106" s="458"/>
      <c r="AC106" s="459"/>
      <c r="AD106" s="451"/>
      <c r="AE106" s="452"/>
      <c r="AF106" s="460"/>
      <c r="AG106" s="457"/>
      <c r="AH106" s="451"/>
      <c r="AI106" s="454"/>
    </row>
    <row r="107" spans="1:35" ht="15" customHeight="1" outlineLevel="1" x14ac:dyDescent="0.25">
      <c r="A107" s="414"/>
      <c r="B107" s="437" t="s">
        <v>26</v>
      </c>
      <c r="C107" s="488">
        <f>C106</f>
        <v>191717.38377379571</v>
      </c>
      <c r="D107" s="462">
        <f>C107/C106</f>
        <v>1</v>
      </c>
      <c r="E107" s="463" t="s">
        <v>178</v>
      </c>
      <c r="F107" s="497"/>
      <c r="G107" s="480"/>
      <c r="H107" s="480"/>
      <c r="I107" s="481"/>
      <c r="J107" s="481"/>
      <c r="K107" s="481"/>
      <c r="L107" s="438">
        <f>C107*$AI$2</f>
        <v>57515.215132138714</v>
      </c>
      <c r="M107" s="422"/>
      <c r="N107" s="422"/>
      <c r="O107" s="423"/>
      <c r="P107" s="423"/>
      <c r="Q107" s="420"/>
      <c r="R107" s="424">
        <f>C107*$AI$2</f>
        <v>57515.215132138714</v>
      </c>
      <c r="S107" s="425"/>
      <c r="T107" s="426"/>
      <c r="U107" s="427"/>
      <c r="V107" s="427"/>
      <c r="W107" s="427"/>
      <c r="X107" s="427"/>
      <c r="Y107" s="428"/>
      <c r="Z107" s="429">
        <f>C107*$AI$2</f>
        <v>57515.215132138714</v>
      </c>
      <c r="AA107" s="425"/>
      <c r="AB107" s="430"/>
      <c r="AC107" s="431"/>
      <c r="AD107" s="432"/>
      <c r="AE107" s="466"/>
      <c r="AF107" s="433"/>
      <c r="AG107" s="434"/>
      <c r="AH107" s="435"/>
      <c r="AI107" s="436">
        <f>C107*$AI$3</f>
        <v>19171.73837737957</v>
      </c>
    </row>
    <row r="108" spans="1:35" x14ac:dyDescent="0.25">
      <c r="A108" s="400" t="s">
        <v>138</v>
      </c>
      <c r="B108" s="401" t="s">
        <v>28</v>
      </c>
      <c r="C108" s="494">
        <f>$C$101*D108</f>
        <v>54776.395363941643</v>
      </c>
      <c r="D108" s="495">
        <v>0.2</v>
      </c>
      <c r="E108" s="495"/>
      <c r="F108" s="457"/>
      <c r="G108" s="451"/>
      <c r="H108" s="451"/>
      <c r="I108" s="451"/>
      <c r="J108" s="451"/>
      <c r="K108" s="451"/>
      <c r="L108" s="452"/>
      <c r="M108" s="392"/>
      <c r="N108" s="392"/>
      <c r="O108" s="405"/>
      <c r="P108" s="405"/>
      <c r="R108" s="454"/>
      <c r="S108" s="455"/>
      <c r="T108" s="456"/>
      <c r="U108" s="457"/>
      <c r="V108" s="451"/>
      <c r="W108" s="451"/>
      <c r="X108" s="451"/>
      <c r="Y108" s="452"/>
      <c r="Z108" s="454"/>
      <c r="AA108" s="455"/>
      <c r="AB108" s="458"/>
      <c r="AC108" s="498"/>
      <c r="AD108" s="451"/>
      <c r="AE108" s="452"/>
      <c r="AF108" s="460"/>
      <c r="AG108" s="457"/>
      <c r="AH108" s="451"/>
      <c r="AI108" s="454"/>
    </row>
    <row r="109" spans="1:35" ht="15" customHeight="1" outlineLevel="1" x14ac:dyDescent="0.25">
      <c r="A109" s="414"/>
      <c r="B109" s="437" t="s">
        <v>28</v>
      </c>
      <c r="C109" s="488">
        <f>C108</f>
        <v>54776.395363941643</v>
      </c>
      <c r="D109" s="462">
        <f>C109/C108</f>
        <v>1</v>
      </c>
      <c r="E109" s="463" t="s">
        <v>178</v>
      </c>
      <c r="F109" s="497"/>
      <c r="G109" s="480"/>
      <c r="H109" s="480"/>
      <c r="I109" s="481"/>
      <c r="J109" s="481"/>
      <c r="K109" s="481"/>
      <c r="L109" s="438">
        <f>C109*$AI$2</f>
        <v>16432.918609182492</v>
      </c>
      <c r="M109" s="422"/>
      <c r="N109" s="422"/>
      <c r="O109" s="423"/>
      <c r="P109" s="423"/>
      <c r="Q109" s="420"/>
      <c r="R109" s="424">
        <f>C109*$AI$2</f>
        <v>16432.918609182492</v>
      </c>
      <c r="S109" s="425"/>
      <c r="T109" s="426"/>
      <c r="U109" s="427"/>
      <c r="V109" s="427"/>
      <c r="W109" s="427"/>
      <c r="X109" s="427"/>
      <c r="Y109" s="428"/>
      <c r="Z109" s="429">
        <f>C109*$AI$2</f>
        <v>16432.918609182492</v>
      </c>
      <c r="AA109" s="425"/>
      <c r="AB109" s="430"/>
      <c r="AC109" s="431"/>
      <c r="AD109" s="432"/>
      <c r="AE109" s="466"/>
      <c r="AF109" s="433"/>
      <c r="AG109" s="434"/>
      <c r="AH109" s="435"/>
      <c r="AI109" s="436">
        <f>C109*$AI$3</f>
        <v>5477.6395363941647</v>
      </c>
    </row>
    <row r="110" spans="1:35" x14ac:dyDescent="0.25">
      <c r="A110" s="383">
        <v>6</v>
      </c>
      <c r="B110" s="384" t="s">
        <v>17</v>
      </c>
      <c r="C110" s="469">
        <f>C4*0.1</f>
        <v>273881.97681970819</v>
      </c>
      <c r="D110" s="470">
        <f>D111+D115+D117</f>
        <v>1</v>
      </c>
      <c r="E110" s="470"/>
      <c r="F110" s="457"/>
      <c r="G110" s="451"/>
      <c r="H110" s="451"/>
      <c r="I110" s="451"/>
      <c r="J110" s="451"/>
      <c r="K110" s="451"/>
      <c r="L110" s="452"/>
      <c r="M110" s="392"/>
      <c r="N110" s="392"/>
      <c r="O110" s="405"/>
      <c r="P110" s="405"/>
      <c r="Q110" s="480"/>
      <c r="R110" s="454"/>
      <c r="S110" s="455"/>
      <c r="T110" s="456"/>
      <c r="U110" s="457"/>
      <c r="V110" s="451"/>
      <c r="W110" s="451"/>
      <c r="X110" s="451"/>
      <c r="Y110" s="452"/>
      <c r="Z110" s="454"/>
      <c r="AA110" s="455"/>
      <c r="AB110" s="458"/>
      <c r="AC110" s="498"/>
      <c r="AD110" s="451"/>
      <c r="AE110" s="452"/>
      <c r="AF110" s="460"/>
      <c r="AG110" s="457"/>
      <c r="AH110" s="451"/>
      <c r="AI110" s="454"/>
    </row>
    <row r="111" spans="1:35" x14ac:dyDescent="0.25">
      <c r="A111" s="400" t="s">
        <v>139</v>
      </c>
      <c r="B111" s="401" t="s">
        <v>7</v>
      </c>
      <c r="C111" s="494">
        <f>$C$110*D111</f>
        <v>27388.197681970822</v>
      </c>
      <c r="D111" s="495">
        <v>0.1</v>
      </c>
      <c r="E111" s="495"/>
      <c r="F111" s="457"/>
      <c r="G111" s="451"/>
      <c r="H111" s="450"/>
      <c r="I111" s="451"/>
      <c r="J111" s="451"/>
      <c r="K111" s="451"/>
      <c r="L111" s="452"/>
      <c r="M111" s="392"/>
      <c r="N111" s="392"/>
      <c r="O111" s="405"/>
      <c r="P111" s="405"/>
      <c r="Q111" s="480"/>
      <c r="R111" s="454"/>
      <c r="S111" s="455"/>
      <c r="T111" s="456"/>
      <c r="U111" s="457"/>
      <c r="V111" s="451"/>
      <c r="W111" s="451"/>
      <c r="X111" s="451"/>
      <c r="Y111" s="452"/>
      <c r="Z111" s="454"/>
      <c r="AA111" s="455"/>
      <c r="AB111" s="458"/>
      <c r="AC111" s="498"/>
      <c r="AD111" s="451"/>
      <c r="AE111" s="452"/>
      <c r="AF111" s="460"/>
      <c r="AG111" s="457"/>
      <c r="AH111" s="451"/>
      <c r="AI111" s="454"/>
    </row>
    <row r="112" spans="1:35" ht="15" customHeight="1" outlineLevel="1" x14ac:dyDescent="0.25">
      <c r="A112" s="414"/>
      <c r="B112" s="437" t="s">
        <v>89</v>
      </c>
      <c r="C112" s="488">
        <f>$C$111/3</f>
        <v>9129.3992273236072</v>
      </c>
      <c r="D112" s="462">
        <f>C112/$C$111</f>
        <v>0.33333333333333331</v>
      </c>
      <c r="E112" s="463" t="s">
        <v>178</v>
      </c>
      <c r="F112" s="438">
        <f>C112*$AI$2</f>
        <v>2738.8197681970819</v>
      </c>
      <c r="G112" s="420"/>
      <c r="H112" s="420"/>
      <c r="I112" s="420"/>
      <c r="J112" s="420"/>
      <c r="K112" s="420"/>
      <c r="L112" s="421"/>
      <c r="M112" s="422"/>
      <c r="N112" s="422"/>
      <c r="O112" s="423"/>
      <c r="P112" s="423"/>
      <c r="Q112" s="420"/>
      <c r="R112" s="424">
        <f>C112*$AI$2</f>
        <v>2738.8197681970819</v>
      </c>
      <c r="S112" s="425"/>
      <c r="T112" s="426"/>
      <c r="U112" s="427"/>
      <c r="V112" s="427"/>
      <c r="W112" s="427"/>
      <c r="X112" s="427"/>
      <c r="Y112" s="428"/>
      <c r="Z112" s="429">
        <f>C112*$AI$2</f>
        <v>2738.8197681970819</v>
      </c>
      <c r="AA112" s="425"/>
      <c r="AB112" s="430"/>
      <c r="AC112" s="431"/>
      <c r="AD112" s="432"/>
      <c r="AE112" s="466"/>
      <c r="AF112" s="433"/>
      <c r="AG112" s="434"/>
      <c r="AH112" s="435"/>
      <c r="AI112" s="436">
        <f>C112*$AI$3</f>
        <v>912.93992273236074</v>
      </c>
    </row>
    <row r="113" spans="1:35" ht="15" customHeight="1" outlineLevel="1" x14ac:dyDescent="0.25">
      <c r="A113" s="414"/>
      <c r="B113" s="437" t="s">
        <v>101</v>
      </c>
      <c r="C113" s="488">
        <f t="shared" ref="C113:C114" si="22">$C$111/3</f>
        <v>9129.3992273236072</v>
      </c>
      <c r="D113" s="462">
        <f t="shared" ref="D113:D114" si="23">C113/$C$111</f>
        <v>0.33333333333333331</v>
      </c>
      <c r="E113" s="463" t="s">
        <v>178</v>
      </c>
      <c r="F113" s="438">
        <f>C113*$AI$2</f>
        <v>2738.8197681970819</v>
      </c>
      <c r="G113" s="420"/>
      <c r="H113" s="420"/>
      <c r="I113" s="420"/>
      <c r="J113" s="420"/>
      <c r="K113" s="420"/>
      <c r="L113" s="421"/>
      <c r="M113" s="422"/>
      <c r="N113" s="422"/>
      <c r="O113" s="423"/>
      <c r="P113" s="423"/>
      <c r="Q113" s="420"/>
      <c r="R113" s="424">
        <f>C113*$AI$2</f>
        <v>2738.8197681970819</v>
      </c>
      <c r="S113" s="425"/>
      <c r="T113" s="426"/>
      <c r="U113" s="427"/>
      <c r="V113" s="427"/>
      <c r="W113" s="427"/>
      <c r="X113" s="427"/>
      <c r="Y113" s="428"/>
      <c r="Z113" s="429">
        <f>C113*$AI$2</f>
        <v>2738.8197681970819</v>
      </c>
      <c r="AA113" s="425"/>
      <c r="AB113" s="430"/>
      <c r="AC113" s="431"/>
      <c r="AD113" s="432"/>
      <c r="AE113" s="466"/>
      <c r="AF113" s="433"/>
      <c r="AG113" s="434"/>
      <c r="AH113" s="435"/>
      <c r="AI113" s="436">
        <f>C113*$AI$3</f>
        <v>912.93992273236074</v>
      </c>
    </row>
    <row r="114" spans="1:35" ht="15" customHeight="1" outlineLevel="1" x14ac:dyDescent="0.25">
      <c r="A114" s="414"/>
      <c r="B114" s="437" t="s">
        <v>25</v>
      </c>
      <c r="C114" s="488">
        <f t="shared" si="22"/>
        <v>9129.3992273236072</v>
      </c>
      <c r="D114" s="462">
        <f t="shared" si="23"/>
        <v>0.33333333333333331</v>
      </c>
      <c r="E114" s="463" t="s">
        <v>178</v>
      </c>
      <c r="F114" s="438">
        <f>C114*$AI$2</f>
        <v>2738.8197681970819</v>
      </c>
      <c r="G114" s="420"/>
      <c r="H114" s="420"/>
      <c r="I114" s="420"/>
      <c r="J114" s="420"/>
      <c r="K114" s="420"/>
      <c r="L114" s="421"/>
      <c r="M114" s="422"/>
      <c r="N114" s="422"/>
      <c r="O114" s="423"/>
      <c r="P114" s="423"/>
      <c r="Q114" s="420"/>
      <c r="R114" s="424">
        <f>C114*$AI$2</f>
        <v>2738.8197681970819</v>
      </c>
      <c r="S114" s="425"/>
      <c r="T114" s="426"/>
      <c r="U114" s="427"/>
      <c r="V114" s="427"/>
      <c r="W114" s="427"/>
      <c r="X114" s="427"/>
      <c r="Y114" s="428"/>
      <c r="Z114" s="429">
        <f>C114*$AI$2</f>
        <v>2738.8197681970819</v>
      </c>
      <c r="AA114" s="425"/>
      <c r="AB114" s="430"/>
      <c r="AC114" s="431"/>
      <c r="AD114" s="432"/>
      <c r="AE114" s="466"/>
      <c r="AF114" s="433"/>
      <c r="AG114" s="434"/>
      <c r="AH114" s="435"/>
      <c r="AI114" s="436">
        <f>C114*$AI$3</f>
        <v>912.93992273236074</v>
      </c>
    </row>
    <row r="115" spans="1:35" x14ac:dyDescent="0.25">
      <c r="A115" s="400" t="s">
        <v>140</v>
      </c>
      <c r="B115" s="401" t="s">
        <v>26</v>
      </c>
      <c r="C115" s="494">
        <f>$C$110*D115</f>
        <v>191717.38377379571</v>
      </c>
      <c r="D115" s="495">
        <v>0.7</v>
      </c>
      <c r="E115" s="495"/>
      <c r="F115" s="457"/>
      <c r="G115" s="451"/>
      <c r="H115" s="451"/>
      <c r="I115" s="453"/>
      <c r="J115" s="451"/>
      <c r="K115" s="451"/>
      <c r="L115" s="452"/>
      <c r="M115" s="392"/>
      <c r="N115" s="392"/>
      <c r="O115" s="405"/>
      <c r="P115" s="405"/>
      <c r="Q115" s="480"/>
      <c r="R115" s="454"/>
      <c r="S115" s="455"/>
      <c r="T115" s="456"/>
      <c r="U115" s="457"/>
      <c r="V115" s="451"/>
      <c r="W115" s="451"/>
      <c r="X115" s="451"/>
      <c r="Y115" s="452"/>
      <c r="Z115" s="454"/>
      <c r="AA115" s="455"/>
      <c r="AB115" s="458"/>
      <c r="AC115" s="498"/>
      <c r="AD115" s="451"/>
      <c r="AE115" s="452"/>
      <c r="AF115" s="460"/>
      <c r="AG115" s="457"/>
      <c r="AH115" s="451"/>
      <c r="AI115" s="454"/>
    </row>
    <row r="116" spans="1:35" ht="15" customHeight="1" outlineLevel="1" x14ac:dyDescent="0.25">
      <c r="A116" s="414"/>
      <c r="B116" s="437" t="s">
        <v>26</v>
      </c>
      <c r="C116" s="488">
        <f>C115</f>
        <v>191717.38377379571</v>
      </c>
      <c r="D116" s="462">
        <f>C116/C115</f>
        <v>1</v>
      </c>
      <c r="E116" s="463" t="s">
        <v>178</v>
      </c>
      <c r="F116" s="497"/>
      <c r="G116" s="480"/>
      <c r="H116" s="480"/>
      <c r="I116" s="481"/>
      <c r="J116" s="481"/>
      <c r="K116" s="481"/>
      <c r="L116" s="438">
        <f>C116*$AI$2</f>
        <v>57515.215132138714</v>
      </c>
      <c r="M116" s="422"/>
      <c r="N116" s="422"/>
      <c r="O116" s="423"/>
      <c r="P116" s="423"/>
      <c r="Q116" s="420"/>
      <c r="R116" s="424">
        <f>C116*$AI$2</f>
        <v>57515.215132138714</v>
      </c>
      <c r="S116" s="425"/>
      <c r="T116" s="426"/>
      <c r="U116" s="427"/>
      <c r="V116" s="427"/>
      <c r="W116" s="427"/>
      <c r="X116" s="427"/>
      <c r="Y116" s="428"/>
      <c r="Z116" s="429">
        <f>C116*$AI$2</f>
        <v>57515.215132138714</v>
      </c>
      <c r="AA116" s="425"/>
      <c r="AB116" s="430"/>
      <c r="AC116" s="431"/>
      <c r="AD116" s="432"/>
      <c r="AE116" s="466"/>
      <c r="AF116" s="433"/>
      <c r="AG116" s="434"/>
      <c r="AH116" s="435"/>
      <c r="AI116" s="436">
        <f>C116*$AI$3</f>
        <v>19171.73837737957</v>
      </c>
    </row>
    <row r="117" spans="1:35" x14ac:dyDescent="0.25">
      <c r="A117" s="400" t="s">
        <v>141</v>
      </c>
      <c r="B117" s="401" t="s">
        <v>28</v>
      </c>
      <c r="C117" s="494">
        <f>$C$110*D117</f>
        <v>54776.395363941643</v>
      </c>
      <c r="D117" s="495">
        <v>0.2</v>
      </c>
      <c r="E117" s="495"/>
      <c r="F117" s="457"/>
      <c r="G117" s="451"/>
      <c r="H117" s="451"/>
      <c r="I117" s="451"/>
      <c r="J117" s="451"/>
      <c r="K117" s="451"/>
      <c r="L117" s="452"/>
      <c r="M117" s="392"/>
      <c r="N117" s="392"/>
      <c r="O117" s="405"/>
      <c r="P117" s="405"/>
      <c r="Q117" s="480"/>
      <c r="R117" s="454"/>
      <c r="S117" s="455"/>
      <c r="T117" s="456"/>
      <c r="U117" s="457"/>
      <c r="V117" s="451"/>
      <c r="W117" s="451"/>
      <c r="X117" s="451"/>
      <c r="Y117" s="452"/>
      <c r="Z117" s="454"/>
      <c r="AA117" s="455"/>
      <c r="AB117" s="458"/>
      <c r="AC117" s="498"/>
      <c r="AD117" s="451"/>
      <c r="AE117" s="452"/>
      <c r="AF117" s="460"/>
      <c r="AG117" s="457"/>
      <c r="AH117" s="451"/>
      <c r="AI117" s="454"/>
    </row>
    <row r="118" spans="1:35" ht="13.5" customHeight="1" outlineLevel="1" x14ac:dyDescent="0.25">
      <c r="A118" s="414"/>
      <c r="B118" s="437" t="s">
        <v>28</v>
      </c>
      <c r="C118" s="488">
        <f>C117</f>
        <v>54776.395363941643</v>
      </c>
      <c r="D118" s="462">
        <f>C118/C117</f>
        <v>1</v>
      </c>
      <c r="E118" s="463" t="s">
        <v>178</v>
      </c>
      <c r="F118" s="497"/>
      <c r="G118" s="480"/>
      <c r="H118" s="480"/>
      <c r="I118" s="481"/>
      <c r="J118" s="481"/>
      <c r="K118" s="481"/>
      <c r="L118" s="438">
        <f>C118*$AI$2</f>
        <v>16432.918609182492</v>
      </c>
      <c r="M118" s="422"/>
      <c r="N118" s="422"/>
      <c r="O118" s="423"/>
      <c r="P118" s="423"/>
      <c r="Q118" s="420"/>
      <c r="R118" s="424">
        <f>C118*$AI$2</f>
        <v>16432.918609182492</v>
      </c>
      <c r="S118" s="425"/>
      <c r="T118" s="426"/>
      <c r="U118" s="427"/>
      <c r="V118" s="427"/>
      <c r="W118" s="427"/>
      <c r="X118" s="427"/>
      <c r="Y118" s="428"/>
      <c r="Z118" s="429">
        <f>C118*$AI$2</f>
        <v>16432.918609182492</v>
      </c>
      <c r="AA118" s="425"/>
      <c r="AB118" s="430"/>
      <c r="AC118" s="431"/>
      <c r="AD118" s="432"/>
      <c r="AE118" s="466"/>
      <c r="AF118" s="433"/>
      <c r="AG118" s="434"/>
      <c r="AH118" s="435"/>
      <c r="AI118" s="436">
        <f>C118*$AI$3</f>
        <v>5477.6395363941647</v>
      </c>
    </row>
    <row r="119" spans="1:35" x14ac:dyDescent="0.25">
      <c r="A119" s="383">
        <v>7</v>
      </c>
      <c r="B119" s="384" t="s">
        <v>18</v>
      </c>
      <c r="C119" s="469">
        <f>C4*0.7</f>
        <v>1917173.8377379572</v>
      </c>
      <c r="D119" s="470">
        <f>SUM(D120,D127,D130,D134,D138,D140)</f>
        <v>1</v>
      </c>
      <c r="E119" s="470"/>
      <c r="F119" s="457"/>
      <c r="G119" s="451"/>
      <c r="H119" s="451"/>
      <c r="I119" s="451"/>
      <c r="J119" s="451"/>
      <c r="K119" s="451"/>
      <c r="L119" s="452"/>
      <c r="M119" s="392"/>
      <c r="N119" s="392"/>
      <c r="O119" s="405"/>
      <c r="P119" s="405"/>
      <c r="Q119" s="457"/>
      <c r="R119" s="454"/>
      <c r="S119" s="455"/>
      <c r="T119" s="456"/>
      <c r="U119" s="457"/>
      <c r="V119" s="451"/>
      <c r="W119" s="451"/>
      <c r="X119" s="451"/>
      <c r="Y119" s="452"/>
      <c r="Z119" s="454"/>
      <c r="AA119" s="455"/>
      <c r="AB119" s="458"/>
      <c r="AC119" s="498"/>
      <c r="AD119" s="451"/>
      <c r="AE119" s="452"/>
      <c r="AF119" s="460"/>
      <c r="AG119" s="457"/>
      <c r="AH119" s="451"/>
      <c r="AI119" s="454"/>
    </row>
    <row r="120" spans="1:35" x14ac:dyDescent="0.25">
      <c r="A120" s="400" t="s">
        <v>142</v>
      </c>
      <c r="B120" s="401" t="s">
        <v>7</v>
      </c>
      <c r="C120" s="494">
        <f>$C$119*D120</f>
        <v>57515.215132138714</v>
      </c>
      <c r="D120" s="495">
        <v>0.03</v>
      </c>
      <c r="E120" s="495"/>
      <c r="F120" s="457"/>
      <c r="G120" s="451"/>
      <c r="H120" s="451"/>
      <c r="I120" s="451"/>
      <c r="J120" s="451"/>
      <c r="K120" s="451"/>
      <c r="L120" s="452"/>
      <c r="M120" s="392"/>
      <c r="N120" s="392"/>
      <c r="O120" s="405"/>
      <c r="P120" s="405"/>
      <c r="Q120" s="457"/>
      <c r="R120" s="454"/>
      <c r="S120" s="455"/>
      <c r="T120" s="456"/>
      <c r="U120" s="457"/>
      <c r="V120" s="451"/>
      <c r="W120" s="451"/>
      <c r="X120" s="451"/>
      <c r="Y120" s="452"/>
      <c r="Z120" s="454"/>
      <c r="AA120" s="455"/>
      <c r="AB120" s="458"/>
      <c r="AC120" s="498"/>
      <c r="AD120" s="451"/>
      <c r="AE120" s="452"/>
      <c r="AF120" s="460"/>
      <c r="AG120" s="457"/>
      <c r="AH120" s="451"/>
      <c r="AI120" s="454"/>
    </row>
    <row r="121" spans="1:35" ht="15" customHeight="1" outlineLevel="2" x14ac:dyDescent="0.25">
      <c r="A121" s="414"/>
      <c r="B121" s="437" t="s">
        <v>97</v>
      </c>
      <c r="C121" s="488">
        <f>$C$120/6</f>
        <v>9585.869188689785</v>
      </c>
      <c r="D121" s="462">
        <f>C121/$C$120</f>
        <v>0.16666666666666666</v>
      </c>
      <c r="E121" s="463" t="s">
        <v>178</v>
      </c>
      <c r="F121" s="438">
        <f t="shared" ref="F121:F126" si="24">C121*$AI$2</f>
        <v>2875.7607566069355</v>
      </c>
      <c r="G121" s="420"/>
      <c r="H121" s="420"/>
      <c r="I121" s="420"/>
      <c r="J121" s="420"/>
      <c r="K121" s="420"/>
      <c r="L121" s="421"/>
      <c r="M121" s="422"/>
      <c r="N121" s="422"/>
      <c r="O121" s="423"/>
      <c r="P121" s="423"/>
      <c r="Q121" s="499"/>
      <c r="R121" s="424">
        <f t="shared" ref="R121:R126" si="25">C121*$AI$2</f>
        <v>2875.7607566069355</v>
      </c>
      <c r="S121" s="425"/>
      <c r="T121" s="426"/>
      <c r="U121" s="427"/>
      <c r="V121" s="427"/>
      <c r="W121" s="427"/>
      <c r="X121" s="427"/>
      <c r="Y121" s="428"/>
      <c r="Z121" s="429">
        <f t="shared" ref="Z121:Z126" si="26">C121*$AI$2</f>
        <v>2875.7607566069355</v>
      </c>
      <c r="AA121" s="425"/>
      <c r="AB121" s="430"/>
      <c r="AC121" s="431"/>
      <c r="AD121" s="432"/>
      <c r="AE121" s="466"/>
      <c r="AF121" s="433"/>
      <c r="AG121" s="434"/>
      <c r="AH121" s="435"/>
      <c r="AI121" s="436">
        <f t="shared" ref="AI121:AI126" si="27">C121*$AI$3</f>
        <v>958.5869188689785</v>
      </c>
    </row>
    <row r="122" spans="1:35" ht="15" customHeight="1" outlineLevel="2" x14ac:dyDescent="0.25">
      <c r="A122" s="414"/>
      <c r="B122" s="437" t="s">
        <v>89</v>
      </c>
      <c r="C122" s="488">
        <f t="shared" ref="C122:C126" si="28">$C$120/6</f>
        <v>9585.869188689785</v>
      </c>
      <c r="D122" s="462">
        <f t="shared" ref="D122:D126" si="29">C122/$C$120</f>
        <v>0.16666666666666666</v>
      </c>
      <c r="E122" s="463" t="s">
        <v>178</v>
      </c>
      <c r="F122" s="438">
        <f t="shared" si="24"/>
        <v>2875.7607566069355</v>
      </c>
      <c r="G122" s="420"/>
      <c r="H122" s="420"/>
      <c r="I122" s="420"/>
      <c r="J122" s="420"/>
      <c r="K122" s="420"/>
      <c r="L122" s="421"/>
      <c r="M122" s="422"/>
      <c r="N122" s="422"/>
      <c r="O122" s="423"/>
      <c r="P122" s="423"/>
      <c r="Q122" s="499"/>
      <c r="R122" s="424">
        <f t="shared" si="25"/>
        <v>2875.7607566069355</v>
      </c>
      <c r="S122" s="425"/>
      <c r="T122" s="426"/>
      <c r="U122" s="427"/>
      <c r="V122" s="427"/>
      <c r="W122" s="427"/>
      <c r="X122" s="427"/>
      <c r="Y122" s="428"/>
      <c r="Z122" s="429">
        <f t="shared" si="26"/>
        <v>2875.7607566069355</v>
      </c>
      <c r="AA122" s="425"/>
      <c r="AB122" s="430"/>
      <c r="AC122" s="431"/>
      <c r="AD122" s="432"/>
      <c r="AE122" s="466"/>
      <c r="AF122" s="433"/>
      <c r="AG122" s="434"/>
      <c r="AH122" s="435"/>
      <c r="AI122" s="436">
        <f t="shared" si="27"/>
        <v>958.5869188689785</v>
      </c>
    </row>
    <row r="123" spans="1:35" ht="15" customHeight="1" outlineLevel="2" x14ac:dyDescent="0.25">
      <c r="A123" s="414"/>
      <c r="B123" s="437" t="s">
        <v>98</v>
      </c>
      <c r="C123" s="488">
        <f t="shared" si="28"/>
        <v>9585.869188689785</v>
      </c>
      <c r="D123" s="462">
        <f t="shared" si="29"/>
        <v>0.16666666666666666</v>
      </c>
      <c r="E123" s="463" t="s">
        <v>178</v>
      </c>
      <c r="F123" s="438">
        <f t="shared" si="24"/>
        <v>2875.7607566069355</v>
      </c>
      <c r="G123" s="420"/>
      <c r="H123" s="420"/>
      <c r="I123" s="420"/>
      <c r="J123" s="420"/>
      <c r="K123" s="420"/>
      <c r="L123" s="421"/>
      <c r="M123" s="422"/>
      <c r="N123" s="422"/>
      <c r="O123" s="423"/>
      <c r="P123" s="423"/>
      <c r="Q123" s="499"/>
      <c r="R123" s="424">
        <f t="shared" si="25"/>
        <v>2875.7607566069355</v>
      </c>
      <c r="S123" s="425"/>
      <c r="T123" s="426"/>
      <c r="U123" s="427"/>
      <c r="V123" s="427"/>
      <c r="W123" s="427"/>
      <c r="X123" s="427"/>
      <c r="Y123" s="428"/>
      <c r="Z123" s="429">
        <f t="shared" si="26"/>
        <v>2875.7607566069355</v>
      </c>
      <c r="AA123" s="425"/>
      <c r="AB123" s="430"/>
      <c r="AC123" s="431"/>
      <c r="AD123" s="432"/>
      <c r="AE123" s="466"/>
      <c r="AF123" s="433"/>
      <c r="AG123" s="434"/>
      <c r="AH123" s="435"/>
      <c r="AI123" s="436">
        <f t="shared" si="27"/>
        <v>958.5869188689785</v>
      </c>
    </row>
    <row r="124" spans="1:35" ht="15" customHeight="1" outlineLevel="2" x14ac:dyDescent="0.25">
      <c r="A124" s="414"/>
      <c r="B124" s="437" t="s">
        <v>99</v>
      </c>
      <c r="C124" s="488">
        <f t="shared" si="28"/>
        <v>9585.869188689785</v>
      </c>
      <c r="D124" s="462">
        <f t="shared" si="29"/>
        <v>0.16666666666666666</v>
      </c>
      <c r="E124" s="463" t="s">
        <v>178</v>
      </c>
      <c r="F124" s="438">
        <f t="shared" si="24"/>
        <v>2875.7607566069355</v>
      </c>
      <c r="G124" s="420"/>
      <c r="H124" s="420"/>
      <c r="I124" s="420"/>
      <c r="J124" s="420"/>
      <c r="K124" s="420"/>
      <c r="L124" s="421"/>
      <c r="M124" s="422"/>
      <c r="N124" s="422"/>
      <c r="O124" s="423"/>
      <c r="P124" s="423"/>
      <c r="Q124" s="499"/>
      <c r="R124" s="424">
        <f t="shared" si="25"/>
        <v>2875.7607566069355</v>
      </c>
      <c r="S124" s="425"/>
      <c r="T124" s="426"/>
      <c r="U124" s="427"/>
      <c r="V124" s="427"/>
      <c r="W124" s="427"/>
      <c r="X124" s="427"/>
      <c r="Y124" s="428"/>
      <c r="Z124" s="429">
        <f t="shared" si="26"/>
        <v>2875.7607566069355</v>
      </c>
      <c r="AA124" s="425"/>
      <c r="AB124" s="430"/>
      <c r="AC124" s="431"/>
      <c r="AD124" s="432"/>
      <c r="AE124" s="466"/>
      <c r="AF124" s="433"/>
      <c r="AG124" s="434"/>
      <c r="AH124" s="435"/>
      <c r="AI124" s="436">
        <f t="shared" si="27"/>
        <v>958.5869188689785</v>
      </c>
    </row>
    <row r="125" spans="1:35" ht="15" customHeight="1" outlineLevel="2" x14ac:dyDescent="0.25">
      <c r="A125" s="414"/>
      <c r="B125" s="437" t="s">
        <v>100</v>
      </c>
      <c r="C125" s="488">
        <f t="shared" si="28"/>
        <v>9585.869188689785</v>
      </c>
      <c r="D125" s="462">
        <f t="shared" si="29"/>
        <v>0.16666666666666666</v>
      </c>
      <c r="E125" s="463" t="s">
        <v>178</v>
      </c>
      <c r="F125" s="438">
        <f t="shared" si="24"/>
        <v>2875.7607566069355</v>
      </c>
      <c r="G125" s="420"/>
      <c r="H125" s="420"/>
      <c r="I125" s="420"/>
      <c r="J125" s="420"/>
      <c r="K125" s="420"/>
      <c r="L125" s="421"/>
      <c r="M125" s="422"/>
      <c r="N125" s="422"/>
      <c r="O125" s="423"/>
      <c r="P125" s="423"/>
      <c r="Q125" s="499"/>
      <c r="R125" s="424">
        <f t="shared" si="25"/>
        <v>2875.7607566069355</v>
      </c>
      <c r="S125" s="425"/>
      <c r="T125" s="426"/>
      <c r="U125" s="427"/>
      <c r="V125" s="427"/>
      <c r="W125" s="427"/>
      <c r="X125" s="427"/>
      <c r="Y125" s="428"/>
      <c r="Z125" s="429">
        <f t="shared" si="26"/>
        <v>2875.7607566069355</v>
      </c>
      <c r="AA125" s="425"/>
      <c r="AB125" s="430"/>
      <c r="AC125" s="431"/>
      <c r="AD125" s="432"/>
      <c r="AE125" s="466"/>
      <c r="AF125" s="433"/>
      <c r="AG125" s="434"/>
      <c r="AH125" s="435"/>
      <c r="AI125" s="436">
        <f t="shared" si="27"/>
        <v>958.5869188689785</v>
      </c>
    </row>
    <row r="126" spans="1:35" ht="15" customHeight="1" outlineLevel="2" x14ac:dyDescent="0.25">
      <c r="A126" s="414"/>
      <c r="B126" s="437" t="s">
        <v>101</v>
      </c>
      <c r="C126" s="488">
        <f t="shared" si="28"/>
        <v>9585.869188689785</v>
      </c>
      <c r="D126" s="462">
        <f t="shared" si="29"/>
        <v>0.16666666666666666</v>
      </c>
      <c r="E126" s="463" t="s">
        <v>178</v>
      </c>
      <c r="F126" s="438">
        <f t="shared" si="24"/>
        <v>2875.7607566069355</v>
      </c>
      <c r="G126" s="420"/>
      <c r="H126" s="420"/>
      <c r="I126" s="420"/>
      <c r="J126" s="420"/>
      <c r="K126" s="420"/>
      <c r="L126" s="421"/>
      <c r="M126" s="422"/>
      <c r="N126" s="422"/>
      <c r="O126" s="423"/>
      <c r="P126" s="423"/>
      <c r="Q126" s="499"/>
      <c r="R126" s="424">
        <f t="shared" si="25"/>
        <v>2875.7607566069355</v>
      </c>
      <c r="S126" s="425"/>
      <c r="T126" s="426"/>
      <c r="U126" s="427"/>
      <c r="V126" s="427"/>
      <c r="W126" s="427"/>
      <c r="X126" s="427"/>
      <c r="Y126" s="428"/>
      <c r="Z126" s="429">
        <f t="shared" si="26"/>
        <v>2875.7607566069355</v>
      </c>
      <c r="AA126" s="425"/>
      <c r="AB126" s="430"/>
      <c r="AC126" s="431"/>
      <c r="AD126" s="432"/>
      <c r="AE126" s="466"/>
      <c r="AF126" s="433"/>
      <c r="AG126" s="434"/>
      <c r="AH126" s="435"/>
      <c r="AI126" s="436">
        <f t="shared" si="27"/>
        <v>958.5869188689785</v>
      </c>
    </row>
    <row r="127" spans="1:35" x14ac:dyDescent="0.25">
      <c r="A127" s="400" t="s">
        <v>143</v>
      </c>
      <c r="B127" s="401" t="s">
        <v>20</v>
      </c>
      <c r="C127" s="494">
        <f>$C$119*D127</f>
        <v>421778.24430235062</v>
      </c>
      <c r="D127" s="495">
        <v>0.22</v>
      </c>
      <c r="E127" s="495"/>
      <c r="F127" s="457"/>
      <c r="G127" s="451"/>
      <c r="H127" s="451"/>
      <c r="I127" s="451"/>
      <c r="J127" s="451"/>
      <c r="K127" s="451"/>
      <c r="L127" s="451"/>
      <c r="M127" s="451"/>
      <c r="N127" s="451"/>
      <c r="O127" s="451"/>
      <c r="P127" s="451"/>
      <c r="Q127" s="451"/>
      <c r="R127" s="454"/>
      <c r="S127" s="455"/>
      <c r="T127" s="456"/>
      <c r="U127" s="457"/>
      <c r="V127" s="451"/>
      <c r="W127" s="453"/>
      <c r="X127" s="451"/>
      <c r="Y127" s="452"/>
      <c r="Z127" s="454"/>
      <c r="AA127" s="455"/>
      <c r="AB127" s="458"/>
      <c r="AC127" s="459"/>
      <c r="AD127" s="451"/>
      <c r="AE127" s="452"/>
      <c r="AF127" s="460"/>
      <c r="AG127" s="457"/>
      <c r="AH127" s="451"/>
      <c r="AI127" s="454"/>
    </row>
    <row r="128" spans="1:35" ht="30" customHeight="1" outlineLevel="1" x14ac:dyDescent="0.25">
      <c r="A128" s="414"/>
      <c r="B128" s="415" t="s">
        <v>51</v>
      </c>
      <c r="C128" s="491">
        <f>C127*0.8</f>
        <v>337422.59544188052</v>
      </c>
      <c r="D128" s="462">
        <f>C128/C127</f>
        <v>0.8</v>
      </c>
      <c r="E128" s="463" t="s">
        <v>178</v>
      </c>
      <c r="F128" s="497"/>
      <c r="G128" s="480"/>
      <c r="H128" s="480"/>
      <c r="I128" s="480"/>
      <c r="J128" s="480"/>
      <c r="K128" s="481"/>
      <c r="L128" s="481"/>
      <c r="M128" s="481"/>
      <c r="N128" s="481"/>
      <c r="O128" s="481"/>
      <c r="P128" s="481"/>
      <c r="Q128" s="438">
        <f>C128*$AI$2</f>
        <v>101226.77863256415</v>
      </c>
      <c r="R128" s="424">
        <f>C128*$AI$2</f>
        <v>101226.77863256415</v>
      </c>
      <c r="S128" s="425"/>
      <c r="T128" s="426"/>
      <c r="U128" s="427"/>
      <c r="V128" s="427"/>
      <c r="W128" s="427"/>
      <c r="X128" s="427"/>
      <c r="Y128" s="428"/>
      <c r="Z128" s="429">
        <f>C128*$AI$2</f>
        <v>101226.77863256415</v>
      </c>
      <c r="AA128" s="425"/>
      <c r="AB128" s="430"/>
      <c r="AC128" s="431"/>
      <c r="AD128" s="432"/>
      <c r="AE128" s="466"/>
      <c r="AF128" s="433"/>
      <c r="AG128" s="434"/>
      <c r="AH128" s="435"/>
      <c r="AI128" s="436">
        <f>C128*$AI$3</f>
        <v>33742.259544188055</v>
      </c>
    </row>
    <row r="129" spans="1:35" ht="15" customHeight="1" outlineLevel="1" x14ac:dyDescent="0.25">
      <c r="A129" s="414"/>
      <c r="B129" s="437" t="s">
        <v>23</v>
      </c>
      <c r="C129" s="488">
        <f>C127*0.2</f>
        <v>84355.64886047013</v>
      </c>
      <c r="D129" s="462">
        <f>C129/C127</f>
        <v>0.2</v>
      </c>
      <c r="E129" s="463" t="s">
        <v>178</v>
      </c>
      <c r="F129" s="497"/>
      <c r="G129" s="480"/>
      <c r="H129" s="480"/>
      <c r="I129" s="480"/>
      <c r="J129" s="480"/>
      <c r="K129" s="481"/>
      <c r="L129" s="481"/>
      <c r="M129" s="481"/>
      <c r="N129" s="481"/>
      <c r="O129" s="481"/>
      <c r="P129" s="481"/>
      <c r="Q129" s="438">
        <f>C129*$AI$2</f>
        <v>25306.694658141038</v>
      </c>
      <c r="R129" s="424">
        <f>C129*$AI$2</f>
        <v>25306.694658141038</v>
      </c>
      <c r="S129" s="425"/>
      <c r="T129" s="426"/>
      <c r="U129" s="427"/>
      <c r="V129" s="427"/>
      <c r="W129" s="427"/>
      <c r="X129" s="427"/>
      <c r="Y129" s="428"/>
      <c r="Z129" s="429">
        <f>C129*$AI$2</f>
        <v>25306.694658141038</v>
      </c>
      <c r="AA129" s="425"/>
      <c r="AB129" s="430"/>
      <c r="AC129" s="431"/>
      <c r="AD129" s="432"/>
      <c r="AE129" s="466"/>
      <c r="AF129" s="433"/>
      <c r="AG129" s="434"/>
      <c r="AH129" s="435"/>
      <c r="AI129" s="436">
        <f>C129*$AI$3</f>
        <v>8435.5648860470137</v>
      </c>
    </row>
    <row r="130" spans="1:35" x14ac:dyDescent="0.25">
      <c r="A130" s="400" t="s">
        <v>144</v>
      </c>
      <c r="B130" s="401" t="s">
        <v>48</v>
      </c>
      <c r="C130" s="494">
        <f>$C$119*D130</f>
        <v>766869.53509518295</v>
      </c>
      <c r="D130" s="495">
        <v>0.4</v>
      </c>
      <c r="E130" s="495"/>
      <c r="F130" s="457"/>
      <c r="G130" s="451"/>
      <c r="H130" s="451"/>
      <c r="I130" s="451"/>
      <c r="J130" s="451"/>
      <c r="K130" s="451"/>
      <c r="L130" s="451"/>
      <c r="M130" s="392"/>
      <c r="N130" s="392"/>
      <c r="O130" s="405"/>
      <c r="P130" s="405"/>
      <c r="Q130" s="457"/>
      <c r="R130" s="454"/>
      <c r="S130" s="455"/>
      <c r="T130" s="456"/>
      <c r="U130" s="500"/>
      <c r="V130" s="451"/>
      <c r="W130" s="451"/>
      <c r="X130" s="451"/>
      <c r="Y130" s="452"/>
      <c r="Z130" s="454"/>
      <c r="AA130" s="455"/>
      <c r="AB130" s="458"/>
      <c r="AC130" s="459"/>
      <c r="AD130" s="451"/>
      <c r="AE130" s="452"/>
      <c r="AF130" s="460"/>
      <c r="AG130" s="457"/>
      <c r="AH130" s="451"/>
      <c r="AI130" s="454"/>
    </row>
    <row r="131" spans="1:35" ht="15" customHeight="1" outlineLevel="1" x14ac:dyDescent="0.25">
      <c r="A131" s="414"/>
      <c r="B131" s="437" t="s">
        <v>163</v>
      </c>
      <c r="C131" s="488">
        <f>$C$130/3</f>
        <v>255623.17836506097</v>
      </c>
      <c r="D131" s="462">
        <f>C131/$C$130</f>
        <v>0.33333333333333331</v>
      </c>
      <c r="E131" s="463" t="s">
        <v>178</v>
      </c>
      <c r="F131" s="497"/>
      <c r="G131" s="480"/>
      <c r="H131" s="480"/>
      <c r="I131" s="481"/>
      <c r="J131" s="481"/>
      <c r="K131" s="481"/>
      <c r="L131" s="481"/>
      <c r="M131" s="481"/>
      <c r="N131" s="481"/>
      <c r="O131" s="438">
        <f>C131*$AI$2</f>
        <v>76686.953509518295</v>
      </c>
      <c r="P131" s="405"/>
      <c r="Q131" s="499"/>
      <c r="R131" s="424">
        <f>C131*$AI$2</f>
        <v>76686.953509518295</v>
      </c>
      <c r="S131" s="425"/>
      <c r="T131" s="426"/>
      <c r="U131" s="427"/>
      <c r="V131" s="427"/>
      <c r="W131" s="427"/>
      <c r="X131" s="427"/>
      <c r="Y131" s="428"/>
      <c r="Z131" s="429">
        <f>C131*$AI$2</f>
        <v>76686.953509518295</v>
      </c>
      <c r="AA131" s="425"/>
      <c r="AB131" s="430"/>
      <c r="AC131" s="431"/>
      <c r="AD131" s="432"/>
      <c r="AE131" s="466"/>
      <c r="AF131" s="433"/>
      <c r="AG131" s="434"/>
      <c r="AH131" s="435"/>
      <c r="AI131" s="436">
        <f>C131*$AI$3</f>
        <v>25562.317836506099</v>
      </c>
    </row>
    <row r="132" spans="1:35" ht="15" customHeight="1" outlineLevel="1" x14ac:dyDescent="0.25">
      <c r="A132" s="414"/>
      <c r="B132" s="437" t="s">
        <v>164</v>
      </c>
      <c r="C132" s="488">
        <f t="shared" ref="C132:C133" si="30">$C$130/3</f>
        <v>255623.17836506097</v>
      </c>
      <c r="D132" s="462">
        <f t="shared" ref="D132:D133" si="31">C132/$C$130</f>
        <v>0.33333333333333331</v>
      </c>
      <c r="E132" s="463" t="s">
        <v>178</v>
      </c>
      <c r="F132" s="497"/>
      <c r="G132" s="480"/>
      <c r="H132" s="480"/>
      <c r="I132" s="480"/>
      <c r="J132" s="480"/>
      <c r="K132" s="480"/>
      <c r="L132" s="481"/>
      <c r="M132" s="481"/>
      <c r="N132" s="481"/>
      <c r="O132" s="481"/>
      <c r="P132" s="438">
        <f>C132*$AI$2</f>
        <v>76686.953509518295</v>
      </c>
      <c r="Q132" s="499"/>
      <c r="R132" s="424">
        <f>C132*$AI$2</f>
        <v>76686.953509518295</v>
      </c>
      <c r="S132" s="425"/>
      <c r="T132" s="426"/>
      <c r="U132" s="427"/>
      <c r="V132" s="427"/>
      <c r="W132" s="427"/>
      <c r="X132" s="427"/>
      <c r="Y132" s="428"/>
      <c r="Z132" s="429">
        <f>C132*$AI$2</f>
        <v>76686.953509518295</v>
      </c>
      <c r="AA132" s="425"/>
      <c r="AB132" s="430"/>
      <c r="AC132" s="431"/>
      <c r="AD132" s="432"/>
      <c r="AE132" s="466"/>
      <c r="AF132" s="433"/>
      <c r="AG132" s="434"/>
      <c r="AH132" s="435"/>
      <c r="AI132" s="436">
        <f>C132*$AI$3</f>
        <v>25562.317836506099</v>
      </c>
    </row>
    <row r="133" spans="1:35" ht="15" customHeight="1" outlineLevel="1" x14ac:dyDescent="0.25">
      <c r="A133" s="414"/>
      <c r="B133" s="437" t="s">
        <v>165</v>
      </c>
      <c r="C133" s="488">
        <f t="shared" si="30"/>
        <v>255623.17836506097</v>
      </c>
      <c r="D133" s="462">
        <f t="shared" si="31"/>
        <v>0.33333333333333331</v>
      </c>
      <c r="E133" s="463" t="s">
        <v>178</v>
      </c>
      <c r="F133" s="497"/>
      <c r="G133" s="480"/>
      <c r="H133" s="480"/>
      <c r="I133" s="451"/>
      <c r="J133" s="451"/>
      <c r="K133" s="480"/>
      <c r="L133" s="481"/>
      <c r="M133" s="481"/>
      <c r="N133" s="481"/>
      <c r="O133" s="481"/>
      <c r="P133" s="438">
        <f>C133*$AI$2</f>
        <v>76686.953509518295</v>
      </c>
      <c r="Q133" s="499"/>
      <c r="R133" s="424">
        <f>C133*$AI$2</f>
        <v>76686.953509518295</v>
      </c>
      <c r="S133" s="425"/>
      <c r="T133" s="426"/>
      <c r="U133" s="427"/>
      <c r="V133" s="427"/>
      <c r="W133" s="427"/>
      <c r="X133" s="427"/>
      <c r="Y133" s="428"/>
      <c r="Z133" s="429">
        <f>C133*$AI$2</f>
        <v>76686.953509518295</v>
      </c>
      <c r="AA133" s="425"/>
      <c r="AB133" s="430"/>
      <c r="AC133" s="431"/>
      <c r="AD133" s="432"/>
      <c r="AE133" s="466"/>
      <c r="AF133" s="433"/>
      <c r="AG133" s="434"/>
      <c r="AH133" s="435"/>
      <c r="AI133" s="436">
        <f>C133*$AI$3</f>
        <v>25562.317836506099</v>
      </c>
    </row>
    <row r="134" spans="1:35" x14ac:dyDescent="0.25">
      <c r="A134" s="400" t="s">
        <v>145</v>
      </c>
      <c r="B134" s="401" t="s">
        <v>34</v>
      </c>
      <c r="C134" s="494">
        <f>$C$119*D134</f>
        <v>383434.76754759147</v>
      </c>
      <c r="D134" s="495">
        <v>0.2</v>
      </c>
      <c r="E134" s="495"/>
      <c r="F134" s="457"/>
      <c r="G134" s="451"/>
      <c r="H134" s="451"/>
      <c r="I134" s="451"/>
      <c r="J134" s="451"/>
      <c r="K134" s="451"/>
      <c r="L134" s="452"/>
      <c r="M134" s="392"/>
      <c r="N134" s="392"/>
      <c r="O134" s="405"/>
      <c r="P134" s="405"/>
      <c r="Q134" s="457"/>
      <c r="R134" s="454"/>
      <c r="S134" s="455"/>
      <c r="T134" s="456"/>
      <c r="U134" s="500"/>
      <c r="V134" s="451"/>
      <c r="W134" s="451"/>
      <c r="X134" s="451"/>
      <c r="Y134" s="452"/>
      <c r="Z134" s="454"/>
      <c r="AA134" s="455"/>
      <c r="AB134" s="458"/>
      <c r="AC134" s="459"/>
      <c r="AD134" s="451"/>
      <c r="AE134" s="452"/>
      <c r="AF134" s="460"/>
      <c r="AG134" s="457"/>
      <c r="AH134" s="451"/>
      <c r="AI134" s="454"/>
    </row>
    <row r="135" spans="1:35" ht="15" customHeight="1" outlineLevel="1" x14ac:dyDescent="0.25">
      <c r="A135" s="414"/>
      <c r="B135" s="437" t="s">
        <v>35</v>
      </c>
      <c r="C135" s="491">
        <f>$C$134*0.3</f>
        <v>115030.43026427744</v>
      </c>
      <c r="D135" s="462">
        <f>C135/$C$134</f>
        <v>0.3</v>
      </c>
      <c r="E135" s="463" t="s">
        <v>178</v>
      </c>
      <c r="F135" s="497"/>
      <c r="G135" s="480"/>
      <c r="H135" s="480"/>
      <c r="I135" s="480"/>
      <c r="J135" s="481"/>
      <c r="K135" s="481"/>
      <c r="L135" s="481"/>
      <c r="M135" s="438">
        <f>C135*$AI$2</f>
        <v>34509.12907928323</v>
      </c>
      <c r="N135" s="422"/>
      <c r="O135" s="423"/>
      <c r="P135" s="423"/>
      <c r="Q135" s="501"/>
      <c r="R135" s="424">
        <f>C135*$AI$2</f>
        <v>34509.12907928323</v>
      </c>
      <c r="S135" s="425"/>
      <c r="T135" s="426"/>
      <c r="U135" s="427"/>
      <c r="V135" s="427"/>
      <c r="W135" s="427"/>
      <c r="X135" s="427"/>
      <c r="Y135" s="428"/>
      <c r="Z135" s="429">
        <f>C135*$AI$2</f>
        <v>34509.12907928323</v>
      </c>
      <c r="AA135" s="425"/>
      <c r="AB135" s="430"/>
      <c r="AC135" s="431"/>
      <c r="AD135" s="432"/>
      <c r="AE135" s="466"/>
      <c r="AF135" s="433"/>
      <c r="AG135" s="434"/>
      <c r="AH135" s="435"/>
      <c r="AI135" s="436">
        <f>C135*$AI$3</f>
        <v>11503.043026427746</v>
      </c>
    </row>
    <row r="136" spans="1:35" ht="30" customHeight="1" outlineLevel="1" x14ac:dyDescent="0.25">
      <c r="A136" s="414"/>
      <c r="B136" s="415" t="s">
        <v>31</v>
      </c>
      <c r="C136" s="491">
        <f>$C$134*0.3</f>
        <v>115030.43026427744</v>
      </c>
      <c r="D136" s="462">
        <f t="shared" ref="D136:D137" si="32">C136/$C$134</f>
        <v>0.3</v>
      </c>
      <c r="E136" s="463" t="s">
        <v>178</v>
      </c>
      <c r="F136" s="497"/>
      <c r="G136" s="480"/>
      <c r="H136" s="480"/>
      <c r="I136" s="480"/>
      <c r="J136" s="481"/>
      <c r="K136" s="481"/>
      <c r="L136" s="481"/>
      <c r="M136" s="438">
        <f>C136*$AI$2</f>
        <v>34509.12907928323</v>
      </c>
      <c r="N136" s="422"/>
      <c r="O136" s="423"/>
      <c r="P136" s="423"/>
      <c r="Q136" s="501"/>
      <c r="R136" s="424">
        <f>C136*$AI$2</f>
        <v>34509.12907928323</v>
      </c>
      <c r="S136" s="425"/>
      <c r="T136" s="426"/>
      <c r="U136" s="427"/>
      <c r="V136" s="427"/>
      <c r="W136" s="427"/>
      <c r="X136" s="427"/>
      <c r="Y136" s="428"/>
      <c r="Z136" s="429">
        <f>C136*$AI$2</f>
        <v>34509.12907928323</v>
      </c>
      <c r="AA136" s="425"/>
      <c r="AB136" s="430"/>
      <c r="AC136" s="431"/>
      <c r="AD136" s="432"/>
      <c r="AE136" s="466"/>
      <c r="AF136" s="433"/>
      <c r="AG136" s="434"/>
      <c r="AH136" s="435"/>
      <c r="AI136" s="436">
        <f>C136*$AI$3</f>
        <v>11503.043026427746</v>
      </c>
    </row>
    <row r="137" spans="1:35" ht="30" customHeight="1" outlineLevel="1" x14ac:dyDescent="0.25">
      <c r="A137" s="414"/>
      <c r="B137" s="415" t="s">
        <v>33</v>
      </c>
      <c r="C137" s="491">
        <f>$C$134*0.4</f>
        <v>153373.90701903659</v>
      </c>
      <c r="D137" s="462">
        <f t="shared" si="32"/>
        <v>0.4</v>
      </c>
      <c r="E137" s="463" t="s">
        <v>178</v>
      </c>
      <c r="F137" s="497"/>
      <c r="G137" s="480"/>
      <c r="H137" s="480"/>
      <c r="I137" s="480"/>
      <c r="J137" s="481"/>
      <c r="K137" s="481"/>
      <c r="L137" s="481"/>
      <c r="M137" s="481"/>
      <c r="N137" s="438">
        <f>C137*$AI$2</f>
        <v>46012.172105710975</v>
      </c>
      <c r="O137" s="423"/>
      <c r="P137" s="423"/>
      <c r="Q137" s="501"/>
      <c r="R137" s="424">
        <f>C137*$AI$2</f>
        <v>46012.172105710975</v>
      </c>
      <c r="S137" s="425"/>
      <c r="T137" s="426"/>
      <c r="U137" s="427"/>
      <c r="V137" s="427"/>
      <c r="W137" s="427"/>
      <c r="X137" s="427"/>
      <c r="Y137" s="428"/>
      <c r="Z137" s="429">
        <f>C137*$AI$2</f>
        <v>46012.172105710975</v>
      </c>
      <c r="AA137" s="425"/>
      <c r="AB137" s="430"/>
      <c r="AC137" s="431"/>
      <c r="AD137" s="432"/>
      <c r="AE137" s="466"/>
      <c r="AF137" s="433"/>
      <c r="AG137" s="434"/>
      <c r="AH137" s="435"/>
      <c r="AI137" s="436">
        <f>C137*$AI$3</f>
        <v>15337.39070190366</v>
      </c>
    </row>
    <row r="138" spans="1:35" x14ac:dyDescent="0.25">
      <c r="A138" s="400" t="s">
        <v>146</v>
      </c>
      <c r="B138" s="401" t="s">
        <v>26</v>
      </c>
      <c r="C138" s="494">
        <f>$C$119*D138</f>
        <v>191717.38377379574</v>
      </c>
      <c r="D138" s="495">
        <v>0.1</v>
      </c>
      <c r="E138" s="495"/>
      <c r="F138" s="457"/>
      <c r="G138" s="451"/>
      <c r="H138" s="451"/>
      <c r="I138" s="451"/>
      <c r="J138" s="451"/>
      <c r="K138" s="451"/>
      <c r="L138" s="452"/>
      <c r="M138" s="392"/>
      <c r="N138" s="392"/>
      <c r="O138" s="405"/>
      <c r="P138" s="405"/>
      <c r="Q138" s="457"/>
      <c r="R138" s="496"/>
      <c r="S138" s="455"/>
      <c r="T138" s="456"/>
      <c r="U138" s="500"/>
      <c r="V138" s="451"/>
      <c r="W138" s="451"/>
      <c r="X138" s="451"/>
      <c r="Y138" s="452"/>
      <c r="Z138" s="496"/>
      <c r="AA138" s="455"/>
      <c r="AB138" s="458"/>
      <c r="AC138" s="459"/>
      <c r="AD138" s="451"/>
      <c r="AE138" s="452"/>
      <c r="AF138" s="460"/>
      <c r="AG138" s="457"/>
      <c r="AH138" s="451"/>
      <c r="AI138" s="496"/>
    </row>
    <row r="139" spans="1:35" ht="15" customHeight="1" outlineLevel="1" x14ac:dyDescent="0.25">
      <c r="A139" s="414"/>
      <c r="B139" s="437" t="s">
        <v>26</v>
      </c>
      <c r="C139" s="488">
        <f>C138</f>
        <v>191717.38377379574</v>
      </c>
      <c r="D139" s="462">
        <f>C139/C138</f>
        <v>1</v>
      </c>
      <c r="E139" s="463" t="s">
        <v>178</v>
      </c>
      <c r="F139" s="497"/>
      <c r="G139" s="480"/>
      <c r="H139" s="480"/>
      <c r="I139" s="480"/>
      <c r="J139" s="481"/>
      <c r="K139" s="481"/>
      <c r="L139" s="481"/>
      <c r="M139" s="481"/>
      <c r="N139" s="438">
        <f>C139*$AI$2</f>
        <v>57515.215132138721</v>
      </c>
      <c r="O139" s="423"/>
      <c r="P139" s="423"/>
      <c r="Q139" s="499"/>
      <c r="R139" s="424">
        <f>C139*$AI$2</f>
        <v>57515.215132138721</v>
      </c>
      <c r="S139" s="425"/>
      <c r="T139" s="426"/>
      <c r="U139" s="427"/>
      <c r="V139" s="427"/>
      <c r="W139" s="427"/>
      <c r="X139" s="427"/>
      <c r="Y139" s="428"/>
      <c r="Z139" s="429">
        <f>C139*$AI$2</f>
        <v>57515.215132138721</v>
      </c>
      <c r="AA139" s="425"/>
      <c r="AB139" s="430"/>
      <c r="AC139" s="431"/>
      <c r="AD139" s="432"/>
      <c r="AE139" s="466"/>
      <c r="AF139" s="433"/>
      <c r="AG139" s="434"/>
      <c r="AH139" s="435"/>
      <c r="AI139" s="436">
        <f>C139*$AI$3</f>
        <v>19171.738377379574</v>
      </c>
    </row>
    <row r="140" spans="1:35" x14ac:dyDescent="0.25">
      <c r="A140" s="400" t="s">
        <v>157</v>
      </c>
      <c r="B140" s="401" t="s">
        <v>28</v>
      </c>
      <c r="C140" s="494">
        <f>$C$119*D140</f>
        <v>95858.691886897868</v>
      </c>
      <c r="D140" s="495">
        <v>0.05</v>
      </c>
      <c r="E140" s="495"/>
      <c r="F140" s="457"/>
      <c r="G140" s="451"/>
      <c r="H140" s="451"/>
      <c r="I140" s="451"/>
      <c r="J140" s="451"/>
      <c r="K140" s="451"/>
      <c r="L140" s="452"/>
      <c r="M140" s="392"/>
      <c r="N140" s="392"/>
      <c r="O140" s="405"/>
      <c r="P140" s="405"/>
      <c r="Q140" s="457"/>
      <c r="R140" s="454"/>
      <c r="S140" s="455"/>
      <c r="T140" s="456"/>
      <c r="V140" s="451"/>
      <c r="W140" s="451"/>
      <c r="X140" s="451"/>
      <c r="Y140" s="452"/>
      <c r="Z140" s="454"/>
      <c r="AA140" s="455"/>
      <c r="AB140" s="458"/>
      <c r="AC140" s="459"/>
      <c r="AD140" s="453"/>
      <c r="AE140" s="452"/>
      <c r="AF140" s="460"/>
      <c r="AG140" s="457"/>
      <c r="AH140" s="451"/>
      <c r="AI140" s="454"/>
    </row>
    <row r="141" spans="1:35" ht="15" customHeight="1" outlineLevel="1" x14ac:dyDescent="0.25">
      <c r="A141" s="414"/>
      <c r="B141" s="437" t="s">
        <v>28</v>
      </c>
      <c r="C141" s="488">
        <f>C140</f>
        <v>95858.691886897868</v>
      </c>
      <c r="D141" s="462">
        <f>C141/C140</f>
        <v>1</v>
      </c>
      <c r="E141" s="463" t="s">
        <v>178</v>
      </c>
      <c r="F141" s="497"/>
      <c r="G141" s="480"/>
      <c r="H141" s="480"/>
      <c r="I141" s="480"/>
      <c r="J141" s="481"/>
      <c r="K141" s="481"/>
      <c r="L141" s="481"/>
      <c r="M141" s="481"/>
      <c r="N141" s="438">
        <f>C141*$AI$2</f>
        <v>28757.60756606936</v>
      </c>
      <c r="O141" s="423"/>
      <c r="P141" s="423"/>
      <c r="Q141" s="499"/>
      <c r="R141" s="424">
        <f>C141*$AI$2</f>
        <v>28757.60756606936</v>
      </c>
      <c r="S141" s="425"/>
      <c r="T141" s="426"/>
      <c r="U141" s="427"/>
      <c r="V141" s="427"/>
      <c r="W141" s="427"/>
      <c r="X141" s="427"/>
      <c r="Y141" s="428"/>
      <c r="Z141" s="429">
        <f>C141*$AI$2</f>
        <v>28757.60756606936</v>
      </c>
      <c r="AA141" s="425"/>
      <c r="AB141" s="430"/>
      <c r="AC141" s="431"/>
      <c r="AD141" s="432"/>
      <c r="AE141" s="466"/>
      <c r="AF141" s="433"/>
      <c r="AG141" s="434"/>
      <c r="AH141" s="435"/>
      <c r="AI141" s="436">
        <f>C141*$AI$3</f>
        <v>9585.8691886897868</v>
      </c>
    </row>
    <row r="142" spans="1:35" x14ac:dyDescent="0.25">
      <c r="A142" s="383">
        <v>8</v>
      </c>
      <c r="B142" s="384" t="s">
        <v>10</v>
      </c>
      <c r="C142" s="469">
        <f>'[2]Parte B'!$G$124</f>
        <v>811207.02574750676</v>
      </c>
      <c r="D142" s="470">
        <f>SUM(D143,D145,D147)</f>
        <v>1</v>
      </c>
      <c r="E142" s="470"/>
      <c r="F142" s="457"/>
      <c r="G142" s="451"/>
      <c r="H142" s="451"/>
      <c r="I142" s="451"/>
      <c r="J142" s="451"/>
      <c r="K142" s="451"/>
      <c r="L142" s="452"/>
      <c r="M142" s="392"/>
      <c r="N142" s="392"/>
      <c r="O142" s="405"/>
      <c r="P142" s="405"/>
      <c r="Q142" s="457"/>
      <c r="R142" s="454"/>
      <c r="S142" s="455"/>
      <c r="T142" s="456"/>
      <c r="U142" s="457"/>
      <c r="V142" s="451"/>
      <c r="W142" s="451"/>
      <c r="X142" s="451"/>
      <c r="Y142" s="452"/>
      <c r="Z142" s="454"/>
      <c r="AA142" s="455"/>
      <c r="AB142" s="458"/>
      <c r="AC142" s="459"/>
      <c r="AD142" s="451"/>
      <c r="AE142" s="452"/>
      <c r="AF142" s="460"/>
      <c r="AG142" s="457"/>
      <c r="AH142" s="451"/>
      <c r="AI142" s="454"/>
    </row>
    <row r="143" spans="1:35" x14ac:dyDescent="0.25">
      <c r="A143" s="400" t="s">
        <v>147</v>
      </c>
      <c r="B143" s="401" t="s">
        <v>7</v>
      </c>
      <c r="C143" s="494">
        <f>$C$142*D143</f>
        <v>24336.210772425202</v>
      </c>
      <c r="D143" s="495">
        <v>0.03</v>
      </c>
      <c r="E143" s="495"/>
      <c r="F143" s="457"/>
      <c r="G143" s="451"/>
      <c r="H143" s="451"/>
      <c r="I143" s="451"/>
      <c r="J143" s="451"/>
      <c r="K143" s="451"/>
      <c r="L143" s="452"/>
      <c r="M143" s="392"/>
      <c r="N143" s="392"/>
      <c r="O143" s="405"/>
      <c r="P143" s="405"/>
      <c r="Q143" s="457"/>
      <c r="R143" s="454"/>
      <c r="S143" s="455"/>
      <c r="T143" s="456"/>
      <c r="U143" s="457"/>
      <c r="V143" s="451"/>
      <c r="W143" s="451"/>
      <c r="X143" s="451"/>
      <c r="Y143" s="452"/>
      <c r="Z143" s="454"/>
      <c r="AA143" s="455"/>
      <c r="AB143" s="458"/>
      <c r="AC143" s="459"/>
      <c r="AD143" s="451"/>
      <c r="AE143" s="452"/>
      <c r="AF143" s="460"/>
      <c r="AG143" s="457"/>
      <c r="AH143" s="451"/>
      <c r="AI143" s="454"/>
    </row>
    <row r="144" spans="1:35" ht="15" customHeight="1" outlineLevel="1" x14ac:dyDescent="0.25">
      <c r="A144" s="414"/>
      <c r="B144" s="437" t="s">
        <v>24</v>
      </c>
      <c r="C144" s="488">
        <f>C143</f>
        <v>24336.210772425202</v>
      </c>
      <c r="D144" s="462">
        <f>C144/C143</f>
        <v>1</v>
      </c>
      <c r="E144" s="463" t="s">
        <v>178</v>
      </c>
      <c r="F144" s="438">
        <f>C144*$AI$2</f>
        <v>7300.8632317275606</v>
      </c>
      <c r="G144" s="420"/>
      <c r="H144" s="420"/>
      <c r="I144" s="420"/>
      <c r="J144" s="420"/>
      <c r="K144" s="420"/>
      <c r="L144" s="421"/>
      <c r="M144" s="422"/>
      <c r="N144" s="422"/>
      <c r="O144" s="423"/>
      <c r="P144" s="423"/>
      <c r="Q144" s="499"/>
      <c r="R144" s="424">
        <f>C144*$AI$2</f>
        <v>7300.8632317275606</v>
      </c>
      <c r="S144" s="425"/>
      <c r="T144" s="426"/>
      <c r="U144" s="427"/>
      <c r="V144" s="427"/>
      <c r="W144" s="427"/>
      <c r="X144" s="427"/>
      <c r="Y144" s="428"/>
      <c r="Z144" s="429">
        <f>C144*$AI$2</f>
        <v>7300.8632317275606</v>
      </c>
      <c r="AA144" s="425"/>
      <c r="AB144" s="430"/>
      <c r="AC144" s="431"/>
      <c r="AD144" s="432"/>
      <c r="AE144" s="466"/>
      <c r="AF144" s="433"/>
      <c r="AG144" s="434"/>
      <c r="AH144" s="435"/>
      <c r="AI144" s="436">
        <f>C144*$AI$3</f>
        <v>2433.6210772425202</v>
      </c>
    </row>
    <row r="145" spans="1:35" x14ac:dyDescent="0.25">
      <c r="A145" s="400" t="s">
        <v>148</v>
      </c>
      <c r="B145" s="401" t="s">
        <v>26</v>
      </c>
      <c r="C145" s="494">
        <f>$C$142*D145</f>
        <v>648965.62059800548</v>
      </c>
      <c r="D145" s="495">
        <v>0.8</v>
      </c>
      <c r="E145" s="495"/>
      <c r="F145" s="457"/>
      <c r="G145" s="451"/>
      <c r="H145" s="451"/>
      <c r="I145" s="451"/>
      <c r="J145" s="453"/>
      <c r="K145" s="451"/>
      <c r="L145" s="452"/>
      <c r="M145" s="392"/>
      <c r="N145" s="392"/>
      <c r="O145" s="405"/>
      <c r="P145" s="405"/>
      <c r="Q145" s="457"/>
      <c r="R145" s="454"/>
      <c r="S145" s="455"/>
      <c r="T145" s="456"/>
      <c r="U145" s="457"/>
      <c r="V145" s="453"/>
      <c r="W145" s="453"/>
      <c r="X145" s="451"/>
      <c r="Y145" s="452"/>
      <c r="Z145" s="454"/>
      <c r="AA145" s="455"/>
      <c r="AB145" s="458"/>
      <c r="AC145" s="459"/>
      <c r="AD145" s="451"/>
      <c r="AE145" s="452"/>
      <c r="AF145" s="460"/>
      <c r="AG145" s="457"/>
      <c r="AH145" s="451"/>
      <c r="AI145" s="454"/>
    </row>
    <row r="146" spans="1:35" ht="15" customHeight="1" outlineLevel="1" x14ac:dyDescent="0.25">
      <c r="A146" s="414"/>
      <c r="B146" s="437" t="s">
        <v>26</v>
      </c>
      <c r="C146" s="488">
        <f>C145</f>
        <v>648965.62059800548</v>
      </c>
      <c r="D146" s="462">
        <f>C146/C145</f>
        <v>1</v>
      </c>
      <c r="E146" s="463" t="s">
        <v>178</v>
      </c>
      <c r="F146" s="497"/>
      <c r="G146" s="480"/>
      <c r="H146" s="480"/>
      <c r="I146" s="480"/>
      <c r="J146" s="481"/>
      <c r="K146" s="481"/>
      <c r="L146" s="481"/>
      <c r="M146" s="481"/>
      <c r="N146" s="438">
        <f>C146*$AI$2</f>
        <v>194689.68617940164</v>
      </c>
      <c r="O146" s="423"/>
      <c r="P146" s="423"/>
      <c r="Q146" s="499"/>
      <c r="R146" s="424">
        <f>C146*$AI$2</f>
        <v>194689.68617940164</v>
      </c>
      <c r="S146" s="425"/>
      <c r="T146" s="426"/>
      <c r="U146" s="427"/>
      <c r="V146" s="427"/>
      <c r="W146" s="427"/>
      <c r="X146" s="427"/>
      <c r="Y146" s="428"/>
      <c r="Z146" s="429">
        <f>C146*$AI$2</f>
        <v>194689.68617940164</v>
      </c>
      <c r="AA146" s="425"/>
      <c r="AB146" s="430"/>
      <c r="AC146" s="431"/>
      <c r="AD146" s="432"/>
      <c r="AE146" s="466"/>
      <c r="AF146" s="433"/>
      <c r="AG146" s="434"/>
      <c r="AH146" s="435"/>
      <c r="AI146" s="436">
        <f>C146*$AI$3</f>
        <v>64896.562059800548</v>
      </c>
    </row>
    <row r="147" spans="1:35" x14ac:dyDescent="0.25">
      <c r="A147" s="400" t="s">
        <v>149</v>
      </c>
      <c r="B147" s="401" t="s">
        <v>28</v>
      </c>
      <c r="C147" s="494">
        <f>$C$142*D147</f>
        <v>137905.19437707617</v>
      </c>
      <c r="D147" s="495">
        <v>0.17</v>
      </c>
      <c r="E147" s="495"/>
      <c r="F147" s="457"/>
      <c r="G147" s="451"/>
      <c r="H147" s="451"/>
      <c r="I147" s="451"/>
      <c r="J147" s="451"/>
      <c r="K147" s="451"/>
      <c r="L147" s="452"/>
      <c r="M147" s="392"/>
      <c r="N147" s="392"/>
      <c r="O147" s="405"/>
      <c r="P147" s="405"/>
      <c r="Q147" s="457"/>
      <c r="R147" s="454"/>
      <c r="S147" s="455"/>
      <c r="T147" s="456"/>
      <c r="U147" s="457"/>
      <c r="V147" s="451"/>
      <c r="W147" s="453"/>
      <c r="X147" s="451"/>
      <c r="Y147" s="452"/>
      <c r="Z147" s="454"/>
      <c r="AA147" s="455"/>
      <c r="AB147" s="458"/>
      <c r="AC147" s="459"/>
      <c r="AD147" s="453"/>
      <c r="AE147" s="502"/>
      <c r="AF147" s="460"/>
      <c r="AG147" s="457"/>
      <c r="AH147" s="451"/>
      <c r="AI147" s="454"/>
    </row>
    <row r="148" spans="1:35" ht="15" customHeight="1" outlineLevel="1" x14ac:dyDescent="0.25">
      <c r="A148" s="414"/>
      <c r="B148" s="437" t="s">
        <v>28</v>
      </c>
      <c r="C148" s="488">
        <f>C147</f>
        <v>137905.19437707617</v>
      </c>
      <c r="D148" s="462">
        <f>C148/C147</f>
        <v>1</v>
      </c>
      <c r="E148" s="463" t="s">
        <v>178</v>
      </c>
      <c r="F148" s="497"/>
      <c r="G148" s="480"/>
      <c r="H148" s="480"/>
      <c r="I148" s="480"/>
      <c r="J148" s="481"/>
      <c r="K148" s="481"/>
      <c r="L148" s="481"/>
      <c r="M148" s="481"/>
      <c r="N148" s="438">
        <f>C148*$AI$2</f>
        <v>41371.558313122849</v>
      </c>
      <c r="O148" s="423"/>
      <c r="P148" s="423"/>
      <c r="Q148" s="499"/>
      <c r="R148" s="424">
        <f>C148*$AI$2</f>
        <v>41371.558313122849</v>
      </c>
      <c r="S148" s="425"/>
      <c r="T148" s="426"/>
      <c r="U148" s="427"/>
      <c r="V148" s="427"/>
      <c r="W148" s="427"/>
      <c r="X148" s="427"/>
      <c r="Y148" s="428"/>
      <c r="Z148" s="429">
        <f>C148*$AI$2</f>
        <v>41371.558313122849</v>
      </c>
      <c r="AA148" s="425"/>
      <c r="AB148" s="430"/>
      <c r="AC148" s="431"/>
      <c r="AD148" s="476"/>
      <c r="AE148" s="477"/>
      <c r="AF148" s="460"/>
      <c r="AG148" s="478"/>
      <c r="AH148" s="479"/>
      <c r="AI148" s="436">
        <f>C148*$AI$3</f>
        <v>13790.519437707619</v>
      </c>
    </row>
    <row r="149" spans="1:35" x14ac:dyDescent="0.25">
      <c r="A149" s="383">
        <v>9</v>
      </c>
      <c r="B149" s="384" t="s">
        <v>27</v>
      </c>
      <c r="C149" s="469">
        <f>'[2]Parte B'!$G$142+'[2]Parte B'!$G$131</f>
        <v>1038577.2174513421</v>
      </c>
      <c r="D149" s="470">
        <f>SUM(D150,D152,D154)</f>
        <v>1.0000000000000002</v>
      </c>
      <c r="E149" s="470"/>
      <c r="F149" s="497"/>
      <c r="G149" s="451"/>
      <c r="H149" s="451"/>
      <c r="I149" s="451"/>
      <c r="J149" s="451"/>
      <c r="K149" s="451"/>
      <c r="L149" s="452"/>
      <c r="M149" s="392"/>
      <c r="N149" s="392"/>
      <c r="O149" s="405"/>
      <c r="P149" s="405"/>
      <c r="Q149" s="457"/>
      <c r="R149" s="454"/>
      <c r="S149" s="455"/>
      <c r="T149" s="456"/>
      <c r="U149" s="457"/>
      <c r="V149" s="451"/>
      <c r="W149" s="451"/>
      <c r="X149" s="451"/>
      <c r="Y149" s="452"/>
      <c r="Z149" s="454"/>
      <c r="AA149" s="455"/>
      <c r="AB149" s="458"/>
      <c r="AC149" s="459"/>
      <c r="AD149" s="451"/>
      <c r="AE149" s="452"/>
      <c r="AF149" s="460"/>
      <c r="AG149" s="457"/>
      <c r="AH149" s="451"/>
      <c r="AI149" s="454"/>
    </row>
    <row r="150" spans="1:35" x14ac:dyDescent="0.25">
      <c r="A150" s="400" t="s">
        <v>150</v>
      </c>
      <c r="B150" s="401" t="s">
        <v>7</v>
      </c>
      <c r="C150" s="494">
        <f>$C$149*D150</f>
        <v>31157.316523540259</v>
      </c>
      <c r="D150" s="495">
        <v>2.9999999999999995E-2</v>
      </c>
      <c r="E150" s="495"/>
      <c r="F150" s="497"/>
      <c r="G150" s="451"/>
      <c r="H150" s="451"/>
      <c r="I150" s="451"/>
      <c r="J150" s="450"/>
      <c r="K150" s="451"/>
      <c r="L150" s="452"/>
      <c r="M150" s="392"/>
      <c r="N150" s="392"/>
      <c r="O150" s="405"/>
      <c r="P150" s="405"/>
      <c r="Q150" s="457"/>
      <c r="R150" s="454"/>
      <c r="S150" s="455"/>
      <c r="T150" s="456"/>
      <c r="U150" s="457"/>
      <c r="V150" s="451"/>
      <c r="W150" s="451"/>
      <c r="X150" s="451"/>
      <c r="Y150" s="452"/>
      <c r="Z150" s="454"/>
      <c r="AA150" s="455"/>
      <c r="AB150" s="458"/>
      <c r="AC150" s="459"/>
      <c r="AD150" s="451"/>
      <c r="AE150" s="452"/>
      <c r="AF150" s="460"/>
      <c r="AG150" s="457"/>
      <c r="AH150" s="451"/>
      <c r="AI150" s="454"/>
    </row>
    <row r="151" spans="1:35" ht="15" customHeight="1" outlineLevel="1" x14ac:dyDescent="0.25">
      <c r="A151" s="414"/>
      <c r="B151" s="437" t="s">
        <v>24</v>
      </c>
      <c r="C151" s="488">
        <f>C150</f>
        <v>31157.316523540259</v>
      </c>
      <c r="D151" s="462">
        <f>C151/C150</f>
        <v>1</v>
      </c>
      <c r="E151" s="463" t="s">
        <v>178</v>
      </c>
      <c r="F151" s="438">
        <f>C151*$AI$2</f>
        <v>9347.1949570620782</v>
      </c>
      <c r="G151" s="420"/>
      <c r="H151" s="420"/>
      <c r="I151" s="420"/>
      <c r="J151" s="420"/>
      <c r="K151" s="420"/>
      <c r="L151" s="421"/>
      <c r="M151" s="422"/>
      <c r="N151" s="422"/>
      <c r="O151" s="423"/>
      <c r="P151" s="423"/>
      <c r="Q151" s="499"/>
      <c r="R151" s="424">
        <f>C151*$AI$2</f>
        <v>9347.1949570620782</v>
      </c>
      <c r="S151" s="425"/>
      <c r="T151" s="426"/>
      <c r="U151" s="427"/>
      <c r="V151" s="427"/>
      <c r="W151" s="427"/>
      <c r="X151" s="427"/>
      <c r="Y151" s="428"/>
      <c r="Z151" s="429">
        <f>C151*$AI$2</f>
        <v>9347.1949570620782</v>
      </c>
      <c r="AA151" s="425"/>
      <c r="AB151" s="430"/>
      <c r="AC151" s="431"/>
      <c r="AD151" s="432"/>
      <c r="AE151" s="466"/>
      <c r="AF151" s="433"/>
      <c r="AG151" s="434"/>
      <c r="AH151" s="435"/>
      <c r="AI151" s="436">
        <f>C151*$AI$3</f>
        <v>3115.7316523540262</v>
      </c>
    </row>
    <row r="152" spans="1:35" x14ac:dyDescent="0.25">
      <c r="A152" s="400" t="s">
        <v>151</v>
      </c>
      <c r="B152" s="401" t="s">
        <v>29</v>
      </c>
      <c r="C152" s="494">
        <f>$C$149*D152</f>
        <v>830861.77396107384</v>
      </c>
      <c r="D152" s="495">
        <v>0.80000000000000016</v>
      </c>
      <c r="E152" s="495"/>
      <c r="F152" s="457"/>
      <c r="G152" s="451"/>
      <c r="H152" s="451"/>
      <c r="I152" s="451"/>
      <c r="J152" s="451"/>
      <c r="K152" s="453"/>
      <c r="L152" s="452"/>
      <c r="M152" s="392"/>
      <c r="N152" s="392"/>
      <c r="O152" s="405"/>
      <c r="P152" s="405"/>
      <c r="Q152" s="457"/>
      <c r="R152" s="454"/>
      <c r="S152" s="455"/>
      <c r="T152" s="456"/>
      <c r="U152" s="457"/>
      <c r="V152" s="451"/>
      <c r="W152" s="453"/>
      <c r="X152" s="453"/>
      <c r="Y152" s="452"/>
      <c r="Z152" s="454"/>
      <c r="AA152" s="455"/>
      <c r="AB152" s="458"/>
      <c r="AC152" s="459"/>
      <c r="AD152" s="451"/>
      <c r="AE152" s="452"/>
      <c r="AF152" s="460"/>
      <c r="AG152" s="457"/>
      <c r="AH152" s="451"/>
      <c r="AI152" s="454"/>
    </row>
    <row r="153" spans="1:35" ht="15" customHeight="1" outlineLevel="1" x14ac:dyDescent="0.25">
      <c r="A153" s="414"/>
      <c r="B153" s="437" t="s">
        <v>29</v>
      </c>
      <c r="C153" s="488">
        <f>C152</f>
        <v>830861.77396107384</v>
      </c>
      <c r="D153" s="462">
        <f>C153/C152</f>
        <v>1</v>
      </c>
      <c r="E153" s="463" t="s">
        <v>178</v>
      </c>
      <c r="F153" s="497"/>
      <c r="G153" s="480"/>
      <c r="H153" s="480"/>
      <c r="I153" s="480"/>
      <c r="J153" s="481"/>
      <c r="K153" s="481"/>
      <c r="L153" s="481"/>
      <c r="M153" s="481"/>
      <c r="N153" s="438">
        <f>C153*$AI$2</f>
        <v>249258.53218832213</v>
      </c>
      <c r="O153" s="423"/>
      <c r="P153" s="423"/>
      <c r="Q153" s="499"/>
      <c r="R153" s="424">
        <f>C153*$AI$2</f>
        <v>249258.53218832213</v>
      </c>
      <c r="S153" s="425"/>
      <c r="T153" s="426"/>
      <c r="U153" s="427"/>
      <c r="V153" s="427"/>
      <c r="W153" s="427"/>
      <c r="X153" s="427"/>
      <c r="Y153" s="428"/>
      <c r="Z153" s="429">
        <f>C153*$AI$2</f>
        <v>249258.53218832213</v>
      </c>
      <c r="AA153" s="425"/>
      <c r="AB153" s="430"/>
      <c r="AC153" s="431"/>
      <c r="AD153" s="432"/>
      <c r="AE153" s="466"/>
      <c r="AF153" s="433"/>
      <c r="AG153" s="434"/>
      <c r="AH153" s="435"/>
      <c r="AI153" s="436">
        <f>C153*$AI$3</f>
        <v>83086.177396107392</v>
      </c>
    </row>
    <row r="154" spans="1:35" x14ac:dyDescent="0.25">
      <c r="A154" s="400" t="s">
        <v>152</v>
      </c>
      <c r="B154" s="401" t="s">
        <v>28</v>
      </c>
      <c r="C154" s="494">
        <f>$C$149*D154</f>
        <v>176558.12696672819</v>
      </c>
      <c r="D154" s="495">
        <v>0.17</v>
      </c>
      <c r="E154" s="495"/>
      <c r="F154" s="457"/>
      <c r="G154" s="451"/>
      <c r="H154" s="451"/>
      <c r="I154" s="451"/>
      <c r="J154" s="451"/>
      <c r="K154" s="451"/>
      <c r="L154" s="452"/>
      <c r="M154" s="392"/>
      <c r="N154" s="392"/>
      <c r="O154" s="405"/>
      <c r="P154" s="405"/>
      <c r="Q154" s="457"/>
      <c r="R154" s="454"/>
      <c r="S154" s="455"/>
      <c r="T154" s="456"/>
      <c r="U154" s="457"/>
      <c r="V154" s="451"/>
      <c r="X154" s="451"/>
      <c r="Y154" s="452"/>
      <c r="Z154" s="454"/>
      <c r="AA154" s="455"/>
      <c r="AB154" s="458"/>
      <c r="AC154" s="459"/>
      <c r="AD154" s="451"/>
      <c r="AE154" s="453"/>
      <c r="AF154" s="460"/>
      <c r="AG154" s="457"/>
      <c r="AH154" s="451"/>
      <c r="AI154" s="454"/>
    </row>
    <row r="155" spans="1:35" ht="15" customHeight="1" outlineLevel="1" x14ac:dyDescent="0.25">
      <c r="A155" s="414"/>
      <c r="B155" s="437" t="s">
        <v>28</v>
      </c>
      <c r="C155" s="488">
        <f>C154</f>
        <v>176558.12696672819</v>
      </c>
      <c r="D155" s="462">
        <f>C155/C154</f>
        <v>1</v>
      </c>
      <c r="E155" s="463" t="s">
        <v>178</v>
      </c>
      <c r="F155" s="480"/>
      <c r="G155" s="480"/>
      <c r="H155" s="480"/>
      <c r="I155" s="480"/>
      <c r="J155" s="481"/>
      <c r="K155" s="481"/>
      <c r="L155" s="481"/>
      <c r="M155" s="481"/>
      <c r="N155" s="438">
        <f>C155*$AI$2</f>
        <v>52967.438090018455</v>
      </c>
      <c r="O155" s="423"/>
      <c r="P155" s="423"/>
      <c r="Q155" s="499"/>
      <c r="R155" s="424">
        <f>C155*$AI$2</f>
        <v>52967.438090018455</v>
      </c>
      <c r="S155" s="425"/>
      <c r="T155" s="426"/>
      <c r="U155" s="427"/>
      <c r="V155" s="427"/>
      <c r="W155" s="427"/>
      <c r="X155" s="427"/>
      <c r="Y155" s="428"/>
      <c r="Z155" s="429">
        <f>C155*$AI$2</f>
        <v>52967.438090018455</v>
      </c>
      <c r="AA155" s="425"/>
      <c r="AB155" s="430"/>
      <c r="AC155" s="431"/>
      <c r="AD155" s="432"/>
      <c r="AE155" s="466"/>
      <c r="AF155" s="433"/>
      <c r="AG155" s="434"/>
      <c r="AH155" s="435"/>
      <c r="AI155" s="436">
        <f>C155*$AI$3</f>
        <v>17655.81269667282</v>
      </c>
    </row>
    <row r="156" spans="1:35" x14ac:dyDescent="0.25">
      <c r="A156" s="383">
        <v>10</v>
      </c>
      <c r="B156" s="384" t="s">
        <v>204</v>
      </c>
      <c r="C156" s="469">
        <f>'[2]Parte B'!$G$150</f>
        <v>838876.51954124798</v>
      </c>
      <c r="D156" s="470">
        <f>SUM(D157+D159)</f>
        <v>1</v>
      </c>
      <c r="E156" s="470"/>
      <c r="F156" s="451"/>
      <c r="G156" s="451"/>
      <c r="H156" s="451"/>
      <c r="I156" s="451"/>
      <c r="J156" s="451"/>
      <c r="K156" s="451"/>
      <c r="L156" s="452"/>
      <c r="M156" s="392"/>
      <c r="N156" s="392"/>
      <c r="O156" s="405"/>
      <c r="P156" s="405"/>
      <c r="Q156" s="457"/>
      <c r="R156" s="454"/>
      <c r="S156" s="455"/>
      <c r="T156" s="456"/>
      <c r="U156" s="457"/>
      <c r="V156" s="451"/>
      <c r="W156" s="451"/>
      <c r="X156" s="451"/>
      <c r="Y156" s="452"/>
      <c r="Z156" s="454"/>
      <c r="AA156" s="455"/>
      <c r="AB156" s="458"/>
      <c r="AC156" s="459"/>
      <c r="AD156" s="451"/>
      <c r="AE156" s="452"/>
      <c r="AF156" s="460"/>
      <c r="AG156" s="457"/>
      <c r="AH156" s="451"/>
      <c r="AI156" s="454"/>
    </row>
    <row r="157" spans="1:35" x14ac:dyDescent="0.25">
      <c r="A157" s="400" t="s">
        <v>153</v>
      </c>
      <c r="B157" s="401" t="s">
        <v>7</v>
      </c>
      <c r="C157" s="494">
        <f>$C$156*D157</f>
        <v>41943.825977062406</v>
      </c>
      <c r="D157" s="495">
        <v>5.000000000000001E-2</v>
      </c>
      <c r="E157" s="495"/>
      <c r="F157" s="451"/>
      <c r="G157" s="451"/>
      <c r="H157" s="451"/>
      <c r="I157" s="451"/>
      <c r="J157" s="450"/>
      <c r="K157" s="451"/>
      <c r="L157" s="452"/>
      <c r="M157" s="392"/>
      <c r="N157" s="392"/>
      <c r="O157" s="405"/>
      <c r="P157" s="405"/>
      <c r="Q157" s="451"/>
      <c r="R157" s="454"/>
      <c r="S157" s="455"/>
      <c r="T157" s="456"/>
      <c r="U157" s="457"/>
      <c r="V157" s="451"/>
      <c r="W157" s="451"/>
      <c r="X157" s="451"/>
      <c r="Y157" s="452"/>
      <c r="Z157" s="454"/>
      <c r="AA157" s="455"/>
      <c r="AB157" s="458"/>
      <c r="AC157" s="459"/>
      <c r="AD157" s="451"/>
      <c r="AE157" s="452"/>
      <c r="AF157" s="460"/>
      <c r="AG157" s="457"/>
      <c r="AH157" s="451"/>
      <c r="AI157" s="454"/>
    </row>
    <row r="158" spans="1:35" ht="15" customHeight="1" outlineLevel="1" x14ac:dyDescent="0.25">
      <c r="A158" s="414"/>
      <c r="B158" s="437" t="s">
        <v>78</v>
      </c>
      <c r="C158" s="488">
        <f>C157</f>
        <v>41943.825977062406</v>
      </c>
      <c r="D158" s="462">
        <f>C158/C157</f>
        <v>1</v>
      </c>
      <c r="E158" s="463" t="s">
        <v>178</v>
      </c>
      <c r="F158" s="438">
        <f>C158*$AI$2</f>
        <v>12583.147793118722</v>
      </c>
      <c r="G158" s="420"/>
      <c r="H158" s="420"/>
      <c r="I158" s="420"/>
      <c r="J158" s="420"/>
      <c r="K158" s="420"/>
      <c r="L158" s="421"/>
      <c r="M158" s="422"/>
      <c r="N158" s="422"/>
      <c r="O158" s="423"/>
      <c r="P158" s="423"/>
      <c r="Q158" s="420"/>
      <c r="R158" s="424">
        <f>C158*$AI$2</f>
        <v>12583.147793118722</v>
      </c>
      <c r="S158" s="425"/>
      <c r="T158" s="426"/>
      <c r="U158" s="427"/>
      <c r="V158" s="427"/>
      <c r="W158" s="427"/>
      <c r="X158" s="427"/>
      <c r="Y158" s="428"/>
      <c r="Z158" s="429">
        <f>C158*$AI$2</f>
        <v>12583.147793118722</v>
      </c>
      <c r="AA158" s="425"/>
      <c r="AB158" s="430"/>
      <c r="AC158" s="431"/>
      <c r="AD158" s="432"/>
      <c r="AE158" s="466"/>
      <c r="AF158" s="433"/>
      <c r="AG158" s="434"/>
      <c r="AH158" s="435"/>
      <c r="AI158" s="436">
        <f>C158*$AI$3</f>
        <v>4194.3825977062406</v>
      </c>
    </row>
    <row r="159" spans="1:35" x14ac:dyDescent="0.25">
      <c r="A159" s="400" t="s">
        <v>154</v>
      </c>
      <c r="B159" s="401" t="s">
        <v>90</v>
      </c>
      <c r="C159" s="494">
        <f>$C$156*D159</f>
        <v>796932.69356418564</v>
      </c>
      <c r="D159" s="495">
        <v>0.95000000000000007</v>
      </c>
      <c r="E159" s="495"/>
      <c r="F159" s="451"/>
      <c r="G159" s="451"/>
      <c r="H159" s="451"/>
      <c r="I159" s="451"/>
      <c r="J159" s="451"/>
      <c r="K159" s="453"/>
      <c r="L159" s="452"/>
      <c r="M159" s="392"/>
      <c r="N159" s="392"/>
      <c r="O159" s="405"/>
      <c r="P159" s="405"/>
      <c r="Q159" s="451"/>
      <c r="R159" s="454"/>
      <c r="S159" s="455"/>
      <c r="T159" s="456"/>
      <c r="U159" s="457"/>
      <c r="V159" s="451"/>
      <c r="W159" s="451"/>
      <c r="X159" s="451"/>
      <c r="Y159" s="453"/>
      <c r="Z159" s="454"/>
      <c r="AA159" s="455"/>
      <c r="AB159" s="458"/>
      <c r="AC159" s="459"/>
      <c r="AD159" s="451"/>
      <c r="AE159" s="452"/>
      <c r="AF159" s="460"/>
      <c r="AG159" s="457"/>
      <c r="AH159" s="451"/>
      <c r="AI159" s="454"/>
    </row>
    <row r="160" spans="1:35" ht="15" customHeight="1" outlineLevel="1" x14ac:dyDescent="0.25">
      <c r="A160" s="414"/>
      <c r="B160" s="503" t="s">
        <v>205</v>
      </c>
      <c r="C160" s="504">
        <f>$C$159/7</f>
        <v>113847.52765202652</v>
      </c>
      <c r="D160" s="462">
        <f>C160/$C$159</f>
        <v>0.14285714285714285</v>
      </c>
      <c r="E160" s="463" t="s">
        <v>178</v>
      </c>
      <c r="F160" s="480"/>
      <c r="G160" s="480"/>
      <c r="H160" s="480"/>
      <c r="I160" s="480"/>
      <c r="J160" s="451"/>
      <c r="K160" s="451"/>
      <c r="L160" s="481"/>
      <c r="M160" s="481"/>
      <c r="N160" s="481"/>
      <c r="O160" s="438">
        <f>C160*$AI$2</f>
        <v>34154.258295607957</v>
      </c>
      <c r="P160" s="423"/>
      <c r="Q160" s="420"/>
      <c r="R160" s="424">
        <f t="shared" ref="R160:R166" si="33">C160*$AI$2</f>
        <v>34154.258295607957</v>
      </c>
      <c r="S160" s="425"/>
      <c r="T160" s="426"/>
      <c r="U160" s="427"/>
      <c r="V160" s="427"/>
      <c r="W160" s="427"/>
      <c r="X160" s="427"/>
      <c r="Y160" s="428"/>
      <c r="Z160" s="429">
        <f t="shared" ref="Z160:Z166" si="34">C160*$AI$2</f>
        <v>34154.258295607957</v>
      </c>
      <c r="AA160" s="425"/>
      <c r="AB160" s="430"/>
      <c r="AC160" s="431"/>
      <c r="AD160" s="432"/>
      <c r="AE160" s="466"/>
      <c r="AF160" s="433"/>
      <c r="AG160" s="434"/>
      <c r="AH160" s="435"/>
      <c r="AI160" s="436">
        <f t="shared" ref="AI160:AI166" si="35">C160*$AI$3</f>
        <v>11384.752765202653</v>
      </c>
    </row>
    <row r="161" spans="1:35" ht="15" customHeight="1" outlineLevel="1" x14ac:dyDescent="0.25">
      <c r="A161" s="414"/>
      <c r="B161" s="437" t="s">
        <v>91</v>
      </c>
      <c r="C161" s="504">
        <f t="shared" ref="C161:C166" si="36">$C$159/7</f>
        <v>113847.52765202652</v>
      </c>
      <c r="D161" s="462">
        <f t="shared" ref="D161:D166" si="37">C161/$C$159</f>
        <v>0.14285714285714285</v>
      </c>
      <c r="E161" s="463" t="s">
        <v>178</v>
      </c>
      <c r="F161" s="480"/>
      <c r="G161" s="480"/>
      <c r="H161" s="480"/>
      <c r="I161" s="480"/>
      <c r="J161" s="451"/>
      <c r="K161" s="451"/>
      <c r="L161" s="481"/>
      <c r="M161" s="481"/>
      <c r="N161" s="481"/>
      <c r="O161" s="438">
        <f>C161*$AI$2</f>
        <v>34154.258295607957</v>
      </c>
      <c r="P161" s="423"/>
      <c r="Q161" s="420"/>
      <c r="R161" s="424">
        <f t="shared" si="33"/>
        <v>34154.258295607957</v>
      </c>
      <c r="S161" s="425"/>
      <c r="T161" s="426"/>
      <c r="U161" s="427"/>
      <c r="V161" s="427"/>
      <c r="W161" s="427"/>
      <c r="X161" s="427"/>
      <c r="Y161" s="428"/>
      <c r="Z161" s="429">
        <f t="shared" si="34"/>
        <v>34154.258295607957</v>
      </c>
      <c r="AA161" s="425"/>
      <c r="AB161" s="430"/>
      <c r="AC161" s="431"/>
      <c r="AD161" s="432"/>
      <c r="AE161" s="466"/>
      <c r="AF161" s="433"/>
      <c r="AG161" s="434"/>
      <c r="AH161" s="435"/>
      <c r="AI161" s="436">
        <f t="shared" si="35"/>
        <v>11384.752765202653</v>
      </c>
    </row>
    <row r="162" spans="1:35" ht="15" customHeight="1" outlineLevel="1" x14ac:dyDescent="0.25">
      <c r="A162" s="414"/>
      <c r="B162" s="437" t="s">
        <v>92</v>
      </c>
      <c r="C162" s="504">
        <f t="shared" si="36"/>
        <v>113847.52765202652</v>
      </c>
      <c r="D162" s="462">
        <f t="shared" si="37"/>
        <v>0.14285714285714285</v>
      </c>
      <c r="E162" s="463" t="s">
        <v>178</v>
      </c>
      <c r="F162" s="480"/>
      <c r="G162" s="480"/>
      <c r="H162" s="480"/>
      <c r="I162" s="480"/>
      <c r="J162" s="451"/>
      <c r="K162" s="451"/>
      <c r="L162" s="481"/>
      <c r="M162" s="481"/>
      <c r="N162" s="481"/>
      <c r="O162" s="438">
        <f>C162*$AI$2</f>
        <v>34154.258295607957</v>
      </c>
      <c r="P162" s="423"/>
      <c r="Q162" s="420"/>
      <c r="R162" s="424">
        <f t="shared" si="33"/>
        <v>34154.258295607957</v>
      </c>
      <c r="S162" s="425"/>
      <c r="T162" s="426"/>
      <c r="U162" s="427"/>
      <c r="V162" s="427"/>
      <c r="W162" s="427"/>
      <c r="X162" s="427"/>
      <c r="Y162" s="428"/>
      <c r="Z162" s="429">
        <f t="shared" si="34"/>
        <v>34154.258295607957</v>
      </c>
      <c r="AA162" s="425"/>
      <c r="AB162" s="430"/>
      <c r="AC162" s="431"/>
      <c r="AD162" s="432"/>
      <c r="AE162" s="466"/>
      <c r="AF162" s="433"/>
      <c r="AG162" s="434"/>
      <c r="AH162" s="435"/>
      <c r="AI162" s="436">
        <f t="shared" si="35"/>
        <v>11384.752765202653</v>
      </c>
    </row>
    <row r="163" spans="1:35" ht="15" customHeight="1" outlineLevel="1" x14ac:dyDescent="0.25">
      <c r="A163" s="414"/>
      <c r="B163" s="437" t="s">
        <v>93</v>
      </c>
      <c r="C163" s="504">
        <f t="shared" si="36"/>
        <v>113847.52765202652</v>
      </c>
      <c r="D163" s="462">
        <f t="shared" si="37"/>
        <v>0.14285714285714285</v>
      </c>
      <c r="E163" s="463" t="s">
        <v>178</v>
      </c>
      <c r="F163" s="480"/>
      <c r="G163" s="480"/>
      <c r="H163" s="480"/>
      <c r="I163" s="480"/>
      <c r="J163" s="451"/>
      <c r="K163" s="451"/>
      <c r="L163" s="481"/>
      <c r="M163" s="481"/>
      <c r="N163" s="481"/>
      <c r="O163" s="438">
        <f>C163*$AI$2</f>
        <v>34154.258295607957</v>
      </c>
      <c r="P163" s="423"/>
      <c r="Q163" s="420"/>
      <c r="R163" s="424">
        <f t="shared" si="33"/>
        <v>34154.258295607957</v>
      </c>
      <c r="S163" s="425"/>
      <c r="T163" s="426"/>
      <c r="U163" s="427"/>
      <c r="V163" s="427"/>
      <c r="W163" s="427"/>
      <c r="X163" s="427"/>
      <c r="Y163" s="428"/>
      <c r="Z163" s="429">
        <f t="shared" si="34"/>
        <v>34154.258295607957</v>
      </c>
      <c r="AA163" s="425"/>
      <c r="AB163" s="430"/>
      <c r="AC163" s="431"/>
      <c r="AD163" s="432"/>
      <c r="AE163" s="466"/>
      <c r="AF163" s="433"/>
      <c r="AG163" s="434"/>
      <c r="AH163" s="435"/>
      <c r="AI163" s="436">
        <f t="shared" si="35"/>
        <v>11384.752765202653</v>
      </c>
    </row>
    <row r="164" spans="1:35" ht="15" customHeight="1" outlineLevel="1" x14ac:dyDescent="0.25">
      <c r="A164" s="414"/>
      <c r="B164" s="505" t="s">
        <v>94</v>
      </c>
      <c r="C164" s="504">
        <f t="shared" si="36"/>
        <v>113847.52765202652</v>
      </c>
      <c r="D164" s="462">
        <f t="shared" si="37"/>
        <v>0.14285714285714285</v>
      </c>
      <c r="E164" s="463" t="s">
        <v>178</v>
      </c>
      <c r="F164" s="480"/>
      <c r="G164" s="480"/>
      <c r="H164" s="480"/>
      <c r="I164" s="480"/>
      <c r="J164" s="451"/>
      <c r="K164" s="480"/>
      <c r="L164" s="480"/>
      <c r="M164" s="481"/>
      <c r="N164" s="481"/>
      <c r="O164" s="481"/>
      <c r="P164" s="438">
        <f>C164*$AI$2</f>
        <v>34154.258295607957</v>
      </c>
      <c r="Q164" s="420"/>
      <c r="R164" s="424">
        <f t="shared" si="33"/>
        <v>34154.258295607957</v>
      </c>
      <c r="S164" s="425"/>
      <c r="T164" s="426"/>
      <c r="U164" s="427"/>
      <c r="V164" s="427"/>
      <c r="W164" s="427"/>
      <c r="X164" s="427"/>
      <c r="Y164" s="428"/>
      <c r="Z164" s="429">
        <f t="shared" si="34"/>
        <v>34154.258295607957</v>
      </c>
      <c r="AA164" s="425"/>
      <c r="AB164" s="430"/>
      <c r="AC164" s="431"/>
      <c r="AD164" s="432"/>
      <c r="AE164" s="466"/>
      <c r="AF164" s="433"/>
      <c r="AG164" s="434"/>
      <c r="AH164" s="435"/>
      <c r="AI164" s="436">
        <f t="shared" si="35"/>
        <v>11384.752765202653</v>
      </c>
    </row>
    <row r="165" spans="1:35" ht="15" customHeight="1" outlineLevel="1" x14ac:dyDescent="0.25">
      <c r="A165" s="414"/>
      <c r="B165" s="437" t="s">
        <v>95</v>
      </c>
      <c r="C165" s="504">
        <f t="shared" si="36"/>
        <v>113847.52765202652</v>
      </c>
      <c r="D165" s="462">
        <f t="shared" si="37"/>
        <v>0.14285714285714285</v>
      </c>
      <c r="E165" s="463" t="s">
        <v>178</v>
      </c>
      <c r="F165" s="480"/>
      <c r="G165" s="480"/>
      <c r="H165" s="480"/>
      <c r="I165" s="480"/>
      <c r="J165" s="451"/>
      <c r="K165" s="480"/>
      <c r="L165" s="480"/>
      <c r="M165" s="481"/>
      <c r="N165" s="481"/>
      <c r="O165" s="481"/>
      <c r="P165" s="438">
        <f>C165*$AI$2</f>
        <v>34154.258295607957</v>
      </c>
      <c r="Q165" s="420"/>
      <c r="R165" s="424">
        <f t="shared" si="33"/>
        <v>34154.258295607957</v>
      </c>
      <c r="S165" s="425"/>
      <c r="T165" s="426"/>
      <c r="U165" s="427"/>
      <c r="V165" s="427"/>
      <c r="W165" s="427"/>
      <c r="X165" s="427"/>
      <c r="Y165" s="428"/>
      <c r="Z165" s="429">
        <f t="shared" si="34"/>
        <v>34154.258295607957</v>
      </c>
      <c r="AA165" s="425"/>
      <c r="AB165" s="430"/>
      <c r="AC165" s="431"/>
      <c r="AD165" s="432"/>
      <c r="AE165" s="466"/>
      <c r="AF165" s="433"/>
      <c r="AG165" s="434"/>
      <c r="AH165" s="435"/>
      <c r="AI165" s="436">
        <f t="shared" si="35"/>
        <v>11384.752765202653</v>
      </c>
    </row>
    <row r="166" spans="1:35" ht="15" customHeight="1" outlineLevel="1" x14ac:dyDescent="0.25">
      <c r="A166" s="414"/>
      <c r="B166" s="437" t="s">
        <v>96</v>
      </c>
      <c r="C166" s="504">
        <f t="shared" si="36"/>
        <v>113847.52765202652</v>
      </c>
      <c r="D166" s="462">
        <f t="shared" si="37"/>
        <v>0.14285714285714285</v>
      </c>
      <c r="E166" s="463" t="s">
        <v>178</v>
      </c>
      <c r="F166" s="480"/>
      <c r="G166" s="480"/>
      <c r="H166" s="480"/>
      <c r="I166" s="480"/>
      <c r="J166" s="451"/>
      <c r="K166" s="480"/>
      <c r="L166" s="480"/>
      <c r="M166" s="481"/>
      <c r="N166" s="481"/>
      <c r="O166" s="481"/>
      <c r="P166" s="438">
        <f>C166*$AI$2</f>
        <v>34154.258295607957</v>
      </c>
      <c r="Q166" s="420"/>
      <c r="R166" s="424">
        <f t="shared" si="33"/>
        <v>34154.258295607957</v>
      </c>
      <c r="S166" s="425"/>
      <c r="T166" s="426"/>
      <c r="U166" s="427"/>
      <c r="V166" s="427"/>
      <c r="W166" s="427"/>
      <c r="X166" s="427"/>
      <c r="Y166" s="428"/>
      <c r="Z166" s="429">
        <f t="shared" si="34"/>
        <v>34154.258295607957</v>
      </c>
      <c r="AA166" s="425"/>
      <c r="AB166" s="430"/>
      <c r="AC166" s="431"/>
      <c r="AD166" s="432"/>
      <c r="AE166" s="466"/>
      <c r="AF166" s="433"/>
      <c r="AG166" s="434"/>
      <c r="AH166" s="435"/>
      <c r="AI166" s="436">
        <f t="shared" si="35"/>
        <v>11384.752765202653</v>
      </c>
    </row>
    <row r="167" spans="1:35" x14ac:dyDescent="0.25">
      <c r="A167" s="383">
        <v>11</v>
      </c>
      <c r="B167" s="384" t="s">
        <v>59</v>
      </c>
      <c r="C167" s="469">
        <f>'[2]Parte B'!$G$135</f>
        <v>771323.94065004145</v>
      </c>
      <c r="D167" s="470">
        <v>1</v>
      </c>
      <c r="E167" s="470"/>
      <c r="F167" s="451"/>
      <c r="G167" s="451"/>
      <c r="H167" s="451"/>
      <c r="I167" s="451"/>
      <c r="J167" s="451"/>
      <c r="K167" s="453"/>
      <c r="L167" s="453"/>
      <c r="M167" s="392"/>
      <c r="N167" s="392"/>
      <c r="O167" s="405"/>
      <c r="P167" s="405"/>
      <c r="Q167" s="451"/>
      <c r="R167" s="454"/>
      <c r="S167" s="455"/>
      <c r="T167" s="456"/>
      <c r="U167" s="457"/>
      <c r="V167" s="451"/>
      <c r="W167" s="451"/>
      <c r="X167" s="451"/>
      <c r="Y167" s="453"/>
      <c r="Z167" s="454"/>
      <c r="AA167" s="455"/>
      <c r="AB167" s="458"/>
      <c r="AC167" s="459"/>
      <c r="AD167" s="451"/>
      <c r="AE167" s="452"/>
      <c r="AF167" s="460"/>
      <c r="AG167" s="457"/>
      <c r="AH167" s="451"/>
      <c r="AI167" s="454"/>
    </row>
    <row r="168" spans="1:35" x14ac:dyDescent="0.25">
      <c r="A168" s="400" t="s">
        <v>171</v>
      </c>
      <c r="B168" s="401" t="s">
        <v>7</v>
      </c>
      <c r="C168" s="472">
        <f>C169</f>
        <v>77132.394065004148</v>
      </c>
      <c r="D168" s="403">
        <f>C168/C167</f>
        <v>0.1</v>
      </c>
      <c r="E168" s="403"/>
      <c r="F168" s="451"/>
      <c r="G168" s="451"/>
      <c r="H168" s="451"/>
      <c r="I168" s="451"/>
      <c r="J168" s="451"/>
      <c r="K168" s="453"/>
      <c r="L168" s="453"/>
      <c r="M168" s="392"/>
      <c r="N168" s="392"/>
      <c r="O168" s="405"/>
      <c r="P168" s="405"/>
      <c r="Q168" s="451"/>
      <c r="R168" s="454"/>
      <c r="S168" s="455"/>
      <c r="T168" s="456"/>
      <c r="U168" s="457"/>
      <c r="V168" s="451"/>
      <c r="W168" s="451"/>
      <c r="X168" s="451"/>
      <c r="Y168" s="502"/>
      <c r="Z168" s="454"/>
      <c r="AA168" s="455"/>
      <c r="AB168" s="458"/>
      <c r="AC168" s="459"/>
      <c r="AD168" s="451"/>
      <c r="AE168" s="452"/>
      <c r="AF168" s="460"/>
      <c r="AG168" s="457"/>
      <c r="AH168" s="451"/>
      <c r="AI168" s="454"/>
    </row>
    <row r="169" spans="1:35" x14ac:dyDescent="0.25">
      <c r="A169" s="414"/>
      <c r="B169" s="437" t="s">
        <v>78</v>
      </c>
      <c r="C169" s="506">
        <f>C167*0.1</f>
        <v>77132.394065004148</v>
      </c>
      <c r="D169" s="462">
        <f>C169/C168</f>
        <v>1</v>
      </c>
      <c r="E169" s="463" t="s">
        <v>178</v>
      </c>
      <c r="F169" s="438">
        <f>C169*$AI$2</f>
        <v>23139.718219501243</v>
      </c>
      <c r="G169" s="467"/>
      <c r="H169" s="467"/>
      <c r="I169" s="467"/>
      <c r="J169" s="467"/>
      <c r="K169" s="489"/>
      <c r="L169" s="489"/>
      <c r="M169" s="422"/>
      <c r="N169" s="422"/>
      <c r="O169" s="423"/>
      <c r="P169" s="423"/>
      <c r="Q169" s="467"/>
      <c r="R169" s="424">
        <f>C169*$AI$2</f>
        <v>23139.718219501243</v>
      </c>
      <c r="S169" s="455"/>
      <c r="T169" s="456"/>
      <c r="U169" s="427"/>
      <c r="V169" s="427"/>
      <c r="W169" s="427"/>
      <c r="X169" s="427"/>
      <c r="Y169" s="507"/>
      <c r="Z169" s="429">
        <f>C169*$AI$2</f>
        <v>23139.718219501243</v>
      </c>
      <c r="AA169" s="455"/>
      <c r="AB169" s="458"/>
      <c r="AC169" s="475"/>
      <c r="AD169" s="476"/>
      <c r="AE169" s="477"/>
      <c r="AF169" s="460"/>
      <c r="AG169" s="478"/>
      <c r="AH169" s="479"/>
      <c r="AI169" s="436">
        <f>C169*$AI$3</f>
        <v>7713.2394065004155</v>
      </c>
    </row>
    <row r="170" spans="1:35" x14ac:dyDescent="0.25">
      <c r="A170" s="400" t="s">
        <v>172</v>
      </c>
      <c r="B170" s="401" t="s">
        <v>102</v>
      </c>
      <c r="C170" s="472">
        <f>SUM(C171:C173)</f>
        <v>694191.54658503726</v>
      </c>
      <c r="D170" s="403">
        <f t="shared" ref="D170" si="38">C170/$C$167</f>
        <v>0.89999999999999991</v>
      </c>
      <c r="E170" s="403"/>
      <c r="F170" s="451"/>
      <c r="G170" s="451"/>
      <c r="H170" s="451"/>
      <c r="I170" s="451"/>
      <c r="J170" s="451"/>
      <c r="K170" s="453"/>
      <c r="L170" s="453"/>
      <c r="M170" s="392"/>
      <c r="N170" s="392"/>
      <c r="O170" s="405"/>
      <c r="P170" s="405"/>
      <c r="Q170" s="451"/>
      <c r="R170" s="454"/>
      <c r="S170" s="455"/>
      <c r="T170" s="456"/>
      <c r="U170" s="457"/>
      <c r="V170" s="451"/>
      <c r="W170" s="451"/>
      <c r="X170" s="451"/>
      <c r="Y170" s="502"/>
      <c r="Z170" s="454"/>
      <c r="AA170" s="455"/>
      <c r="AB170" s="458"/>
      <c r="AC170" s="459"/>
      <c r="AD170" s="451"/>
      <c r="AE170" s="452"/>
      <c r="AF170" s="460"/>
      <c r="AG170" s="457"/>
      <c r="AH170" s="451"/>
      <c r="AI170" s="454"/>
    </row>
    <row r="171" spans="1:35" ht="15" customHeight="1" outlineLevel="1" x14ac:dyDescent="0.25">
      <c r="A171" s="414"/>
      <c r="B171" s="437" t="s">
        <v>60</v>
      </c>
      <c r="C171" s="504">
        <f>C167*0.3</f>
        <v>231397.18219501243</v>
      </c>
      <c r="D171" s="462">
        <f>C171/$C$170</f>
        <v>0.33333333333333337</v>
      </c>
      <c r="E171" s="463" t="s">
        <v>178</v>
      </c>
      <c r="F171" s="480"/>
      <c r="G171" s="480"/>
      <c r="H171" s="480"/>
      <c r="I171" s="480"/>
      <c r="J171" s="451"/>
      <c r="K171" s="480"/>
      <c r="L171" s="468"/>
      <c r="M171" s="481"/>
      <c r="N171" s="481"/>
      <c r="O171" s="481"/>
      <c r="P171" s="438">
        <f>C171*$AI$2</f>
        <v>69419.154658503729</v>
      </c>
      <c r="Q171" s="420"/>
      <c r="R171" s="424">
        <f>C171*$AI$2</f>
        <v>69419.154658503729</v>
      </c>
      <c r="S171" s="425"/>
      <c r="T171" s="426"/>
      <c r="U171" s="427"/>
      <c r="V171" s="427"/>
      <c r="W171" s="427"/>
      <c r="X171" s="427"/>
      <c r="Y171" s="428"/>
      <c r="Z171" s="429">
        <f>C171*$AI$2</f>
        <v>69419.154658503729</v>
      </c>
      <c r="AA171" s="425"/>
      <c r="AB171" s="430"/>
      <c r="AC171" s="431"/>
      <c r="AD171" s="432"/>
      <c r="AE171" s="466"/>
      <c r="AF171" s="433"/>
      <c r="AG171" s="434"/>
      <c r="AH171" s="435"/>
      <c r="AI171" s="436">
        <f>C171*$AI$3</f>
        <v>23139.718219501243</v>
      </c>
    </row>
    <row r="172" spans="1:35" ht="15" customHeight="1" outlineLevel="1" x14ac:dyDescent="0.25">
      <c r="A172" s="414"/>
      <c r="B172" s="437" t="s">
        <v>62</v>
      </c>
      <c r="C172" s="504">
        <f>C167*0.3</f>
        <v>231397.18219501243</v>
      </c>
      <c r="D172" s="462">
        <f t="shared" ref="D172:D173" si="39">C172/$C$170</f>
        <v>0.33333333333333337</v>
      </c>
      <c r="E172" s="463" t="s">
        <v>178</v>
      </c>
      <c r="F172" s="480"/>
      <c r="G172" s="480"/>
      <c r="H172" s="480"/>
      <c r="I172" s="480"/>
      <c r="J172" s="451"/>
      <c r="K172" s="480"/>
      <c r="L172" s="468"/>
      <c r="M172" s="481"/>
      <c r="N172" s="481"/>
      <c r="O172" s="481"/>
      <c r="P172" s="438">
        <f>C172*$AI$2</f>
        <v>69419.154658503729</v>
      </c>
      <c r="Q172" s="420"/>
      <c r="R172" s="424">
        <f>C172*$AI$2</f>
        <v>69419.154658503729</v>
      </c>
      <c r="S172" s="425"/>
      <c r="T172" s="426"/>
      <c r="U172" s="427"/>
      <c r="V172" s="427"/>
      <c r="W172" s="427"/>
      <c r="X172" s="427"/>
      <c r="Y172" s="428"/>
      <c r="Z172" s="429">
        <f>C172*$AI$2</f>
        <v>69419.154658503729</v>
      </c>
      <c r="AA172" s="425"/>
      <c r="AB172" s="430"/>
      <c r="AC172" s="431"/>
      <c r="AD172" s="432"/>
      <c r="AE172" s="466"/>
      <c r="AF172" s="433"/>
      <c r="AG172" s="434"/>
      <c r="AH172" s="435"/>
      <c r="AI172" s="436">
        <f>C172*$AI$3</f>
        <v>23139.718219501243</v>
      </c>
    </row>
    <row r="173" spans="1:35" ht="15" customHeight="1" outlineLevel="1" x14ac:dyDescent="0.25">
      <c r="A173" s="414"/>
      <c r="B173" s="437" t="s">
        <v>61</v>
      </c>
      <c r="C173" s="504">
        <f>C167*0.3</f>
        <v>231397.18219501243</v>
      </c>
      <c r="D173" s="462">
        <f t="shared" si="39"/>
        <v>0.33333333333333337</v>
      </c>
      <c r="E173" s="463" t="s">
        <v>178</v>
      </c>
      <c r="F173" s="480"/>
      <c r="G173" s="480"/>
      <c r="H173" s="480"/>
      <c r="I173" s="480"/>
      <c r="J173" s="451"/>
      <c r="K173" s="480"/>
      <c r="L173" s="468"/>
      <c r="M173" s="481"/>
      <c r="N173" s="481"/>
      <c r="O173" s="481"/>
      <c r="P173" s="438">
        <f>C173*$AI$2</f>
        <v>69419.154658503729</v>
      </c>
      <c r="Q173" s="420"/>
      <c r="R173" s="424">
        <f>C173*$AI$2</f>
        <v>69419.154658503729</v>
      </c>
      <c r="S173" s="425"/>
      <c r="T173" s="426"/>
      <c r="U173" s="427"/>
      <c r="V173" s="427"/>
      <c r="W173" s="427"/>
      <c r="X173" s="427"/>
      <c r="Y173" s="428"/>
      <c r="Z173" s="429">
        <f>C173*$AI$2</f>
        <v>69419.154658503729</v>
      </c>
      <c r="AA173" s="425"/>
      <c r="AB173" s="430"/>
      <c r="AC173" s="431"/>
      <c r="AD173" s="432"/>
      <c r="AE173" s="466"/>
      <c r="AF173" s="433"/>
      <c r="AG173" s="434"/>
      <c r="AH173" s="435"/>
      <c r="AI173" s="436">
        <f>C173*$AI$3</f>
        <v>23139.718219501243</v>
      </c>
    </row>
    <row r="174" spans="1:35" x14ac:dyDescent="0.25">
      <c r="A174" s="383">
        <v>12</v>
      </c>
      <c r="B174" s="384" t="s">
        <v>52</v>
      </c>
      <c r="C174" s="508">
        <f>'[2]Parte B'!$G$158</f>
        <v>392791.4753108304</v>
      </c>
      <c r="D174" s="509">
        <f>SUM(D175,D178,D181,D183)</f>
        <v>1</v>
      </c>
      <c r="E174" s="509"/>
      <c r="F174" s="451"/>
      <c r="G174" s="451"/>
      <c r="H174" s="451"/>
      <c r="I174" s="451"/>
      <c r="J174" s="451"/>
      <c r="K174" s="451"/>
      <c r="L174" s="451"/>
      <c r="M174" s="392"/>
      <c r="N174" s="392"/>
      <c r="O174" s="405"/>
      <c r="P174" s="405"/>
      <c r="Q174" s="451"/>
      <c r="R174" s="454"/>
      <c r="S174" s="455"/>
      <c r="T174" s="456"/>
      <c r="U174" s="457"/>
      <c r="V174" s="451"/>
      <c r="W174" s="451"/>
      <c r="X174" s="451"/>
      <c r="Y174" s="452"/>
      <c r="Z174" s="454"/>
      <c r="AA174" s="455"/>
      <c r="AB174" s="458"/>
      <c r="AC174" s="459"/>
      <c r="AD174" s="451"/>
      <c r="AE174" s="452"/>
      <c r="AF174" s="460"/>
      <c r="AG174" s="457"/>
      <c r="AH174" s="451"/>
      <c r="AI174" s="454"/>
    </row>
    <row r="175" spans="1:35" x14ac:dyDescent="0.25">
      <c r="A175" s="400" t="s">
        <v>158</v>
      </c>
      <c r="B175" s="401" t="s">
        <v>7</v>
      </c>
      <c r="C175" s="472">
        <f>$C$174*0.1</f>
        <v>39279.147531083043</v>
      </c>
      <c r="D175" s="403">
        <f>C175/$C$174</f>
        <v>0.1</v>
      </c>
      <c r="E175" s="403"/>
      <c r="F175" s="451"/>
      <c r="G175" s="451"/>
      <c r="H175" s="451"/>
      <c r="I175" s="451"/>
      <c r="J175" s="451"/>
      <c r="K175" s="451"/>
      <c r="L175" s="450"/>
      <c r="M175" s="392"/>
      <c r="N175" s="392"/>
      <c r="O175" s="405"/>
      <c r="P175" s="405"/>
      <c r="Q175" s="451"/>
      <c r="R175" s="454"/>
      <c r="S175" s="455"/>
      <c r="T175" s="456"/>
      <c r="U175" s="457"/>
      <c r="V175" s="451"/>
      <c r="W175" s="451"/>
      <c r="X175" s="451"/>
      <c r="Y175" s="452"/>
      <c r="Z175" s="454"/>
      <c r="AA175" s="455"/>
      <c r="AB175" s="458"/>
      <c r="AC175" s="459"/>
      <c r="AD175" s="451"/>
      <c r="AE175" s="452"/>
      <c r="AF175" s="460"/>
      <c r="AG175" s="457"/>
      <c r="AH175" s="451"/>
      <c r="AI175" s="454"/>
    </row>
    <row r="176" spans="1:35" ht="15" customHeight="1" outlineLevel="1" x14ac:dyDescent="0.25">
      <c r="A176" s="414"/>
      <c r="B176" s="437" t="s">
        <v>102</v>
      </c>
      <c r="C176" s="488">
        <f>C175/2</f>
        <v>19639.573765541521</v>
      </c>
      <c r="D176" s="462">
        <f>C176/$C$175</f>
        <v>0.5</v>
      </c>
      <c r="E176" s="463" t="s">
        <v>178</v>
      </c>
      <c r="F176" s="438">
        <f>C176*$AI$2</f>
        <v>5891.8721296624562</v>
      </c>
      <c r="G176" s="420"/>
      <c r="H176" s="420"/>
      <c r="I176" s="420"/>
      <c r="J176" s="420"/>
      <c r="K176" s="420"/>
      <c r="L176" s="421"/>
      <c r="M176" s="422"/>
      <c r="N176" s="422"/>
      <c r="O176" s="423"/>
      <c r="P176" s="423"/>
      <c r="Q176" s="420"/>
      <c r="R176" s="424">
        <f>C176*$AI$2</f>
        <v>5891.8721296624562</v>
      </c>
      <c r="S176" s="425"/>
      <c r="T176" s="426"/>
      <c r="U176" s="427"/>
      <c r="V176" s="427"/>
      <c r="W176" s="427"/>
      <c r="X176" s="427"/>
      <c r="Y176" s="428"/>
      <c r="Z176" s="429">
        <f>C176*$AI$2</f>
        <v>5891.8721296624562</v>
      </c>
      <c r="AA176" s="425"/>
      <c r="AB176" s="430"/>
      <c r="AC176" s="431"/>
      <c r="AD176" s="432"/>
      <c r="AE176" s="466"/>
      <c r="AF176" s="433"/>
      <c r="AG176" s="434"/>
      <c r="AH176" s="435"/>
      <c r="AI176" s="436">
        <f>C176*$AI$3</f>
        <v>1963.9573765541522</v>
      </c>
    </row>
    <row r="177" spans="1:35" ht="15" customHeight="1" outlineLevel="1" x14ac:dyDescent="0.25">
      <c r="A177" s="414"/>
      <c r="B177" s="437" t="s">
        <v>58</v>
      </c>
      <c r="C177" s="488">
        <f>C175/2</f>
        <v>19639.573765541521</v>
      </c>
      <c r="D177" s="462">
        <f>C177/$C$175</f>
        <v>0.5</v>
      </c>
      <c r="E177" s="463" t="s">
        <v>178</v>
      </c>
      <c r="F177" s="438">
        <f>C177*$AI$2</f>
        <v>5891.8721296624562</v>
      </c>
      <c r="G177" s="420"/>
      <c r="H177" s="420"/>
      <c r="I177" s="420"/>
      <c r="J177" s="420"/>
      <c r="K177" s="420"/>
      <c r="L177" s="421"/>
      <c r="M177" s="422"/>
      <c r="N177" s="422"/>
      <c r="O177" s="423"/>
      <c r="P177" s="423"/>
      <c r="Q177" s="420"/>
      <c r="R177" s="424">
        <f>C177*$AI$2</f>
        <v>5891.8721296624562</v>
      </c>
      <c r="S177" s="425"/>
      <c r="T177" s="456"/>
      <c r="U177" s="427"/>
      <c r="V177" s="427"/>
      <c r="W177" s="427"/>
      <c r="X177" s="427"/>
      <c r="Y177" s="428"/>
      <c r="Z177" s="429">
        <f>C177*$AI$2</f>
        <v>5891.8721296624562</v>
      </c>
      <c r="AA177" s="425"/>
      <c r="AB177" s="430"/>
      <c r="AC177" s="431"/>
      <c r="AD177" s="432"/>
      <c r="AE177" s="466"/>
      <c r="AF177" s="433"/>
      <c r="AG177" s="434"/>
      <c r="AH177" s="435"/>
      <c r="AI177" s="436">
        <f>C177*$AI$3</f>
        <v>1963.9573765541522</v>
      </c>
    </row>
    <row r="178" spans="1:35" x14ac:dyDescent="0.25">
      <c r="A178" s="400" t="s">
        <v>159</v>
      </c>
      <c r="B178" s="401" t="s">
        <v>56</v>
      </c>
      <c r="C178" s="472">
        <f>$C$174*0.3</f>
        <v>117837.44259324911</v>
      </c>
      <c r="D178" s="403">
        <f>C178/$C$174</f>
        <v>0.3</v>
      </c>
      <c r="E178" s="403"/>
      <c r="F178" s="451"/>
      <c r="G178" s="451"/>
      <c r="H178" s="451"/>
      <c r="I178" s="451"/>
      <c r="J178" s="451"/>
      <c r="K178" s="451"/>
      <c r="L178" s="453"/>
      <c r="M178" s="392"/>
      <c r="N178" s="392"/>
      <c r="O178" s="405"/>
      <c r="P178" s="405"/>
      <c r="Q178" s="451"/>
      <c r="R178" s="454"/>
      <c r="S178" s="455"/>
      <c r="T178" s="456"/>
      <c r="U178" s="457"/>
      <c r="V178" s="451"/>
      <c r="W178" s="451"/>
      <c r="X178" s="451"/>
      <c r="Y178" s="452"/>
      <c r="Z178" s="454"/>
      <c r="AA178" s="455"/>
      <c r="AB178" s="458"/>
      <c r="AC178" s="459"/>
      <c r="AD178" s="451"/>
      <c r="AE178" s="452"/>
      <c r="AF178" s="460"/>
      <c r="AG178" s="457"/>
      <c r="AH178" s="452"/>
      <c r="AI178" s="454"/>
    </row>
    <row r="179" spans="1:35" ht="15" customHeight="1" outlineLevel="1" x14ac:dyDescent="0.25">
      <c r="A179" s="414"/>
      <c r="B179" s="437" t="s">
        <v>54</v>
      </c>
      <c r="C179" s="488">
        <f>$C$178/2</f>
        <v>58918.721296624557</v>
      </c>
      <c r="D179" s="462">
        <f>C179/$C$178</f>
        <v>0.5</v>
      </c>
      <c r="E179" s="463" t="s">
        <v>179</v>
      </c>
      <c r="F179" s="451"/>
      <c r="G179" s="480"/>
      <c r="H179" s="480"/>
      <c r="I179" s="480"/>
      <c r="J179" s="480"/>
      <c r="K179" s="420"/>
      <c r="L179" s="421"/>
      <c r="M179" s="421"/>
      <c r="N179" s="421"/>
      <c r="O179" s="423"/>
      <c r="P179" s="423"/>
      <c r="Q179" s="467"/>
      <c r="R179" s="424">
        <f>C179*$AI$2</f>
        <v>17675.616388987368</v>
      </c>
      <c r="S179" s="425"/>
      <c r="T179" s="456"/>
      <c r="U179" s="427"/>
      <c r="V179" s="427"/>
      <c r="W179" s="427"/>
      <c r="X179" s="427"/>
      <c r="Y179" s="428"/>
      <c r="Z179" s="429">
        <f>C179*0.35</f>
        <v>20621.552453818593</v>
      </c>
      <c r="AA179" s="425"/>
      <c r="AB179" s="430"/>
      <c r="AC179" s="431"/>
      <c r="AD179" s="432"/>
      <c r="AE179" s="466"/>
      <c r="AF179" s="433"/>
      <c r="AG179" s="434"/>
      <c r="AH179" s="435"/>
      <c r="AI179" s="436">
        <f>C179*0.35</f>
        <v>20621.552453818593</v>
      </c>
    </row>
    <row r="180" spans="1:35" ht="15" customHeight="1" outlineLevel="1" x14ac:dyDescent="0.25">
      <c r="A180" s="414"/>
      <c r="B180" s="437" t="s">
        <v>53</v>
      </c>
      <c r="C180" s="488">
        <f>$C$178/2</f>
        <v>58918.721296624557</v>
      </c>
      <c r="D180" s="462">
        <f>C180/$C$178</f>
        <v>0.5</v>
      </c>
      <c r="E180" s="463" t="s">
        <v>179</v>
      </c>
      <c r="F180" s="451"/>
      <c r="G180" s="480"/>
      <c r="H180" s="480"/>
      <c r="I180" s="480"/>
      <c r="J180" s="480"/>
      <c r="K180" s="420"/>
      <c r="L180" s="421"/>
      <c r="M180" s="422"/>
      <c r="N180" s="422"/>
      <c r="O180" s="423"/>
      <c r="P180" s="423"/>
      <c r="Q180" s="467"/>
      <c r="R180" s="424">
        <f>C180*$AI$2</f>
        <v>17675.616388987368</v>
      </c>
      <c r="S180" s="425"/>
      <c r="T180" s="456"/>
      <c r="U180" s="427"/>
      <c r="V180" s="427"/>
      <c r="W180" s="427"/>
      <c r="X180" s="427"/>
      <c r="Y180" s="428"/>
      <c r="Z180" s="429">
        <f>C180*0.35</f>
        <v>20621.552453818593</v>
      </c>
      <c r="AA180" s="425"/>
      <c r="AB180" s="430"/>
      <c r="AC180" s="431"/>
      <c r="AD180" s="432"/>
      <c r="AE180" s="466"/>
      <c r="AF180" s="433"/>
      <c r="AG180" s="434"/>
      <c r="AH180" s="435"/>
      <c r="AI180" s="436">
        <f>C180*0.35</f>
        <v>20621.552453818593</v>
      </c>
    </row>
    <row r="181" spans="1:35" x14ac:dyDescent="0.25">
      <c r="A181" s="400" t="s">
        <v>160</v>
      </c>
      <c r="B181" s="401" t="s">
        <v>55</v>
      </c>
      <c r="C181" s="472">
        <f>$C$174*0.3</f>
        <v>117837.44259324911</v>
      </c>
      <c r="D181" s="403">
        <f>C181/$C$174</f>
        <v>0.3</v>
      </c>
      <c r="E181" s="403"/>
      <c r="F181" s="451"/>
      <c r="G181" s="451"/>
      <c r="H181" s="451"/>
      <c r="I181" s="451"/>
      <c r="J181" s="451"/>
      <c r="K181" s="451"/>
      <c r="L181" s="452"/>
      <c r="M181" s="392"/>
      <c r="N181" s="392"/>
      <c r="O181" s="405"/>
      <c r="P181" s="405"/>
      <c r="Q181" s="451"/>
      <c r="R181" s="454"/>
      <c r="S181" s="455"/>
      <c r="T181" s="456"/>
      <c r="U181" s="457"/>
      <c r="V181" s="451"/>
      <c r="W181" s="451"/>
      <c r="X181" s="451"/>
      <c r="Y181" s="453"/>
      <c r="Z181" s="454"/>
      <c r="AA181" s="455"/>
      <c r="AB181" s="458"/>
      <c r="AC181" s="459"/>
      <c r="AD181" s="451"/>
      <c r="AE181" s="452"/>
      <c r="AF181" s="433"/>
      <c r="AG181" s="457"/>
      <c r="AI181" s="454"/>
    </row>
    <row r="182" spans="1:35" ht="15" customHeight="1" outlineLevel="1" x14ac:dyDescent="0.25">
      <c r="A182" s="414"/>
      <c r="B182" s="437" t="s">
        <v>57</v>
      </c>
      <c r="C182" s="488">
        <f>C181</f>
        <v>117837.44259324911</v>
      </c>
      <c r="D182" s="462">
        <f>C182/C181</f>
        <v>1</v>
      </c>
      <c r="E182" s="463" t="s">
        <v>180</v>
      </c>
      <c r="F182" s="451"/>
      <c r="G182" s="480"/>
      <c r="H182" s="480"/>
      <c r="I182" s="480"/>
      <c r="J182" s="480"/>
      <c r="K182" s="480"/>
      <c r="L182" s="468"/>
      <c r="M182" s="392"/>
      <c r="N182" s="392"/>
      <c r="O182" s="405"/>
      <c r="P182" s="405"/>
      <c r="Q182" s="451"/>
      <c r="R182" s="454"/>
      <c r="S182" s="425"/>
      <c r="T182" s="456"/>
      <c r="U182" s="497"/>
      <c r="V182" s="480"/>
      <c r="W182" s="480"/>
      <c r="X182" s="480"/>
      <c r="Y182" s="468"/>
      <c r="Z182" s="429">
        <f>C182*0.5</f>
        <v>58918.721296624557</v>
      </c>
      <c r="AA182" s="427"/>
      <c r="AB182" s="427"/>
      <c r="AC182" s="498"/>
      <c r="AD182" s="480"/>
      <c r="AE182" s="468"/>
      <c r="AF182" s="433"/>
      <c r="AG182" s="288"/>
      <c r="AH182" s="480"/>
      <c r="AI182" s="436">
        <f>C182*0.5</f>
        <v>58918.721296624557</v>
      </c>
    </row>
    <row r="183" spans="1:35" ht="15" customHeight="1" outlineLevel="1" x14ac:dyDescent="0.25">
      <c r="A183" s="400" t="s">
        <v>160</v>
      </c>
      <c r="B183" s="401" t="s">
        <v>173</v>
      </c>
      <c r="C183" s="472">
        <f>$C$174*0.3</f>
        <v>117837.44259324911</v>
      </c>
      <c r="D183" s="403">
        <f>C183/$C$174</f>
        <v>0.3</v>
      </c>
      <c r="E183" s="403"/>
      <c r="F183" s="451"/>
      <c r="G183" s="480"/>
      <c r="H183" s="480"/>
      <c r="I183" s="480"/>
      <c r="J183" s="480"/>
      <c r="K183" s="480"/>
      <c r="L183" s="468"/>
      <c r="M183" s="392"/>
      <c r="N183" s="392"/>
      <c r="O183" s="405"/>
      <c r="P183" s="405"/>
      <c r="Q183" s="480"/>
      <c r="R183" s="454"/>
      <c r="S183" s="425"/>
      <c r="T183" s="456"/>
      <c r="U183" s="497"/>
      <c r="V183" s="480"/>
      <c r="W183" s="480"/>
      <c r="X183" s="480"/>
      <c r="Y183" s="468"/>
      <c r="Z183" s="510"/>
      <c r="AA183" s="425"/>
      <c r="AB183" s="430"/>
      <c r="AC183" s="498"/>
      <c r="AD183" s="480"/>
      <c r="AE183" s="468"/>
      <c r="AF183" s="433"/>
      <c r="AG183" s="511"/>
      <c r="AH183" s="468"/>
      <c r="AI183" s="510"/>
    </row>
    <row r="184" spans="1:35" ht="15" customHeight="1" outlineLevel="1" x14ac:dyDescent="0.25">
      <c r="A184" s="414"/>
      <c r="B184" s="437" t="s">
        <v>174</v>
      </c>
      <c r="C184" s="488">
        <f>C183</f>
        <v>117837.44259324911</v>
      </c>
      <c r="D184" s="462">
        <f>C184/C183</f>
        <v>1</v>
      </c>
      <c r="E184" s="463" t="s">
        <v>180</v>
      </c>
      <c r="F184" s="451"/>
      <c r="G184" s="480"/>
      <c r="H184" s="480"/>
      <c r="I184" s="480"/>
      <c r="J184" s="480"/>
      <c r="K184" s="480"/>
      <c r="L184" s="468"/>
      <c r="M184" s="392"/>
      <c r="N184" s="392"/>
      <c r="O184" s="405"/>
      <c r="P184" s="405"/>
      <c r="Q184" s="480"/>
      <c r="R184" s="496"/>
      <c r="S184" s="425"/>
      <c r="T184" s="456"/>
      <c r="U184" s="497"/>
      <c r="V184" s="480"/>
      <c r="W184" s="480"/>
      <c r="X184" s="480"/>
      <c r="Y184" s="468"/>
      <c r="Z184" s="510"/>
      <c r="AA184" s="425"/>
      <c r="AB184" s="430"/>
      <c r="AC184" s="498"/>
      <c r="AD184" s="480"/>
      <c r="AE184" s="468"/>
      <c r="AF184" s="433"/>
      <c r="AG184" s="436">
        <f>C184*0.5</f>
        <v>58918.721296624557</v>
      </c>
      <c r="AH184" s="435"/>
      <c r="AI184" s="436">
        <f>C184*0.5</f>
        <v>58918.721296624557</v>
      </c>
    </row>
    <row r="185" spans="1:35" x14ac:dyDescent="0.25">
      <c r="A185" s="383">
        <v>13</v>
      </c>
      <c r="B185" s="384" t="s">
        <v>81</v>
      </c>
      <c r="C185" s="469">
        <f>[2]Comunicação!$B$11</f>
        <v>600000</v>
      </c>
      <c r="D185" s="470">
        <f>SUM(D186,D188)</f>
        <v>1</v>
      </c>
      <c r="E185" s="470"/>
      <c r="F185" s="451"/>
      <c r="G185" s="451"/>
      <c r="H185" s="451"/>
      <c r="I185" s="451"/>
      <c r="J185" s="451"/>
      <c r="K185" s="451"/>
      <c r="L185" s="452"/>
      <c r="M185" s="392"/>
      <c r="N185" s="392"/>
      <c r="O185" s="405"/>
      <c r="P185" s="405"/>
      <c r="Q185" s="451"/>
      <c r="R185" s="454"/>
      <c r="S185" s="455"/>
      <c r="T185" s="456"/>
      <c r="U185" s="457"/>
      <c r="V185" s="451"/>
      <c r="W185" s="451"/>
      <c r="X185" s="451"/>
      <c r="Y185" s="451"/>
      <c r="Z185" s="454"/>
      <c r="AA185" s="455"/>
      <c r="AB185" s="458"/>
      <c r="AC185" s="459"/>
      <c r="AD185" s="451"/>
      <c r="AE185" s="452"/>
      <c r="AF185" s="433"/>
      <c r="AG185" s="457"/>
      <c r="AH185" s="452"/>
      <c r="AI185" s="454"/>
    </row>
    <row r="186" spans="1:35" x14ac:dyDescent="0.25">
      <c r="A186" s="400" t="s">
        <v>161</v>
      </c>
      <c r="B186" s="401" t="s">
        <v>7</v>
      </c>
      <c r="C186" s="494">
        <f>$C$185*D186</f>
        <v>90000</v>
      </c>
      <c r="D186" s="495">
        <v>0.15</v>
      </c>
      <c r="E186" s="495"/>
      <c r="F186" s="451"/>
      <c r="G186" s="451"/>
      <c r="H186" s="451"/>
      <c r="I186" s="451"/>
      <c r="J186" s="451"/>
      <c r="K186" s="451"/>
      <c r="L186" s="452"/>
      <c r="M186" s="392"/>
      <c r="N186" s="392"/>
      <c r="O186" s="405"/>
      <c r="P186" s="405"/>
      <c r="Q186" s="451"/>
      <c r="R186" s="454"/>
      <c r="S186" s="455"/>
      <c r="T186" s="456"/>
      <c r="U186" s="457"/>
      <c r="V186" s="451"/>
      <c r="W186" s="451"/>
      <c r="X186" s="451"/>
      <c r="Y186" s="451"/>
      <c r="Z186" s="454"/>
      <c r="AA186" s="455"/>
      <c r="AB186" s="458"/>
      <c r="AC186" s="459"/>
      <c r="AD186" s="451"/>
      <c r="AE186" s="452"/>
      <c r="AF186" s="460"/>
      <c r="AG186" s="457"/>
      <c r="AH186" s="451"/>
      <c r="AI186" s="454"/>
    </row>
    <row r="187" spans="1:35" ht="15" customHeight="1" outlineLevel="1" x14ac:dyDescent="0.25">
      <c r="A187" s="414"/>
      <c r="B187" s="437" t="s">
        <v>78</v>
      </c>
      <c r="C187" s="488">
        <f>C186</f>
        <v>90000</v>
      </c>
      <c r="D187" s="512">
        <f>C187/C186</f>
        <v>1</v>
      </c>
      <c r="E187" s="513" t="s">
        <v>180</v>
      </c>
      <c r="F187" s="451"/>
      <c r="G187" s="405"/>
      <c r="H187" s="405"/>
      <c r="I187" s="405"/>
      <c r="J187" s="405"/>
      <c r="K187" s="405"/>
      <c r="L187" s="406"/>
      <c r="M187" s="392"/>
      <c r="N187" s="392"/>
      <c r="O187" s="423"/>
      <c r="P187" s="423"/>
      <c r="Q187" s="467"/>
      <c r="R187" s="424">
        <f>C186*0.5</f>
        <v>45000</v>
      </c>
      <c r="S187" s="423"/>
      <c r="T187" s="514"/>
      <c r="U187" s="410"/>
      <c r="V187" s="405"/>
      <c r="W187" s="405"/>
      <c r="X187" s="405"/>
      <c r="Y187" s="405"/>
      <c r="Z187" s="515"/>
      <c r="AA187" s="408"/>
      <c r="AB187" s="411"/>
      <c r="AC187" s="412"/>
      <c r="AD187" s="405"/>
      <c r="AE187" s="406"/>
      <c r="AF187" s="433"/>
      <c r="AG187" s="497"/>
      <c r="AH187" s="480"/>
      <c r="AI187" s="436">
        <f>C186*0.5</f>
        <v>45000</v>
      </c>
    </row>
    <row r="188" spans="1:35" x14ac:dyDescent="0.25">
      <c r="A188" s="400" t="s">
        <v>162</v>
      </c>
      <c r="B188" s="401" t="s">
        <v>79</v>
      </c>
      <c r="C188" s="494">
        <f>$C$185*D188</f>
        <v>510000</v>
      </c>
      <c r="D188" s="495">
        <v>0.85</v>
      </c>
      <c r="E188" s="495"/>
      <c r="F188" s="451"/>
      <c r="G188" s="451"/>
      <c r="H188" s="451"/>
      <c r="I188" s="451"/>
      <c r="J188" s="451"/>
      <c r="K188" s="451"/>
      <c r="L188" s="452"/>
      <c r="M188" s="392"/>
      <c r="N188" s="392"/>
      <c r="O188" s="405"/>
      <c r="P188" s="405"/>
      <c r="Q188" s="451"/>
      <c r="R188" s="454"/>
      <c r="S188" s="455"/>
      <c r="T188" s="456"/>
      <c r="U188" s="457"/>
      <c r="V188" s="451"/>
      <c r="W188" s="451"/>
      <c r="X188" s="451"/>
      <c r="Y188" s="451"/>
      <c r="Z188" s="454"/>
      <c r="AA188" s="455"/>
      <c r="AB188" s="458"/>
      <c r="AC188" s="459"/>
      <c r="AD188" s="451"/>
      <c r="AE188" s="452"/>
      <c r="AF188" s="460"/>
      <c r="AG188" s="457"/>
      <c r="AH188" s="451"/>
      <c r="AI188" s="454"/>
    </row>
    <row r="189" spans="1:35" outlineLevel="1" x14ac:dyDescent="0.25">
      <c r="A189" s="414"/>
      <c r="B189" s="437" t="s">
        <v>80</v>
      </c>
      <c r="C189" s="516">
        <f>C188</f>
        <v>510000</v>
      </c>
      <c r="D189" s="512">
        <f>C189/C188</f>
        <v>1</v>
      </c>
      <c r="E189" s="513" t="s">
        <v>180</v>
      </c>
      <c r="F189" s="410"/>
      <c r="G189" s="405"/>
      <c r="H189" s="405"/>
      <c r="I189" s="405"/>
      <c r="J189" s="405"/>
      <c r="K189" s="405"/>
      <c r="L189" s="405"/>
      <c r="M189" s="405"/>
      <c r="N189" s="405"/>
      <c r="O189" s="405"/>
      <c r="P189" s="423"/>
      <c r="Q189" s="467"/>
      <c r="R189" s="424">
        <f>C188*0.5</f>
        <v>255000</v>
      </c>
      <c r="S189" s="467"/>
      <c r="T189" s="514"/>
      <c r="U189" s="498"/>
      <c r="V189" s="405"/>
      <c r="W189" s="405"/>
      <c r="X189" s="405"/>
      <c r="Y189" s="405"/>
      <c r="Z189" s="510"/>
      <c r="AA189" s="408"/>
      <c r="AB189" s="408"/>
      <c r="AC189" s="498"/>
      <c r="AD189" s="405"/>
      <c r="AE189" s="405"/>
      <c r="AF189" s="433"/>
      <c r="AG189" s="497"/>
      <c r="AH189" s="480"/>
      <c r="AI189" s="436">
        <f>C188*0.5</f>
        <v>255000</v>
      </c>
    </row>
  </sheetData>
  <mergeCells count="12">
    <mergeCell ref="A13:A14"/>
    <mergeCell ref="B13:B14"/>
    <mergeCell ref="C13:C14"/>
    <mergeCell ref="D13:D15"/>
    <mergeCell ref="A3:B5"/>
    <mergeCell ref="F10:AI10"/>
    <mergeCell ref="F11:Q11"/>
    <mergeCell ref="R11:T11"/>
    <mergeCell ref="U11:Y11"/>
    <mergeCell ref="Z11:AB11"/>
    <mergeCell ref="AC11:AE11"/>
    <mergeCell ref="AG11:AH11"/>
  </mergeCells>
  <pageMargins left="0.511811024" right="0.511811024" top="0.78740157499999996" bottom="0.78740157499999996" header="0.31496062000000002" footer="0.3149606200000000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9E72725291B6D24699C52EE9F06F0E41" ma:contentTypeVersion="0" ma:contentTypeDescription="Crie um novo documento." ma:contentTypeScope="" ma:versionID="827f8afb5486863ab3aa1e109e4bbfe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acb358bd3c4937f8c29cf3e1e721863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F107F8F-9150-423C-B654-923F65FC639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64FAA54-2091-49A4-8E95-A0B0ABFEA366}">
  <ds:schemaRefs>
    <ds:schemaRef ds:uri="http://purl.org/dc/elements/1.1/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4703EFE-97BE-4E31-AD2C-7877A139AA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GRUPO A</vt:lpstr>
      <vt:lpstr>GRUPO B</vt:lpstr>
      <vt:lpstr>'GRUPO A'!Area_de_impressao</vt:lpstr>
      <vt:lpstr>'GRUPO A'!Titulos_de_impressao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Santi Ferri</dc:creator>
  <cp:lastModifiedBy>Hugo  Marcus Silva Teixeirense</cp:lastModifiedBy>
  <cp:lastPrinted>2020-10-08T18:19:49Z</cp:lastPrinted>
  <dcterms:created xsi:type="dcterms:W3CDTF">2020-09-09T19:18:46Z</dcterms:created>
  <dcterms:modified xsi:type="dcterms:W3CDTF">2020-10-28T15:13:05Z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0x0101009E72725291B6D24699C52EE9F06F0E41</vt:lpwstr>
  </property>
</Properties>
</file>